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4.xml" ContentType="application/vnd.openxmlformats-officedocument.spreadsheetml.pivotTable+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Tables/pivotTable1.xml" ContentType="application/vnd.openxmlformats-officedocument.spreadsheetml.pivotTable+xml"/>
  <Override PartName="/xl/comments6.xml" ContentType="application/vnd.openxmlformats-officedocument.spreadsheetml.comments+xml"/>
  <Override PartName="/xl/pivotTables/pivotTable2.xml" ContentType="application/vnd.openxmlformats-officedocument.spreadsheetml.pivotTable+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Cache/pivotCacheDefinition4.xml" ContentType="application/vnd.openxmlformats-officedocument.spreadsheetml.pivotCacheDefinition+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pivotTables/pivotTable3.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875" yWindow="255" windowWidth="20730" windowHeight="11100" tabRatio="599" activeTab="2"/>
  </bookViews>
  <sheets>
    <sheet name="7PSourceSummary" sheetId="14" r:id="rId1"/>
    <sheet name="forRPM" sheetId="27" r:id="rId2"/>
    <sheet name="SC-Retro" sheetId="6" r:id="rId3"/>
    <sheet name="M_Input_Out" sheetId="26" r:id="rId4"/>
    <sheet name="M_Input" sheetId="4" r:id="rId5"/>
    <sheet name="Segmented" sheetId="2" r:id="rId6"/>
    <sheet name="Weighting" sheetId="5" r:id="rId7"/>
    <sheet name="Composite" sheetId="3" r:id="rId8"/>
    <sheet name="Raw RTF" sheetId="1" r:id="rId9"/>
    <sheet name="Attic" sheetId="9" r:id="rId10"/>
    <sheet name="Window" sheetId="10" r:id="rId11"/>
    <sheet name="FlCrawl" sheetId="11" r:id="rId12"/>
    <sheet name="MFMaster" sheetId="7" r:id="rId13"/>
    <sheet name="Achievements" sheetId="16" r:id="rId14"/>
    <sheet name="SEEMsavings" sheetId="18" r:id="rId15"/>
    <sheet name="Results" sheetId="22" r:id="rId16"/>
    <sheet name="MeasureInputsANDResults" sheetId="21" r:id="rId17"/>
    <sheet name="inputWeightings" sheetId="20" r:id="rId18"/>
    <sheet name="Costs" sheetId="19" r:id="rId19"/>
    <sheet name="SIW Costs" sheetId="28" r:id="rId20"/>
    <sheet name="ETO MF Insulation Cost" sheetId="17" r:id="rId21"/>
  </sheets>
  <externalReferences>
    <externalReference r:id="rId22"/>
    <externalReference r:id="rId23"/>
    <externalReference r:id="rId24"/>
  </externalReferences>
  <definedNames>
    <definedName name="_xlnm._FilterDatabase" localSheetId="7" hidden="1">Composite!$A$4:$DB$301</definedName>
    <definedName name="_xlnm._FilterDatabase" localSheetId="11" hidden="1">FlCrawl!$A$1:$O$961</definedName>
    <definedName name="_xlnm._FilterDatabase" localSheetId="12" hidden="1">MFMaster!$A$2:$CI$232</definedName>
    <definedName name="_xlnm._FilterDatabase" localSheetId="8" hidden="1">'Raw RTF'!$A$7:$DB$463</definedName>
    <definedName name="_xlnm._FilterDatabase" localSheetId="10" hidden="1">Window!$A$1:$J$1800</definedName>
    <definedName name="_Key1" localSheetId="0" hidden="1">#REF!</definedName>
    <definedName name="_Key1" localSheetId="1" hidden="1">#REF!</definedName>
    <definedName name="_Key1" hidden="1">#REF!</definedName>
    <definedName name="_Order1" hidden="1">255</definedName>
    <definedName name="_Sort" localSheetId="0" hidden="1">#REF!</definedName>
    <definedName name="_Sort" localSheetId="1" hidden="1">#REF!</definedName>
    <definedName name="_Sort" hidden="1">#REF!</definedName>
    <definedName name="anscount" hidden="1">1</definedName>
    <definedName name="Areas">MeasureInputsANDResults!$C$108:$L$110</definedName>
    <definedName name="AtticCost">'ETO MF Insulation Cost'!$J$119</definedName>
    <definedName name="CBWorkbookPriority" hidden="1">-738590518</definedName>
    <definedName name="Deflator">'ETO MF Insulation Cost'!$K$133</definedName>
    <definedName name="FloorCost">'ETO MF Insulation Cost'!$J$125</definedName>
    <definedName name="Heating">MeasureInputsANDResults!$I$116:$BA$162</definedName>
    <definedName name="limcount" hidden="1">1</definedName>
    <definedName name="MeasureOutput">M_Input_Out!$A$4:$AM$100</definedName>
    <definedName name="ResBase">'[1]Res Forecast (Base Case)'!$C$14:$BD$61</definedName>
    <definedName name="sencount" hidden="1">1</definedName>
    <definedName name="sort" hidden="1">#REF!</definedName>
    <definedName name="WallCost">'ETO MF Insulation Cost'!$J$130</definedName>
  </definedNames>
  <calcPr calcId="125725"/>
  <pivotCaches>
    <pivotCache cacheId="5" r:id="rId25"/>
    <pivotCache cacheId="6" r:id="rId26"/>
    <pivotCache cacheId="7" r:id="rId27"/>
    <pivotCache cacheId="8" r:id="rId28"/>
  </pivotCaches>
</workbook>
</file>

<file path=xl/calcChain.xml><?xml version="1.0" encoding="utf-8"?>
<calcChain xmlns="http://schemas.openxmlformats.org/spreadsheetml/2006/main">
  <c r="G8" i="5"/>
  <c r="F8"/>
  <c r="G7"/>
  <c r="F7"/>
  <c r="D9" i="6" l="1"/>
  <c r="D8"/>
  <c r="C8"/>
  <c r="H8" i="28" l="1"/>
  <c r="H7"/>
  <c r="H6"/>
  <c r="B20" i="19" l="1"/>
  <c r="B19"/>
  <c r="B17"/>
  <c r="B15"/>
  <c r="B6"/>
  <c r="B8"/>
  <c r="B12"/>
  <c r="B14"/>
  <c r="B13"/>
  <c r="B7"/>
  <c r="B4"/>
  <c r="B3"/>
  <c r="B2"/>
  <c r="J136" i="17" l="1"/>
  <c r="K136"/>
  <c r="G21" i="20" l="1"/>
  <c r="H21"/>
  <c r="G22"/>
  <c r="H22"/>
  <c r="G23"/>
  <c r="H23"/>
  <c r="G24"/>
  <c r="G25"/>
  <c r="G26"/>
  <c r="G27"/>
  <c r="G28"/>
  <c r="G29"/>
  <c r="G34"/>
  <c r="H34"/>
  <c r="G35"/>
  <c r="H35"/>
  <c r="G36"/>
  <c r="H36"/>
  <c r="G37"/>
  <c r="G38"/>
  <c r="G39"/>
  <c r="G40"/>
  <c r="G41"/>
  <c r="G42"/>
  <c r="O15" i="9" l="1"/>
  <c r="E7" i="5"/>
  <c r="E8"/>
  <c r="H27" i="16" l="1"/>
  <c r="H28"/>
  <c r="H29"/>
  <c r="H26"/>
  <c r="G29"/>
  <c r="G28"/>
  <c r="G27"/>
  <c r="G26"/>
  <c r="A9" i="6"/>
  <c r="E7" i="27" s="1"/>
  <c r="E3" l="1"/>
  <c r="E38"/>
  <c r="E34"/>
  <c r="E30"/>
  <c r="E26"/>
  <c r="E22"/>
  <c r="E18"/>
  <c r="E14"/>
  <c r="E10"/>
  <c r="E6"/>
  <c r="E40"/>
  <c r="E36"/>
  <c r="E32"/>
  <c r="E28"/>
  <c r="E24"/>
  <c r="E20"/>
  <c r="E16"/>
  <c r="E12"/>
  <c r="E8"/>
  <c r="E4"/>
  <c r="E41"/>
  <c r="E37"/>
  <c r="E33"/>
  <c r="E29"/>
  <c r="E25"/>
  <c r="E21"/>
  <c r="E17"/>
  <c r="E13"/>
  <c r="E9"/>
  <c r="E5"/>
  <c r="E39"/>
  <c r="E35"/>
  <c r="E31"/>
  <c r="E27"/>
  <c r="E23"/>
  <c r="E19"/>
  <c r="E15"/>
  <c r="E11"/>
  <c r="J41"/>
  <c r="BC41" s="1"/>
  <c r="I41"/>
  <c r="F41"/>
  <c r="C41"/>
  <c r="B41"/>
  <c r="J40"/>
  <c r="BC40" s="1"/>
  <c r="I40"/>
  <c r="C40"/>
  <c r="B40"/>
  <c r="J39"/>
  <c r="BD39" s="1"/>
  <c r="I39"/>
  <c r="C39"/>
  <c r="B39"/>
  <c r="BD38"/>
  <c r="AQ38"/>
  <c r="AM38"/>
  <c r="AI38"/>
  <c r="J38"/>
  <c r="BA38" s="1"/>
  <c r="I38"/>
  <c r="F38"/>
  <c r="C38"/>
  <c r="A38" s="1"/>
  <c r="B38"/>
  <c r="BB37"/>
  <c r="AW37"/>
  <c r="AQ37"/>
  <c r="AK37"/>
  <c r="AF37"/>
  <c r="J37"/>
  <c r="BC37" s="1"/>
  <c r="I37"/>
  <c r="C37"/>
  <c r="B37"/>
  <c r="J36"/>
  <c r="BC36" s="1"/>
  <c r="I36"/>
  <c r="F36"/>
  <c r="C36"/>
  <c r="B36"/>
  <c r="J35"/>
  <c r="BD35" s="1"/>
  <c r="I35"/>
  <c r="F35"/>
  <c r="C35"/>
  <c r="A35" s="1"/>
  <c r="B35"/>
  <c r="J34"/>
  <c r="BA34" s="1"/>
  <c r="I34"/>
  <c r="C34"/>
  <c r="B34"/>
  <c r="AM33"/>
  <c r="J33"/>
  <c r="BC33" s="1"/>
  <c r="I33"/>
  <c r="C33"/>
  <c r="B33"/>
  <c r="J32"/>
  <c r="BC32" s="1"/>
  <c r="I32"/>
  <c r="C32"/>
  <c r="B32"/>
  <c r="J31"/>
  <c r="BD31" s="1"/>
  <c r="I31"/>
  <c r="C31"/>
  <c r="B31"/>
  <c r="AZ30"/>
  <c r="AI30"/>
  <c r="J30"/>
  <c r="BA30" s="1"/>
  <c r="I30"/>
  <c r="C30"/>
  <c r="B30"/>
  <c r="AM29"/>
  <c r="J29"/>
  <c r="BC29" s="1"/>
  <c r="I29"/>
  <c r="F29"/>
  <c r="C29"/>
  <c r="B29"/>
  <c r="AW28"/>
  <c r="AN28"/>
  <c r="AF28"/>
  <c r="J28"/>
  <c r="BC28" s="1"/>
  <c r="I28"/>
  <c r="C28"/>
  <c r="A28" s="1"/>
  <c r="B28"/>
  <c r="J27"/>
  <c r="BD27" s="1"/>
  <c r="I27"/>
  <c r="C27"/>
  <c r="A27" s="1"/>
  <c r="B27"/>
  <c r="J26"/>
  <c r="BA26" s="1"/>
  <c r="I26"/>
  <c r="C26"/>
  <c r="A26" s="1"/>
  <c r="B26"/>
  <c r="BB25"/>
  <c r="AW25"/>
  <c r="AT25"/>
  <c r="AQ25"/>
  <c r="AK25"/>
  <c r="AI25"/>
  <c r="AF25"/>
  <c r="J25"/>
  <c r="BC25" s="1"/>
  <c r="I25"/>
  <c r="F25"/>
  <c r="C25"/>
  <c r="B25"/>
  <c r="J24"/>
  <c r="BC24" s="1"/>
  <c r="I24"/>
  <c r="C24"/>
  <c r="B24"/>
  <c r="J23"/>
  <c r="BD23" s="1"/>
  <c r="I23"/>
  <c r="C23"/>
  <c r="B23"/>
  <c r="I4"/>
  <c r="J4"/>
  <c r="AL4" s="1"/>
  <c r="I5"/>
  <c r="J5"/>
  <c r="BA5" s="1"/>
  <c r="I6"/>
  <c r="J6"/>
  <c r="AQ6" s="1"/>
  <c r="I7"/>
  <c r="J7"/>
  <c r="AV7" s="1"/>
  <c r="I8"/>
  <c r="J8"/>
  <c r="AL8" s="1"/>
  <c r="I9"/>
  <c r="J9"/>
  <c r="AW9" s="1"/>
  <c r="I10"/>
  <c r="J10"/>
  <c r="BA10" s="1"/>
  <c r="I11"/>
  <c r="J11"/>
  <c r="F11" s="1"/>
  <c r="I12"/>
  <c r="J12"/>
  <c r="F12" s="1"/>
  <c r="I13"/>
  <c r="J13"/>
  <c r="BA13" s="1"/>
  <c r="I14"/>
  <c r="J14"/>
  <c r="AQ14" s="1"/>
  <c r="I15"/>
  <c r="J15"/>
  <c r="AQ15" s="1"/>
  <c r="I16"/>
  <c r="J16"/>
  <c r="AU16" s="1"/>
  <c r="I17"/>
  <c r="J17"/>
  <c r="AI17" s="1"/>
  <c r="I18"/>
  <c r="J18"/>
  <c r="AQ18" s="1"/>
  <c r="I19"/>
  <c r="J19"/>
  <c r="AZ19" s="1"/>
  <c r="I20"/>
  <c r="J20"/>
  <c r="AH20" s="1"/>
  <c r="I21"/>
  <c r="J21"/>
  <c r="BD21" s="1"/>
  <c r="I22"/>
  <c r="J22"/>
  <c r="BA22" s="1"/>
  <c r="J3"/>
  <c r="BD3" s="1"/>
  <c r="I3"/>
  <c r="C22"/>
  <c r="A22" s="1"/>
  <c r="B22"/>
  <c r="C21"/>
  <c r="A21" s="1"/>
  <c r="B21"/>
  <c r="C20"/>
  <c r="A20" s="1"/>
  <c r="B20"/>
  <c r="C19"/>
  <c r="A19" s="1"/>
  <c r="B19"/>
  <c r="C18"/>
  <c r="A18" s="1"/>
  <c r="B18"/>
  <c r="C17"/>
  <c r="A17" s="1"/>
  <c r="B17"/>
  <c r="C16"/>
  <c r="A16" s="1"/>
  <c r="B16"/>
  <c r="C15"/>
  <c r="A15" s="1"/>
  <c r="B15"/>
  <c r="BA14"/>
  <c r="C14"/>
  <c r="B14"/>
  <c r="C13"/>
  <c r="B13"/>
  <c r="C12"/>
  <c r="B12"/>
  <c r="C11"/>
  <c r="B11"/>
  <c r="C10"/>
  <c r="B10"/>
  <c r="C9"/>
  <c r="B9"/>
  <c r="C8"/>
  <c r="B8"/>
  <c r="C7"/>
  <c r="B7"/>
  <c r="C6"/>
  <c r="B6"/>
  <c r="C5"/>
  <c r="B5"/>
  <c r="C4"/>
  <c r="B4"/>
  <c r="C3"/>
  <c r="B3"/>
  <c r="AV22"/>
  <c r="BB22"/>
  <c r="AQ21"/>
  <c r="AU20"/>
  <c r="F20"/>
  <c r="AV19"/>
  <c r="BA19"/>
  <c r="AN18"/>
  <c r="F17"/>
  <c r="F16"/>
  <c r="BD15"/>
  <c r="AM15"/>
  <c r="AN14"/>
  <c r="AZ11"/>
  <c r="AV10"/>
  <c r="BB10"/>
  <c r="AQ9"/>
  <c r="AU8"/>
  <c r="F8"/>
  <c r="AM7"/>
  <c r="AN6"/>
  <c r="F5"/>
  <c r="AU4"/>
  <c r="F4"/>
  <c r="AM3"/>
  <c r="AD2"/>
  <c r="AC2"/>
  <c r="AB2"/>
  <c r="AA2"/>
  <c r="Z2"/>
  <c r="Y2"/>
  <c r="X2"/>
  <c r="W2"/>
  <c r="V2"/>
  <c r="U2"/>
  <c r="T2"/>
  <c r="S2"/>
  <c r="R2"/>
  <c r="Q2"/>
  <c r="P2"/>
  <c r="O2"/>
  <c r="N2"/>
  <c r="M2"/>
  <c r="L2"/>
  <c r="K2"/>
  <c r="A7" l="1"/>
  <c r="AS32"/>
  <c r="AN40"/>
  <c r="AX40"/>
  <c r="A6"/>
  <c r="A14"/>
  <c r="AS28"/>
  <c r="AG29"/>
  <c r="BD29"/>
  <c r="AN32"/>
  <c r="AG33"/>
  <c r="BD33"/>
  <c r="AN37"/>
  <c r="AZ37"/>
  <c r="AJ40"/>
  <c r="AW40"/>
  <c r="AX29"/>
  <c r="F32"/>
  <c r="AJ32"/>
  <c r="BA32"/>
  <c r="AX33"/>
  <c r="F34"/>
  <c r="F40"/>
  <c r="AG40"/>
  <c r="AS40"/>
  <c r="AV3"/>
  <c r="A3"/>
  <c r="A5"/>
  <c r="A11"/>
  <c r="AN25"/>
  <c r="AZ25"/>
  <c r="F28"/>
  <c r="AJ28"/>
  <c r="BA28"/>
  <c r="AS29"/>
  <c r="A30"/>
  <c r="AQ30"/>
  <c r="F31"/>
  <c r="A32"/>
  <c r="AF32"/>
  <c r="AW32"/>
  <c r="AS33"/>
  <c r="A34"/>
  <c r="F37"/>
  <c r="AI37"/>
  <c r="AT37"/>
  <c r="AZ38"/>
  <c r="F39"/>
  <c r="A40"/>
  <c r="AF40"/>
  <c r="AO40"/>
  <c r="BA40"/>
  <c r="A8"/>
  <c r="A12"/>
  <c r="A29"/>
  <c r="A33"/>
  <c r="AJ41"/>
  <c r="AO41"/>
  <c r="AV41"/>
  <c r="BA41"/>
  <c r="BC4"/>
  <c r="AI6"/>
  <c r="F7"/>
  <c r="BC8"/>
  <c r="AS10"/>
  <c r="AM11"/>
  <c r="AZ13"/>
  <c r="AZ14"/>
  <c r="AI15"/>
  <c r="AZ15"/>
  <c r="AI18"/>
  <c r="F19"/>
  <c r="AQ19"/>
  <c r="AY20"/>
  <c r="AS22"/>
  <c r="A4"/>
  <c r="A9"/>
  <c r="A13"/>
  <c r="AW22"/>
  <c r="A24"/>
  <c r="AJ24"/>
  <c r="AS24"/>
  <c r="BA24"/>
  <c r="AJ25"/>
  <c r="AO25"/>
  <c r="AV25"/>
  <c r="BA25"/>
  <c r="AQ26"/>
  <c r="AK28"/>
  <c r="AT28"/>
  <c r="BB28"/>
  <c r="AF29"/>
  <c r="AK29"/>
  <c r="AQ29"/>
  <c r="AW29"/>
  <c r="BB29"/>
  <c r="AV30"/>
  <c r="A31"/>
  <c r="AK32"/>
  <c r="AT32"/>
  <c r="BB32"/>
  <c r="AF33"/>
  <c r="AK33"/>
  <c r="AQ33"/>
  <c r="AW33"/>
  <c r="BB33"/>
  <c r="AQ34"/>
  <c r="A36"/>
  <c r="AJ36"/>
  <c r="AS36"/>
  <c r="BA36"/>
  <c r="AJ37"/>
  <c r="AO37"/>
  <c r="AV37"/>
  <c r="BA37"/>
  <c r="AI41"/>
  <c r="AN41"/>
  <c r="AT41"/>
  <c r="AZ41"/>
  <c r="F24"/>
  <c r="AT24"/>
  <c r="AV26"/>
  <c r="AK36"/>
  <c r="AT36"/>
  <c r="BB36"/>
  <c r="F13"/>
  <c r="AG24"/>
  <c r="AX24"/>
  <c r="AM26"/>
  <c r="A41"/>
  <c r="AG41"/>
  <c r="AM41"/>
  <c r="AS41"/>
  <c r="AX41"/>
  <c r="BD41"/>
  <c r="AK24"/>
  <c r="BB24"/>
  <c r="AV34"/>
  <c r="BD7"/>
  <c r="BA15"/>
  <c r="AV15"/>
  <c r="AM19"/>
  <c r="BD19"/>
  <c r="AO24"/>
  <c r="BD26"/>
  <c r="AJ29"/>
  <c r="AO29"/>
  <c r="AV29"/>
  <c r="BA29"/>
  <c r="F33"/>
  <c r="AJ33"/>
  <c r="AO33"/>
  <c r="AV33"/>
  <c r="BA33"/>
  <c r="AM34"/>
  <c r="BD34"/>
  <c r="AG36"/>
  <c r="AO36"/>
  <c r="AX36"/>
  <c r="AZ5"/>
  <c r="AZ6"/>
  <c r="F10"/>
  <c r="AI14"/>
  <c r="F15"/>
  <c r="AZ17"/>
  <c r="AZ18"/>
  <c r="AI19"/>
  <c r="F22"/>
  <c r="BA6"/>
  <c r="A10"/>
  <c r="A23"/>
  <c r="AF24"/>
  <c r="AN24"/>
  <c r="AW24"/>
  <c r="A25"/>
  <c r="AG25"/>
  <c r="AM25"/>
  <c r="AS25"/>
  <c r="AX25"/>
  <c r="BD25"/>
  <c r="AI26"/>
  <c r="AZ26"/>
  <c r="AG28"/>
  <c r="AO28"/>
  <c r="AX28"/>
  <c r="AI29"/>
  <c r="AN29"/>
  <c r="AT29"/>
  <c r="AZ29"/>
  <c r="AM30"/>
  <c r="BD30"/>
  <c r="AG32"/>
  <c r="AO32"/>
  <c r="AX32"/>
  <c r="AI33"/>
  <c r="AN33"/>
  <c r="AT33"/>
  <c r="AZ33"/>
  <c r="AI34"/>
  <c r="AZ34"/>
  <c r="AF36"/>
  <c r="AN36"/>
  <c r="AW36"/>
  <c r="A37"/>
  <c r="AG37"/>
  <c r="AM37"/>
  <c r="AS37"/>
  <c r="AX37"/>
  <c r="BD37"/>
  <c r="AV38"/>
  <c r="A39"/>
  <c r="AK40"/>
  <c r="AT40"/>
  <c r="BB40"/>
  <c r="AF41"/>
  <c r="AK41"/>
  <c r="AQ41"/>
  <c r="AW41"/>
  <c r="BB41"/>
  <c r="AL23"/>
  <c r="AY23"/>
  <c r="AP27"/>
  <c r="AH35"/>
  <c r="AL35"/>
  <c r="AP35"/>
  <c r="AU35"/>
  <c r="AY35"/>
  <c r="BC35"/>
  <c r="AH39"/>
  <c r="AL39"/>
  <c r="AP39"/>
  <c r="AU39"/>
  <c r="AY39"/>
  <c r="BC39"/>
  <c r="AG23"/>
  <c r="AT23"/>
  <c r="F26"/>
  <c r="AH26"/>
  <c r="AU26"/>
  <c r="AK27"/>
  <c r="F30"/>
  <c r="AL30"/>
  <c r="AO31"/>
  <c r="AH34"/>
  <c r="AL34"/>
  <c r="AP34"/>
  <c r="AU34"/>
  <c r="AY34"/>
  <c r="BC34"/>
  <c r="AG35"/>
  <c r="AK35"/>
  <c r="AO35"/>
  <c r="AT35"/>
  <c r="AX35"/>
  <c r="BB35"/>
  <c r="AH38"/>
  <c r="AL38"/>
  <c r="AP38"/>
  <c r="AU38"/>
  <c r="AY38"/>
  <c r="BC38"/>
  <c r="AG39"/>
  <c r="AK39"/>
  <c r="AO39"/>
  <c r="AT39"/>
  <c r="AX39"/>
  <c r="BB39"/>
  <c r="AF23"/>
  <c r="AJ23"/>
  <c r="AN23"/>
  <c r="AS23"/>
  <c r="AW23"/>
  <c r="BA23"/>
  <c r="AI24"/>
  <c r="AM24"/>
  <c r="AQ24"/>
  <c r="AV24"/>
  <c r="AZ24"/>
  <c r="BD24"/>
  <c r="AH25"/>
  <c r="AL25"/>
  <c r="AP25"/>
  <c r="AU25"/>
  <c r="AY25"/>
  <c r="AG26"/>
  <c r="AK26"/>
  <c r="AO26"/>
  <c r="AT26"/>
  <c r="AX26"/>
  <c r="BB26"/>
  <c r="AF27"/>
  <c r="AJ27"/>
  <c r="AN27"/>
  <c r="AS27"/>
  <c r="AW27"/>
  <c r="BA27"/>
  <c r="AI28"/>
  <c r="AM28"/>
  <c r="AQ28"/>
  <c r="AV28"/>
  <c r="AZ28"/>
  <c r="BD28"/>
  <c r="AH29"/>
  <c r="AL29"/>
  <c r="AP29"/>
  <c r="AU29"/>
  <c r="AY29"/>
  <c r="AG30"/>
  <c r="AK30"/>
  <c r="AO30"/>
  <c r="AT30"/>
  <c r="AX30"/>
  <c r="BB30"/>
  <c r="AF31"/>
  <c r="AJ31"/>
  <c r="AN31"/>
  <c r="AS31"/>
  <c r="AW31"/>
  <c r="BA31"/>
  <c r="AI32"/>
  <c r="AM32"/>
  <c r="AQ32"/>
  <c r="AV32"/>
  <c r="AZ32"/>
  <c r="BD32"/>
  <c r="AH33"/>
  <c r="AL33"/>
  <c r="AP33"/>
  <c r="AU33"/>
  <c r="AY33"/>
  <c r="AG34"/>
  <c r="AK34"/>
  <c r="AO34"/>
  <c r="AT34"/>
  <c r="AX34"/>
  <c r="BB34"/>
  <c r="AF35"/>
  <c r="AJ35"/>
  <c r="AN35"/>
  <c r="AS35"/>
  <c r="AW35"/>
  <c r="BA35"/>
  <c r="AI36"/>
  <c r="AM36"/>
  <c r="AQ36"/>
  <c r="AV36"/>
  <c r="AZ36"/>
  <c r="BD36"/>
  <c r="AH37"/>
  <c r="AL37"/>
  <c r="AP37"/>
  <c r="AU37"/>
  <c r="AY37"/>
  <c r="AG38"/>
  <c r="AK38"/>
  <c r="AO38"/>
  <c r="AT38"/>
  <c r="AX38"/>
  <c r="BB38"/>
  <c r="AF39"/>
  <c r="AJ39"/>
  <c r="AN39"/>
  <c r="AS39"/>
  <c r="AW39"/>
  <c r="BA39"/>
  <c r="AI40"/>
  <c r="AM40"/>
  <c r="AQ40"/>
  <c r="AV40"/>
  <c r="AZ40"/>
  <c r="BD40"/>
  <c r="AH41"/>
  <c r="AL41"/>
  <c r="AP41"/>
  <c r="AU41"/>
  <c r="AY41"/>
  <c r="F23"/>
  <c r="AH23"/>
  <c r="AP23"/>
  <c r="AU23"/>
  <c r="BC23"/>
  <c r="F27"/>
  <c r="AH27"/>
  <c r="AL27"/>
  <c r="AU27"/>
  <c r="AY27"/>
  <c r="BC27"/>
  <c r="AH31"/>
  <c r="AL31"/>
  <c r="AP31"/>
  <c r="AU31"/>
  <c r="AY31"/>
  <c r="BC31"/>
  <c r="AK23"/>
  <c r="AO23"/>
  <c r="AX23"/>
  <c r="BB23"/>
  <c r="AL26"/>
  <c r="AP26"/>
  <c r="AY26"/>
  <c r="BC26"/>
  <c r="AG27"/>
  <c r="AO27"/>
  <c r="AT27"/>
  <c r="AX27"/>
  <c r="BB27"/>
  <c r="AH30"/>
  <c r="AP30"/>
  <c r="AU30"/>
  <c r="AY30"/>
  <c r="BC30"/>
  <c r="AG31"/>
  <c r="AK31"/>
  <c r="AT31"/>
  <c r="AX31"/>
  <c r="BB31"/>
  <c r="AI23"/>
  <c r="AM23"/>
  <c r="AQ23"/>
  <c r="AV23"/>
  <c r="AZ23"/>
  <c r="AH24"/>
  <c r="AL24"/>
  <c r="AP24"/>
  <c r="AU24"/>
  <c r="AY24"/>
  <c r="AF26"/>
  <c r="AJ26"/>
  <c r="AN26"/>
  <c r="AS26"/>
  <c r="AW26"/>
  <c r="AI27"/>
  <c r="AM27"/>
  <c r="AQ27"/>
  <c r="AV27"/>
  <c r="AZ27"/>
  <c r="AH28"/>
  <c r="AL28"/>
  <c r="AP28"/>
  <c r="AU28"/>
  <c r="AY28"/>
  <c r="AF30"/>
  <c r="AJ30"/>
  <c r="AN30"/>
  <c r="AS30"/>
  <c r="AW30"/>
  <c r="AI31"/>
  <c r="AM31"/>
  <c r="AQ31"/>
  <c r="AV31"/>
  <c r="AZ31"/>
  <c r="AH32"/>
  <c r="AL32"/>
  <c r="AP32"/>
  <c r="AU32"/>
  <c r="AY32"/>
  <c r="AF34"/>
  <c r="AJ34"/>
  <c r="AN34"/>
  <c r="AS34"/>
  <c r="AW34"/>
  <c r="AI35"/>
  <c r="AM35"/>
  <c r="AQ35"/>
  <c r="AV35"/>
  <c r="AZ35"/>
  <c r="AH36"/>
  <c r="AL36"/>
  <c r="AP36"/>
  <c r="AU36"/>
  <c r="AY36"/>
  <c r="AF38"/>
  <c r="AJ38"/>
  <c r="AN38"/>
  <c r="AS38"/>
  <c r="AW38"/>
  <c r="AI39"/>
  <c r="AM39"/>
  <c r="AQ39"/>
  <c r="AV39"/>
  <c r="AZ39"/>
  <c r="AH40"/>
  <c r="AL40"/>
  <c r="AP40"/>
  <c r="AU40"/>
  <c r="AY40"/>
  <c r="AT5"/>
  <c r="AK9"/>
  <c r="AT17"/>
  <c r="AK21"/>
  <c r="BA17"/>
  <c r="AN5"/>
  <c r="AF6"/>
  <c r="AW6"/>
  <c r="AF9"/>
  <c r="BB9"/>
  <c r="AM10"/>
  <c r="BD10"/>
  <c r="AN13"/>
  <c r="AF14"/>
  <c r="AW14"/>
  <c r="AN17"/>
  <c r="AF18"/>
  <c r="AW18"/>
  <c r="AF21"/>
  <c r="BB21"/>
  <c r="AM22"/>
  <c r="BD22"/>
  <c r="AW10"/>
  <c r="BA18"/>
  <c r="AT13"/>
  <c r="BD9"/>
  <c r="AI5"/>
  <c r="AJ10"/>
  <c r="AI13"/>
  <c r="AW21"/>
  <c r="AJ22"/>
  <c r="F3"/>
  <c r="AG5"/>
  <c r="AM5"/>
  <c r="AS5"/>
  <c r="AX5"/>
  <c r="BD5"/>
  <c r="BC9"/>
  <c r="AJ9"/>
  <c r="AO9"/>
  <c r="AV9"/>
  <c r="BA9"/>
  <c r="AG13"/>
  <c r="AS13"/>
  <c r="BD13"/>
  <c r="BC21"/>
  <c r="AO21"/>
  <c r="AV21"/>
  <c r="BA21"/>
  <c r="AF5"/>
  <c r="AK5"/>
  <c r="AQ5"/>
  <c r="AW5"/>
  <c r="BB5"/>
  <c r="BB6"/>
  <c r="AM6"/>
  <c r="AV6"/>
  <c r="BD6"/>
  <c r="F9"/>
  <c r="AI9"/>
  <c r="AN9"/>
  <c r="AT9"/>
  <c r="AZ9"/>
  <c r="AI10"/>
  <c r="AQ10"/>
  <c r="AZ10"/>
  <c r="AF13"/>
  <c r="AK13"/>
  <c r="AQ13"/>
  <c r="AW13"/>
  <c r="BB13"/>
  <c r="BB14"/>
  <c r="AM14"/>
  <c r="AV14"/>
  <c r="BD14"/>
  <c r="AF17"/>
  <c r="AK17"/>
  <c r="AQ17"/>
  <c r="AW17"/>
  <c r="BB17"/>
  <c r="BB18"/>
  <c r="AM18"/>
  <c r="AV18"/>
  <c r="BD18"/>
  <c r="F21"/>
  <c r="AI21"/>
  <c r="AN21"/>
  <c r="AT21"/>
  <c r="AZ21"/>
  <c r="AI22"/>
  <c r="AQ22"/>
  <c r="AZ22"/>
  <c r="AM13"/>
  <c r="AX13"/>
  <c r="AG17"/>
  <c r="AM17"/>
  <c r="AS17"/>
  <c r="AX17"/>
  <c r="BD17"/>
  <c r="AJ21"/>
  <c r="BC5"/>
  <c r="AJ5"/>
  <c r="AO5"/>
  <c r="AV5"/>
  <c r="F6"/>
  <c r="AJ6"/>
  <c r="AS6"/>
  <c r="AG9"/>
  <c r="AM9"/>
  <c r="AS9"/>
  <c r="AX9"/>
  <c r="AF10"/>
  <c r="AN10"/>
  <c r="BC13"/>
  <c r="AJ13"/>
  <c r="AO13"/>
  <c r="AV13"/>
  <c r="F14"/>
  <c r="AJ14"/>
  <c r="AS14"/>
  <c r="BC17"/>
  <c r="AJ17"/>
  <c r="AO17"/>
  <c r="AV17"/>
  <c r="F18"/>
  <c r="AJ18"/>
  <c r="AS18"/>
  <c r="AG21"/>
  <c r="AM21"/>
  <c r="AS21"/>
  <c r="AX21"/>
  <c r="AF22"/>
  <c r="AN22"/>
  <c r="BD12"/>
  <c r="AZ12"/>
  <c r="AV12"/>
  <c r="AQ12"/>
  <c r="AM12"/>
  <c r="AI12"/>
  <c r="BA12"/>
  <c r="AW12"/>
  <c r="AS12"/>
  <c r="AN12"/>
  <c r="AJ12"/>
  <c r="AF12"/>
  <c r="BB12"/>
  <c r="AX12"/>
  <c r="AT12"/>
  <c r="AO12"/>
  <c r="AK12"/>
  <c r="AG12"/>
  <c r="BA3"/>
  <c r="AW3"/>
  <c r="AS3"/>
  <c r="AN3"/>
  <c r="AJ3"/>
  <c r="AF3"/>
  <c r="BB3"/>
  <c r="AX3"/>
  <c r="AT3"/>
  <c r="AO3"/>
  <c r="AK3"/>
  <c r="AG3"/>
  <c r="BD4"/>
  <c r="AZ4"/>
  <c r="AV4"/>
  <c r="AQ4"/>
  <c r="AM4"/>
  <c r="AI4"/>
  <c r="BA4"/>
  <c r="AW4"/>
  <c r="AS4"/>
  <c r="AN4"/>
  <c r="AJ4"/>
  <c r="AF4"/>
  <c r="BA7"/>
  <c r="AW7"/>
  <c r="AS7"/>
  <c r="AN7"/>
  <c r="AJ7"/>
  <c r="AF7"/>
  <c r="BB7"/>
  <c r="AX7"/>
  <c r="AT7"/>
  <c r="AO7"/>
  <c r="AK7"/>
  <c r="AG7"/>
  <c r="BD8"/>
  <c r="AZ8"/>
  <c r="AV8"/>
  <c r="AQ8"/>
  <c r="AM8"/>
  <c r="AI8"/>
  <c r="BA8"/>
  <c r="AW8"/>
  <c r="AS8"/>
  <c r="AN8"/>
  <c r="AJ8"/>
  <c r="AF8"/>
  <c r="BA11"/>
  <c r="AW11"/>
  <c r="AS11"/>
  <c r="AN11"/>
  <c r="AJ11"/>
  <c r="AF11"/>
  <c r="BB11"/>
  <c r="AX11"/>
  <c r="AT11"/>
  <c r="AO11"/>
  <c r="AK11"/>
  <c r="AG11"/>
  <c r="BC11"/>
  <c r="AY11"/>
  <c r="AU11"/>
  <c r="BD16"/>
  <c r="AZ16"/>
  <c r="AV16"/>
  <c r="AQ16"/>
  <c r="AM16"/>
  <c r="AI16"/>
  <c r="BA16"/>
  <c r="AW16"/>
  <c r="AS16"/>
  <c r="AN16"/>
  <c r="AJ16"/>
  <c r="AF16"/>
  <c r="BB16"/>
  <c r="AX16"/>
  <c r="AT16"/>
  <c r="AO16"/>
  <c r="AK16"/>
  <c r="AG16"/>
  <c r="BD20"/>
  <c r="AZ20"/>
  <c r="AV20"/>
  <c r="AQ20"/>
  <c r="AM20"/>
  <c r="AI20"/>
  <c r="BA20"/>
  <c r="AW20"/>
  <c r="AS20"/>
  <c r="AN20"/>
  <c r="AJ20"/>
  <c r="AF20"/>
  <c r="BB20"/>
  <c r="AX20"/>
  <c r="AT20"/>
  <c r="AO20"/>
  <c r="AK20"/>
  <c r="AG20"/>
  <c r="AP12"/>
  <c r="AL3"/>
  <c r="AU3"/>
  <c r="BC3"/>
  <c r="AK4"/>
  <c r="AT4"/>
  <c r="BB4"/>
  <c r="AL7"/>
  <c r="AU7"/>
  <c r="BC7"/>
  <c r="AK8"/>
  <c r="AT8"/>
  <c r="BB8"/>
  <c r="AL11"/>
  <c r="AV11"/>
  <c r="AL12"/>
  <c r="BC12"/>
  <c r="AP16"/>
  <c r="AI3"/>
  <c r="AQ3"/>
  <c r="AZ3"/>
  <c r="AH4"/>
  <c r="AP4"/>
  <c r="AY4"/>
  <c r="AI7"/>
  <c r="AQ7"/>
  <c r="AZ7"/>
  <c r="AH8"/>
  <c r="AP8"/>
  <c r="AY8"/>
  <c r="AI11"/>
  <c r="AQ11"/>
  <c r="AH12"/>
  <c r="AY12"/>
  <c r="AL16"/>
  <c r="BC16"/>
  <c r="AP20"/>
  <c r="AH3"/>
  <c r="AP3"/>
  <c r="AY3"/>
  <c r="AG4"/>
  <c r="AO4"/>
  <c r="AX4"/>
  <c r="AH7"/>
  <c r="AP7"/>
  <c r="AY7"/>
  <c r="AG8"/>
  <c r="AO8"/>
  <c r="AX8"/>
  <c r="AH11"/>
  <c r="AP11"/>
  <c r="BD11"/>
  <c r="AU12"/>
  <c r="AH16"/>
  <c r="AY16"/>
  <c r="AL20"/>
  <c r="BC20"/>
  <c r="AH15"/>
  <c r="AL15"/>
  <c r="AP15"/>
  <c r="AU15"/>
  <c r="AY15"/>
  <c r="BC15"/>
  <c r="AH19"/>
  <c r="AL19"/>
  <c r="AP19"/>
  <c r="AU19"/>
  <c r="AY19"/>
  <c r="BC19"/>
  <c r="AH6"/>
  <c r="AL6"/>
  <c r="AP6"/>
  <c r="AU6"/>
  <c r="AY6"/>
  <c r="BC6"/>
  <c r="AH10"/>
  <c r="AL10"/>
  <c r="AP10"/>
  <c r="AU10"/>
  <c r="AY10"/>
  <c r="BC10"/>
  <c r="AH14"/>
  <c r="AL14"/>
  <c r="AP14"/>
  <c r="AU14"/>
  <c r="AY14"/>
  <c r="BC14"/>
  <c r="AG15"/>
  <c r="AK15"/>
  <c r="AO15"/>
  <c r="AT15"/>
  <c r="AX15"/>
  <c r="BB15"/>
  <c r="AH18"/>
  <c r="AL18"/>
  <c r="AP18"/>
  <c r="AU18"/>
  <c r="AY18"/>
  <c r="BC18"/>
  <c r="AG19"/>
  <c r="AK19"/>
  <c r="AO19"/>
  <c r="AT19"/>
  <c r="AX19"/>
  <c r="BB19"/>
  <c r="AH22"/>
  <c r="AL22"/>
  <c r="AP22"/>
  <c r="AU22"/>
  <c r="AY22"/>
  <c r="BC22"/>
  <c r="AH5"/>
  <c r="AL5"/>
  <c r="AP5"/>
  <c r="AU5"/>
  <c r="AY5"/>
  <c r="AG6"/>
  <c r="AK6"/>
  <c r="AO6"/>
  <c r="AT6"/>
  <c r="AX6"/>
  <c r="AH9"/>
  <c r="AL9"/>
  <c r="AP9"/>
  <c r="AU9"/>
  <c r="AY9"/>
  <c r="AG10"/>
  <c r="AK10"/>
  <c r="AO10"/>
  <c r="AT10"/>
  <c r="AX10"/>
  <c r="AH13"/>
  <c r="AL13"/>
  <c r="AP13"/>
  <c r="AU13"/>
  <c r="AY13"/>
  <c r="AG14"/>
  <c r="AK14"/>
  <c r="AO14"/>
  <c r="AT14"/>
  <c r="AX14"/>
  <c r="AF15"/>
  <c r="AJ15"/>
  <c r="AN15"/>
  <c r="AS15"/>
  <c r="AW15"/>
  <c r="AH17"/>
  <c r="AL17"/>
  <c r="AP17"/>
  <c r="AU17"/>
  <c r="AY17"/>
  <c r="AG18"/>
  <c r="AK18"/>
  <c r="AO18"/>
  <c r="AT18"/>
  <c r="AX18"/>
  <c r="AF19"/>
  <c r="AJ19"/>
  <c r="AN19"/>
  <c r="AS19"/>
  <c r="AW19"/>
  <c r="AH21"/>
  <c r="AL21"/>
  <c r="AP21"/>
  <c r="AU21"/>
  <c r="AY21"/>
  <c r="AG22"/>
  <c r="AK22"/>
  <c r="AO22"/>
  <c r="AT22"/>
  <c r="AX22"/>
  <c r="A23" i="6" l="1"/>
  <c r="C9"/>
  <c r="B14" i="20"/>
  <c r="R23" i="10" l="1"/>
  <c r="F13" i="5" l="1"/>
  <c r="H9"/>
  <c r="G9"/>
  <c r="F9"/>
  <c r="E9"/>
  <c r="E19" s="1"/>
  <c r="H8"/>
  <c r="H7"/>
  <c r="H6"/>
  <c r="G6"/>
  <c r="F6"/>
  <c r="E6"/>
  <c r="E16" l="1"/>
  <c r="E17"/>
  <c r="E18"/>
  <c r="H18"/>
  <c r="H17"/>
  <c r="B25" i="6" s="1"/>
  <c r="G18" i="5"/>
  <c r="H16"/>
  <c r="G16"/>
  <c r="G17"/>
  <c r="G19"/>
  <c r="F16"/>
  <c r="F17"/>
  <c r="F18"/>
  <c r="F19"/>
  <c r="B30" i="6" l="1"/>
  <c r="B23"/>
  <c r="B28"/>
  <c r="B35"/>
  <c r="B33"/>
  <c r="B24"/>
  <c r="B27"/>
  <c r="B29"/>
  <c r="B31"/>
  <c r="B32"/>
  <c r="B34"/>
  <c r="B26"/>
  <c r="B37"/>
  <c r="B41"/>
  <c r="B45"/>
  <c r="B36"/>
  <c r="B40"/>
  <c r="B44"/>
  <c r="B48"/>
  <c r="B39"/>
  <c r="B43"/>
  <c r="B47"/>
  <c r="B38"/>
  <c r="B42"/>
  <c r="B46"/>
  <c r="B51"/>
  <c r="B55"/>
  <c r="B59"/>
  <c r="B50"/>
  <c r="B54"/>
  <c r="B58"/>
  <c r="B49"/>
  <c r="B53"/>
  <c r="B57"/>
  <c r="B61"/>
  <c r="B52"/>
  <c r="B56"/>
  <c r="B60"/>
  <c r="CL6" i="7" l="1"/>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04"/>
  <c r="CK105"/>
  <c r="CK106"/>
  <c r="CK107"/>
  <c r="CK108"/>
  <c r="CK109"/>
  <c r="CK110"/>
  <c r="CK111"/>
  <c r="CK112"/>
  <c r="CK113"/>
  <c r="CK114"/>
  <c r="CK115"/>
  <c r="CK116"/>
  <c r="CK117"/>
  <c r="CK118"/>
  <c r="CK119"/>
  <c r="CK120"/>
  <c r="CK121"/>
  <c r="CK122"/>
  <c r="CK123"/>
  <c r="CK124"/>
  <c r="CK125"/>
  <c r="CK126"/>
  <c r="CK127"/>
  <c r="CK128"/>
  <c r="CK129"/>
  <c r="CK130"/>
  <c r="CK131"/>
  <c r="CK132"/>
  <c r="CK133"/>
  <c r="CK134"/>
  <c r="CK135"/>
  <c r="CK136"/>
  <c r="CK137"/>
  <c r="CK138"/>
  <c r="CK139"/>
  <c r="CK140"/>
  <c r="CK141"/>
  <c r="CK142"/>
  <c r="CK143"/>
  <c r="CK144"/>
  <c r="CK145"/>
  <c r="CK146"/>
  <c r="CK147"/>
  <c r="CK148"/>
  <c r="CK149"/>
  <c r="CK150"/>
  <c r="CK151"/>
  <c r="CK152"/>
  <c r="CK153"/>
  <c r="CK154"/>
  <c r="CK155"/>
  <c r="CK156"/>
  <c r="CK157"/>
  <c r="CK158"/>
  <c r="CK159"/>
  <c r="CK160"/>
  <c r="CK161"/>
  <c r="CK162"/>
  <c r="CK163"/>
  <c r="CK164"/>
  <c r="CK165"/>
  <c r="CK166"/>
  <c r="CK167"/>
  <c r="CK168"/>
  <c r="CK169"/>
  <c r="CK170"/>
  <c r="CK171"/>
  <c r="CK172"/>
  <c r="CK173"/>
  <c r="CK174"/>
  <c r="CK175"/>
  <c r="CK176"/>
  <c r="CK177"/>
  <c r="CK178"/>
  <c r="CK179"/>
  <c r="CK180"/>
  <c r="CK181"/>
  <c r="CK182"/>
  <c r="CK183"/>
  <c r="CK184"/>
  <c r="CK185"/>
  <c r="CK186"/>
  <c r="CK187"/>
  <c r="CK188"/>
  <c r="CK189"/>
  <c r="CK190"/>
  <c r="CK191"/>
  <c r="CK192"/>
  <c r="CK193"/>
  <c r="CK194"/>
  <c r="CK195"/>
  <c r="CK196"/>
  <c r="CK197"/>
  <c r="CK198"/>
  <c r="CK199"/>
  <c r="CK200"/>
  <c r="CK201"/>
  <c r="CK202"/>
  <c r="CK203"/>
  <c r="CK204"/>
  <c r="CK205"/>
  <c r="CK206"/>
  <c r="CK207"/>
  <c r="CK208"/>
  <c r="CK209"/>
  <c r="CK210"/>
  <c r="CK211"/>
  <c r="CK212"/>
  <c r="CK213"/>
  <c r="CK214"/>
  <c r="CK215"/>
  <c r="CK216"/>
  <c r="CK217"/>
  <c r="CK218"/>
  <c r="CK219"/>
  <c r="CK220"/>
  <c r="CK221"/>
  <c r="CK222"/>
  <c r="CK223"/>
  <c r="CK224"/>
  <c r="CK225"/>
  <c r="CK226"/>
  <c r="CK227"/>
  <c r="CK228"/>
  <c r="CK229"/>
  <c r="CK230"/>
  <c r="CK231"/>
  <c r="CK232"/>
  <c r="CK3"/>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109"/>
  <c r="CJ110"/>
  <c r="CJ111"/>
  <c r="CJ112"/>
  <c r="CJ113"/>
  <c r="CJ114"/>
  <c r="CJ115"/>
  <c r="CJ116"/>
  <c r="CJ117"/>
  <c r="CJ118"/>
  <c r="CJ119"/>
  <c r="CJ120"/>
  <c r="CJ121"/>
  <c r="CJ122"/>
  <c r="CJ123"/>
  <c r="CJ124"/>
  <c r="CJ125"/>
  <c r="CJ126"/>
  <c r="CJ127"/>
  <c r="CJ128"/>
  <c r="CJ129"/>
  <c r="CJ130"/>
  <c r="CJ131"/>
  <c r="CJ132"/>
  <c r="CJ133"/>
  <c r="CJ134"/>
  <c r="CJ135"/>
  <c r="CJ136"/>
  <c r="CJ137"/>
  <c r="CJ138"/>
  <c r="CJ139"/>
  <c r="CJ140"/>
  <c r="CJ141"/>
  <c r="CJ142"/>
  <c r="CJ143"/>
  <c r="CJ144"/>
  <c r="CJ145"/>
  <c r="CJ146"/>
  <c r="CJ147"/>
  <c r="CJ148"/>
  <c r="CJ149"/>
  <c r="CJ150"/>
  <c r="CJ151"/>
  <c r="CJ152"/>
  <c r="CJ153"/>
  <c r="CJ154"/>
  <c r="CJ155"/>
  <c r="CJ156"/>
  <c r="CJ157"/>
  <c r="CJ158"/>
  <c r="CJ159"/>
  <c r="CJ160"/>
  <c r="CJ161"/>
  <c r="CJ162"/>
  <c r="CJ163"/>
  <c r="CJ164"/>
  <c r="CJ165"/>
  <c r="CJ166"/>
  <c r="CJ167"/>
  <c r="CJ168"/>
  <c r="CJ169"/>
  <c r="CJ170"/>
  <c r="CJ171"/>
  <c r="CJ172"/>
  <c r="CJ173"/>
  <c r="CJ174"/>
  <c r="CJ175"/>
  <c r="CJ176"/>
  <c r="CJ177"/>
  <c r="CJ178"/>
  <c r="CJ179"/>
  <c r="CJ180"/>
  <c r="CJ181"/>
  <c r="CJ182"/>
  <c r="CJ183"/>
  <c r="CJ184"/>
  <c r="CJ185"/>
  <c r="CJ186"/>
  <c r="CJ187"/>
  <c r="CJ188"/>
  <c r="CJ189"/>
  <c r="CJ190"/>
  <c r="CJ191"/>
  <c r="CJ192"/>
  <c r="CJ193"/>
  <c r="CJ194"/>
  <c r="CJ195"/>
  <c r="CJ196"/>
  <c r="CJ197"/>
  <c r="CJ198"/>
  <c r="CJ199"/>
  <c r="CJ200"/>
  <c r="CJ201"/>
  <c r="CJ202"/>
  <c r="CJ203"/>
  <c r="CJ204"/>
  <c r="CJ205"/>
  <c r="CJ206"/>
  <c r="CJ207"/>
  <c r="CJ208"/>
  <c r="CJ209"/>
  <c r="CJ210"/>
  <c r="CJ211"/>
  <c r="CJ212"/>
  <c r="CJ213"/>
  <c r="CJ214"/>
  <c r="CJ215"/>
  <c r="CJ216"/>
  <c r="CJ217"/>
  <c r="CJ218"/>
  <c r="CJ219"/>
  <c r="CJ220"/>
  <c r="CJ221"/>
  <c r="CJ222"/>
  <c r="CJ223"/>
  <c r="CJ224"/>
  <c r="CJ225"/>
  <c r="CJ226"/>
  <c r="CJ227"/>
  <c r="CJ228"/>
  <c r="CJ229"/>
  <c r="CJ230"/>
  <c r="CJ231"/>
  <c r="CJ232"/>
  <c r="CJ3"/>
  <c r="CI6"/>
  <c r="CI10"/>
  <c r="CI14"/>
  <c r="CI18"/>
  <c r="CI22"/>
  <c r="CI26"/>
  <c r="CI30"/>
  <c r="CI34"/>
  <c r="CI38"/>
  <c r="CI42"/>
  <c r="CI46"/>
  <c r="CI50"/>
  <c r="CI54"/>
  <c r="CI58"/>
  <c r="CI62"/>
  <c r="CI66"/>
  <c r="CI70"/>
  <c r="CI74"/>
  <c r="CI78"/>
  <c r="CI82"/>
  <c r="CI86"/>
  <c r="CI90"/>
  <c r="CI94"/>
  <c r="CI98"/>
  <c r="CI102"/>
  <c r="CI106"/>
  <c r="CI110"/>
  <c r="CI114"/>
  <c r="CI118"/>
  <c r="CI122"/>
  <c r="CI126"/>
  <c r="CI130"/>
  <c r="CI134"/>
  <c r="CI138"/>
  <c r="CI142"/>
  <c r="CI146"/>
  <c r="CI150"/>
  <c r="CI154"/>
  <c r="CI158"/>
  <c r="CI162"/>
  <c r="CI166"/>
  <c r="CI170"/>
  <c r="CI174"/>
  <c r="CI178"/>
  <c r="CI182"/>
  <c r="CI186"/>
  <c r="CI190"/>
  <c r="CI194"/>
  <c r="CI198"/>
  <c r="CI202"/>
  <c r="CI206"/>
  <c r="CI210"/>
  <c r="CI214"/>
  <c r="CI218"/>
  <c r="CI222"/>
  <c r="CI226"/>
  <c r="CI230"/>
  <c r="CH11"/>
  <c r="CH31"/>
  <c r="CH52"/>
  <c r="CH60"/>
  <c r="CH75"/>
  <c r="CH95"/>
  <c r="CH116"/>
  <c r="CH124"/>
  <c r="CH139"/>
  <c r="CH159"/>
  <c r="CH180"/>
  <c r="CH188"/>
  <c r="CH203"/>
  <c r="CH223"/>
  <c r="P16" i="11"/>
  <c r="P17"/>
  <c r="P29"/>
  <c r="P40"/>
  <c r="P44"/>
  <c r="M12" i="10"/>
  <c r="M24"/>
  <c r="M27"/>
  <c r="M36"/>
  <c r="M55"/>
  <c r="M56"/>
  <c r="M71"/>
  <c r="M91"/>
  <c r="M116"/>
  <c r="M124"/>
  <c r="M144"/>
  <c r="M156"/>
  <c r="M168"/>
  <c r="M171"/>
  <c r="M179"/>
  <c r="M192"/>
  <c r="M200"/>
  <c r="M215"/>
  <c r="M216"/>
  <c r="M227"/>
  <c r="M228"/>
  <c r="M247"/>
  <c r="M252"/>
  <c r="M272"/>
  <c r="M280"/>
  <c r="M295"/>
  <c r="M316"/>
  <c r="M320"/>
  <c r="M336"/>
  <c r="M351"/>
  <c r="M360"/>
  <c r="M363"/>
  <c r="M371"/>
  <c r="M372"/>
  <c r="K44" i="9"/>
  <c r="K64"/>
  <c r="K68"/>
  <c r="K81"/>
  <c r="K117"/>
  <c r="CG4" i="7"/>
  <c r="CG5"/>
  <c r="CI5" s="1"/>
  <c r="CG6"/>
  <c r="K7" i="9" s="1"/>
  <c r="CG7" i="7"/>
  <c r="CG8"/>
  <c r="CG9"/>
  <c r="CH9" s="1"/>
  <c r="CG10"/>
  <c r="K9" i="9" s="1"/>
  <c r="CG11" i="7"/>
  <c r="CG12"/>
  <c r="CG13"/>
  <c r="CI13" s="1"/>
  <c r="CG14"/>
  <c r="K12" i="9" s="1"/>
  <c r="CG15" i="7"/>
  <c r="CG16"/>
  <c r="CG17"/>
  <c r="P4" i="11" s="1"/>
  <c r="CG18" i="7"/>
  <c r="K15" i="9" s="1"/>
  <c r="CG19" i="7"/>
  <c r="CG20"/>
  <c r="CG21"/>
  <c r="CI21" s="1"/>
  <c r="CG22"/>
  <c r="K19" i="9" s="1"/>
  <c r="CG23" i="7"/>
  <c r="CG24"/>
  <c r="CG25"/>
  <c r="CI25" s="1"/>
  <c r="CG26"/>
  <c r="M37" i="10" s="1"/>
  <c r="CG27" i="7"/>
  <c r="CG28"/>
  <c r="CG29"/>
  <c r="CI29" s="1"/>
  <c r="CG30"/>
  <c r="K25" i="9" s="1"/>
  <c r="CG31" i="7"/>
  <c r="CG32"/>
  <c r="CG33"/>
  <c r="CI33" s="1"/>
  <c r="CG34"/>
  <c r="K29" i="9" s="1"/>
  <c r="CG35" i="7"/>
  <c r="CG36"/>
  <c r="CG37"/>
  <c r="CI37" s="1"/>
  <c r="CG38"/>
  <c r="CH38" s="1"/>
  <c r="CG39"/>
  <c r="CG40"/>
  <c r="CG41"/>
  <c r="CI41" s="1"/>
  <c r="CG42"/>
  <c r="K35" i="9" s="1"/>
  <c r="CG43" i="7"/>
  <c r="CG44"/>
  <c r="CG45"/>
  <c r="CI45" s="1"/>
  <c r="CG46"/>
  <c r="K37" i="9" s="1"/>
  <c r="CG47" i="7"/>
  <c r="CG48"/>
  <c r="CG49"/>
  <c r="CH49" s="1"/>
  <c r="CG50"/>
  <c r="M77" i="10" s="1"/>
  <c r="CG51" i="7"/>
  <c r="CG52"/>
  <c r="CG53"/>
  <c r="CI53" s="1"/>
  <c r="CG54"/>
  <c r="CH54" s="1"/>
  <c r="CG55"/>
  <c r="CG56"/>
  <c r="CG57"/>
  <c r="CI57" s="1"/>
  <c r="CG58"/>
  <c r="K47" i="9" s="1"/>
  <c r="CG59" i="7"/>
  <c r="CG60"/>
  <c r="CG61"/>
  <c r="CI61" s="1"/>
  <c r="CG62"/>
  <c r="M93" i="10" s="1"/>
  <c r="CG63" i="7"/>
  <c r="CH63" s="1"/>
  <c r="CG64"/>
  <c r="CG65"/>
  <c r="CI65" s="1"/>
  <c r="CG66"/>
  <c r="M101" i="10" s="1"/>
  <c r="CG67" i="7"/>
  <c r="CG68"/>
  <c r="CG69"/>
  <c r="CI69" s="1"/>
  <c r="CG70"/>
  <c r="CH70" s="1"/>
  <c r="CG71"/>
  <c r="CG72"/>
  <c r="CG73"/>
  <c r="CI73" s="1"/>
  <c r="CG74"/>
  <c r="M113" i="10" s="1"/>
  <c r="CG75" i="7"/>
  <c r="CG76"/>
  <c r="CG77"/>
  <c r="CI77" s="1"/>
  <c r="CG78"/>
  <c r="K62" i="9" s="1"/>
  <c r="CG79" i="7"/>
  <c r="M127" i="10" s="1"/>
  <c r="CG80" i="7"/>
  <c r="CG81"/>
  <c r="CH81" s="1"/>
  <c r="CG82"/>
  <c r="M133" i="10" s="1"/>
  <c r="CG83" i="7"/>
  <c r="CG84"/>
  <c r="CG85"/>
  <c r="CI85" s="1"/>
  <c r="CG86"/>
  <c r="K65" i="9" s="1"/>
  <c r="CG87" i="7"/>
  <c r="CG88"/>
  <c r="CG89"/>
  <c r="CI89" s="1"/>
  <c r="CG90"/>
  <c r="K67" i="9" s="1"/>
  <c r="CG91" i="7"/>
  <c r="CG92"/>
  <c r="CG93"/>
  <c r="CI93" s="1"/>
  <c r="CG94"/>
  <c r="K70" i="9" s="1"/>
  <c r="CG95" i="7"/>
  <c r="CG96"/>
  <c r="CG97"/>
  <c r="CH97" s="1"/>
  <c r="CG98"/>
  <c r="P22" i="11" s="1"/>
  <c r="CG99" i="7"/>
  <c r="CG100"/>
  <c r="CG101"/>
  <c r="CI101" s="1"/>
  <c r="CG102"/>
  <c r="CH102" s="1"/>
  <c r="CG103"/>
  <c r="CG104"/>
  <c r="CG105"/>
  <c r="M167" i="10" s="1"/>
  <c r="CG106" i="7"/>
  <c r="M169" i="10" s="1"/>
  <c r="CG107" i="7"/>
  <c r="CI107" s="1"/>
  <c r="CG108"/>
  <c r="CG109"/>
  <c r="CI109" s="1"/>
  <c r="CG110"/>
  <c r="K83" i="9" s="1"/>
  <c r="CG111" i="7"/>
  <c r="CG112"/>
  <c r="CG113"/>
  <c r="CI113" s="1"/>
  <c r="CG114"/>
  <c r="CH114" s="1"/>
  <c r="CG115"/>
  <c r="M183" i="10" s="1"/>
  <c r="CG116" i="7"/>
  <c r="CG117"/>
  <c r="CI117" s="1"/>
  <c r="CG118"/>
  <c r="K89" i="9" s="1"/>
  <c r="CG119" i="7"/>
  <c r="CG120"/>
  <c r="CG121"/>
  <c r="CI121" s="1"/>
  <c r="CG122"/>
  <c r="CH122" s="1"/>
  <c r="CG123"/>
  <c r="CG124"/>
  <c r="CG125"/>
  <c r="CI125" s="1"/>
  <c r="CG126"/>
  <c r="K95" i="9" s="1"/>
  <c r="CG127" i="7"/>
  <c r="CI127" s="1"/>
  <c r="CG128"/>
  <c r="CG129"/>
  <c r="CI129" s="1"/>
  <c r="CG130"/>
  <c r="K97" i="9" s="1"/>
  <c r="CG131" i="7"/>
  <c r="CG132"/>
  <c r="CG133"/>
  <c r="CH133" s="1"/>
  <c r="CG134"/>
  <c r="M213" i="10" s="1"/>
  <c r="CG135" i="7"/>
  <c r="CG136"/>
  <c r="CG137"/>
  <c r="CH137" s="1"/>
  <c r="CG138"/>
  <c r="M221" i="10" s="1"/>
  <c r="CG139" i="7"/>
  <c r="CG140"/>
  <c r="CG141"/>
  <c r="CI141" s="1"/>
  <c r="CG142"/>
  <c r="K105" i="9" s="1"/>
  <c r="CG143" i="7"/>
  <c r="CG144"/>
  <c r="CG145"/>
  <c r="CI145" s="1"/>
  <c r="CG146"/>
  <c r="M233" i="10" s="1"/>
  <c r="CG147" i="7"/>
  <c r="CG148"/>
  <c r="CG149"/>
  <c r="CI149" s="1"/>
  <c r="CG150"/>
  <c r="K111" i="9" s="1"/>
  <c r="CG151" i="7"/>
  <c r="CG152"/>
  <c r="CG153"/>
  <c r="CI153" s="1"/>
  <c r="CG154"/>
  <c r="K115" i="9" s="1"/>
  <c r="CG155" i="7"/>
  <c r="CG156"/>
  <c r="CG157"/>
  <c r="CI157" s="1"/>
  <c r="CG158"/>
  <c r="M253" i="10" s="1"/>
  <c r="CG159" i="7"/>
  <c r="CI159" s="1"/>
  <c r="CG160"/>
  <c r="CG161"/>
  <c r="CH161" s="1"/>
  <c r="CG162"/>
  <c r="M257" i="10" s="1"/>
  <c r="CG163" i="7"/>
  <c r="CG164"/>
  <c r="CG165"/>
  <c r="CI165" s="1"/>
  <c r="CG166"/>
  <c r="K118" i="9" s="1"/>
  <c r="CG167" i="7"/>
  <c r="CG168"/>
  <c r="CG169"/>
  <c r="CI169" s="1"/>
  <c r="CG170"/>
  <c r="K121" i="9" s="1"/>
  <c r="CG171" i="7"/>
  <c r="CI171" s="1"/>
  <c r="CG172"/>
  <c r="CG173"/>
  <c r="CI173" s="1"/>
  <c r="CG174"/>
  <c r="CH174" s="1"/>
  <c r="CG175"/>
  <c r="CG176"/>
  <c r="CG177"/>
  <c r="CI177" s="1"/>
  <c r="CG178"/>
  <c r="M281" i="10" s="1"/>
  <c r="CG179" i="7"/>
  <c r="CG180"/>
  <c r="CG181"/>
  <c r="CI181" s="1"/>
  <c r="CG182"/>
  <c r="K129" i="9" s="1"/>
  <c r="CG183" i="7"/>
  <c r="CG184"/>
  <c r="CG185"/>
  <c r="CI185" s="1"/>
  <c r="CG186"/>
  <c r="CH186" s="1"/>
  <c r="CG187"/>
  <c r="CG188"/>
  <c r="CG189"/>
  <c r="CI189" s="1"/>
  <c r="CG190"/>
  <c r="K134" i="9" s="1"/>
  <c r="CG191" i="7"/>
  <c r="CG192"/>
  <c r="CG193"/>
  <c r="CI193" s="1"/>
  <c r="CG194"/>
  <c r="M309" i="10" s="1"/>
  <c r="CG195" i="7"/>
  <c r="CG196"/>
  <c r="CG197"/>
  <c r="CI197" s="1"/>
  <c r="CG198"/>
  <c r="CH198" s="1"/>
  <c r="CG199"/>
  <c r="CI199" s="1"/>
  <c r="CG200"/>
  <c r="CG201"/>
  <c r="CI201" s="1"/>
  <c r="CG202"/>
  <c r="CH202" s="1"/>
  <c r="CG203"/>
  <c r="CI203" s="1"/>
  <c r="CG204"/>
  <c r="CG205"/>
  <c r="CH205" s="1"/>
  <c r="CG206"/>
  <c r="K141" i="9" s="1"/>
  <c r="CG207" i="7"/>
  <c r="CG208"/>
  <c r="CG209"/>
  <c r="CH209" s="1"/>
  <c r="CG210"/>
  <c r="K143" i="9" s="1"/>
  <c r="CG211" i="7"/>
  <c r="CI211" s="1"/>
  <c r="CG212"/>
  <c r="CG213"/>
  <c r="CI213" s="1"/>
  <c r="CG214"/>
  <c r="CH214" s="1"/>
  <c r="CG215"/>
  <c r="CG216"/>
  <c r="CG217"/>
  <c r="CI217" s="1"/>
  <c r="CG218"/>
  <c r="CH218" s="1"/>
  <c r="CG219"/>
  <c r="CG220"/>
  <c r="CG221"/>
  <c r="CH221" s="1"/>
  <c r="CG222"/>
  <c r="M357" i="10" s="1"/>
  <c r="CG223" i="7"/>
  <c r="CI223" s="1"/>
  <c r="CG224"/>
  <c r="CG225"/>
  <c r="CI225" s="1"/>
  <c r="CG226"/>
  <c r="K148" i="9" s="1"/>
  <c r="CG227" i="7"/>
  <c r="CG228"/>
  <c r="CG229"/>
  <c r="CI229" s="1"/>
  <c r="CG230"/>
  <c r="CH230" s="1"/>
  <c r="CG231"/>
  <c r="CI231" s="1"/>
  <c r="CG232"/>
  <c r="CG3"/>
  <c r="CI3" s="1"/>
  <c r="O13" i="9"/>
  <c r="R24" i="10"/>
  <c r="R25"/>
  <c r="R26"/>
  <c r="R27"/>
  <c r="R28"/>
  <c r="R29"/>
  <c r="R30"/>
  <c r="T26" s="1"/>
  <c r="R31"/>
  <c r="R32"/>
  <c r="S10"/>
  <c r="V10" s="1"/>
  <c r="S11"/>
  <c r="S9"/>
  <c r="V9" s="1"/>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2"/>
  <c r="T24" l="1"/>
  <c r="CH227" i="7"/>
  <c r="CI227"/>
  <c r="CH219"/>
  <c r="M352" i="10"/>
  <c r="CI219" i="7"/>
  <c r="CH195"/>
  <c r="CI195"/>
  <c r="CH187"/>
  <c r="M296" i="10"/>
  <c r="CI187" i="7"/>
  <c r="K126" i="9"/>
  <c r="CI179" i="7"/>
  <c r="CH163"/>
  <c r="CI163"/>
  <c r="CH155"/>
  <c r="CI155"/>
  <c r="M235" i="10"/>
  <c r="CI147" i="7"/>
  <c r="K102" i="9"/>
  <c r="M223" i="10"/>
  <c r="CI139" i="7"/>
  <c r="K98" i="9"/>
  <c r="M208" i="10"/>
  <c r="CH131" i="7"/>
  <c r="CI131"/>
  <c r="CH123"/>
  <c r="CI123"/>
  <c r="K90" i="9"/>
  <c r="CH119" i="7"/>
  <c r="CI119"/>
  <c r="CH111"/>
  <c r="M176" i="10"/>
  <c r="M175"/>
  <c r="CI111" i="7"/>
  <c r="M164" i="10"/>
  <c r="CI103" i="7"/>
  <c r="P21" i="11"/>
  <c r="CI95" i="7"/>
  <c r="K66" i="9"/>
  <c r="CH87" i="7"/>
  <c r="CI87"/>
  <c r="K63" i="9"/>
  <c r="CI83" i="7"/>
  <c r="CI75"/>
  <c r="CH67"/>
  <c r="CI67"/>
  <c r="CH59"/>
  <c r="CI59"/>
  <c r="CH55"/>
  <c r="K45" i="9"/>
  <c r="CI55" i="7"/>
  <c r="K38" i="9"/>
  <c r="CH47" i="7"/>
  <c r="M72" i="10"/>
  <c r="CI47" i="7"/>
  <c r="M63" i="10"/>
  <c r="CI43" i="7"/>
  <c r="P9" i="11"/>
  <c r="CI39" i="7"/>
  <c r="K26" i="9"/>
  <c r="CI31" i="7"/>
  <c r="CH27"/>
  <c r="CI27"/>
  <c r="M32" i="10"/>
  <c r="CH23" i="7"/>
  <c r="CI23"/>
  <c r="K16" i="9"/>
  <c r="CI19" i="7"/>
  <c r="CH15"/>
  <c r="M20" i="10"/>
  <c r="CI15" i="7"/>
  <c r="K10" i="9"/>
  <c r="CI11" i="7"/>
  <c r="CI7"/>
  <c r="CI232"/>
  <c r="CH228"/>
  <c r="M368" i="10"/>
  <c r="CI228" i="7"/>
  <c r="CI224"/>
  <c r="M355" i="10"/>
  <c r="CI220" i="7"/>
  <c r="CI216"/>
  <c r="CI212"/>
  <c r="CI208"/>
  <c r="CI204"/>
  <c r="CH204"/>
  <c r="CI200"/>
  <c r="CH196"/>
  <c r="CI196"/>
  <c r="CI192"/>
  <c r="M299" i="10"/>
  <c r="CI188" i="7"/>
  <c r="CI184"/>
  <c r="CI180"/>
  <c r="CI176"/>
  <c r="K124" i="9"/>
  <c r="CI172" i="7"/>
  <c r="CH172"/>
  <c r="CI168"/>
  <c r="CH164"/>
  <c r="CI164"/>
  <c r="CI160"/>
  <c r="CI156"/>
  <c r="M248" i="10"/>
  <c r="CI152" i="7"/>
  <c r="K109" i="9"/>
  <c r="CI148" i="7"/>
  <c r="CI144"/>
  <c r="M224" i="10"/>
  <c r="CI140" i="7"/>
  <c r="CH140"/>
  <c r="CI136"/>
  <c r="CH132"/>
  <c r="CI132"/>
  <c r="CI128"/>
  <c r="CI124"/>
  <c r="CI120"/>
  <c r="CI116"/>
  <c r="M184" i="10"/>
  <c r="CI112" i="7"/>
  <c r="CI108"/>
  <c r="CH108"/>
  <c r="CI104"/>
  <c r="CH100"/>
  <c r="CI100"/>
  <c r="CI96"/>
  <c r="CI92"/>
  <c r="CI88"/>
  <c r="CI84"/>
  <c r="CI80"/>
  <c r="M128" i="10"/>
  <c r="CI76" i="7"/>
  <c r="CH76"/>
  <c r="M120" i="10"/>
  <c r="CI72" i="7"/>
  <c r="CH68"/>
  <c r="CI68"/>
  <c r="CI64"/>
  <c r="CI60"/>
  <c r="CI56"/>
  <c r="CI52"/>
  <c r="CI48"/>
  <c r="CI44"/>
  <c r="CH44"/>
  <c r="CI40"/>
  <c r="CH36"/>
  <c r="CI36"/>
  <c r="CI32"/>
  <c r="M48" i="10"/>
  <c r="CI28" i="7"/>
  <c r="CI24"/>
  <c r="CI20"/>
  <c r="CI16"/>
  <c r="CI12"/>
  <c r="CH12"/>
  <c r="CI8"/>
  <c r="K8" i="9"/>
  <c r="CH4" i="7"/>
  <c r="CI4"/>
  <c r="M3" i="10"/>
  <c r="K36" i="9"/>
  <c r="CH167" i="7"/>
  <c r="CH147"/>
  <c r="CH103"/>
  <c r="CH83"/>
  <c r="K96" i="9"/>
  <c r="M339" i="10"/>
  <c r="M304"/>
  <c r="M283"/>
  <c r="M259"/>
  <c r="M203"/>
  <c r="M104"/>
  <c r="M40"/>
  <c r="P32" i="11"/>
  <c r="P5"/>
  <c r="CH212" i="7"/>
  <c r="CH191"/>
  <c r="CH171"/>
  <c r="CH148"/>
  <c r="CH127"/>
  <c r="CH107"/>
  <c r="CH84"/>
  <c r="CH43"/>
  <c r="CH20"/>
  <c r="M344" i="10"/>
  <c r="CH215" i="7"/>
  <c r="CI215"/>
  <c r="K142" i="9"/>
  <c r="CH207" i="7"/>
  <c r="M331" i="10"/>
  <c r="CI207" i="7"/>
  <c r="K135" i="9"/>
  <c r="CI191" i="7"/>
  <c r="M288" i="10"/>
  <c r="CH183" i="7"/>
  <c r="CI183"/>
  <c r="CH175"/>
  <c r="M276" i="10"/>
  <c r="CI175" i="7"/>
  <c r="K119" i="9"/>
  <c r="M264" i="10"/>
  <c r="CI167" i="7"/>
  <c r="CH151"/>
  <c r="CI151"/>
  <c r="K106" i="9"/>
  <c r="CH143" i="7"/>
  <c r="CI143"/>
  <c r="K100" i="9"/>
  <c r="CI135" i="7"/>
  <c r="K86" i="9"/>
  <c r="CI115" i="7"/>
  <c r="CH99"/>
  <c r="K73" i="9"/>
  <c r="CI99" i="7"/>
  <c r="CH91"/>
  <c r="M147" i="10"/>
  <c r="CI91" i="7"/>
  <c r="CH79"/>
  <c r="CI79"/>
  <c r="M108" i="10"/>
  <c r="CI71" i="7"/>
  <c r="K50" i="9"/>
  <c r="M96" i="10"/>
  <c r="CI63" i="7"/>
  <c r="CI51"/>
  <c r="K30" i="9"/>
  <c r="M51" i="10"/>
  <c r="CH35" i="7"/>
  <c r="CI35"/>
  <c r="K144" i="9"/>
  <c r="M303" i="10"/>
  <c r="M152"/>
  <c r="M103"/>
  <c r="M64"/>
  <c r="M8"/>
  <c r="CH231" i="7"/>
  <c r="CH211"/>
  <c r="CH39"/>
  <c r="CH19"/>
  <c r="K112" i="9"/>
  <c r="M347" i="10"/>
  <c r="M291"/>
  <c r="M271"/>
  <c r="M243"/>
  <c r="M191"/>
  <c r="M139"/>
  <c r="M115"/>
  <c r="M84"/>
  <c r="CH220" i="7"/>
  <c r="CH199"/>
  <c r="CH179"/>
  <c r="CH156"/>
  <c r="CH135"/>
  <c r="CH115"/>
  <c r="CH92"/>
  <c r="CH71"/>
  <c r="CH51"/>
  <c r="CH28"/>
  <c r="CH7"/>
  <c r="M364" i="10"/>
  <c r="M343"/>
  <c r="M324"/>
  <c r="M308"/>
  <c r="M287"/>
  <c r="M275"/>
  <c r="M263"/>
  <c r="M207"/>
  <c r="M195"/>
  <c r="M163"/>
  <c r="M107"/>
  <c r="M95"/>
  <c r="M60"/>
  <c r="M31"/>
  <c r="M19"/>
  <c r="P36" i="11"/>
  <c r="P8"/>
  <c r="K140" i="9"/>
  <c r="K76"/>
  <c r="K56"/>
  <c r="M315" i="10"/>
  <c r="M251"/>
  <c r="M240"/>
  <c r="M196"/>
  <c r="M188"/>
  <c r="M151"/>
  <c r="M132"/>
  <c r="M123"/>
  <c r="M83"/>
  <c r="M7"/>
  <c r="P37" i="11"/>
  <c r="P25"/>
  <c r="CI221" i="7"/>
  <c r="CI209"/>
  <c r="CI205"/>
  <c r="CI161"/>
  <c r="CI137"/>
  <c r="CI133"/>
  <c r="CI105"/>
  <c r="CI97"/>
  <c r="CI81"/>
  <c r="CI49"/>
  <c r="CI17"/>
  <c r="CI9"/>
  <c r="K4" i="9"/>
  <c r="CH3" i="7"/>
  <c r="M2" i="10"/>
  <c r="K145" i="9"/>
  <c r="CH213" i="7"/>
  <c r="M341" i="10"/>
  <c r="M342"/>
  <c r="K138" i="9"/>
  <c r="CH197" i="7"/>
  <c r="M313" i="10"/>
  <c r="K131" i="9"/>
  <c r="CH185" i="7"/>
  <c r="M293" i="10"/>
  <c r="K125" i="9"/>
  <c r="CH177" i="7"/>
  <c r="M278" i="10"/>
  <c r="K120" i="9"/>
  <c r="CH169" i="7"/>
  <c r="CH165"/>
  <c r="M261" i="10"/>
  <c r="CH157" i="7"/>
  <c r="M249" i="10"/>
  <c r="P35" i="11"/>
  <c r="M250" i="10"/>
  <c r="K110" i="9"/>
  <c r="CH149" i="7"/>
  <c r="K104" i="9"/>
  <c r="CH141" i="7"/>
  <c r="M225" i="10"/>
  <c r="M226"/>
  <c r="K94" i="9"/>
  <c r="CH125" i="7"/>
  <c r="M201" i="10"/>
  <c r="K88" i="9"/>
  <c r="CH117" i="7"/>
  <c r="M186" i="10"/>
  <c r="K82" i="9"/>
  <c r="CH109" i="7"/>
  <c r="M173" i="10"/>
  <c r="CH89" i="7"/>
  <c r="P19" i="11"/>
  <c r="CH85" i="7"/>
  <c r="M137" i="10"/>
  <c r="P15" i="11"/>
  <c r="K61" i="9"/>
  <c r="CH77" i="7"/>
  <c r="M121" i="10"/>
  <c r="M122"/>
  <c r="CH65" i="7"/>
  <c r="M98" i="10"/>
  <c r="K49" i="9"/>
  <c r="CH61" i="7"/>
  <c r="K43" i="9"/>
  <c r="CH53" i="7"/>
  <c r="M81" i="10"/>
  <c r="M82"/>
  <c r="CH45" i="7"/>
  <c r="M69" i="10"/>
  <c r="K31" i="9"/>
  <c r="CH37" i="7"/>
  <c r="M54" i="10"/>
  <c r="K21" i="9"/>
  <c r="CH25" i="7"/>
  <c r="P6" i="11"/>
  <c r="M34" i="10"/>
  <c r="K11" i="9"/>
  <c r="CH13" i="7"/>
  <c r="M17" i="10"/>
  <c r="P46" i="11"/>
  <c r="M373" i="10"/>
  <c r="M354"/>
  <c r="K147" i="9"/>
  <c r="M346" i="10"/>
  <c r="M333"/>
  <c r="M334"/>
  <c r="M326"/>
  <c r="M318"/>
  <c r="M305"/>
  <c r="K136" i="9"/>
  <c r="M298" i="10"/>
  <c r="K130" i="9"/>
  <c r="K127"/>
  <c r="M277" i="10"/>
  <c r="K122" i="9"/>
  <c r="P39" i="11"/>
  <c r="M265" i="10"/>
  <c r="M266"/>
  <c r="P34" i="11"/>
  <c r="K113" i="9"/>
  <c r="M237" i="10"/>
  <c r="M238"/>
  <c r="M230"/>
  <c r="K103" i="9"/>
  <c r="K101"/>
  <c r="M218" i="10"/>
  <c r="K99" i="9"/>
  <c r="M210" i="10"/>
  <c r="M198"/>
  <c r="K93" i="9"/>
  <c r="K87"/>
  <c r="M185" i="10"/>
  <c r="M178"/>
  <c r="K78" i="9"/>
  <c r="M165" i="10"/>
  <c r="P23" i="11"/>
  <c r="M166" i="10"/>
  <c r="K74" i="9"/>
  <c r="K71"/>
  <c r="M154" i="10"/>
  <c r="K69" i="9"/>
  <c r="P18" i="11"/>
  <c r="M141" i="10"/>
  <c r="M142"/>
  <c r="M129"/>
  <c r="M130"/>
  <c r="M118"/>
  <c r="K60" i="9"/>
  <c r="K58"/>
  <c r="M110" i="10"/>
  <c r="K51" i="9"/>
  <c r="M97" i="10"/>
  <c r="K42" i="9"/>
  <c r="K39"/>
  <c r="M74" i="10"/>
  <c r="M65"/>
  <c r="M66"/>
  <c r="M58"/>
  <c r="M53"/>
  <c r="K27" i="9"/>
  <c r="P7" i="11"/>
  <c r="K23" i="9"/>
  <c r="M41" i="10"/>
  <c r="M33"/>
  <c r="M21"/>
  <c r="K13" i="9"/>
  <c r="P3" i="11"/>
  <c r="M10" i="10"/>
  <c r="M5"/>
  <c r="K53" i="9"/>
  <c r="K33"/>
  <c r="K5"/>
  <c r="M367" i="10"/>
  <c r="M359"/>
  <c r="M335"/>
  <c r="M327"/>
  <c r="M319"/>
  <c r="M311"/>
  <c r="M279"/>
  <c r="M255"/>
  <c r="M239"/>
  <c r="M231"/>
  <c r="M199"/>
  <c r="M159"/>
  <c r="M143"/>
  <c r="M135"/>
  <c r="M119"/>
  <c r="M111"/>
  <c r="M87"/>
  <c r="M79"/>
  <c r="M47"/>
  <c r="M39"/>
  <c r="M23"/>
  <c r="M15"/>
  <c r="P28" i="11"/>
  <c r="P20"/>
  <c r="P12"/>
  <c r="CH229" i="7"/>
  <c r="M369" i="10"/>
  <c r="M370"/>
  <c r="CH225" i="7"/>
  <c r="M361" i="10"/>
  <c r="M362"/>
  <c r="CH217" i="7"/>
  <c r="M349" i="10"/>
  <c r="M350"/>
  <c r="K139" i="9"/>
  <c r="CH201" i="7"/>
  <c r="M321" i="10"/>
  <c r="M322"/>
  <c r="K137" i="9"/>
  <c r="CH193" i="7"/>
  <c r="M306" i="10"/>
  <c r="K133" i="9"/>
  <c r="CH189" i="7"/>
  <c r="K128" i="9"/>
  <c r="CH181" i="7"/>
  <c r="M285" i="10"/>
  <c r="K123" i="9"/>
  <c r="CH173" i="7"/>
  <c r="M273" i="10"/>
  <c r="K114" i="9"/>
  <c r="CH153" i="7"/>
  <c r="K107" i="9"/>
  <c r="CH145" i="7"/>
  <c r="CH129"/>
  <c r="M205" i="10"/>
  <c r="K91" i="9"/>
  <c r="CH121" i="7"/>
  <c r="M193" i="10"/>
  <c r="M194"/>
  <c r="K85" i="9"/>
  <c r="CH113" i="7"/>
  <c r="M181" i="10"/>
  <c r="K79" i="9"/>
  <c r="CH105" i="7"/>
  <c r="K75" i="9"/>
  <c r="CH101" i="7"/>
  <c r="M161" i="10"/>
  <c r="CH93" i="7"/>
  <c r="M149" i="10"/>
  <c r="K59" i="9"/>
  <c r="CH73" i="7"/>
  <c r="K55" i="9"/>
  <c r="CH69" i="7"/>
  <c r="M105" i="10"/>
  <c r="K46" i="9"/>
  <c r="CH57" i="7"/>
  <c r="P10" i="11"/>
  <c r="K34" i="9"/>
  <c r="CH41" i="7"/>
  <c r="K28" i="9"/>
  <c r="CH33" i="7"/>
  <c r="M49" i="10"/>
  <c r="K24" i="9"/>
  <c r="CH29" i="7"/>
  <c r="M42" i="10"/>
  <c r="K18" i="9"/>
  <c r="CH21" i="7"/>
  <c r="K14" i="9"/>
  <c r="CH17" i="7"/>
  <c r="M22" i="10"/>
  <c r="K6" i="9"/>
  <c r="CH5" i="7"/>
  <c r="M6" i="10"/>
  <c r="M328"/>
  <c r="M312"/>
  <c r="M256"/>
  <c r="M232"/>
  <c r="M160"/>
  <c r="M136"/>
  <c r="M112"/>
  <c r="M88"/>
  <c r="M80"/>
  <c r="M16"/>
  <c r="P45" i="11"/>
  <c r="P13"/>
  <c r="M323" i="10"/>
  <c r="M307"/>
  <c r="M267"/>
  <c r="M219"/>
  <c r="M211"/>
  <c r="M187"/>
  <c r="M155"/>
  <c r="M131"/>
  <c r="M99"/>
  <c r="M75"/>
  <c r="M67"/>
  <c r="M59"/>
  <c r="M43"/>
  <c r="M35"/>
  <c r="M11"/>
  <c r="P24" i="11"/>
  <c r="K84" i="9"/>
  <c r="K17"/>
  <c r="M356" i="10"/>
  <c r="M348"/>
  <c r="M340"/>
  <c r="M332"/>
  <c r="M300"/>
  <c r="M292"/>
  <c r="M284"/>
  <c r="M268"/>
  <c r="M260"/>
  <c r="M244"/>
  <c r="M236"/>
  <c r="M220"/>
  <c r="M212"/>
  <c r="M204"/>
  <c r="M180"/>
  <c r="M172"/>
  <c r="M148"/>
  <c r="M140"/>
  <c r="M100"/>
  <c r="M92"/>
  <c r="M76"/>
  <c r="M68"/>
  <c r="M52"/>
  <c r="M44"/>
  <c r="M28"/>
  <c r="M4"/>
  <c r="P41" i="11"/>
  <c r="P33"/>
  <c r="CH232" i="7"/>
  <c r="CH224"/>
  <c r="CH216"/>
  <c r="CH208"/>
  <c r="CH200"/>
  <c r="CH192"/>
  <c r="CH184"/>
  <c r="CH176"/>
  <c r="CH168"/>
  <c r="CH160"/>
  <c r="CH152"/>
  <c r="CH144"/>
  <c r="CH136"/>
  <c r="CH128"/>
  <c r="CH120"/>
  <c r="CH112"/>
  <c r="CH104"/>
  <c r="CH96"/>
  <c r="CH88"/>
  <c r="CH80"/>
  <c r="CH72"/>
  <c r="CH64"/>
  <c r="CH56"/>
  <c r="CH48"/>
  <c r="CH40"/>
  <c r="CH32"/>
  <c r="CH24"/>
  <c r="CH16"/>
  <c r="CH8"/>
  <c r="K149" i="9"/>
  <c r="K116"/>
  <c r="K108"/>
  <c r="K80"/>
  <c r="K72"/>
  <c r="K52"/>
  <c r="K41"/>
  <c r="K32"/>
  <c r="M366" i="10"/>
  <c r="M358"/>
  <c r="M338"/>
  <c r="M330"/>
  <c r="M314"/>
  <c r="M310"/>
  <c r="M302"/>
  <c r="M294"/>
  <c r="M290"/>
  <c r="M286"/>
  <c r="M282"/>
  <c r="M274"/>
  <c r="M270"/>
  <c r="M262"/>
  <c r="M258"/>
  <c r="M254"/>
  <c r="M246"/>
  <c r="M242"/>
  <c r="M234"/>
  <c r="M222"/>
  <c r="M214"/>
  <c r="M206"/>
  <c r="M202"/>
  <c r="M190"/>
  <c r="M182"/>
  <c r="M174"/>
  <c r="M170"/>
  <c r="M162"/>
  <c r="M158"/>
  <c r="M150"/>
  <c r="M146"/>
  <c r="M138"/>
  <c r="M134"/>
  <c r="M126"/>
  <c r="M114"/>
  <c r="M106"/>
  <c r="M102"/>
  <c r="M94"/>
  <c r="M90"/>
  <c r="M86"/>
  <c r="M78"/>
  <c r="M70"/>
  <c r="M62"/>
  <c r="M50"/>
  <c r="M46"/>
  <c r="M38"/>
  <c r="M30"/>
  <c r="M26"/>
  <c r="M18"/>
  <c r="M14"/>
  <c r="P2" i="11"/>
  <c r="P43"/>
  <c r="P31"/>
  <c r="P27"/>
  <c r="P11"/>
  <c r="CH226" i="7"/>
  <c r="CH222"/>
  <c r="CH210"/>
  <c r="CH206"/>
  <c r="CH194"/>
  <c r="CH190"/>
  <c r="CH182"/>
  <c r="CH178"/>
  <c r="CH170"/>
  <c r="CH166"/>
  <c r="CH162"/>
  <c r="CH158"/>
  <c r="CH154"/>
  <c r="CH150"/>
  <c r="CH146"/>
  <c r="CH142"/>
  <c r="CH138"/>
  <c r="CH134"/>
  <c r="CH130"/>
  <c r="CH126"/>
  <c r="CH118"/>
  <c r="CH110"/>
  <c r="CH106"/>
  <c r="CH98"/>
  <c r="CH94"/>
  <c r="CH90"/>
  <c r="CH86"/>
  <c r="CH82"/>
  <c r="CH78"/>
  <c r="CH74"/>
  <c r="CH66"/>
  <c r="CH62"/>
  <c r="CH58"/>
  <c r="CH50"/>
  <c r="CH46"/>
  <c r="CH42"/>
  <c r="CH34"/>
  <c r="CH30"/>
  <c r="CH26"/>
  <c r="CH22"/>
  <c r="CH18"/>
  <c r="CH14"/>
  <c r="CH10"/>
  <c r="CH6"/>
  <c r="K132" i="9"/>
  <c r="K92"/>
  <c r="K77"/>
  <c r="K57"/>
  <c r="K48"/>
  <c r="K40"/>
  <c r="K20"/>
  <c r="M365" i="10"/>
  <c r="M353"/>
  <c r="M345"/>
  <c r="M337"/>
  <c r="M329"/>
  <c r="M325"/>
  <c r="M317"/>
  <c r="M301"/>
  <c r="M297"/>
  <c r="M289"/>
  <c r="M269"/>
  <c r="M245"/>
  <c r="M241"/>
  <c r="M229"/>
  <c r="M217"/>
  <c r="M209"/>
  <c r="M197"/>
  <c r="M189"/>
  <c r="M177"/>
  <c r="M157"/>
  <c r="M153"/>
  <c r="M145"/>
  <c r="M125"/>
  <c r="M117"/>
  <c r="M109"/>
  <c r="M89"/>
  <c r="M85"/>
  <c r="M73"/>
  <c r="M61"/>
  <c r="M57"/>
  <c r="M45"/>
  <c r="M29"/>
  <c r="M25"/>
  <c r="M13"/>
  <c r="M9"/>
  <c r="P42" i="11"/>
  <c r="P38"/>
  <c r="P30"/>
  <c r="P26"/>
  <c r="P14"/>
  <c r="K3" i="9"/>
  <c r="K146"/>
  <c r="K54"/>
  <c r="K22"/>
  <c r="AK14" i="11"/>
  <c r="AJ14"/>
  <c r="CL3" i="7" l="1"/>
  <c r="O3" i="11"/>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2"/>
  <c r="P15" i="9" l="1"/>
  <c r="Q15"/>
  <c r="Q13"/>
  <c r="P13"/>
  <c r="J4" l="1"/>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3"/>
  <c r="X12" i="6" l="1"/>
  <c r="W12"/>
  <c r="V12"/>
  <c r="U12"/>
  <c r="T12"/>
  <c r="S12"/>
  <c r="R12"/>
  <c r="Q12"/>
  <c r="P12"/>
  <c r="O12"/>
  <c r="N12"/>
  <c r="M12"/>
  <c r="L12"/>
  <c r="K12"/>
  <c r="J12"/>
  <c r="I12"/>
  <c r="H12"/>
  <c r="G12"/>
  <c r="F12"/>
  <c r="E12"/>
  <c r="B9" i="4"/>
  <c r="B10"/>
  <c r="B11"/>
  <c r="B12"/>
  <c r="B13"/>
  <c r="B14"/>
  <c r="B15"/>
  <c r="B16"/>
  <c r="B17"/>
  <c r="B18"/>
  <c r="B19"/>
  <c r="B20"/>
  <c r="B21"/>
  <c r="B22"/>
  <c r="B23"/>
  <c r="B24"/>
  <c r="B25"/>
  <c r="B26"/>
  <c r="B27"/>
  <c r="B28"/>
  <c r="B29"/>
  <c r="B30"/>
  <c r="B31"/>
  <c r="B32"/>
  <c r="B33"/>
  <c r="B34"/>
  <c r="B35"/>
  <c r="B36"/>
  <c r="B37"/>
  <c r="B38"/>
  <c r="B39"/>
  <c r="B40"/>
  <c r="B41"/>
  <c r="B42"/>
  <c r="B43"/>
  <c r="B44"/>
  <c r="B45"/>
  <c r="B46"/>
  <c r="G6" i="2" l="1"/>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K418" i="18"/>
  <c r="K417"/>
  <c r="K416"/>
  <c r="K415"/>
  <c r="K372"/>
  <c r="K371"/>
  <c r="K370"/>
  <c r="K369"/>
  <c r="K326"/>
  <c r="K325"/>
  <c r="K324"/>
  <c r="K323"/>
  <c r="K280"/>
  <c r="K279"/>
  <c r="K278"/>
  <c r="K277"/>
  <c r="K234"/>
  <c r="K233"/>
  <c r="K232"/>
  <c r="K231"/>
  <c r="K188"/>
  <c r="K187"/>
  <c r="K186"/>
  <c r="K185"/>
  <c r="L142"/>
  <c r="K142"/>
  <c r="H142"/>
  <c r="L141"/>
  <c r="K141"/>
  <c r="H141"/>
  <c r="H279" s="1"/>
  <c r="H417" s="1"/>
  <c r="H555" s="1"/>
  <c r="L140"/>
  <c r="K140"/>
  <c r="H140"/>
  <c r="L139"/>
  <c r="K139"/>
  <c r="H139"/>
  <c r="H277" s="1"/>
  <c r="H415" s="1"/>
  <c r="H553" s="1"/>
  <c r="H138"/>
  <c r="H137"/>
  <c r="H136"/>
  <c r="H135"/>
  <c r="H273" s="1"/>
  <c r="H411" s="1"/>
  <c r="H549" s="1"/>
  <c r="H134"/>
  <c r="H133"/>
  <c r="H271" s="1"/>
  <c r="H409" s="1"/>
  <c r="H547" s="1"/>
  <c r="H132"/>
  <c r="H131"/>
  <c r="H269" s="1"/>
  <c r="H407" s="1"/>
  <c r="H545" s="1"/>
  <c r="H130"/>
  <c r="H129"/>
  <c r="H267" s="1"/>
  <c r="H405" s="1"/>
  <c r="H543" s="1"/>
  <c r="H128"/>
  <c r="H127"/>
  <c r="H126"/>
  <c r="H116"/>
  <c r="H115"/>
  <c r="H253" s="1"/>
  <c r="H391" s="1"/>
  <c r="H529" s="1"/>
  <c r="H114"/>
  <c r="H113"/>
  <c r="H251" s="1"/>
  <c r="H389" s="1"/>
  <c r="H527" s="1"/>
  <c r="H112"/>
  <c r="H111"/>
  <c r="H249" s="1"/>
  <c r="H387" s="1"/>
  <c r="H525" s="1"/>
  <c r="H110"/>
  <c r="H109"/>
  <c r="H247" s="1"/>
  <c r="H385" s="1"/>
  <c r="H523" s="1"/>
  <c r="H108"/>
  <c r="H107"/>
  <c r="H245" s="1"/>
  <c r="H383" s="1"/>
  <c r="H521" s="1"/>
  <c r="H106"/>
  <c r="H105"/>
  <c r="H104"/>
  <c r="H103"/>
  <c r="H241" s="1"/>
  <c r="H379" s="1"/>
  <c r="H517" s="1"/>
  <c r="H102"/>
  <c r="H101"/>
  <c r="H239" s="1"/>
  <c r="H377" s="1"/>
  <c r="H515" s="1"/>
  <c r="H100"/>
  <c r="H99"/>
  <c r="H237" s="1"/>
  <c r="H375" s="1"/>
  <c r="H513" s="1"/>
  <c r="H98"/>
  <c r="H97"/>
  <c r="H235" s="1"/>
  <c r="H373" s="1"/>
  <c r="H511" s="1"/>
  <c r="L96"/>
  <c r="K96"/>
  <c r="H96"/>
  <c r="L95"/>
  <c r="K95"/>
  <c r="H95"/>
  <c r="H233" s="1"/>
  <c r="H371" s="1"/>
  <c r="H509" s="1"/>
  <c r="L94"/>
  <c r="K94"/>
  <c r="H94"/>
  <c r="L93"/>
  <c r="K93"/>
  <c r="H93"/>
  <c r="H231" s="1"/>
  <c r="H369" s="1"/>
  <c r="H507" s="1"/>
  <c r="H92"/>
  <c r="H91"/>
  <c r="H229" s="1"/>
  <c r="H367" s="1"/>
  <c r="H505" s="1"/>
  <c r="H90"/>
  <c r="H89"/>
  <c r="H227" s="1"/>
  <c r="H365" s="1"/>
  <c r="H503" s="1"/>
  <c r="H88"/>
  <c r="H87"/>
  <c r="H225" s="1"/>
  <c r="H363" s="1"/>
  <c r="H501" s="1"/>
  <c r="H86"/>
  <c r="H85"/>
  <c r="H223" s="1"/>
  <c r="H361" s="1"/>
  <c r="H499" s="1"/>
  <c r="H84"/>
  <c r="H83"/>
  <c r="H221" s="1"/>
  <c r="H359" s="1"/>
  <c r="H497" s="1"/>
  <c r="H82"/>
  <c r="H81"/>
  <c r="H219" s="1"/>
  <c r="H357" s="1"/>
  <c r="H495" s="1"/>
  <c r="H80"/>
  <c r="H70"/>
  <c r="H69"/>
  <c r="H207" s="1"/>
  <c r="H345" s="1"/>
  <c r="H483" s="1"/>
  <c r="H68"/>
  <c r="H67"/>
  <c r="H205" s="1"/>
  <c r="H343" s="1"/>
  <c r="H481" s="1"/>
  <c r="H66"/>
  <c r="H65"/>
  <c r="H203" s="1"/>
  <c r="H341" s="1"/>
  <c r="H479" s="1"/>
  <c r="H64"/>
  <c r="H63"/>
  <c r="H201" s="1"/>
  <c r="H339" s="1"/>
  <c r="H477" s="1"/>
  <c r="H62"/>
  <c r="H61"/>
  <c r="H199" s="1"/>
  <c r="H337" s="1"/>
  <c r="H475" s="1"/>
  <c r="H60"/>
  <c r="H59"/>
  <c r="H197" s="1"/>
  <c r="H335" s="1"/>
  <c r="H473" s="1"/>
  <c r="H58"/>
  <c r="H57"/>
  <c r="H195" s="1"/>
  <c r="H333" s="1"/>
  <c r="H471" s="1"/>
  <c r="H56"/>
  <c r="H55"/>
  <c r="H193" s="1"/>
  <c r="H331" s="1"/>
  <c r="H469" s="1"/>
  <c r="H54"/>
  <c r="H53"/>
  <c r="H191" s="1"/>
  <c r="H329" s="1"/>
  <c r="H467" s="1"/>
  <c r="H52"/>
  <c r="H51"/>
  <c r="H189" s="1"/>
  <c r="H327" s="1"/>
  <c r="H465" s="1"/>
  <c r="L50"/>
  <c r="K50"/>
  <c r="H50"/>
  <c r="L49"/>
  <c r="K49"/>
  <c r="H49"/>
  <c r="H187" s="1"/>
  <c r="H325" s="1"/>
  <c r="H463" s="1"/>
  <c r="L48"/>
  <c r="K48"/>
  <c r="H48"/>
  <c r="L47"/>
  <c r="K47"/>
  <c r="H47"/>
  <c r="H185" s="1"/>
  <c r="H323" s="1"/>
  <c r="H461" s="1"/>
  <c r="H46"/>
  <c r="H45"/>
  <c r="H183" s="1"/>
  <c r="H321" s="1"/>
  <c r="H459" s="1"/>
  <c r="H44"/>
  <c r="H43"/>
  <c r="H181" s="1"/>
  <c r="H319" s="1"/>
  <c r="H457" s="1"/>
  <c r="H42"/>
  <c r="H41"/>
  <c r="H179" s="1"/>
  <c r="H317" s="1"/>
  <c r="H455" s="1"/>
  <c r="H40"/>
  <c r="H39"/>
  <c r="H177" s="1"/>
  <c r="H315" s="1"/>
  <c r="H453" s="1"/>
  <c r="H38"/>
  <c r="H37"/>
  <c r="H175" s="1"/>
  <c r="H313" s="1"/>
  <c r="H451" s="1"/>
  <c r="H36"/>
  <c r="H35"/>
  <c r="H173" s="1"/>
  <c r="H311" s="1"/>
  <c r="H449" s="1"/>
  <c r="H34"/>
  <c r="H24"/>
  <c r="H23"/>
  <c r="H161" s="1"/>
  <c r="H299" s="1"/>
  <c r="H437" s="1"/>
  <c r="H22"/>
  <c r="H21"/>
  <c r="H159" s="1"/>
  <c r="H297" s="1"/>
  <c r="H435" s="1"/>
  <c r="H20"/>
  <c r="H19"/>
  <c r="H157" s="1"/>
  <c r="H295" s="1"/>
  <c r="H433" s="1"/>
  <c r="H18"/>
  <c r="H17"/>
  <c r="H155" s="1"/>
  <c r="H293" s="1"/>
  <c r="H431" s="1"/>
  <c r="H16"/>
  <c r="H15"/>
  <c r="H153" s="1"/>
  <c r="H291" s="1"/>
  <c r="H429" s="1"/>
  <c r="H14"/>
  <c r="H13"/>
  <c r="H151" s="1"/>
  <c r="H289" s="1"/>
  <c r="H427" s="1"/>
  <c r="H12"/>
  <c r="H11"/>
  <c r="H149" s="1"/>
  <c r="H287" s="1"/>
  <c r="H425" s="1"/>
  <c r="H10"/>
  <c r="H9"/>
  <c r="H147" s="1"/>
  <c r="H285" s="1"/>
  <c r="H423" s="1"/>
  <c r="H8"/>
  <c r="H7"/>
  <c r="H145" s="1"/>
  <c r="H283" s="1"/>
  <c r="H421" s="1"/>
  <c r="H6"/>
  <c r="H144" s="1"/>
  <c r="H282" s="1"/>
  <c r="H420" s="1"/>
  <c r="H5"/>
  <c r="H143" s="1"/>
  <c r="H281" s="1"/>
  <c r="H419" s="1"/>
  <c r="H236"/>
  <c r="H374" s="1"/>
  <c r="H512" s="1"/>
  <c r="H232"/>
  <c r="H370" s="1"/>
  <c r="H508" s="1"/>
  <c r="H228"/>
  <c r="H366" s="1"/>
  <c r="H504" s="1"/>
  <c r="H224"/>
  <c r="H362" s="1"/>
  <c r="H500" s="1"/>
  <c r="H220"/>
  <c r="H358" s="1"/>
  <c r="H496" s="1"/>
  <c r="H208"/>
  <c r="H346" s="1"/>
  <c r="H484" s="1"/>
  <c r="H204"/>
  <c r="H342" s="1"/>
  <c r="H480" s="1"/>
  <c r="H200"/>
  <c r="H338" s="1"/>
  <c r="H476" s="1"/>
  <c r="H196"/>
  <c r="H334" s="1"/>
  <c r="H472" s="1"/>
  <c r="H192"/>
  <c r="H330" s="1"/>
  <c r="H468" s="1"/>
  <c r="H188"/>
  <c r="H326" s="1"/>
  <c r="H464" s="1"/>
  <c r="H184"/>
  <c r="H322" s="1"/>
  <c r="H460" s="1"/>
  <c r="H180"/>
  <c r="H318" s="1"/>
  <c r="H456" s="1"/>
  <c r="H176"/>
  <c r="H314" s="1"/>
  <c r="H452" s="1"/>
  <c r="H172"/>
  <c r="H310" s="1"/>
  <c r="H448" s="1"/>
  <c r="H160"/>
  <c r="H298" s="1"/>
  <c r="H436" s="1"/>
  <c r="H156"/>
  <c r="H294" s="1"/>
  <c r="H432" s="1"/>
  <c r="H152"/>
  <c r="H290" s="1"/>
  <c r="H428" s="1"/>
  <c r="H148"/>
  <c r="H286" s="1"/>
  <c r="H424" s="1"/>
  <c r="H280"/>
  <c r="H418" s="1"/>
  <c r="H556" s="1"/>
  <c r="H278"/>
  <c r="H416" s="1"/>
  <c r="H554" s="1"/>
  <c r="H276"/>
  <c r="H414" s="1"/>
  <c r="H552" s="1"/>
  <c r="H275"/>
  <c r="H413" s="1"/>
  <c r="H551" s="1"/>
  <c r="H274"/>
  <c r="H412" s="1"/>
  <c r="H550" s="1"/>
  <c r="H272"/>
  <c r="H410" s="1"/>
  <c r="H548" s="1"/>
  <c r="H270"/>
  <c r="H408" s="1"/>
  <c r="H546" s="1"/>
  <c r="H268"/>
  <c r="H406" s="1"/>
  <c r="H544" s="1"/>
  <c r="H266"/>
  <c r="H404" s="1"/>
  <c r="H542" s="1"/>
  <c r="H265"/>
  <c r="H403" s="1"/>
  <c r="H541" s="1"/>
  <c r="H264"/>
  <c r="H402" s="1"/>
  <c r="H540" s="1"/>
  <c r="H254"/>
  <c r="H392" s="1"/>
  <c r="H530" s="1"/>
  <c r="H252"/>
  <c r="H390" s="1"/>
  <c r="H528" s="1"/>
  <c r="H250"/>
  <c r="H388" s="1"/>
  <c r="H526" s="1"/>
  <c r="H248"/>
  <c r="H386" s="1"/>
  <c r="H524" s="1"/>
  <c r="H246"/>
  <c r="H384" s="1"/>
  <c r="H522" s="1"/>
  <c r="H244"/>
  <c r="H382" s="1"/>
  <c r="H520" s="1"/>
  <c r="H243"/>
  <c r="H381" s="1"/>
  <c r="H519" s="1"/>
  <c r="H242"/>
  <c r="H380" s="1"/>
  <c r="H518" s="1"/>
  <c r="H240"/>
  <c r="H378" s="1"/>
  <c r="H516" s="1"/>
  <c r="H238"/>
  <c r="H376" s="1"/>
  <c r="H514" s="1"/>
  <c r="H234"/>
  <c r="H372" s="1"/>
  <c r="H510" s="1"/>
  <c r="H230"/>
  <c r="H368" s="1"/>
  <c r="H506" s="1"/>
  <c r="H226"/>
  <c r="H364" s="1"/>
  <c r="H502" s="1"/>
  <c r="H222"/>
  <c r="H360" s="1"/>
  <c r="H498" s="1"/>
  <c r="H218"/>
  <c r="H356" s="1"/>
  <c r="H494" s="1"/>
  <c r="H206"/>
  <c r="H344" s="1"/>
  <c r="H482" s="1"/>
  <c r="H202"/>
  <c r="H340" s="1"/>
  <c r="H478" s="1"/>
  <c r="H198"/>
  <c r="H336" s="1"/>
  <c r="H474" s="1"/>
  <c r="H194"/>
  <c r="H332" s="1"/>
  <c r="H470" s="1"/>
  <c r="H190"/>
  <c r="H328" s="1"/>
  <c r="H466" s="1"/>
  <c r="H186"/>
  <c r="H324" s="1"/>
  <c r="H462" s="1"/>
  <c r="H182"/>
  <c r="H320" s="1"/>
  <c r="H458" s="1"/>
  <c r="H178"/>
  <c r="H316" s="1"/>
  <c r="H454" s="1"/>
  <c r="H174"/>
  <c r="H312" s="1"/>
  <c r="H450" s="1"/>
  <c r="H162"/>
  <c r="H300" s="1"/>
  <c r="H438" s="1"/>
  <c r="H158"/>
  <c r="H296" s="1"/>
  <c r="H434" s="1"/>
  <c r="H154"/>
  <c r="H292" s="1"/>
  <c r="H430" s="1"/>
  <c r="H150"/>
  <c r="H288" s="1"/>
  <c r="H426" s="1"/>
  <c r="H146"/>
  <c r="H284" s="1"/>
  <c r="H422" s="1"/>
  <c r="N139" i="22"/>
  <c r="L551" i="18" s="1"/>
  <c r="M139" i="22"/>
  <c r="K551" i="18" s="1"/>
  <c r="L139" i="22"/>
  <c r="K413" i="18" s="1"/>
  <c r="K139" i="22"/>
  <c r="K275" i="18" s="1"/>
  <c r="J139" i="22"/>
  <c r="L137" i="18" s="1"/>
  <c r="I139" i="22"/>
  <c r="K137" i="18" s="1"/>
  <c r="N138" i="22"/>
  <c r="L550" i="18" s="1"/>
  <c r="M138" i="22"/>
  <c r="K550" i="18" s="1"/>
  <c r="L138" i="22"/>
  <c r="K412" i="18" s="1"/>
  <c r="K138" i="22"/>
  <c r="K274" i="18" s="1"/>
  <c r="J138" i="22"/>
  <c r="L136" i="18" s="1"/>
  <c r="I138" i="22"/>
  <c r="K136" i="18" s="1"/>
  <c r="N137" i="22"/>
  <c r="L549" i="18" s="1"/>
  <c r="M137" i="22"/>
  <c r="K549" i="18" s="1"/>
  <c r="L137" i="22"/>
  <c r="K411" i="18" s="1"/>
  <c r="K137" i="22"/>
  <c r="K273" i="18" s="1"/>
  <c r="J137" i="22"/>
  <c r="L135" i="18" s="1"/>
  <c r="I137" i="22"/>
  <c r="K135" i="18" s="1"/>
  <c r="N136" i="22"/>
  <c r="L548" i="18" s="1"/>
  <c r="M136" i="22"/>
  <c r="K548" i="18" s="1"/>
  <c r="L136" i="22"/>
  <c r="K410" i="18" s="1"/>
  <c r="K136" i="22"/>
  <c r="K272" i="18" s="1"/>
  <c r="J136" i="22"/>
  <c r="L134" i="18" s="1"/>
  <c r="I136" i="22"/>
  <c r="K134" i="18" s="1"/>
  <c r="N135" i="22"/>
  <c r="L547" i="18" s="1"/>
  <c r="M135" i="22"/>
  <c r="K547" i="18" s="1"/>
  <c r="L135" i="22"/>
  <c r="K409" i="18" s="1"/>
  <c r="K135" i="22"/>
  <c r="K271" i="18" s="1"/>
  <c r="J135" i="22"/>
  <c r="L133" i="18" s="1"/>
  <c r="I135" i="22"/>
  <c r="K133" i="18" s="1"/>
  <c r="N134" i="22"/>
  <c r="L546" i="18" s="1"/>
  <c r="M134" i="22"/>
  <c r="K546" i="18" s="1"/>
  <c r="L134" i="22"/>
  <c r="K408" i="18" s="1"/>
  <c r="K134" i="22"/>
  <c r="K270" i="18" s="1"/>
  <c r="J134" i="22"/>
  <c r="L132" i="18" s="1"/>
  <c r="I134" i="22"/>
  <c r="K132" i="18" s="1"/>
  <c r="N133" i="22"/>
  <c r="L545" i="18" s="1"/>
  <c r="M133" i="22"/>
  <c r="K545" i="18" s="1"/>
  <c r="L133" i="22"/>
  <c r="K407" i="18" s="1"/>
  <c r="K133" i="22"/>
  <c r="K269" i="18" s="1"/>
  <c r="J133" i="22"/>
  <c r="L131" i="18" s="1"/>
  <c r="I133" i="22"/>
  <c r="K131" i="18" s="1"/>
  <c r="N132" i="22"/>
  <c r="L544" i="18" s="1"/>
  <c r="M132" i="22"/>
  <c r="K544" i="18" s="1"/>
  <c r="L132" i="22"/>
  <c r="K406" i="18" s="1"/>
  <c r="K132" i="22"/>
  <c r="K268" i="18" s="1"/>
  <c r="J132" i="22"/>
  <c r="L130" i="18" s="1"/>
  <c r="I132" i="22"/>
  <c r="K130" i="18" s="1"/>
  <c r="N131" i="22"/>
  <c r="L543" i="18" s="1"/>
  <c r="M131" i="22"/>
  <c r="K543" i="18" s="1"/>
  <c r="L131" i="22"/>
  <c r="K405" i="18" s="1"/>
  <c r="K131" i="22"/>
  <c r="K267" i="18" s="1"/>
  <c r="J131" i="22"/>
  <c r="L129" i="18" s="1"/>
  <c r="I131" i="22"/>
  <c r="K129" i="18" s="1"/>
  <c r="N130" i="22"/>
  <c r="L542" i="18" s="1"/>
  <c r="M130" i="22"/>
  <c r="K542" i="18" s="1"/>
  <c r="L130" i="22"/>
  <c r="K404" i="18" s="1"/>
  <c r="K130" i="22"/>
  <c r="K266" i="18" s="1"/>
  <c r="J130" i="22"/>
  <c r="L128" i="18" s="1"/>
  <c r="I130" i="22"/>
  <c r="K128" i="18" s="1"/>
  <c r="N129" i="22"/>
  <c r="L541" i="18" s="1"/>
  <c r="M129" i="22"/>
  <c r="K541" i="18" s="1"/>
  <c r="L129" i="22"/>
  <c r="K403" i="18" s="1"/>
  <c r="K129" i="22"/>
  <c r="K265" i="18" s="1"/>
  <c r="J129" i="22"/>
  <c r="L127" i="18" s="1"/>
  <c r="I129" i="22"/>
  <c r="K127" i="18" s="1"/>
  <c r="N128" i="22"/>
  <c r="L540" i="18" s="1"/>
  <c r="M128" i="22"/>
  <c r="K540" i="18" s="1"/>
  <c r="L128" i="22"/>
  <c r="K402" i="18" s="1"/>
  <c r="K128" i="22"/>
  <c r="K264" i="18" s="1"/>
  <c r="J128" i="22"/>
  <c r="L126" i="18" s="1"/>
  <c r="I128" i="22"/>
  <c r="K126" i="18" s="1"/>
  <c r="N118" i="22"/>
  <c r="L530" i="18" s="1"/>
  <c r="M118" i="22"/>
  <c r="K530" i="18" s="1"/>
  <c r="L118" i="22"/>
  <c r="K392" i="18" s="1"/>
  <c r="K118" i="22"/>
  <c r="K254" i="18" s="1"/>
  <c r="J118" i="22"/>
  <c r="L116" i="18" s="1"/>
  <c r="I118" i="22"/>
  <c r="K116" i="18" s="1"/>
  <c r="N117" i="22"/>
  <c r="L529" i="18" s="1"/>
  <c r="M117" i="22"/>
  <c r="K529" i="18" s="1"/>
  <c r="L117" i="22"/>
  <c r="K391" i="18" s="1"/>
  <c r="K117" i="22"/>
  <c r="K253" i="18" s="1"/>
  <c r="J117" i="22"/>
  <c r="L115" i="18" s="1"/>
  <c r="I117" i="22"/>
  <c r="K115" i="18" s="1"/>
  <c r="N116" i="22"/>
  <c r="L528" i="18" s="1"/>
  <c r="M116" i="22"/>
  <c r="K528" i="18" s="1"/>
  <c r="L116" i="22"/>
  <c r="K390" i="18" s="1"/>
  <c r="K116" i="22"/>
  <c r="K252" i="18" s="1"/>
  <c r="J116" i="22"/>
  <c r="L114" i="18" s="1"/>
  <c r="I116" i="22"/>
  <c r="K114" i="18" s="1"/>
  <c r="N115" i="22"/>
  <c r="L527" i="18" s="1"/>
  <c r="M115" i="22"/>
  <c r="K527" i="18" s="1"/>
  <c r="L115" i="22"/>
  <c r="K389" i="18" s="1"/>
  <c r="K115" i="22"/>
  <c r="K251" i="18" s="1"/>
  <c r="J115" i="22"/>
  <c r="L113" i="18" s="1"/>
  <c r="I115" i="22"/>
  <c r="K113" i="18" s="1"/>
  <c r="N114" i="22"/>
  <c r="L526" i="18" s="1"/>
  <c r="M114" i="22"/>
  <c r="K526" i="18" s="1"/>
  <c r="L114" i="22"/>
  <c r="K388" i="18" s="1"/>
  <c r="K114" i="22"/>
  <c r="K250" i="18" s="1"/>
  <c r="J114" i="22"/>
  <c r="L112" i="18" s="1"/>
  <c r="I114" i="22"/>
  <c r="K112" i="18" s="1"/>
  <c r="N113" i="22"/>
  <c r="L525" i="18" s="1"/>
  <c r="M113" i="22"/>
  <c r="K525" i="18" s="1"/>
  <c r="L113" i="22"/>
  <c r="K387" i="18" s="1"/>
  <c r="K113" i="22"/>
  <c r="K249" i="18" s="1"/>
  <c r="J113" i="22"/>
  <c r="L111" i="18" s="1"/>
  <c r="I113" i="22"/>
  <c r="K111" i="18" s="1"/>
  <c r="N112" i="22"/>
  <c r="L524" i="18" s="1"/>
  <c r="M112" i="22"/>
  <c r="K524" i="18" s="1"/>
  <c r="L112" i="22"/>
  <c r="K386" i="18" s="1"/>
  <c r="K112" i="22"/>
  <c r="K248" i="18" s="1"/>
  <c r="J112" i="22"/>
  <c r="L110" i="18" s="1"/>
  <c r="I112" i="22"/>
  <c r="K110" i="18" s="1"/>
  <c r="N111" i="22"/>
  <c r="L523" i="18" s="1"/>
  <c r="M111" i="22"/>
  <c r="K523" i="18" s="1"/>
  <c r="L111" i="22"/>
  <c r="K385" i="18" s="1"/>
  <c r="K111" i="22"/>
  <c r="K247" i="18" s="1"/>
  <c r="J111" i="22"/>
  <c r="L109" i="18" s="1"/>
  <c r="I111" i="22"/>
  <c r="K109" i="18" s="1"/>
  <c r="N110" i="22"/>
  <c r="L522" i="18" s="1"/>
  <c r="M110" i="22"/>
  <c r="K522" i="18" s="1"/>
  <c r="L110" i="22"/>
  <c r="K384" i="18" s="1"/>
  <c r="K110" i="22"/>
  <c r="K246" i="18" s="1"/>
  <c r="J110" i="22"/>
  <c r="L108" i="18" s="1"/>
  <c r="I110" i="22"/>
  <c r="K108" i="18" s="1"/>
  <c r="N109" i="22"/>
  <c r="L521" i="18" s="1"/>
  <c r="M109" i="22"/>
  <c r="K521" i="18" s="1"/>
  <c r="L109" i="22"/>
  <c r="K383" i="18" s="1"/>
  <c r="K109" i="22"/>
  <c r="K245" i="18" s="1"/>
  <c r="J109" i="22"/>
  <c r="L107" i="18" s="1"/>
  <c r="I109" i="22"/>
  <c r="K107" i="18" s="1"/>
  <c r="N108" i="22"/>
  <c r="L520" i="18" s="1"/>
  <c r="M108" i="22"/>
  <c r="K520" i="18" s="1"/>
  <c r="L108" i="22"/>
  <c r="K382" i="18" s="1"/>
  <c r="K108" i="22"/>
  <c r="K244" i="18" s="1"/>
  <c r="J108" i="22"/>
  <c r="L106" i="18" s="1"/>
  <c r="I108" i="22"/>
  <c r="K106" i="18" s="1"/>
  <c r="N107" i="22"/>
  <c r="L519" i="18" s="1"/>
  <c r="M107" i="22"/>
  <c r="K519" i="18" s="1"/>
  <c r="L107" i="22"/>
  <c r="K381" i="18" s="1"/>
  <c r="K107" i="22"/>
  <c r="K243" i="18" s="1"/>
  <c r="J107" i="22"/>
  <c r="L105" i="18" s="1"/>
  <c r="I107" i="22"/>
  <c r="K105" i="18" s="1"/>
  <c r="N106" i="22"/>
  <c r="L518" i="18" s="1"/>
  <c r="M106" i="22"/>
  <c r="K518" i="18" s="1"/>
  <c r="L106" i="22"/>
  <c r="K380" i="18" s="1"/>
  <c r="K106" i="22"/>
  <c r="K242" i="18" s="1"/>
  <c r="J106" i="22"/>
  <c r="L104" i="18" s="1"/>
  <c r="I106" i="22"/>
  <c r="K104" i="18" s="1"/>
  <c r="N105" i="22"/>
  <c r="L517" i="18" s="1"/>
  <c r="M105" i="22"/>
  <c r="K517" i="18" s="1"/>
  <c r="L105" i="22"/>
  <c r="K379" i="18" s="1"/>
  <c r="K105" i="22"/>
  <c r="K241" i="18" s="1"/>
  <c r="J105" i="22"/>
  <c r="L103" i="18" s="1"/>
  <c r="I105" i="22"/>
  <c r="K103" i="18" s="1"/>
  <c r="N104" i="22"/>
  <c r="L516" i="18" s="1"/>
  <c r="M104" i="22"/>
  <c r="K516" i="18" s="1"/>
  <c r="L104" i="22"/>
  <c r="K378" i="18" s="1"/>
  <c r="K104" i="22"/>
  <c r="K240" i="18" s="1"/>
  <c r="J104" i="22"/>
  <c r="L102" i="18" s="1"/>
  <c r="I104" i="22"/>
  <c r="K102" i="18" s="1"/>
  <c r="N103" i="22"/>
  <c r="L515" i="18" s="1"/>
  <c r="M103" i="22"/>
  <c r="K515" i="18" s="1"/>
  <c r="L103" i="22"/>
  <c r="K377" i="18" s="1"/>
  <c r="K103" i="22"/>
  <c r="K239" i="18" s="1"/>
  <c r="J103" i="22"/>
  <c r="L101" i="18" s="1"/>
  <c r="I103" i="22"/>
  <c r="K101" i="18" s="1"/>
  <c r="N102" i="22"/>
  <c r="L514" i="18" s="1"/>
  <c r="M102" i="22"/>
  <c r="K514" i="18" s="1"/>
  <c r="L102" i="22"/>
  <c r="K376" i="18" s="1"/>
  <c r="K102" i="22"/>
  <c r="K238" i="18" s="1"/>
  <c r="J102" i="22"/>
  <c r="L100" i="18" s="1"/>
  <c r="I102" i="22"/>
  <c r="K100" i="18" s="1"/>
  <c r="N101" i="22"/>
  <c r="L513" i="18" s="1"/>
  <c r="M101" i="22"/>
  <c r="K513" i="18" s="1"/>
  <c r="L101" i="22"/>
  <c r="K375" i="18" s="1"/>
  <c r="K101" i="22"/>
  <c r="K237" i="18" s="1"/>
  <c r="J101" i="22"/>
  <c r="L99" i="18" s="1"/>
  <c r="I101" i="22"/>
  <c r="K99" i="18" s="1"/>
  <c r="N100" i="22"/>
  <c r="L512" i="18" s="1"/>
  <c r="M100" i="22"/>
  <c r="K512" i="18" s="1"/>
  <c r="L100" i="22"/>
  <c r="K374" i="18" s="1"/>
  <c r="K100" i="22"/>
  <c r="K236" i="18" s="1"/>
  <c r="J100" i="22"/>
  <c r="L98" i="18" s="1"/>
  <c r="I100" i="22"/>
  <c r="K98" i="18" s="1"/>
  <c r="N99" i="22"/>
  <c r="L511" i="18" s="1"/>
  <c r="M99" i="22"/>
  <c r="K511" i="18" s="1"/>
  <c r="L99" i="22"/>
  <c r="K373" i="18" s="1"/>
  <c r="K99" i="22"/>
  <c r="K235" i="18" s="1"/>
  <c r="J99" i="22"/>
  <c r="L97" i="18" s="1"/>
  <c r="I99" i="22"/>
  <c r="K97" i="18" s="1"/>
  <c r="N98" i="22"/>
  <c r="L510" i="18" s="1"/>
  <c r="M98" i="22"/>
  <c r="K510" i="18" s="1"/>
  <c r="N97" i="22"/>
  <c r="L509" i="18" s="1"/>
  <c r="M97" i="22"/>
  <c r="K509" i="18" s="1"/>
  <c r="N96" i="22"/>
  <c r="L508" i="18" s="1"/>
  <c r="M96" i="22"/>
  <c r="K508" i="18" s="1"/>
  <c r="N95" i="22"/>
  <c r="L507" i="18" s="1"/>
  <c r="M95" i="22"/>
  <c r="K507" i="18" s="1"/>
  <c r="N94" i="22"/>
  <c r="L506" i="18" s="1"/>
  <c r="M94" i="22"/>
  <c r="K506" i="18" s="1"/>
  <c r="L94" i="22"/>
  <c r="K368" i="18" s="1"/>
  <c r="K94" i="22"/>
  <c r="K230" i="18" s="1"/>
  <c r="J94" i="22"/>
  <c r="L92" i="18" s="1"/>
  <c r="I94" i="22"/>
  <c r="K92" i="18" s="1"/>
  <c r="N93" i="22"/>
  <c r="L505" i="18" s="1"/>
  <c r="M93" i="22"/>
  <c r="K505" i="18" s="1"/>
  <c r="L93" i="22"/>
  <c r="K367" i="18" s="1"/>
  <c r="K93" i="22"/>
  <c r="K229" i="18" s="1"/>
  <c r="J93" i="22"/>
  <c r="L91" i="18" s="1"/>
  <c r="I93" i="22"/>
  <c r="K91" i="18" s="1"/>
  <c r="N92" i="22"/>
  <c r="L504" i="18" s="1"/>
  <c r="M92" i="22"/>
  <c r="K504" i="18" s="1"/>
  <c r="L92" i="22"/>
  <c r="K366" i="18" s="1"/>
  <c r="K92" i="22"/>
  <c r="K228" i="18" s="1"/>
  <c r="J92" i="22"/>
  <c r="L90" i="18" s="1"/>
  <c r="I92" i="22"/>
  <c r="K90" i="18" s="1"/>
  <c r="N91" i="22"/>
  <c r="L503" i="18" s="1"/>
  <c r="M91" i="22"/>
  <c r="K503" i="18" s="1"/>
  <c r="L91" i="22"/>
  <c r="K365" i="18" s="1"/>
  <c r="K91" i="22"/>
  <c r="K227" i="18" s="1"/>
  <c r="J91" i="22"/>
  <c r="L89" i="18" s="1"/>
  <c r="I91" i="22"/>
  <c r="K89" i="18" s="1"/>
  <c r="N90" i="22"/>
  <c r="L502" i="18" s="1"/>
  <c r="M90" i="22"/>
  <c r="K502" i="18" s="1"/>
  <c r="L90" i="22"/>
  <c r="K364" i="18" s="1"/>
  <c r="K90" i="22"/>
  <c r="K226" i="18" s="1"/>
  <c r="J90" i="22"/>
  <c r="L88" i="18" s="1"/>
  <c r="I90" i="22"/>
  <c r="K88" i="18" s="1"/>
  <c r="N89" i="22"/>
  <c r="L501" i="18" s="1"/>
  <c r="M89" i="22"/>
  <c r="K501" i="18" s="1"/>
  <c r="L89" i="22"/>
  <c r="K363" i="18" s="1"/>
  <c r="K89" i="22"/>
  <c r="K225" i="18" s="1"/>
  <c r="J89" i="22"/>
  <c r="L87" i="18" s="1"/>
  <c r="I89" i="22"/>
  <c r="K87" i="18" s="1"/>
  <c r="N88" i="22"/>
  <c r="L500" i="18" s="1"/>
  <c r="M88" i="22"/>
  <c r="K500" i="18" s="1"/>
  <c r="L88" i="22"/>
  <c r="K362" i="18" s="1"/>
  <c r="K88" i="22"/>
  <c r="K224" i="18" s="1"/>
  <c r="J88" i="22"/>
  <c r="L86" i="18" s="1"/>
  <c r="I88" i="22"/>
  <c r="K86" i="18" s="1"/>
  <c r="N87" i="22"/>
  <c r="L499" i="18" s="1"/>
  <c r="M87" i="22"/>
  <c r="K499" i="18" s="1"/>
  <c r="L87" i="22"/>
  <c r="K361" i="18" s="1"/>
  <c r="K87" i="22"/>
  <c r="K223" i="18" s="1"/>
  <c r="J87" i="22"/>
  <c r="L85" i="18" s="1"/>
  <c r="I87" i="22"/>
  <c r="K85" i="18" s="1"/>
  <c r="N86" i="22"/>
  <c r="L498" i="18" s="1"/>
  <c r="M86" i="22"/>
  <c r="K498" i="18" s="1"/>
  <c r="L86" i="22"/>
  <c r="K360" i="18" s="1"/>
  <c r="K86" i="22"/>
  <c r="K222" i="18" s="1"/>
  <c r="J86" i="22"/>
  <c r="L84" i="18" s="1"/>
  <c r="I86" i="22"/>
  <c r="K84" i="18" s="1"/>
  <c r="N85" i="22"/>
  <c r="L497" i="18" s="1"/>
  <c r="M85" i="22"/>
  <c r="K497" i="18" s="1"/>
  <c r="L85" i="22"/>
  <c r="K359" i="18" s="1"/>
  <c r="K85" i="22"/>
  <c r="K221" i="18" s="1"/>
  <c r="J85" i="22"/>
  <c r="L83" i="18" s="1"/>
  <c r="I85" i="22"/>
  <c r="K83" i="18" s="1"/>
  <c r="N84" i="22"/>
  <c r="L496" i="18" s="1"/>
  <c r="M84" i="22"/>
  <c r="K496" i="18" s="1"/>
  <c r="L84" i="22"/>
  <c r="K358" i="18" s="1"/>
  <c r="K84" i="22"/>
  <c r="K220" i="18" s="1"/>
  <c r="J84" i="22"/>
  <c r="L82" i="18" s="1"/>
  <c r="I84" i="22"/>
  <c r="K82" i="18" s="1"/>
  <c r="N83" i="22"/>
  <c r="L495" i="18" s="1"/>
  <c r="M83" i="22"/>
  <c r="K495" i="18" s="1"/>
  <c r="L83" i="22"/>
  <c r="K357" i="18" s="1"/>
  <c r="K83" i="22"/>
  <c r="K219" i="18" s="1"/>
  <c r="J83" i="22"/>
  <c r="L81" i="18" s="1"/>
  <c r="I83" i="22"/>
  <c r="K81" i="18" s="1"/>
  <c r="N82" i="22"/>
  <c r="L494" i="18" s="1"/>
  <c r="M82" i="22"/>
  <c r="K494" i="18" s="1"/>
  <c r="L82" i="22"/>
  <c r="K356" i="18" s="1"/>
  <c r="K82" i="22"/>
  <c r="K218" i="18" s="1"/>
  <c r="J82" i="22"/>
  <c r="L80" i="18" s="1"/>
  <c r="I82" i="22"/>
  <c r="K80" i="18" s="1"/>
  <c r="N72" i="22"/>
  <c r="L484" i="18" s="1"/>
  <c r="M72" i="22"/>
  <c r="K484" i="18" s="1"/>
  <c r="L72" i="22"/>
  <c r="K346" i="18" s="1"/>
  <c r="K72" i="22"/>
  <c r="K208" i="18" s="1"/>
  <c r="J72" i="22"/>
  <c r="L70" i="18" s="1"/>
  <c r="I72" i="22"/>
  <c r="K70" i="18" s="1"/>
  <c r="N71" i="22"/>
  <c r="L483" i="18" s="1"/>
  <c r="M71" i="22"/>
  <c r="K483" i="18" s="1"/>
  <c r="L71" i="22"/>
  <c r="K345" i="18" s="1"/>
  <c r="K71" i="22"/>
  <c r="K207" i="18" s="1"/>
  <c r="J71" i="22"/>
  <c r="L69" i="18" s="1"/>
  <c r="I71" i="22"/>
  <c r="K69" i="18" s="1"/>
  <c r="N70" i="22"/>
  <c r="L482" i="18" s="1"/>
  <c r="M70" i="22"/>
  <c r="K482" i="18" s="1"/>
  <c r="L70" i="22"/>
  <c r="K344" i="18" s="1"/>
  <c r="K70" i="22"/>
  <c r="K206" i="18" s="1"/>
  <c r="J70" i="22"/>
  <c r="L68" i="18" s="1"/>
  <c r="I70" i="22"/>
  <c r="K68" i="18" s="1"/>
  <c r="N69" i="22"/>
  <c r="L481" i="18" s="1"/>
  <c r="M69" i="22"/>
  <c r="K481" i="18" s="1"/>
  <c r="L69" i="22"/>
  <c r="K343" i="18" s="1"/>
  <c r="K69" i="22"/>
  <c r="K205" i="18" s="1"/>
  <c r="J69" i="22"/>
  <c r="L67" i="18" s="1"/>
  <c r="I69" i="22"/>
  <c r="K67" i="18" s="1"/>
  <c r="N68" i="22"/>
  <c r="L480" i="18" s="1"/>
  <c r="M68" i="22"/>
  <c r="K480" i="18" s="1"/>
  <c r="L68" i="22"/>
  <c r="K342" i="18" s="1"/>
  <c r="K68" i="22"/>
  <c r="K204" i="18" s="1"/>
  <c r="J68" i="22"/>
  <c r="L66" i="18" s="1"/>
  <c r="I68" i="22"/>
  <c r="K66" i="18" s="1"/>
  <c r="N67" i="22"/>
  <c r="L479" i="18" s="1"/>
  <c r="M67" i="22"/>
  <c r="K479" i="18" s="1"/>
  <c r="L67" i="22"/>
  <c r="K341" i="18" s="1"/>
  <c r="K67" i="22"/>
  <c r="K203" i="18" s="1"/>
  <c r="J67" i="22"/>
  <c r="L65" i="18" s="1"/>
  <c r="I67" i="22"/>
  <c r="K65" i="18" s="1"/>
  <c r="N66" i="22"/>
  <c r="L478" i="18" s="1"/>
  <c r="M66" i="22"/>
  <c r="K478" i="18" s="1"/>
  <c r="L66" i="22"/>
  <c r="K340" i="18" s="1"/>
  <c r="K66" i="22"/>
  <c r="K202" i="18" s="1"/>
  <c r="J66" i="22"/>
  <c r="L64" i="18" s="1"/>
  <c r="I66" i="22"/>
  <c r="K64" i="18" s="1"/>
  <c r="N65" i="22"/>
  <c r="L477" i="18" s="1"/>
  <c r="M65" i="22"/>
  <c r="K477" i="18" s="1"/>
  <c r="L65" i="22"/>
  <c r="K339" i="18" s="1"/>
  <c r="K65" i="22"/>
  <c r="K201" i="18" s="1"/>
  <c r="J65" i="22"/>
  <c r="L63" i="18" s="1"/>
  <c r="I65" i="22"/>
  <c r="K63" i="18" s="1"/>
  <c r="N64" i="22"/>
  <c r="L476" i="18" s="1"/>
  <c r="M64" i="22"/>
  <c r="K476" i="18" s="1"/>
  <c r="L64" i="22"/>
  <c r="K338" i="18" s="1"/>
  <c r="K64" i="22"/>
  <c r="K200" i="18" s="1"/>
  <c r="J64" i="22"/>
  <c r="L62" i="18" s="1"/>
  <c r="I64" i="22"/>
  <c r="K62" i="18" s="1"/>
  <c r="N63" i="22"/>
  <c r="L475" i="18" s="1"/>
  <c r="M63" i="22"/>
  <c r="K475" i="18" s="1"/>
  <c r="L63" i="22"/>
  <c r="K337" i="18" s="1"/>
  <c r="K63" i="22"/>
  <c r="K199" i="18" s="1"/>
  <c r="J63" i="22"/>
  <c r="L61" i="18" s="1"/>
  <c r="I63" i="22"/>
  <c r="K61" i="18" s="1"/>
  <c r="N62" i="22"/>
  <c r="L474" i="18" s="1"/>
  <c r="M62" i="22"/>
  <c r="K474" i="18" s="1"/>
  <c r="L62" i="22"/>
  <c r="K336" i="18" s="1"/>
  <c r="K62" i="22"/>
  <c r="K198" i="18" s="1"/>
  <c r="J62" i="22"/>
  <c r="L60" i="18" s="1"/>
  <c r="I62" i="22"/>
  <c r="K60" i="18" s="1"/>
  <c r="N61" i="22"/>
  <c r="L473" i="18" s="1"/>
  <c r="M61" i="22"/>
  <c r="K473" i="18" s="1"/>
  <c r="L61" i="22"/>
  <c r="K335" i="18" s="1"/>
  <c r="K61" i="22"/>
  <c r="K197" i="18" s="1"/>
  <c r="J61" i="22"/>
  <c r="L59" i="18" s="1"/>
  <c r="I61" i="22"/>
  <c r="K59" i="18" s="1"/>
  <c r="N60" i="22"/>
  <c r="L472" i="18" s="1"/>
  <c r="M60" i="22"/>
  <c r="K472" i="18" s="1"/>
  <c r="L60" i="22"/>
  <c r="K334" i="18" s="1"/>
  <c r="K60" i="22"/>
  <c r="K196" i="18" s="1"/>
  <c r="J60" i="22"/>
  <c r="L58" i="18" s="1"/>
  <c r="I60" i="22"/>
  <c r="K58" i="18" s="1"/>
  <c r="N59" i="22"/>
  <c r="L471" i="18" s="1"/>
  <c r="M59" i="22"/>
  <c r="K471" i="18" s="1"/>
  <c r="L59" i="22"/>
  <c r="K333" i="18" s="1"/>
  <c r="K59" i="22"/>
  <c r="K195" i="18" s="1"/>
  <c r="J59" i="22"/>
  <c r="L57" i="18" s="1"/>
  <c r="I59" i="22"/>
  <c r="K57" i="18" s="1"/>
  <c r="N58" i="22"/>
  <c r="L470" i="18" s="1"/>
  <c r="M58" i="22"/>
  <c r="K470" i="18" s="1"/>
  <c r="L58" i="22"/>
  <c r="K332" i="18" s="1"/>
  <c r="K58" i="22"/>
  <c r="K194" i="18" s="1"/>
  <c r="J58" i="22"/>
  <c r="L56" i="18" s="1"/>
  <c r="I58" i="22"/>
  <c r="K56" i="18" s="1"/>
  <c r="N57" i="22"/>
  <c r="L469" i="18" s="1"/>
  <c r="M57" i="22"/>
  <c r="K469" i="18" s="1"/>
  <c r="L57" i="22"/>
  <c r="K331" i="18" s="1"/>
  <c r="K57" i="22"/>
  <c r="K193" i="18" s="1"/>
  <c r="J57" i="22"/>
  <c r="L55" i="18" s="1"/>
  <c r="I57" i="22"/>
  <c r="K55" i="18" s="1"/>
  <c r="N56" i="22"/>
  <c r="L468" i="18" s="1"/>
  <c r="M56" i="22"/>
  <c r="K468" i="18" s="1"/>
  <c r="L56" i="22"/>
  <c r="K330" i="18" s="1"/>
  <c r="K56" i="22"/>
  <c r="K192" i="18" s="1"/>
  <c r="J56" i="22"/>
  <c r="L54" i="18" s="1"/>
  <c r="I56" i="22"/>
  <c r="K54" i="18" s="1"/>
  <c r="N55" i="22"/>
  <c r="L467" i="18" s="1"/>
  <c r="M55" i="22"/>
  <c r="K467" i="18" s="1"/>
  <c r="L55" i="22"/>
  <c r="K329" i="18" s="1"/>
  <c r="K55" i="22"/>
  <c r="K191" i="18" s="1"/>
  <c r="J55" i="22"/>
  <c r="L53" i="18" s="1"/>
  <c r="I55" i="22"/>
  <c r="K53" i="18" s="1"/>
  <c r="N54" i="22"/>
  <c r="L466" i="18" s="1"/>
  <c r="M54" i="22"/>
  <c r="K466" i="18" s="1"/>
  <c r="L54" i="22"/>
  <c r="K328" i="18" s="1"/>
  <c r="K54" i="22"/>
  <c r="K190" i="18" s="1"/>
  <c r="J54" i="22"/>
  <c r="L52" i="18" s="1"/>
  <c r="I54" i="22"/>
  <c r="K52" i="18" s="1"/>
  <c r="N53" i="22"/>
  <c r="L465" i="18" s="1"/>
  <c r="M53" i="22"/>
  <c r="K465" i="18" s="1"/>
  <c r="L53" i="22"/>
  <c r="K327" i="18" s="1"/>
  <c r="K53" i="22"/>
  <c r="K189" i="18" s="1"/>
  <c r="J53" i="22"/>
  <c r="L51" i="18" s="1"/>
  <c r="I53" i="22"/>
  <c r="K51" i="18" s="1"/>
  <c r="N52" i="22"/>
  <c r="L464" i="18" s="1"/>
  <c r="M52" i="22"/>
  <c r="K464" i="18" s="1"/>
  <c r="F52" i="22"/>
  <c r="G50" i="18" s="1"/>
  <c r="G188" s="1"/>
  <c r="G326" s="1"/>
  <c r="G464" s="1"/>
  <c r="E52" i="22"/>
  <c r="E98" s="1"/>
  <c r="D52"/>
  <c r="D98" s="1"/>
  <c r="D144" s="1"/>
  <c r="E142" i="18" s="1"/>
  <c r="E280" s="1"/>
  <c r="E418" s="1"/>
  <c r="E556" s="1"/>
  <c r="C52" i="22"/>
  <c r="D50" i="18" s="1"/>
  <c r="D188" s="1"/>
  <c r="D326" s="1"/>
  <c r="D464" s="1"/>
  <c r="B52" i="22"/>
  <c r="C50" i="18" s="1"/>
  <c r="C188" s="1"/>
  <c r="C326" s="1"/>
  <c r="C464" s="1"/>
  <c r="A52" i="22"/>
  <c r="N51"/>
  <c r="L463" i="18" s="1"/>
  <c r="M51" i="22"/>
  <c r="K463" i="18" s="1"/>
  <c r="F51" i="22"/>
  <c r="G49" i="18" s="1"/>
  <c r="G187" s="1"/>
  <c r="G325" s="1"/>
  <c r="G463" s="1"/>
  <c r="E51" i="22"/>
  <c r="D51"/>
  <c r="E49" i="18" s="1"/>
  <c r="E187" s="1"/>
  <c r="E325" s="1"/>
  <c r="E463" s="1"/>
  <c r="C51" i="22"/>
  <c r="D49" i="18" s="1"/>
  <c r="D187" s="1"/>
  <c r="D325" s="1"/>
  <c r="D463" s="1"/>
  <c r="B51" i="22"/>
  <c r="C49" i="18" s="1"/>
  <c r="C187" s="1"/>
  <c r="C325" s="1"/>
  <c r="C463" s="1"/>
  <c r="A51" i="22"/>
  <c r="N50"/>
  <c r="L462" i="18" s="1"/>
  <c r="M50" i="22"/>
  <c r="K462" i="18" s="1"/>
  <c r="F50" i="22"/>
  <c r="G48" i="18" s="1"/>
  <c r="G186" s="1"/>
  <c r="G324" s="1"/>
  <c r="G462" s="1"/>
  <c r="E50" i="22"/>
  <c r="D50"/>
  <c r="E48" i="18" s="1"/>
  <c r="E186" s="1"/>
  <c r="E324" s="1"/>
  <c r="E462" s="1"/>
  <c r="C50" i="22"/>
  <c r="D48" i="18" s="1"/>
  <c r="D186" s="1"/>
  <c r="D324" s="1"/>
  <c r="D462" s="1"/>
  <c r="B50" i="22"/>
  <c r="C48" i="18" s="1"/>
  <c r="C186" s="1"/>
  <c r="C324" s="1"/>
  <c r="C462" s="1"/>
  <c r="A50" i="22"/>
  <c r="N49"/>
  <c r="L461" i="18" s="1"/>
  <c r="M49" i="22"/>
  <c r="K461" i="18" s="1"/>
  <c r="F49" i="22"/>
  <c r="G47" i="18" s="1"/>
  <c r="G185" s="1"/>
  <c r="G323" s="1"/>
  <c r="G461" s="1"/>
  <c r="E49" i="22"/>
  <c r="D49"/>
  <c r="D95" s="1"/>
  <c r="C49"/>
  <c r="D47" i="18" s="1"/>
  <c r="D185" s="1"/>
  <c r="D323" s="1"/>
  <c r="D461" s="1"/>
  <c r="B49" i="22"/>
  <c r="C47" i="18" s="1"/>
  <c r="C185" s="1"/>
  <c r="C323" s="1"/>
  <c r="C461" s="1"/>
  <c r="A49" i="22"/>
  <c r="N48"/>
  <c r="L460" i="18" s="1"/>
  <c r="M48" i="22"/>
  <c r="K460" i="18" s="1"/>
  <c r="L48" i="22"/>
  <c r="K322" i="18" s="1"/>
  <c r="K48" i="22"/>
  <c r="K184" i="18" s="1"/>
  <c r="J48" i="22"/>
  <c r="L46" i="18" s="1"/>
  <c r="I48" i="22"/>
  <c r="K46" i="18" s="1"/>
  <c r="F48" i="22"/>
  <c r="G46" i="18" s="1"/>
  <c r="G184" s="1"/>
  <c r="G322" s="1"/>
  <c r="G460" s="1"/>
  <c r="E48" i="22"/>
  <c r="D48"/>
  <c r="D94" s="1"/>
  <c r="C48"/>
  <c r="D46" i="18" s="1"/>
  <c r="D184" s="1"/>
  <c r="D322" s="1"/>
  <c r="D460" s="1"/>
  <c r="B48" i="22"/>
  <c r="C46" i="18" s="1"/>
  <c r="C184" s="1"/>
  <c r="C322" s="1"/>
  <c r="C460" s="1"/>
  <c r="A48" i="22"/>
  <c r="N47"/>
  <c r="L459" i="18" s="1"/>
  <c r="M47" i="22"/>
  <c r="K459" i="18" s="1"/>
  <c r="L47" i="22"/>
  <c r="K321" i="18" s="1"/>
  <c r="K47" i="22"/>
  <c r="K183" i="18" s="1"/>
  <c r="J47" i="22"/>
  <c r="L45" i="18" s="1"/>
  <c r="I47" i="22"/>
  <c r="K45" i="18" s="1"/>
  <c r="F47" i="22"/>
  <c r="G45" i="18" s="1"/>
  <c r="G183" s="1"/>
  <c r="G321" s="1"/>
  <c r="G459" s="1"/>
  <c r="E47" i="22"/>
  <c r="D47"/>
  <c r="E45" i="18" s="1"/>
  <c r="E183" s="1"/>
  <c r="E321" s="1"/>
  <c r="E459" s="1"/>
  <c r="C47" i="22"/>
  <c r="D45" i="18" s="1"/>
  <c r="D183" s="1"/>
  <c r="D321" s="1"/>
  <c r="D459" s="1"/>
  <c r="B47" i="22"/>
  <c r="C45" i="18" s="1"/>
  <c r="C183" s="1"/>
  <c r="C321" s="1"/>
  <c r="C459" s="1"/>
  <c r="A47" i="22"/>
  <c r="N46"/>
  <c r="L458" i="18" s="1"/>
  <c r="M46" i="22"/>
  <c r="K458" i="18" s="1"/>
  <c r="L46" i="22"/>
  <c r="K320" i="18" s="1"/>
  <c r="K46" i="22"/>
  <c r="K182" i="18" s="1"/>
  <c r="J46" i="22"/>
  <c r="L44" i="18" s="1"/>
  <c r="I46" i="22"/>
  <c r="K44" i="18" s="1"/>
  <c r="F46" i="22"/>
  <c r="G44" i="18" s="1"/>
  <c r="G182" s="1"/>
  <c r="G320" s="1"/>
  <c r="G458" s="1"/>
  <c r="E46" i="22"/>
  <c r="D46"/>
  <c r="D92" s="1"/>
  <c r="C46"/>
  <c r="D44" i="18" s="1"/>
  <c r="D182" s="1"/>
  <c r="D320" s="1"/>
  <c r="D458" s="1"/>
  <c r="B46" i="22"/>
  <c r="C44" i="18" s="1"/>
  <c r="C182" s="1"/>
  <c r="C320" s="1"/>
  <c r="C458" s="1"/>
  <c r="A46" i="22"/>
  <c r="N45"/>
  <c r="L457" i="18" s="1"/>
  <c r="M45" i="22"/>
  <c r="K457" i="18" s="1"/>
  <c r="L45" i="22"/>
  <c r="K319" i="18" s="1"/>
  <c r="K45" i="22"/>
  <c r="K181" i="18" s="1"/>
  <c r="J45" i="22"/>
  <c r="L43" i="18" s="1"/>
  <c r="I45" i="22"/>
  <c r="K43" i="18" s="1"/>
  <c r="F45" i="22"/>
  <c r="G43" i="18" s="1"/>
  <c r="G181" s="1"/>
  <c r="G319" s="1"/>
  <c r="G457" s="1"/>
  <c r="E45" i="22"/>
  <c r="D45"/>
  <c r="E43" i="18" s="1"/>
  <c r="E181" s="1"/>
  <c r="E319" s="1"/>
  <c r="E457" s="1"/>
  <c r="C45" i="22"/>
  <c r="D43" i="18" s="1"/>
  <c r="D181" s="1"/>
  <c r="D319" s="1"/>
  <c r="D457" s="1"/>
  <c r="B45" i="22"/>
  <c r="C43" i="18" s="1"/>
  <c r="C181" s="1"/>
  <c r="C319" s="1"/>
  <c r="C457" s="1"/>
  <c r="A45" i="22"/>
  <c r="N44"/>
  <c r="L456" i="18" s="1"/>
  <c r="M44" i="22"/>
  <c r="K456" i="18" s="1"/>
  <c r="L44" i="22"/>
  <c r="K318" i="18" s="1"/>
  <c r="K44" i="22"/>
  <c r="K180" i="18" s="1"/>
  <c r="J44" i="22"/>
  <c r="L42" i="18" s="1"/>
  <c r="I44" i="22"/>
  <c r="K42" i="18" s="1"/>
  <c r="F44" i="22"/>
  <c r="G42" i="18" s="1"/>
  <c r="G180" s="1"/>
  <c r="G318" s="1"/>
  <c r="G456" s="1"/>
  <c r="E44" i="22"/>
  <c r="D44"/>
  <c r="E42" i="18" s="1"/>
  <c r="E180" s="1"/>
  <c r="E318" s="1"/>
  <c r="E456" s="1"/>
  <c r="C44" i="22"/>
  <c r="D42" i="18" s="1"/>
  <c r="D180" s="1"/>
  <c r="D318" s="1"/>
  <c r="D456" s="1"/>
  <c r="B44" i="22"/>
  <c r="C42" i="18" s="1"/>
  <c r="C180" s="1"/>
  <c r="C318" s="1"/>
  <c r="C456" s="1"/>
  <c r="A44" i="22"/>
  <c r="N43"/>
  <c r="L455" i="18" s="1"/>
  <c r="M43" i="22"/>
  <c r="K455" i="18" s="1"/>
  <c r="L43" i="22"/>
  <c r="K317" i="18" s="1"/>
  <c r="K43" i="22"/>
  <c r="K179" i="18" s="1"/>
  <c r="J43" i="22"/>
  <c r="L41" i="18" s="1"/>
  <c r="I43" i="22"/>
  <c r="K41" i="18" s="1"/>
  <c r="F43" i="22"/>
  <c r="G41" i="18" s="1"/>
  <c r="G179" s="1"/>
  <c r="G317" s="1"/>
  <c r="G455" s="1"/>
  <c r="E43" i="22"/>
  <c r="D43"/>
  <c r="E41" i="18" s="1"/>
  <c r="E179" s="1"/>
  <c r="E317" s="1"/>
  <c r="E455" s="1"/>
  <c r="C43" i="22"/>
  <c r="D41" i="18" s="1"/>
  <c r="D179" s="1"/>
  <c r="D317" s="1"/>
  <c r="D455" s="1"/>
  <c r="B43" i="22"/>
  <c r="C41" i="18" s="1"/>
  <c r="C179" s="1"/>
  <c r="C317" s="1"/>
  <c r="C455" s="1"/>
  <c r="A43" i="22"/>
  <c r="N42"/>
  <c r="L454" i="18" s="1"/>
  <c r="M42" i="22"/>
  <c r="K454" i="18" s="1"/>
  <c r="L42" i="22"/>
  <c r="K316" i="18" s="1"/>
  <c r="K42" i="22"/>
  <c r="K178" i="18" s="1"/>
  <c r="J42" i="22"/>
  <c r="L40" i="18" s="1"/>
  <c r="I42" i="22"/>
  <c r="K40" i="18" s="1"/>
  <c r="N144" i="22"/>
  <c r="L556" i="18" s="1"/>
  <c r="M144" i="22"/>
  <c r="K556" i="18" s="1"/>
  <c r="N143" i="22"/>
  <c r="L555" i="18" s="1"/>
  <c r="M143" i="22"/>
  <c r="K555" i="18" s="1"/>
  <c r="N142" i="22"/>
  <c r="L554" i="18" s="1"/>
  <c r="M142" i="22"/>
  <c r="K554" i="18" s="1"/>
  <c r="N141" i="22"/>
  <c r="L553" i="18" s="1"/>
  <c r="M141" i="22"/>
  <c r="K553" i="18" s="1"/>
  <c r="N140" i="22"/>
  <c r="L552" i="18" s="1"/>
  <c r="M140" i="22"/>
  <c r="K552" i="18" s="1"/>
  <c r="L140" i="22"/>
  <c r="K414" i="18" s="1"/>
  <c r="K140" i="22"/>
  <c r="K276" i="18" s="1"/>
  <c r="J140" i="22"/>
  <c r="L138" i="18" s="1"/>
  <c r="I140" i="22"/>
  <c r="K138" i="18" s="1"/>
  <c r="F42" i="22"/>
  <c r="G40" i="18" s="1"/>
  <c r="G178" s="1"/>
  <c r="G316" s="1"/>
  <c r="G454" s="1"/>
  <c r="E42" i="22"/>
  <c r="F40" i="18" s="1"/>
  <c r="F178" s="1"/>
  <c r="F316" s="1"/>
  <c r="F454" s="1"/>
  <c r="D42" i="22"/>
  <c r="E40" i="18" s="1"/>
  <c r="E178" s="1"/>
  <c r="E316" s="1"/>
  <c r="E454" s="1"/>
  <c r="C42" i="22"/>
  <c r="B42"/>
  <c r="C40" i="18" s="1"/>
  <c r="C178" s="1"/>
  <c r="C316" s="1"/>
  <c r="C454" s="1"/>
  <c r="A42" i="22"/>
  <c r="B40" i="18" s="1"/>
  <c r="B178" s="1"/>
  <c r="B316" s="1"/>
  <c r="B454" s="1"/>
  <c r="N41" i="22"/>
  <c r="L453" i="18" s="1"/>
  <c r="M41" i="22"/>
  <c r="K453" i="18" s="1"/>
  <c r="L41" i="22"/>
  <c r="K315" i="18" s="1"/>
  <c r="K41" i="22"/>
  <c r="K177" i="18" s="1"/>
  <c r="J41" i="22"/>
  <c r="L39" i="18" s="1"/>
  <c r="I41" i="22"/>
  <c r="K39" i="18" s="1"/>
  <c r="F41" i="22"/>
  <c r="G39" i="18" s="1"/>
  <c r="G177" s="1"/>
  <c r="G315" s="1"/>
  <c r="G453" s="1"/>
  <c r="E41" i="22"/>
  <c r="F39" i="18" s="1"/>
  <c r="F177" s="1"/>
  <c r="F315" s="1"/>
  <c r="F453" s="1"/>
  <c r="D41" i="22"/>
  <c r="E39" i="18" s="1"/>
  <c r="E177" s="1"/>
  <c r="E315" s="1"/>
  <c r="E453" s="1"/>
  <c r="C41" i="22"/>
  <c r="D39" i="18" s="1"/>
  <c r="D177" s="1"/>
  <c r="D315" s="1"/>
  <c r="D453" s="1"/>
  <c r="B41" i="22"/>
  <c r="C39" i="18" s="1"/>
  <c r="C177" s="1"/>
  <c r="C315" s="1"/>
  <c r="C453" s="1"/>
  <c r="A41" i="22"/>
  <c r="B39" i="18" s="1"/>
  <c r="B177" s="1"/>
  <c r="B315" s="1"/>
  <c r="B453" s="1"/>
  <c r="N40" i="22"/>
  <c r="L452" i="18" s="1"/>
  <c r="M40" i="22"/>
  <c r="K452" i="18" s="1"/>
  <c r="L40" i="22"/>
  <c r="K314" i="18" s="1"/>
  <c r="K40" i="22"/>
  <c r="K176" i="18" s="1"/>
  <c r="J40" i="22"/>
  <c r="L38" i="18" s="1"/>
  <c r="I40" i="22"/>
  <c r="K38" i="18" s="1"/>
  <c r="F40" i="22"/>
  <c r="G38" i="18" s="1"/>
  <c r="G176" s="1"/>
  <c r="G314" s="1"/>
  <c r="G452" s="1"/>
  <c r="E40" i="22"/>
  <c r="F38" i="18" s="1"/>
  <c r="F176" s="1"/>
  <c r="F314" s="1"/>
  <c r="F452" s="1"/>
  <c r="D40" i="22"/>
  <c r="E38" i="18" s="1"/>
  <c r="E176" s="1"/>
  <c r="E314" s="1"/>
  <c r="E452" s="1"/>
  <c r="C40" i="22"/>
  <c r="B40"/>
  <c r="C38" i="18" s="1"/>
  <c r="C176" s="1"/>
  <c r="C314" s="1"/>
  <c r="C452" s="1"/>
  <c r="A40" i="22"/>
  <c r="B38" i="18" s="1"/>
  <c r="B176" s="1"/>
  <c r="B314" s="1"/>
  <c r="B452" s="1"/>
  <c r="N39" i="22"/>
  <c r="L451" i="18" s="1"/>
  <c r="M39" i="22"/>
  <c r="K451" i="18" s="1"/>
  <c r="L39" i="22"/>
  <c r="K313" i="18" s="1"/>
  <c r="K39" i="22"/>
  <c r="K175" i="18" s="1"/>
  <c r="J39" i="22"/>
  <c r="L37" i="18" s="1"/>
  <c r="I39" i="22"/>
  <c r="K37" i="18" s="1"/>
  <c r="F39" i="22"/>
  <c r="G37" i="18" s="1"/>
  <c r="G175" s="1"/>
  <c r="G313" s="1"/>
  <c r="G451" s="1"/>
  <c r="E39" i="22"/>
  <c r="F37" i="18" s="1"/>
  <c r="F175" s="1"/>
  <c r="F313" s="1"/>
  <c r="F451" s="1"/>
  <c r="D39" i="22"/>
  <c r="E37" i="18" s="1"/>
  <c r="E175" s="1"/>
  <c r="E313" s="1"/>
  <c r="E451" s="1"/>
  <c r="C39" i="22"/>
  <c r="B39"/>
  <c r="C37" i="18" s="1"/>
  <c r="C175" s="1"/>
  <c r="C313" s="1"/>
  <c r="C451" s="1"/>
  <c r="A39" i="22"/>
  <c r="B37" i="18" s="1"/>
  <c r="B175" s="1"/>
  <c r="B313" s="1"/>
  <c r="B451" s="1"/>
  <c r="N38" i="22"/>
  <c r="L450" i="18" s="1"/>
  <c r="M38" i="22"/>
  <c r="K450" i="18" s="1"/>
  <c r="L38" i="22"/>
  <c r="K312" i="18" s="1"/>
  <c r="K38" i="22"/>
  <c r="K174" i="18" s="1"/>
  <c r="J38" i="22"/>
  <c r="L36" i="18" s="1"/>
  <c r="I38" i="22"/>
  <c r="K36" i="18" s="1"/>
  <c r="F38" i="22"/>
  <c r="G36" i="18" s="1"/>
  <c r="G174" s="1"/>
  <c r="G312" s="1"/>
  <c r="G450" s="1"/>
  <c r="E38" i="22"/>
  <c r="F36" i="18" s="1"/>
  <c r="F174" s="1"/>
  <c r="F312" s="1"/>
  <c r="F450" s="1"/>
  <c r="D38" i="22"/>
  <c r="E36" i="18" s="1"/>
  <c r="E174" s="1"/>
  <c r="E312" s="1"/>
  <c r="E450" s="1"/>
  <c r="C38" i="22"/>
  <c r="B38"/>
  <c r="C36" i="18" s="1"/>
  <c r="C174" s="1"/>
  <c r="C312" s="1"/>
  <c r="C450" s="1"/>
  <c r="A38" i="22"/>
  <c r="B36" i="18" s="1"/>
  <c r="B174" s="1"/>
  <c r="B312" s="1"/>
  <c r="B450" s="1"/>
  <c r="N37" i="22"/>
  <c r="L449" i="18" s="1"/>
  <c r="M37" i="22"/>
  <c r="K449" i="18" s="1"/>
  <c r="L37" i="22"/>
  <c r="K311" i="18" s="1"/>
  <c r="K37" i="22"/>
  <c r="K173" i="18" s="1"/>
  <c r="J37" i="22"/>
  <c r="L35" i="18" s="1"/>
  <c r="I37" i="22"/>
  <c r="K35" i="18" s="1"/>
  <c r="F37" i="22"/>
  <c r="G35" i="18" s="1"/>
  <c r="G173" s="1"/>
  <c r="G311" s="1"/>
  <c r="G449" s="1"/>
  <c r="E37" i="22"/>
  <c r="F35" i="18" s="1"/>
  <c r="F173" s="1"/>
  <c r="F311" s="1"/>
  <c r="F449" s="1"/>
  <c r="D37" i="22"/>
  <c r="E35" i="18" s="1"/>
  <c r="E173" s="1"/>
  <c r="E311" s="1"/>
  <c r="E449" s="1"/>
  <c r="C37" i="22"/>
  <c r="B37"/>
  <c r="C35" i="18" s="1"/>
  <c r="C173" s="1"/>
  <c r="C311" s="1"/>
  <c r="C449" s="1"/>
  <c r="A37" i="22"/>
  <c r="B35" i="18" s="1"/>
  <c r="B173" s="1"/>
  <c r="B311" s="1"/>
  <c r="B449" s="1"/>
  <c r="N36" i="22"/>
  <c r="L448" i="18" s="1"/>
  <c r="M36" i="22"/>
  <c r="K448" i="18" s="1"/>
  <c r="L36" i="22"/>
  <c r="K310" i="18" s="1"/>
  <c r="K36" i="22"/>
  <c r="K172" i="18" s="1"/>
  <c r="J36" i="22"/>
  <c r="L34" i="18" s="1"/>
  <c r="I36" i="22"/>
  <c r="K34" i="18" s="1"/>
  <c r="F36" i="22"/>
  <c r="G34" i="18" s="1"/>
  <c r="G172" s="1"/>
  <c r="G310" s="1"/>
  <c r="G448" s="1"/>
  <c r="E36" i="22"/>
  <c r="F34" i="18" s="1"/>
  <c r="F172" s="1"/>
  <c r="F310" s="1"/>
  <c r="F448" s="1"/>
  <c r="D36" i="22"/>
  <c r="E34" i="18" s="1"/>
  <c r="E172" s="1"/>
  <c r="E310" s="1"/>
  <c r="E448" s="1"/>
  <c r="C36" i="22"/>
  <c r="D34" i="18" s="1"/>
  <c r="D172" s="1"/>
  <c r="D310" s="1"/>
  <c r="D448" s="1"/>
  <c r="B36" i="22"/>
  <c r="C34" i="18" s="1"/>
  <c r="C172" s="1"/>
  <c r="C310" s="1"/>
  <c r="C448" s="1"/>
  <c r="A36" i="22"/>
  <c r="B34" i="18" s="1"/>
  <c r="B172" s="1"/>
  <c r="B310" s="1"/>
  <c r="B448" s="1"/>
  <c r="N26" i="22"/>
  <c r="L438" i="18" s="1"/>
  <c r="M26" i="22"/>
  <c r="K438" i="18" s="1"/>
  <c r="L26" i="22"/>
  <c r="K300" i="18" s="1"/>
  <c r="K26" i="22"/>
  <c r="K162" i="18" s="1"/>
  <c r="J26" i="22"/>
  <c r="L24" i="18" s="1"/>
  <c r="I26" i="22"/>
  <c r="K24" i="18" s="1"/>
  <c r="F26" i="22"/>
  <c r="G24" i="18" s="1"/>
  <c r="G162" s="1"/>
  <c r="G300" s="1"/>
  <c r="G438" s="1"/>
  <c r="E26" i="22"/>
  <c r="F24" i="18" s="1"/>
  <c r="F162" s="1"/>
  <c r="F300" s="1"/>
  <c r="F438" s="1"/>
  <c r="D26" i="22"/>
  <c r="E24" i="18" s="1"/>
  <c r="E162" s="1"/>
  <c r="E300" s="1"/>
  <c r="E438" s="1"/>
  <c r="C26" i="22"/>
  <c r="B26"/>
  <c r="C24" i="18" s="1"/>
  <c r="C162" s="1"/>
  <c r="C300" s="1"/>
  <c r="C438" s="1"/>
  <c r="A26" i="22"/>
  <c r="B24" i="18" s="1"/>
  <c r="B162" s="1"/>
  <c r="B300" s="1"/>
  <c r="B438" s="1"/>
  <c r="N25" i="22"/>
  <c r="L437" i="18" s="1"/>
  <c r="M25" i="22"/>
  <c r="K437" i="18" s="1"/>
  <c r="L25" i="22"/>
  <c r="K299" i="18" s="1"/>
  <c r="K25" i="22"/>
  <c r="K161" i="18" s="1"/>
  <c r="J25" i="22"/>
  <c r="L23" i="18" s="1"/>
  <c r="I25" i="22"/>
  <c r="K23" i="18" s="1"/>
  <c r="F25" i="22"/>
  <c r="G23" i="18" s="1"/>
  <c r="G161" s="1"/>
  <c r="G299" s="1"/>
  <c r="G437" s="1"/>
  <c r="E25" i="22"/>
  <c r="F23" i="18" s="1"/>
  <c r="F161" s="1"/>
  <c r="F299" s="1"/>
  <c r="F437" s="1"/>
  <c r="D25" i="22"/>
  <c r="E23" i="18" s="1"/>
  <c r="E161" s="1"/>
  <c r="E299" s="1"/>
  <c r="E437" s="1"/>
  <c r="C25" i="22"/>
  <c r="B25"/>
  <c r="B71" s="1"/>
  <c r="A25"/>
  <c r="B23" i="18" s="1"/>
  <c r="B161" s="1"/>
  <c r="B299" s="1"/>
  <c r="B437" s="1"/>
  <c r="N24" i="22"/>
  <c r="L436" i="18" s="1"/>
  <c r="M24" i="22"/>
  <c r="K436" i="18" s="1"/>
  <c r="L24" i="22"/>
  <c r="K298" i="18" s="1"/>
  <c r="K24" i="22"/>
  <c r="K160" i="18" s="1"/>
  <c r="J24" i="22"/>
  <c r="L22" i="18" s="1"/>
  <c r="I24" i="22"/>
  <c r="K22" i="18" s="1"/>
  <c r="F24" i="22"/>
  <c r="G22" i="18" s="1"/>
  <c r="G160" s="1"/>
  <c r="G298" s="1"/>
  <c r="G436" s="1"/>
  <c r="E24" i="22"/>
  <c r="F22" i="18" s="1"/>
  <c r="F160" s="1"/>
  <c r="F298" s="1"/>
  <c r="F436" s="1"/>
  <c r="D24" i="22"/>
  <c r="E22" i="18" s="1"/>
  <c r="E160" s="1"/>
  <c r="E298" s="1"/>
  <c r="E436" s="1"/>
  <c r="C24" i="22"/>
  <c r="B24"/>
  <c r="C22" i="18" s="1"/>
  <c r="C160" s="1"/>
  <c r="C298" s="1"/>
  <c r="C436" s="1"/>
  <c r="A24" i="22"/>
  <c r="B22" i="18" s="1"/>
  <c r="B160" s="1"/>
  <c r="B298" s="1"/>
  <c r="B436" s="1"/>
  <c r="N23" i="22"/>
  <c r="L435" i="18" s="1"/>
  <c r="M23" i="22"/>
  <c r="K435" i="18" s="1"/>
  <c r="L23" i="22"/>
  <c r="K297" i="18" s="1"/>
  <c r="K23" i="22"/>
  <c r="K159" i="18" s="1"/>
  <c r="J23" i="22"/>
  <c r="L21" i="18" s="1"/>
  <c r="I23" i="22"/>
  <c r="K21" i="18" s="1"/>
  <c r="F23" i="22"/>
  <c r="G21" i="18" s="1"/>
  <c r="G159" s="1"/>
  <c r="G297" s="1"/>
  <c r="G435" s="1"/>
  <c r="E23" i="22"/>
  <c r="F21" i="18" s="1"/>
  <c r="F159" s="1"/>
  <c r="F297" s="1"/>
  <c r="F435" s="1"/>
  <c r="D23" i="22"/>
  <c r="E21" i="18" s="1"/>
  <c r="E159" s="1"/>
  <c r="E297" s="1"/>
  <c r="E435" s="1"/>
  <c r="C23" i="22"/>
  <c r="D21" i="18" s="1"/>
  <c r="D159" s="1"/>
  <c r="D297" s="1"/>
  <c r="D435" s="1"/>
  <c r="B23" i="22"/>
  <c r="C21" i="18" s="1"/>
  <c r="C159" s="1"/>
  <c r="C297" s="1"/>
  <c r="C435" s="1"/>
  <c r="A23" i="22"/>
  <c r="B21" i="18" s="1"/>
  <c r="B159" s="1"/>
  <c r="B297" s="1"/>
  <c r="B435" s="1"/>
  <c r="N22" i="22"/>
  <c r="L434" i="18" s="1"/>
  <c r="M22" i="22"/>
  <c r="K434" i="18" s="1"/>
  <c r="L22" i="22"/>
  <c r="K296" i="18" s="1"/>
  <c r="K22" i="22"/>
  <c r="K158" i="18" s="1"/>
  <c r="J22" i="22"/>
  <c r="L20" i="18" s="1"/>
  <c r="I22" i="22"/>
  <c r="K20" i="18" s="1"/>
  <c r="F22" i="22"/>
  <c r="G20" i="18" s="1"/>
  <c r="G158" s="1"/>
  <c r="G296" s="1"/>
  <c r="G434" s="1"/>
  <c r="E22" i="22"/>
  <c r="F20" i="18" s="1"/>
  <c r="F158" s="1"/>
  <c r="F296" s="1"/>
  <c r="F434" s="1"/>
  <c r="D22" i="22"/>
  <c r="D68" s="1"/>
  <c r="C22"/>
  <c r="D20" i="18" s="1"/>
  <c r="D158" s="1"/>
  <c r="D296" s="1"/>
  <c r="D434" s="1"/>
  <c r="B22" i="22"/>
  <c r="C20" i="18" s="1"/>
  <c r="C158" s="1"/>
  <c r="C296" s="1"/>
  <c r="C434" s="1"/>
  <c r="A22" i="22"/>
  <c r="B20" i="18" s="1"/>
  <c r="B158" s="1"/>
  <c r="B296" s="1"/>
  <c r="B434" s="1"/>
  <c r="N21" i="22"/>
  <c r="L433" i="18" s="1"/>
  <c r="M21" i="22"/>
  <c r="K433" i="18" s="1"/>
  <c r="L21" i="22"/>
  <c r="K295" i="18" s="1"/>
  <c r="K21" i="22"/>
  <c r="K157" i="18" s="1"/>
  <c r="J21" i="22"/>
  <c r="L19" i="18" s="1"/>
  <c r="I21" i="22"/>
  <c r="K19" i="18" s="1"/>
  <c r="F21" i="22"/>
  <c r="F67" s="1"/>
  <c r="E21"/>
  <c r="F19" i="18" s="1"/>
  <c r="F157" s="1"/>
  <c r="F295" s="1"/>
  <c r="F433" s="1"/>
  <c r="D21" i="22"/>
  <c r="E19" i="18" s="1"/>
  <c r="E157" s="1"/>
  <c r="E295" s="1"/>
  <c r="E433" s="1"/>
  <c r="C21" i="22"/>
  <c r="D19" i="18" s="1"/>
  <c r="D157" s="1"/>
  <c r="D295" s="1"/>
  <c r="D433" s="1"/>
  <c r="B21" i="22"/>
  <c r="C19" i="18" s="1"/>
  <c r="C157" s="1"/>
  <c r="C295" s="1"/>
  <c r="C433" s="1"/>
  <c r="A21" i="22"/>
  <c r="B19" i="18" s="1"/>
  <c r="B157" s="1"/>
  <c r="B295" s="1"/>
  <c r="B433" s="1"/>
  <c r="N20" i="22"/>
  <c r="L432" i="18" s="1"/>
  <c r="M20" i="22"/>
  <c r="K432" i="18" s="1"/>
  <c r="L20" i="22"/>
  <c r="K294" i="18" s="1"/>
  <c r="K20" i="22"/>
  <c r="K156" i="18" s="1"/>
  <c r="J20" i="22"/>
  <c r="L18" i="18" s="1"/>
  <c r="I20" i="22"/>
  <c r="K18" i="18" s="1"/>
  <c r="F20" i="22"/>
  <c r="G18" i="18" s="1"/>
  <c r="G156" s="1"/>
  <c r="G294" s="1"/>
  <c r="G432" s="1"/>
  <c r="E20" i="22"/>
  <c r="F18" i="18" s="1"/>
  <c r="F156" s="1"/>
  <c r="F294" s="1"/>
  <c r="F432" s="1"/>
  <c r="D20" i="22"/>
  <c r="E18" i="18" s="1"/>
  <c r="E156" s="1"/>
  <c r="E294" s="1"/>
  <c r="E432" s="1"/>
  <c r="C20" i="22"/>
  <c r="C66" s="1"/>
  <c r="B20"/>
  <c r="C18" i="18" s="1"/>
  <c r="C156" s="1"/>
  <c r="C294" s="1"/>
  <c r="C432" s="1"/>
  <c r="A20" i="22"/>
  <c r="B18" i="18" s="1"/>
  <c r="B156" s="1"/>
  <c r="B294" s="1"/>
  <c r="B432" s="1"/>
  <c r="N19" i="22"/>
  <c r="L431" i="18" s="1"/>
  <c r="M19" i="22"/>
  <c r="K431" i="18" s="1"/>
  <c r="L19" i="22"/>
  <c r="K293" i="18" s="1"/>
  <c r="K19" i="22"/>
  <c r="K155" i="18" s="1"/>
  <c r="J19" i="22"/>
  <c r="L17" i="18" s="1"/>
  <c r="I19" i="22"/>
  <c r="K17" i="18" s="1"/>
  <c r="F19" i="22"/>
  <c r="F65" s="1"/>
  <c r="E19"/>
  <c r="F17" i="18" s="1"/>
  <c r="F155" s="1"/>
  <c r="F293" s="1"/>
  <c r="F431" s="1"/>
  <c r="D19" i="22"/>
  <c r="E17" i="18" s="1"/>
  <c r="E155" s="1"/>
  <c r="E293" s="1"/>
  <c r="E431" s="1"/>
  <c r="C19" i="22"/>
  <c r="D17" i="18" s="1"/>
  <c r="D155" s="1"/>
  <c r="D293" s="1"/>
  <c r="D431" s="1"/>
  <c r="B19" i="22"/>
  <c r="C17" i="18" s="1"/>
  <c r="C155" s="1"/>
  <c r="C293" s="1"/>
  <c r="C431" s="1"/>
  <c r="A19" i="22"/>
  <c r="B17" i="18" s="1"/>
  <c r="B155" s="1"/>
  <c r="B293" s="1"/>
  <c r="B431" s="1"/>
  <c r="N18" i="22"/>
  <c r="L430" i="18" s="1"/>
  <c r="M18" i="22"/>
  <c r="K430" i="18" s="1"/>
  <c r="L18" i="22"/>
  <c r="K292" i="18" s="1"/>
  <c r="K18" i="22"/>
  <c r="K154" i="18" s="1"/>
  <c r="J18" i="22"/>
  <c r="L16" i="18" s="1"/>
  <c r="I18" i="22"/>
  <c r="K16" i="18" s="1"/>
  <c r="F18" i="22"/>
  <c r="G16" i="18" s="1"/>
  <c r="G154" s="1"/>
  <c r="G292" s="1"/>
  <c r="G430" s="1"/>
  <c r="E18" i="22"/>
  <c r="F16" i="18" s="1"/>
  <c r="F154" s="1"/>
  <c r="F292" s="1"/>
  <c r="F430" s="1"/>
  <c r="D18" i="22"/>
  <c r="E16" i="18" s="1"/>
  <c r="E154" s="1"/>
  <c r="E292" s="1"/>
  <c r="E430" s="1"/>
  <c r="C18" i="22"/>
  <c r="B18"/>
  <c r="C16" i="18" s="1"/>
  <c r="C154" s="1"/>
  <c r="C292" s="1"/>
  <c r="C430" s="1"/>
  <c r="A18" i="22"/>
  <c r="B16" i="18" s="1"/>
  <c r="B154" s="1"/>
  <c r="B292" s="1"/>
  <c r="B430" s="1"/>
  <c r="N17" i="22"/>
  <c r="L429" i="18" s="1"/>
  <c r="M17" i="22"/>
  <c r="K429" i="18" s="1"/>
  <c r="L17" i="22"/>
  <c r="K291" i="18" s="1"/>
  <c r="K17" i="22"/>
  <c r="K153" i="18" s="1"/>
  <c r="J17" i="22"/>
  <c r="L15" i="18" s="1"/>
  <c r="I17" i="22"/>
  <c r="K15" i="18" s="1"/>
  <c r="F17" i="22"/>
  <c r="G15" i="18" s="1"/>
  <c r="G153" s="1"/>
  <c r="G291" s="1"/>
  <c r="G429" s="1"/>
  <c r="E17" i="22"/>
  <c r="F15" i="18" s="1"/>
  <c r="F153" s="1"/>
  <c r="F291" s="1"/>
  <c r="F429" s="1"/>
  <c r="D17" i="22"/>
  <c r="E15" i="18" s="1"/>
  <c r="E153" s="1"/>
  <c r="E291" s="1"/>
  <c r="E429" s="1"/>
  <c r="C17" i="22"/>
  <c r="D15" i="18" s="1"/>
  <c r="D153" s="1"/>
  <c r="D291" s="1"/>
  <c r="D429" s="1"/>
  <c r="B17" i="22"/>
  <c r="B63" s="1"/>
  <c r="A17"/>
  <c r="B15" i="18" s="1"/>
  <c r="B153" s="1"/>
  <c r="B291" s="1"/>
  <c r="B429" s="1"/>
  <c r="N16" i="22"/>
  <c r="L428" i="18" s="1"/>
  <c r="M16" i="22"/>
  <c r="K428" i="18" s="1"/>
  <c r="L16" i="22"/>
  <c r="K290" i="18" s="1"/>
  <c r="K16" i="22"/>
  <c r="K152" i="18" s="1"/>
  <c r="J16" i="22"/>
  <c r="L14" i="18" s="1"/>
  <c r="I16" i="22"/>
  <c r="K14" i="18" s="1"/>
  <c r="F16" i="22"/>
  <c r="G14" i="18" s="1"/>
  <c r="G152" s="1"/>
  <c r="G290" s="1"/>
  <c r="G428" s="1"/>
  <c r="E16" i="22"/>
  <c r="F14" i="18" s="1"/>
  <c r="F152" s="1"/>
  <c r="F290" s="1"/>
  <c r="F428" s="1"/>
  <c r="D16" i="22"/>
  <c r="D62" s="1"/>
  <c r="C16"/>
  <c r="B16"/>
  <c r="C14" i="18" s="1"/>
  <c r="C152" s="1"/>
  <c r="C290" s="1"/>
  <c r="C428" s="1"/>
  <c r="A16" i="22"/>
  <c r="B14" i="18" s="1"/>
  <c r="B152" s="1"/>
  <c r="B290" s="1"/>
  <c r="B428" s="1"/>
  <c r="N15" i="22"/>
  <c r="L427" i="18" s="1"/>
  <c r="M15" i="22"/>
  <c r="K427" i="18" s="1"/>
  <c r="L15" i="22"/>
  <c r="K289" i="18" s="1"/>
  <c r="K15" i="22"/>
  <c r="K151" i="18" s="1"/>
  <c r="J15" i="22"/>
  <c r="L13" i="18" s="1"/>
  <c r="I15" i="22"/>
  <c r="K13" i="18" s="1"/>
  <c r="F15" i="22"/>
  <c r="G13" i="18" s="1"/>
  <c r="G151" s="1"/>
  <c r="G289" s="1"/>
  <c r="G427" s="1"/>
  <c r="E15" i="22"/>
  <c r="F13" i="18" s="1"/>
  <c r="F151" s="1"/>
  <c r="F289" s="1"/>
  <c r="F427" s="1"/>
  <c r="D15" i="22"/>
  <c r="C15"/>
  <c r="D13" i="18" s="1"/>
  <c r="D151" s="1"/>
  <c r="D289" s="1"/>
  <c r="D427" s="1"/>
  <c r="B15" i="22"/>
  <c r="C13" i="18" s="1"/>
  <c r="C151" s="1"/>
  <c r="C289" s="1"/>
  <c r="C427" s="1"/>
  <c r="A15" i="22"/>
  <c r="B13" i="18" s="1"/>
  <c r="B151" s="1"/>
  <c r="B289" s="1"/>
  <c r="B427" s="1"/>
  <c r="N14" i="22"/>
  <c r="L426" i="18" s="1"/>
  <c r="M14" i="22"/>
  <c r="K426" i="18" s="1"/>
  <c r="L14" i="22"/>
  <c r="K288" i="18" s="1"/>
  <c r="K14" i="22"/>
  <c r="K150" i="18" s="1"/>
  <c r="J14" i="22"/>
  <c r="L12" i="18" s="1"/>
  <c r="I14" i="22"/>
  <c r="K12" i="18" s="1"/>
  <c r="F14" i="22"/>
  <c r="G12" i="18" s="1"/>
  <c r="G150" s="1"/>
  <c r="G288" s="1"/>
  <c r="G426" s="1"/>
  <c r="E14" i="22"/>
  <c r="D14"/>
  <c r="D60" s="1"/>
  <c r="C14"/>
  <c r="D12" i="18" s="1"/>
  <c r="D150" s="1"/>
  <c r="D288" s="1"/>
  <c r="D426" s="1"/>
  <c r="B14" i="22"/>
  <c r="C12" i="18" s="1"/>
  <c r="C150" s="1"/>
  <c r="C288" s="1"/>
  <c r="C426" s="1"/>
  <c r="A14" i="22"/>
  <c r="N13"/>
  <c r="L425" i="18" s="1"/>
  <c r="M13" i="22"/>
  <c r="K425" i="18" s="1"/>
  <c r="L13" i="22"/>
  <c r="K287" i="18" s="1"/>
  <c r="K13" i="22"/>
  <c r="K149" i="18" s="1"/>
  <c r="J13" i="22"/>
  <c r="L11" i="18" s="1"/>
  <c r="I13" i="22"/>
  <c r="K11" i="18" s="1"/>
  <c r="F13" i="22"/>
  <c r="G11" i="18" s="1"/>
  <c r="G149" s="1"/>
  <c r="G287" s="1"/>
  <c r="G425" s="1"/>
  <c r="E13" i="22"/>
  <c r="F11" i="18" s="1"/>
  <c r="F149" s="1"/>
  <c r="F287" s="1"/>
  <c r="F425" s="1"/>
  <c r="D13" i="22"/>
  <c r="E11" i="18" s="1"/>
  <c r="E149" s="1"/>
  <c r="E287" s="1"/>
  <c r="E425" s="1"/>
  <c r="C13" i="22"/>
  <c r="D11" i="18" s="1"/>
  <c r="D149" s="1"/>
  <c r="D287" s="1"/>
  <c r="D425" s="1"/>
  <c r="B13" i="22"/>
  <c r="A13"/>
  <c r="A59" s="1"/>
  <c r="N12"/>
  <c r="L424" i="18" s="1"/>
  <c r="M12" i="22"/>
  <c r="K424" i="18" s="1"/>
  <c r="L12" i="22"/>
  <c r="K286" i="18" s="1"/>
  <c r="K12" i="22"/>
  <c r="K148" i="18" s="1"/>
  <c r="J12" i="22"/>
  <c r="L10" i="18" s="1"/>
  <c r="I12" i="22"/>
  <c r="K10" i="18" s="1"/>
  <c r="F12" i="22"/>
  <c r="G10" i="18" s="1"/>
  <c r="G148" s="1"/>
  <c r="G286" s="1"/>
  <c r="G424" s="1"/>
  <c r="E12" i="22"/>
  <c r="F10" i="18" s="1"/>
  <c r="F148" s="1"/>
  <c r="F286" s="1"/>
  <c r="F424" s="1"/>
  <c r="D12" i="22"/>
  <c r="E10" i="18" s="1"/>
  <c r="E148" s="1"/>
  <c r="E286" s="1"/>
  <c r="E424" s="1"/>
  <c r="C12" i="22"/>
  <c r="D10" i="18" s="1"/>
  <c r="D148" s="1"/>
  <c r="D286" s="1"/>
  <c r="D424" s="1"/>
  <c r="B12" i="22"/>
  <c r="A12"/>
  <c r="B10" i="18" s="1"/>
  <c r="B148" s="1"/>
  <c r="B286" s="1"/>
  <c r="B424" s="1"/>
  <c r="N11" i="22"/>
  <c r="L423" i="18" s="1"/>
  <c r="M11" i="22"/>
  <c r="K423" i="18" s="1"/>
  <c r="L11" i="22"/>
  <c r="K285" i="18" s="1"/>
  <c r="K11" i="22"/>
  <c r="K147" i="18" s="1"/>
  <c r="J11" i="22"/>
  <c r="L9" i="18" s="1"/>
  <c r="I11" i="22"/>
  <c r="K9" i="18" s="1"/>
  <c r="F11" i="22"/>
  <c r="F57" s="1"/>
  <c r="E11"/>
  <c r="E57" s="1"/>
  <c r="D11"/>
  <c r="E9" i="18" s="1"/>
  <c r="E147" s="1"/>
  <c r="E285" s="1"/>
  <c r="E423" s="1"/>
  <c r="C11" i="22"/>
  <c r="D9" i="18" s="1"/>
  <c r="D147" s="1"/>
  <c r="D285" s="1"/>
  <c r="D423" s="1"/>
  <c r="B11" i="22"/>
  <c r="A11"/>
  <c r="B9" i="18" s="1"/>
  <c r="B147" s="1"/>
  <c r="B285" s="1"/>
  <c r="B423" s="1"/>
  <c r="N10" i="22"/>
  <c r="L422" i="18" s="1"/>
  <c r="M10" i="22"/>
  <c r="K422" i="18" s="1"/>
  <c r="L10" i="22"/>
  <c r="K284" i="18" s="1"/>
  <c r="K10" i="22"/>
  <c r="K146" i="18" s="1"/>
  <c r="J10" i="22"/>
  <c r="L8" i="18" s="1"/>
  <c r="I10" i="22"/>
  <c r="K8" i="18" s="1"/>
  <c r="F10" i="22"/>
  <c r="E10"/>
  <c r="F8" i="18" s="1"/>
  <c r="F146" s="1"/>
  <c r="F284" s="1"/>
  <c r="F422" s="1"/>
  <c r="D10" i="22"/>
  <c r="E8" i="18" s="1"/>
  <c r="E146" s="1"/>
  <c r="E284" s="1"/>
  <c r="E422" s="1"/>
  <c r="C10" i="22"/>
  <c r="D8" i="18" s="1"/>
  <c r="D146" s="1"/>
  <c r="D284" s="1"/>
  <c r="D422" s="1"/>
  <c r="B10" i="22"/>
  <c r="A10"/>
  <c r="B8" i="18" s="1"/>
  <c r="B146" s="1"/>
  <c r="B284" s="1"/>
  <c r="B422" s="1"/>
  <c r="N9" i="22"/>
  <c r="L421" i="18" s="1"/>
  <c r="M9" i="22"/>
  <c r="K421" i="18" s="1"/>
  <c r="L9" i="22"/>
  <c r="K283" i="18" s="1"/>
  <c r="K9" i="22"/>
  <c r="K145" i="18" s="1"/>
  <c r="J9" i="22"/>
  <c r="L7" i="18" s="1"/>
  <c r="I9" i="22"/>
  <c r="K7" i="18" s="1"/>
  <c r="F9" i="22"/>
  <c r="G7" i="18" s="1"/>
  <c r="G145" s="1"/>
  <c r="G283" s="1"/>
  <c r="G421" s="1"/>
  <c r="E9" i="22"/>
  <c r="F7" i="18" s="1"/>
  <c r="F145" s="1"/>
  <c r="F283" s="1"/>
  <c r="F421" s="1"/>
  <c r="D9" i="22"/>
  <c r="E7" i="18" s="1"/>
  <c r="E145" s="1"/>
  <c r="E283" s="1"/>
  <c r="E421" s="1"/>
  <c r="C9" i="22"/>
  <c r="D7" i="18" s="1"/>
  <c r="D145" s="1"/>
  <c r="D283" s="1"/>
  <c r="D421" s="1"/>
  <c r="B9" i="22"/>
  <c r="B55" s="1"/>
  <c r="A9"/>
  <c r="B7" i="18" s="1"/>
  <c r="B145" s="1"/>
  <c r="B283" s="1"/>
  <c r="B421" s="1"/>
  <c r="N8" i="22"/>
  <c r="L420" i="18" s="1"/>
  <c r="M8" i="22"/>
  <c r="K420" i="18" s="1"/>
  <c r="L8" i="22"/>
  <c r="K282" i="18" s="1"/>
  <c r="K8" i="22"/>
  <c r="K144" i="18" s="1"/>
  <c r="J8" i="22"/>
  <c r="L6" i="18" s="1"/>
  <c r="I8" i="22"/>
  <c r="K6" i="18" s="1"/>
  <c r="F8" i="22"/>
  <c r="G6" i="18" s="1"/>
  <c r="G144" s="1"/>
  <c r="G282" s="1"/>
  <c r="G420" s="1"/>
  <c r="E8" i="22"/>
  <c r="F6" i="18" s="1"/>
  <c r="F144" s="1"/>
  <c r="F282" s="1"/>
  <c r="F420" s="1"/>
  <c r="D8" i="22"/>
  <c r="C8"/>
  <c r="D6" i="18" s="1"/>
  <c r="D144" s="1"/>
  <c r="D282" s="1"/>
  <c r="D420" s="1"/>
  <c r="B8" i="22"/>
  <c r="C6" i="18" s="1"/>
  <c r="C144" s="1"/>
  <c r="C282" s="1"/>
  <c r="C420" s="1"/>
  <c r="A8" i="22"/>
  <c r="B6" i="18" s="1"/>
  <c r="B144" s="1"/>
  <c r="B282" s="1"/>
  <c r="B420" s="1"/>
  <c r="N7" i="22"/>
  <c r="L419" i="18" s="1"/>
  <c r="M7" i="22"/>
  <c r="K419" i="18" s="1"/>
  <c r="L7" i="22"/>
  <c r="K281" i="18" s="1"/>
  <c r="K7" i="22"/>
  <c r="K143" i="18" s="1"/>
  <c r="F7" i="22"/>
  <c r="F53" s="1"/>
  <c r="E7"/>
  <c r="F5" i="18" s="1"/>
  <c r="F143" s="1"/>
  <c r="F281" s="1"/>
  <c r="F419" s="1"/>
  <c r="D7" i="22"/>
  <c r="E5" i="18" s="1"/>
  <c r="E143" s="1"/>
  <c r="E281" s="1"/>
  <c r="E419" s="1"/>
  <c r="C7" i="22"/>
  <c r="B7"/>
  <c r="B53" s="1"/>
  <c r="A7"/>
  <c r="B5" i="18" s="1"/>
  <c r="B143" s="1"/>
  <c r="B281" s="1"/>
  <c r="B419" s="1"/>
  <c r="J7" i="22"/>
  <c r="L5" i="18" s="1"/>
  <c r="I7" i="22"/>
  <c r="K5" i="18" s="1"/>
  <c r="F98" i="22"/>
  <c r="C98"/>
  <c r="F95"/>
  <c r="D93"/>
  <c r="C93"/>
  <c r="F90"/>
  <c r="F136" s="1"/>
  <c r="G134" i="18" s="1"/>
  <c r="G272" s="1"/>
  <c r="G410" s="1"/>
  <c r="G548" s="1"/>
  <c r="C90" i="22"/>
  <c r="E88"/>
  <c r="A88"/>
  <c r="A134" s="1"/>
  <c r="B132" i="18" s="1"/>
  <c r="B270" s="1"/>
  <c r="B408" s="1"/>
  <c r="B546" s="1"/>
  <c r="B86" i="22"/>
  <c r="E84"/>
  <c r="A84"/>
  <c r="B83"/>
  <c r="B82"/>
  <c r="B128" s="1"/>
  <c r="C126" i="18" s="1"/>
  <c r="C264" s="1"/>
  <c r="C402" s="1"/>
  <c r="C540" s="1"/>
  <c r="E72" i="22"/>
  <c r="F70" i="18" s="1"/>
  <c r="F208" s="1"/>
  <c r="F346" s="1"/>
  <c r="F484" s="1"/>
  <c r="A72" i="22"/>
  <c r="A118" s="1"/>
  <c r="B116" i="18" s="1"/>
  <c r="B254" s="1"/>
  <c r="B392" s="1"/>
  <c r="B530" s="1"/>
  <c r="F71" i="22"/>
  <c r="E71"/>
  <c r="F70"/>
  <c r="A68"/>
  <c r="A114" s="1"/>
  <c r="B112" i="18" s="1"/>
  <c r="B250" s="1"/>
  <c r="B388" s="1"/>
  <c r="B526" s="1"/>
  <c r="E67" i="22"/>
  <c r="D65"/>
  <c r="D111" s="1"/>
  <c r="E109" i="18" s="1"/>
  <c r="E247" s="1"/>
  <c r="E385" s="1"/>
  <c r="E523" s="1"/>
  <c r="A64" i="22"/>
  <c r="A110" s="1"/>
  <c r="B108" i="18" s="1"/>
  <c r="B246" s="1"/>
  <c r="B384" s="1"/>
  <c r="B522" s="1"/>
  <c r="F63" i="22"/>
  <c r="E63"/>
  <c r="F62"/>
  <c r="E55"/>
  <c r="C96"/>
  <c r="D94" i="18" s="1"/>
  <c r="D232" s="1"/>
  <c r="D370" s="1"/>
  <c r="D508" s="1"/>
  <c r="C95" i="22"/>
  <c r="D93" i="18" s="1"/>
  <c r="D231" s="1"/>
  <c r="D369" s="1"/>
  <c r="D507" s="1"/>
  <c r="B93" i="22"/>
  <c r="C92"/>
  <c r="D90" i="18" s="1"/>
  <c r="D228" s="1"/>
  <c r="D366" s="1"/>
  <c r="D504" s="1"/>
  <c r="D91" i="22"/>
  <c r="D87"/>
  <c r="D133" s="1"/>
  <c r="E131" i="18" s="1"/>
  <c r="E269" s="1"/>
  <c r="E407" s="1"/>
  <c r="E545" s="1"/>
  <c r="C87" i="22"/>
  <c r="D85" i="18" s="1"/>
  <c r="D223" s="1"/>
  <c r="D361" s="1"/>
  <c r="D499" s="1"/>
  <c r="A85" i="22"/>
  <c r="B72"/>
  <c r="D71"/>
  <c r="D117" s="1"/>
  <c r="E115" i="18" s="1"/>
  <c r="E253" s="1"/>
  <c r="E391" s="1"/>
  <c r="E529" s="1"/>
  <c r="E69" i="22"/>
  <c r="F67" i="18" s="1"/>
  <c r="F205" s="1"/>
  <c r="F343" s="1"/>
  <c r="F481" s="1"/>
  <c r="A69" i="22"/>
  <c r="B68"/>
  <c r="A66"/>
  <c r="A112" s="1"/>
  <c r="B110" i="18" s="1"/>
  <c r="B248" s="1"/>
  <c r="B386" s="1"/>
  <c r="B524" s="1"/>
  <c r="B65" i="22"/>
  <c r="E62"/>
  <c r="E108" s="1"/>
  <c r="F106" i="18" s="1"/>
  <c r="F244" s="1"/>
  <c r="F382" s="1"/>
  <c r="F520" s="1"/>
  <c r="F61" i="22"/>
  <c r="F60"/>
  <c r="F106" s="1"/>
  <c r="G104" i="18" s="1"/>
  <c r="G242" s="1"/>
  <c r="G380" s="1"/>
  <c r="G518" s="1"/>
  <c r="D59" i="22"/>
  <c r="D105" s="1"/>
  <c r="E103" i="18" s="1"/>
  <c r="E241" s="1"/>
  <c r="E379" s="1"/>
  <c r="E517" s="1"/>
  <c r="C59" i="22"/>
  <c r="D57" i="18" s="1"/>
  <c r="D195" s="1"/>
  <c r="D333" s="1"/>
  <c r="D471" s="1"/>
  <c r="A57" i="22"/>
  <c r="F54"/>
  <c r="F100" s="1"/>
  <c r="G98" i="18" s="1"/>
  <c r="G236" s="1"/>
  <c r="G374" s="1"/>
  <c r="G512" s="1"/>
  <c r="E53" i="22"/>
  <c r="D53"/>
  <c r="D99" s="1"/>
  <c r="E97" i="18" s="1"/>
  <c r="E235" s="1"/>
  <c r="E373" s="1"/>
  <c r="E511" s="1"/>
  <c r="B61" i="22" l="1"/>
  <c r="F64"/>
  <c r="F110" s="1"/>
  <c r="G108" i="18" s="1"/>
  <c r="G246" s="1"/>
  <c r="G384" s="1"/>
  <c r="G522" s="1"/>
  <c r="D67" i="22"/>
  <c r="D113" s="1"/>
  <c r="E111" i="18" s="1"/>
  <c r="E249" s="1"/>
  <c r="E387" s="1"/>
  <c r="E525" s="1"/>
  <c r="D70" i="22"/>
  <c r="H26"/>
  <c r="I24" i="18" s="1"/>
  <c r="I162" s="1"/>
  <c r="I300" s="1"/>
  <c r="I438" s="1"/>
  <c r="D83" i="22"/>
  <c r="F89"/>
  <c r="F92"/>
  <c r="F138" s="1"/>
  <c r="G136" i="18" s="1"/>
  <c r="G274" s="1"/>
  <c r="G412" s="1"/>
  <c r="G550" s="1"/>
  <c r="B96" i="22"/>
  <c r="B142" s="1"/>
  <c r="C140" i="18" s="1"/>
  <c r="C278" s="1"/>
  <c r="C416" s="1"/>
  <c r="C554" s="1"/>
  <c r="F97" i="22"/>
  <c r="F58"/>
  <c r="D85"/>
  <c r="D131" s="1"/>
  <c r="E129" i="18" s="1"/>
  <c r="E267" s="1"/>
  <c r="E405" s="1"/>
  <c r="E543" s="1"/>
  <c r="D88" i="22"/>
  <c r="B95"/>
  <c r="B141" s="1"/>
  <c r="C139" i="18" s="1"/>
  <c r="C277" s="1"/>
  <c r="C415" s="1"/>
  <c r="C553" s="1"/>
  <c r="D63" i="22"/>
  <c r="D109" s="1"/>
  <c r="E107" i="18" s="1"/>
  <c r="E245" s="1"/>
  <c r="E383" s="1"/>
  <c r="E521" s="1"/>
  <c r="D66" i="22"/>
  <c r="B97"/>
  <c r="B143" s="1"/>
  <c r="C141" i="18" s="1"/>
  <c r="C279" s="1"/>
  <c r="C417" s="1"/>
  <c r="C555" s="1"/>
  <c r="D72" i="22"/>
  <c r="F91"/>
  <c r="B98"/>
  <c r="D58"/>
  <c r="D104" s="1"/>
  <c r="E102" i="18" s="1"/>
  <c r="E240" s="1"/>
  <c r="E378" s="1"/>
  <c r="E516" s="1"/>
  <c r="D82" i="22"/>
  <c r="D86"/>
  <c r="B89"/>
  <c r="D57"/>
  <c r="D103" s="1"/>
  <c r="E101" i="18" s="1"/>
  <c r="E239" s="1"/>
  <c r="E377" s="1"/>
  <c r="E515" s="1"/>
  <c r="B90" i="22"/>
  <c r="F94"/>
  <c r="B60"/>
  <c r="H25"/>
  <c r="I23" i="18" s="1"/>
  <c r="I161" s="1"/>
  <c r="I299" s="1"/>
  <c r="I437" s="1"/>
  <c r="F85" i="22"/>
  <c r="G83" i="18" s="1"/>
  <c r="G221" s="1"/>
  <c r="G359" s="1"/>
  <c r="G497" s="1"/>
  <c r="F88" i="22"/>
  <c r="B92"/>
  <c r="F93"/>
  <c r="F96"/>
  <c r="F142" s="1"/>
  <c r="G140" i="18" s="1"/>
  <c r="G278" s="1"/>
  <c r="G416" s="1"/>
  <c r="G554" s="1"/>
  <c r="D56" i="22"/>
  <c r="F66"/>
  <c r="D69"/>
  <c r="D115" s="1"/>
  <c r="E113" i="18" s="1"/>
  <c r="E251" s="1"/>
  <c r="E389" s="1"/>
  <c r="E527" s="1"/>
  <c r="D84" i="22"/>
  <c r="E82" i="18" s="1"/>
  <c r="E220" s="1"/>
  <c r="E358" s="1"/>
  <c r="E496" s="1"/>
  <c r="B87" i="22"/>
  <c r="D89"/>
  <c r="B91"/>
  <c r="B94"/>
  <c r="C92" i="18" s="1"/>
  <c r="C230" s="1"/>
  <c r="C368" s="1"/>
  <c r="C506" s="1"/>
  <c r="D97" i="22"/>
  <c r="A53"/>
  <c r="A99" s="1"/>
  <c r="B97" i="18" s="1"/>
  <c r="B235" s="1"/>
  <c r="B373" s="1"/>
  <c r="B511" s="1"/>
  <c r="H8" i="22"/>
  <c r="I6" i="18" s="1"/>
  <c r="I144" s="1"/>
  <c r="I282" s="1"/>
  <c r="I420" s="1"/>
  <c r="C54" i="22"/>
  <c r="C100" s="1"/>
  <c r="D98" i="18" s="1"/>
  <c r="D236" s="1"/>
  <c r="D374" s="1"/>
  <c r="D512" s="1"/>
  <c r="C65" i="22"/>
  <c r="C69"/>
  <c r="B54"/>
  <c r="A58"/>
  <c r="A104" s="1"/>
  <c r="B102" i="18" s="1"/>
  <c r="B240" s="1"/>
  <c r="B378" s="1"/>
  <c r="B516" s="1"/>
  <c r="A61" i="22"/>
  <c r="A62"/>
  <c r="A108" s="1"/>
  <c r="B106" i="18" s="1"/>
  <c r="B244" s="1"/>
  <c r="B382" s="1"/>
  <c r="B520" s="1"/>
  <c r="A65" i="22"/>
  <c r="B69"/>
  <c r="B115" s="1"/>
  <c r="C113" i="18" s="1"/>
  <c r="C251" s="1"/>
  <c r="C389" s="1"/>
  <c r="C527" s="1"/>
  <c r="A82" i="22"/>
  <c r="F84"/>
  <c r="A86"/>
  <c r="C91"/>
  <c r="D89" i="18" s="1"/>
  <c r="D227" s="1"/>
  <c r="D365" s="1"/>
  <c r="D503" s="1"/>
  <c r="F55" i="22"/>
  <c r="C58"/>
  <c r="A63"/>
  <c r="E64"/>
  <c r="F62" i="18" s="1"/>
  <c r="F200" s="1"/>
  <c r="F338" s="1"/>
  <c r="F476" s="1"/>
  <c r="A67" i="22"/>
  <c r="E68"/>
  <c r="F66" i="18" s="1"/>
  <c r="F204" s="1"/>
  <c r="F342" s="1"/>
  <c r="F480" s="1"/>
  <c r="A71" i="22"/>
  <c r="A83"/>
  <c r="A129" s="1"/>
  <c r="B127" i="18" s="1"/>
  <c r="B265" s="1"/>
  <c r="B403" s="1"/>
  <c r="B541" s="1"/>
  <c r="A87" i="22"/>
  <c r="C94"/>
  <c r="C140" s="1"/>
  <c r="D138" i="18" s="1"/>
  <c r="D276" s="1"/>
  <c r="D414" s="1"/>
  <c r="D552" s="1"/>
  <c r="C97" i="22"/>
  <c r="E58"/>
  <c r="E104" s="1"/>
  <c r="F102" i="18" s="1"/>
  <c r="F240" s="1"/>
  <c r="F378" s="1"/>
  <c r="F516" s="1"/>
  <c r="C60" i="22"/>
  <c r="E61"/>
  <c r="F59" i="18" s="1"/>
  <c r="F197" s="1"/>
  <c r="F335" s="1"/>
  <c r="F473" s="1"/>
  <c r="E65" i="22"/>
  <c r="F63" i="18" s="1"/>
  <c r="F201" s="1"/>
  <c r="F339" s="1"/>
  <c r="F477" s="1"/>
  <c r="A70" i="22"/>
  <c r="A116" s="1"/>
  <c r="B114" i="18" s="1"/>
  <c r="B252" s="1"/>
  <c r="B390" s="1"/>
  <c r="B528" s="1"/>
  <c r="E82" i="22"/>
  <c r="E85"/>
  <c r="E86"/>
  <c r="E132" s="1"/>
  <c r="F130" i="18" s="1"/>
  <c r="F268" s="1"/>
  <c r="F406" s="1"/>
  <c r="F544" s="1"/>
  <c r="A55" i="22"/>
  <c r="B53" i="18" s="1"/>
  <c r="B191" s="1"/>
  <c r="B329" s="1"/>
  <c r="B467" s="1"/>
  <c r="C57" i="22"/>
  <c r="E59"/>
  <c r="E83"/>
  <c r="F81" i="18" s="1"/>
  <c r="F219" s="1"/>
  <c r="F357" s="1"/>
  <c r="F495" s="1"/>
  <c r="E87" i="22"/>
  <c r="E133" s="1"/>
  <c r="F131" i="18" s="1"/>
  <c r="F269" s="1"/>
  <c r="F407" s="1"/>
  <c r="F545" s="1"/>
  <c r="C89" i="22"/>
  <c r="H21"/>
  <c r="I19" i="18" s="1"/>
  <c r="I157" s="1"/>
  <c r="I295" s="1"/>
  <c r="I433" s="1"/>
  <c r="B11"/>
  <c r="B149" s="1"/>
  <c r="B287" s="1"/>
  <c r="B425" s="1"/>
  <c r="E14"/>
  <c r="E152" s="1"/>
  <c r="E290" s="1"/>
  <c r="E428" s="1"/>
  <c r="E46"/>
  <c r="E184" s="1"/>
  <c r="E322" s="1"/>
  <c r="E460" s="1"/>
  <c r="B60"/>
  <c r="B198" s="1"/>
  <c r="B336" s="1"/>
  <c r="B474" s="1"/>
  <c r="E63"/>
  <c r="E201" s="1"/>
  <c r="E339" s="1"/>
  <c r="E477" s="1"/>
  <c r="B68"/>
  <c r="B206" s="1"/>
  <c r="B344" s="1"/>
  <c r="B482" s="1"/>
  <c r="C5"/>
  <c r="C143" s="1"/>
  <c r="C281" s="1"/>
  <c r="C419" s="1"/>
  <c r="E12"/>
  <c r="E150" s="1"/>
  <c r="E288" s="1"/>
  <c r="E426" s="1"/>
  <c r="E20"/>
  <c r="E158" s="1"/>
  <c r="E296" s="1"/>
  <c r="E434" s="1"/>
  <c r="E51"/>
  <c r="E189" s="1"/>
  <c r="E327" s="1"/>
  <c r="E465" s="1"/>
  <c r="D55" i="22"/>
  <c r="D101" s="1"/>
  <c r="E99" i="18" s="1"/>
  <c r="E237" s="1"/>
  <c r="E375" s="1"/>
  <c r="E513" s="1"/>
  <c r="E56" i="22"/>
  <c r="E102" s="1"/>
  <c r="F100" i="18" s="1"/>
  <c r="F238" s="1"/>
  <c r="F376" s="1"/>
  <c r="F514" s="1"/>
  <c r="G17"/>
  <c r="G155" s="1"/>
  <c r="G293" s="1"/>
  <c r="G431" s="1"/>
  <c r="E47"/>
  <c r="E185" s="1"/>
  <c r="E323" s="1"/>
  <c r="E461" s="1"/>
  <c r="B64"/>
  <c r="B202" s="1"/>
  <c r="B340" s="1"/>
  <c r="B478" s="1"/>
  <c r="E67"/>
  <c r="E205" s="1"/>
  <c r="E343" s="1"/>
  <c r="E481" s="1"/>
  <c r="F85"/>
  <c r="F223" s="1"/>
  <c r="F361" s="1"/>
  <c r="F499" s="1"/>
  <c r="G88"/>
  <c r="G226" s="1"/>
  <c r="G364" s="1"/>
  <c r="G502" s="1"/>
  <c r="G58"/>
  <c r="G196" s="1"/>
  <c r="G334" s="1"/>
  <c r="G472" s="1"/>
  <c r="G90"/>
  <c r="G228" s="1"/>
  <c r="G366" s="1"/>
  <c r="G504" s="1"/>
  <c r="D129" i="22"/>
  <c r="E127" i="18" s="1"/>
  <c r="E265" s="1"/>
  <c r="E403" s="1"/>
  <c r="E541" s="1"/>
  <c r="E81"/>
  <c r="E219" s="1"/>
  <c r="E357" s="1"/>
  <c r="E495" s="1"/>
  <c r="F131" i="22"/>
  <c r="G129" i="18" s="1"/>
  <c r="G267" s="1"/>
  <c r="G405" s="1"/>
  <c r="G543" s="1"/>
  <c r="F135" i="22"/>
  <c r="G133" i="18" s="1"/>
  <c r="G271" s="1"/>
  <c r="G409" s="1"/>
  <c r="G547" s="1"/>
  <c r="G87"/>
  <c r="G225" s="1"/>
  <c r="G363" s="1"/>
  <c r="G501" s="1"/>
  <c r="C111" i="22"/>
  <c r="D109" i="18" s="1"/>
  <c r="D247" s="1"/>
  <c r="D385" s="1"/>
  <c r="D523" s="1"/>
  <c r="D63"/>
  <c r="D201" s="1"/>
  <c r="D339" s="1"/>
  <c r="D477" s="1"/>
  <c r="C115" i="22"/>
  <c r="D113" i="18" s="1"/>
  <c r="D251" s="1"/>
  <c r="D389" s="1"/>
  <c r="D527" s="1"/>
  <c r="D67"/>
  <c r="D205" s="1"/>
  <c r="D343" s="1"/>
  <c r="D481" s="1"/>
  <c r="D114" i="22"/>
  <c r="E112" i="18" s="1"/>
  <c r="E250" s="1"/>
  <c r="E388" s="1"/>
  <c r="E526" s="1"/>
  <c r="E66"/>
  <c r="E204" s="1"/>
  <c r="E342" s="1"/>
  <c r="E480" s="1"/>
  <c r="F139" i="22"/>
  <c r="G137" i="18" s="1"/>
  <c r="G275" s="1"/>
  <c r="G413" s="1"/>
  <c r="G551" s="1"/>
  <c r="G91"/>
  <c r="G229" s="1"/>
  <c r="G367" s="1"/>
  <c r="G505" s="1"/>
  <c r="D5"/>
  <c r="D143" s="1"/>
  <c r="D281" s="1"/>
  <c r="D419" s="1"/>
  <c r="C53" i="22"/>
  <c r="D51" i="18" s="1"/>
  <c r="D189" s="1"/>
  <c r="D327" s="1"/>
  <c r="D465" s="1"/>
  <c r="C8"/>
  <c r="C146" s="1"/>
  <c r="C284" s="1"/>
  <c r="C422" s="1"/>
  <c r="B56" i="22"/>
  <c r="G8" i="18"/>
  <c r="G146" s="1"/>
  <c r="G284" s="1"/>
  <c r="G422" s="1"/>
  <c r="F56" i="22"/>
  <c r="E13" i="18"/>
  <c r="E151" s="1"/>
  <c r="E289" s="1"/>
  <c r="E427" s="1"/>
  <c r="D61" i="22"/>
  <c r="C62"/>
  <c r="D14" i="18"/>
  <c r="D152" s="1"/>
  <c r="D290" s="1"/>
  <c r="D428" s="1"/>
  <c r="C112" i="22"/>
  <c r="D110" i="18" s="1"/>
  <c r="D248" s="1"/>
  <c r="D386" s="1"/>
  <c r="D524" s="1"/>
  <c r="D64"/>
  <c r="D202" s="1"/>
  <c r="D340" s="1"/>
  <c r="D478" s="1"/>
  <c r="D24"/>
  <c r="D162" s="1"/>
  <c r="D300" s="1"/>
  <c r="D438" s="1"/>
  <c r="C72" i="22"/>
  <c r="D35" i="18"/>
  <c r="D173" s="1"/>
  <c r="D311" s="1"/>
  <c r="D449" s="1"/>
  <c r="C83" i="22"/>
  <c r="D81" i="18" s="1"/>
  <c r="D219" s="1"/>
  <c r="D357" s="1"/>
  <c r="D495" s="1"/>
  <c r="D36"/>
  <c r="D174" s="1"/>
  <c r="D312" s="1"/>
  <c r="D450" s="1"/>
  <c r="C84" i="22"/>
  <c r="D82" i="18" s="1"/>
  <c r="D220" s="1"/>
  <c r="D358" s="1"/>
  <c r="D496" s="1"/>
  <c r="D37"/>
  <c r="D175" s="1"/>
  <c r="D313" s="1"/>
  <c r="D451" s="1"/>
  <c r="C85" i="22"/>
  <c r="H39"/>
  <c r="I37" i="18" s="1"/>
  <c r="I175" s="1"/>
  <c r="I313" s="1"/>
  <c r="I451" s="1"/>
  <c r="A90" i="22"/>
  <c r="B42" i="18"/>
  <c r="B180" s="1"/>
  <c r="B318" s="1"/>
  <c r="B456" s="1"/>
  <c r="E90" i="22"/>
  <c r="F42" i="18"/>
  <c r="F180" s="1"/>
  <c r="F318" s="1"/>
  <c r="F456" s="1"/>
  <c r="A91" i="22"/>
  <c r="B43" i="18"/>
  <c r="B181" s="1"/>
  <c r="B319" s="1"/>
  <c r="B457" s="1"/>
  <c r="E91" i="22"/>
  <c r="F43" i="18"/>
  <c r="F181" s="1"/>
  <c r="F319" s="1"/>
  <c r="F457" s="1"/>
  <c r="A93" i="22"/>
  <c r="B45" i="18"/>
  <c r="B183" s="1"/>
  <c r="B321" s="1"/>
  <c r="B459" s="1"/>
  <c r="E93" i="22"/>
  <c r="F45" i="18"/>
  <c r="F183" s="1"/>
  <c r="F321" s="1"/>
  <c r="F459" s="1"/>
  <c r="E95" i="22"/>
  <c r="F47" i="18"/>
  <c r="F185" s="1"/>
  <c r="F323" s="1"/>
  <c r="F461" s="1"/>
  <c r="E96" i="22"/>
  <c r="F48" i="18"/>
  <c r="F186" s="1"/>
  <c r="F324" s="1"/>
  <c r="F462" s="1"/>
  <c r="E97" i="22"/>
  <c r="H97" s="1"/>
  <c r="I95" i="18" s="1"/>
  <c r="I233" s="1"/>
  <c r="I371" s="1"/>
  <c r="I509" s="1"/>
  <c r="F49"/>
  <c r="F187" s="1"/>
  <c r="F325" s="1"/>
  <c r="F463" s="1"/>
  <c r="E144" i="22"/>
  <c r="F142" i="18" s="1"/>
  <c r="F280" s="1"/>
  <c r="F418" s="1"/>
  <c r="F556" s="1"/>
  <c r="F96"/>
  <c r="F234" s="1"/>
  <c r="F372" s="1"/>
  <c r="F510" s="1"/>
  <c r="C106" i="22"/>
  <c r="D104" i="18" s="1"/>
  <c r="D242" s="1"/>
  <c r="D380" s="1"/>
  <c r="D518" s="1"/>
  <c r="D58"/>
  <c r="D196" s="1"/>
  <c r="D334" s="1"/>
  <c r="D472" s="1"/>
  <c r="D116" i="22"/>
  <c r="E114" i="18" s="1"/>
  <c r="E252" s="1"/>
  <c r="E390" s="1"/>
  <c r="E528" s="1"/>
  <c r="E68"/>
  <c r="E206" s="1"/>
  <c r="E344" s="1"/>
  <c r="E482" s="1"/>
  <c r="F108" i="22"/>
  <c r="G106" i="18" s="1"/>
  <c r="G244" s="1"/>
  <c r="G382" s="1"/>
  <c r="G520" s="1"/>
  <c r="G60"/>
  <c r="G198" s="1"/>
  <c r="G336" s="1"/>
  <c r="G474" s="1"/>
  <c r="E99" i="22"/>
  <c r="F97" i="18" s="1"/>
  <c r="F235" s="1"/>
  <c r="F373" s="1"/>
  <c r="F511" s="1"/>
  <c r="F51"/>
  <c r="F189" s="1"/>
  <c r="F327" s="1"/>
  <c r="F465" s="1"/>
  <c r="B118" i="22"/>
  <c r="C116" i="18" s="1"/>
  <c r="C254" s="1"/>
  <c r="C392" s="1"/>
  <c r="C530" s="1"/>
  <c r="C70"/>
  <c r="C208" s="1"/>
  <c r="C346" s="1"/>
  <c r="C484" s="1"/>
  <c r="A128" i="22"/>
  <c r="B126" i="18" s="1"/>
  <c r="B264" s="1"/>
  <c r="B402" s="1"/>
  <c r="B540" s="1"/>
  <c r="B80"/>
  <c r="B218" s="1"/>
  <c r="B356" s="1"/>
  <c r="B494" s="1"/>
  <c r="F101" i="22"/>
  <c r="G99" i="18" s="1"/>
  <c r="G237" s="1"/>
  <c r="G375" s="1"/>
  <c r="G513" s="1"/>
  <c r="G53"/>
  <c r="G191" s="1"/>
  <c r="G329" s="1"/>
  <c r="G467" s="1"/>
  <c r="F109" i="22"/>
  <c r="G107" i="18" s="1"/>
  <c r="G245" s="1"/>
  <c r="G383" s="1"/>
  <c r="G521" s="1"/>
  <c r="G61"/>
  <c r="G199" s="1"/>
  <c r="G337" s="1"/>
  <c r="G475" s="1"/>
  <c r="F113" i="22"/>
  <c r="G111" i="18" s="1"/>
  <c r="G249" s="1"/>
  <c r="G387" s="1"/>
  <c r="G525" s="1"/>
  <c r="G65"/>
  <c r="G203" s="1"/>
  <c r="G341" s="1"/>
  <c r="G479" s="1"/>
  <c r="F117" i="22"/>
  <c r="G115" i="18" s="1"/>
  <c r="G253" s="1"/>
  <c r="G391" s="1"/>
  <c r="G529" s="1"/>
  <c r="G69"/>
  <c r="G207" s="1"/>
  <c r="G345" s="1"/>
  <c r="G483" s="1"/>
  <c r="B132" i="22"/>
  <c r="C130" i="18" s="1"/>
  <c r="C268" s="1"/>
  <c r="C406" s="1"/>
  <c r="C544" s="1"/>
  <c r="C84"/>
  <c r="C222" s="1"/>
  <c r="C360" s="1"/>
  <c r="C498" s="1"/>
  <c r="F141" i="22"/>
  <c r="G139" i="18" s="1"/>
  <c r="G277" s="1"/>
  <c r="G415" s="1"/>
  <c r="G553" s="1"/>
  <c r="G93"/>
  <c r="G231" s="1"/>
  <c r="G369" s="1"/>
  <c r="G507" s="1"/>
  <c r="C63" i="22"/>
  <c r="D61" i="18" s="1"/>
  <c r="D199" s="1"/>
  <c r="D337" s="1"/>
  <c r="D475" s="1"/>
  <c r="C67" i="22"/>
  <c r="C55"/>
  <c r="D53" i="18" s="1"/>
  <c r="D191" s="1"/>
  <c r="D329" s="1"/>
  <c r="D467" s="1"/>
  <c r="C68" i="22"/>
  <c r="F59"/>
  <c r="H59" s="1"/>
  <c r="I57" i="18" s="1"/>
  <c r="I195" s="1"/>
  <c r="I333" s="1"/>
  <c r="I471" s="1"/>
  <c r="C82" i="22"/>
  <c r="F50" i="18"/>
  <c r="F188" s="1"/>
  <c r="F326" s="1"/>
  <c r="F464" s="1"/>
  <c r="A107" i="22"/>
  <c r="B105" i="18" s="1"/>
  <c r="B243" s="1"/>
  <c r="B381" s="1"/>
  <c r="B519" s="1"/>
  <c r="B59"/>
  <c r="B197" s="1"/>
  <c r="B335" s="1"/>
  <c r="B473" s="1"/>
  <c r="C103" i="22"/>
  <c r="D101" i="18" s="1"/>
  <c r="D239" s="1"/>
  <c r="D377" s="1"/>
  <c r="D515" s="1"/>
  <c r="D55"/>
  <c r="D193" s="1"/>
  <c r="D331" s="1"/>
  <c r="D469" s="1"/>
  <c r="B144" i="22"/>
  <c r="C142" i="18" s="1"/>
  <c r="C280" s="1"/>
  <c r="C418" s="1"/>
  <c r="C556" s="1"/>
  <c r="C96"/>
  <c r="C234" s="1"/>
  <c r="C372" s="1"/>
  <c r="C510" s="1"/>
  <c r="D108" i="22"/>
  <c r="E106" i="18" s="1"/>
  <c r="E244" s="1"/>
  <c r="E382" s="1"/>
  <c r="E520" s="1"/>
  <c r="E60"/>
  <c r="E198" s="1"/>
  <c r="E336" s="1"/>
  <c r="E474" s="1"/>
  <c r="A103" i="22"/>
  <c r="B101" i="18" s="1"/>
  <c r="B239" s="1"/>
  <c r="B377" s="1"/>
  <c r="B515" s="1"/>
  <c r="B55"/>
  <c r="B193" s="1"/>
  <c r="B331" s="1"/>
  <c r="B469" s="1"/>
  <c r="F107" i="22"/>
  <c r="G105" i="18" s="1"/>
  <c r="G243" s="1"/>
  <c r="G381" s="1"/>
  <c r="G519" s="1"/>
  <c r="G59"/>
  <c r="G197" s="1"/>
  <c r="G335" s="1"/>
  <c r="G473" s="1"/>
  <c r="B138" i="22"/>
  <c r="C136" i="18" s="1"/>
  <c r="C274" s="1"/>
  <c r="C412" s="1"/>
  <c r="C550" s="1"/>
  <c r="C90"/>
  <c r="C228" s="1"/>
  <c r="C366" s="1"/>
  <c r="C504" s="1"/>
  <c r="F104" i="22"/>
  <c r="G102" i="18" s="1"/>
  <c r="G240" s="1"/>
  <c r="G378" s="1"/>
  <c r="G516" s="1"/>
  <c r="G56"/>
  <c r="G194" s="1"/>
  <c r="G332" s="1"/>
  <c r="G470" s="1"/>
  <c r="B129" i="22"/>
  <c r="C127" i="18" s="1"/>
  <c r="C265" s="1"/>
  <c r="C403" s="1"/>
  <c r="C541" s="1"/>
  <c r="C81"/>
  <c r="C219" s="1"/>
  <c r="C357" s="1"/>
  <c r="C495" s="1"/>
  <c r="B133" i="22"/>
  <c r="C131" i="18" s="1"/>
  <c r="C269" s="1"/>
  <c r="C407" s="1"/>
  <c r="C545" s="1"/>
  <c r="C85"/>
  <c r="C223" s="1"/>
  <c r="C361" s="1"/>
  <c r="C499" s="1"/>
  <c r="D54" i="22"/>
  <c r="E6" i="18"/>
  <c r="E144" s="1"/>
  <c r="E282" s="1"/>
  <c r="E420" s="1"/>
  <c r="B57" i="22"/>
  <c r="C9" i="18"/>
  <c r="C147" s="1"/>
  <c r="C285" s="1"/>
  <c r="C423" s="1"/>
  <c r="F103" i="22"/>
  <c r="G101" i="18" s="1"/>
  <c r="G239" s="1"/>
  <c r="G377" s="1"/>
  <c r="G515" s="1"/>
  <c r="G55"/>
  <c r="G193" s="1"/>
  <c r="G331" s="1"/>
  <c r="G469" s="1"/>
  <c r="C10"/>
  <c r="C148" s="1"/>
  <c r="C286" s="1"/>
  <c r="C424" s="1"/>
  <c r="B58" i="22"/>
  <c r="C11" i="18"/>
  <c r="C149" s="1"/>
  <c r="C287" s="1"/>
  <c r="C425" s="1"/>
  <c r="B59" i="22"/>
  <c r="B12" i="18"/>
  <c r="B150" s="1"/>
  <c r="B288" s="1"/>
  <c r="B426" s="1"/>
  <c r="A60" i="22"/>
  <c r="F12" i="18"/>
  <c r="F150" s="1"/>
  <c r="F288" s="1"/>
  <c r="F426" s="1"/>
  <c r="E60" i="22"/>
  <c r="H60" s="1"/>
  <c r="I58" i="18" s="1"/>
  <c r="I196" s="1"/>
  <c r="I334" s="1"/>
  <c r="I472" s="1"/>
  <c r="D16"/>
  <c r="D154" s="1"/>
  <c r="D292" s="1"/>
  <c r="D430" s="1"/>
  <c r="C64" i="22"/>
  <c r="C70"/>
  <c r="D22" i="18"/>
  <c r="D160" s="1"/>
  <c r="D298" s="1"/>
  <c r="D436" s="1"/>
  <c r="D23"/>
  <c r="D161" s="1"/>
  <c r="D299" s="1"/>
  <c r="D437" s="1"/>
  <c r="C71" i="22"/>
  <c r="D38" i="18"/>
  <c r="D176" s="1"/>
  <c r="D314" s="1"/>
  <c r="D452" s="1"/>
  <c r="C86" i="22"/>
  <c r="D40" i="18"/>
  <c r="D178" s="1"/>
  <c r="D316" s="1"/>
  <c r="D454" s="1"/>
  <c r="C88" i="22"/>
  <c r="D86" i="18" s="1"/>
  <c r="D224" s="1"/>
  <c r="D362" s="1"/>
  <c r="D500" s="1"/>
  <c r="A89" i="22"/>
  <c r="B41" i="18"/>
  <c r="B179" s="1"/>
  <c r="B317" s="1"/>
  <c r="B455" s="1"/>
  <c r="H43" i="22"/>
  <c r="I41" i="18" s="1"/>
  <c r="I179" s="1"/>
  <c r="I317" s="1"/>
  <c r="I455" s="1"/>
  <c r="F41"/>
  <c r="F179" s="1"/>
  <c r="F317" s="1"/>
  <c r="F455" s="1"/>
  <c r="E89" i="22"/>
  <c r="A92"/>
  <c r="B44" i="18"/>
  <c r="B182" s="1"/>
  <c r="B320" s="1"/>
  <c r="B458" s="1"/>
  <c r="E92" i="22"/>
  <c r="F44" i="18"/>
  <c r="F182" s="1"/>
  <c r="F320" s="1"/>
  <c r="F458" s="1"/>
  <c r="B46"/>
  <c r="B184" s="1"/>
  <c r="B322" s="1"/>
  <c r="B460" s="1"/>
  <c r="A94" i="22"/>
  <c r="E94"/>
  <c r="F46" i="18"/>
  <c r="F184" s="1"/>
  <c r="F322" s="1"/>
  <c r="F460" s="1"/>
  <c r="A95" i="22"/>
  <c r="B47" i="18"/>
  <c r="B185" s="1"/>
  <c r="B323" s="1"/>
  <c r="B461" s="1"/>
  <c r="A96" i="22"/>
  <c r="B48" i="18"/>
  <c r="B186" s="1"/>
  <c r="B324" s="1"/>
  <c r="B462" s="1"/>
  <c r="A97" i="22"/>
  <c r="B49" i="18"/>
  <c r="B187" s="1"/>
  <c r="B325" s="1"/>
  <c r="B463" s="1"/>
  <c r="A98" i="22"/>
  <c r="B50" i="18"/>
  <c r="B188" s="1"/>
  <c r="B326" s="1"/>
  <c r="B464" s="1"/>
  <c r="A131" i="22"/>
  <c r="B129" i="18" s="1"/>
  <c r="B267" s="1"/>
  <c r="B405" s="1"/>
  <c r="B543" s="1"/>
  <c r="B83"/>
  <c r="B221" s="1"/>
  <c r="B359" s="1"/>
  <c r="B497" s="1"/>
  <c r="F134" i="22"/>
  <c r="G132" i="18" s="1"/>
  <c r="G270" s="1"/>
  <c r="G408" s="1"/>
  <c r="G546" s="1"/>
  <c r="G86"/>
  <c r="G224" s="1"/>
  <c r="G362" s="1"/>
  <c r="G500" s="1"/>
  <c r="F112" i="22"/>
  <c r="G110" i="18" s="1"/>
  <c r="G248" s="1"/>
  <c r="G386" s="1"/>
  <c r="G524" s="1"/>
  <c r="G64"/>
  <c r="G202" s="1"/>
  <c r="G340" s="1"/>
  <c r="G478" s="1"/>
  <c r="F116" i="22"/>
  <c r="G114" i="18" s="1"/>
  <c r="G252" s="1"/>
  <c r="G390" s="1"/>
  <c r="G528" s="1"/>
  <c r="G68"/>
  <c r="G206" s="1"/>
  <c r="G344" s="1"/>
  <c r="G482" s="1"/>
  <c r="D134" i="22"/>
  <c r="E132" i="18" s="1"/>
  <c r="E270" s="1"/>
  <c r="E408" s="1"/>
  <c r="E546" s="1"/>
  <c r="E86"/>
  <c r="E224" s="1"/>
  <c r="E362" s="1"/>
  <c r="E500" s="1"/>
  <c r="B136" i="22"/>
  <c r="C134" i="18" s="1"/>
  <c r="C272" s="1"/>
  <c r="C410" s="1"/>
  <c r="C548" s="1"/>
  <c r="C88"/>
  <c r="C226" s="1"/>
  <c r="C364" s="1"/>
  <c r="C502" s="1"/>
  <c r="F137" i="22"/>
  <c r="G135" i="18" s="1"/>
  <c r="G273" s="1"/>
  <c r="G411" s="1"/>
  <c r="G549" s="1"/>
  <c r="G89"/>
  <c r="G227" s="1"/>
  <c r="G365" s="1"/>
  <c r="G503" s="1"/>
  <c r="B99" i="22"/>
  <c r="C97" i="18" s="1"/>
  <c r="C235" s="1"/>
  <c r="C373" s="1"/>
  <c r="C511" s="1"/>
  <c r="C51"/>
  <c r="C189" s="1"/>
  <c r="C327" s="1"/>
  <c r="C465" s="1"/>
  <c r="F99" i="22"/>
  <c r="G97" i="18" s="1"/>
  <c r="G235" s="1"/>
  <c r="G373" s="1"/>
  <c r="G511" s="1"/>
  <c r="G51"/>
  <c r="G189" s="1"/>
  <c r="G327" s="1"/>
  <c r="G465" s="1"/>
  <c r="B101" i="22"/>
  <c r="C99" i="18" s="1"/>
  <c r="C237" s="1"/>
  <c r="C375" s="1"/>
  <c r="C513" s="1"/>
  <c r="C53"/>
  <c r="C191" s="1"/>
  <c r="C329" s="1"/>
  <c r="C467" s="1"/>
  <c r="E103" i="22"/>
  <c r="F101" i="18" s="1"/>
  <c r="F239" s="1"/>
  <c r="F377" s="1"/>
  <c r="F515" s="1"/>
  <c r="F55"/>
  <c r="F193" s="1"/>
  <c r="F331" s="1"/>
  <c r="F469" s="1"/>
  <c r="A105" i="22"/>
  <c r="B103" i="18" s="1"/>
  <c r="B241" s="1"/>
  <c r="B379" s="1"/>
  <c r="B517" s="1"/>
  <c r="B57"/>
  <c r="B195" s="1"/>
  <c r="B333" s="1"/>
  <c r="B471" s="1"/>
  <c r="D106" i="22"/>
  <c r="E104" i="18" s="1"/>
  <c r="E242" s="1"/>
  <c r="E380" s="1"/>
  <c r="E518" s="1"/>
  <c r="E58"/>
  <c r="E196" s="1"/>
  <c r="E334" s="1"/>
  <c r="E472" s="1"/>
  <c r="B109" i="22"/>
  <c r="C107" i="18" s="1"/>
  <c r="C245" s="1"/>
  <c r="C383" s="1"/>
  <c r="C521" s="1"/>
  <c r="C61"/>
  <c r="C199" s="1"/>
  <c r="C337" s="1"/>
  <c r="C475" s="1"/>
  <c r="F111" i="22"/>
  <c r="G109" i="18" s="1"/>
  <c r="G247" s="1"/>
  <c r="G385" s="1"/>
  <c r="G523" s="1"/>
  <c r="G63"/>
  <c r="G201" s="1"/>
  <c r="G339" s="1"/>
  <c r="G477" s="1"/>
  <c r="B117" i="22"/>
  <c r="C115" i="18" s="1"/>
  <c r="C253" s="1"/>
  <c r="C391" s="1"/>
  <c r="C529" s="1"/>
  <c r="C69"/>
  <c r="C207" s="1"/>
  <c r="C345" s="1"/>
  <c r="C483" s="1"/>
  <c r="D138" i="22"/>
  <c r="E136" i="18" s="1"/>
  <c r="E274" s="1"/>
  <c r="E412" s="1"/>
  <c r="E550" s="1"/>
  <c r="E90"/>
  <c r="E228" s="1"/>
  <c r="E366" s="1"/>
  <c r="E504" s="1"/>
  <c r="D18"/>
  <c r="D156" s="1"/>
  <c r="D294" s="1"/>
  <c r="D432" s="1"/>
  <c r="G9"/>
  <c r="G147" s="1"/>
  <c r="G285" s="1"/>
  <c r="G423" s="1"/>
  <c r="G62"/>
  <c r="G200" s="1"/>
  <c r="G338" s="1"/>
  <c r="G476" s="1"/>
  <c r="B100" i="22"/>
  <c r="C98" i="18" s="1"/>
  <c r="C236" s="1"/>
  <c r="C374" s="1"/>
  <c r="C512" s="1"/>
  <c r="C52"/>
  <c r="C190" s="1"/>
  <c r="C328" s="1"/>
  <c r="C466" s="1"/>
  <c r="E107" i="22"/>
  <c r="F105" i="18" s="1"/>
  <c r="F243" s="1"/>
  <c r="F381" s="1"/>
  <c r="F519" s="1"/>
  <c r="B111" i="22"/>
  <c r="C109" i="18" s="1"/>
  <c r="C247" s="1"/>
  <c r="C385" s="1"/>
  <c r="C523" s="1"/>
  <c r="C63"/>
  <c r="C201" s="1"/>
  <c r="C339" s="1"/>
  <c r="C477" s="1"/>
  <c r="D112" i="22"/>
  <c r="E110" i="18" s="1"/>
  <c r="E248" s="1"/>
  <c r="E386" s="1"/>
  <c r="E524" s="1"/>
  <c r="E64"/>
  <c r="E202" s="1"/>
  <c r="E340" s="1"/>
  <c r="E478" s="1"/>
  <c r="A115" i="22"/>
  <c r="B113" i="18" s="1"/>
  <c r="B251" s="1"/>
  <c r="B389" s="1"/>
  <c r="B527" s="1"/>
  <c r="B67"/>
  <c r="B205" s="1"/>
  <c r="B343" s="1"/>
  <c r="B481" s="1"/>
  <c r="D137" i="22"/>
  <c r="E135" i="18" s="1"/>
  <c r="E273" s="1"/>
  <c r="E411" s="1"/>
  <c r="E549" s="1"/>
  <c r="E89"/>
  <c r="E227" s="1"/>
  <c r="E365" s="1"/>
  <c r="E503" s="1"/>
  <c r="C94"/>
  <c r="C232" s="1"/>
  <c r="C370" s="1"/>
  <c r="C508" s="1"/>
  <c r="F143" i="22"/>
  <c r="G141" i="18" s="1"/>
  <c r="G279" s="1"/>
  <c r="G417" s="1"/>
  <c r="G555" s="1"/>
  <c r="G95"/>
  <c r="G233" s="1"/>
  <c r="G371" s="1"/>
  <c r="G509" s="1"/>
  <c r="E101" i="22"/>
  <c r="F99" i="18" s="1"/>
  <c r="F237" s="1"/>
  <c r="F375" s="1"/>
  <c r="F513" s="1"/>
  <c r="F53"/>
  <c r="F191" s="1"/>
  <c r="F329" s="1"/>
  <c r="F467" s="1"/>
  <c r="C104" i="22"/>
  <c r="D102" i="18" s="1"/>
  <c r="D240" s="1"/>
  <c r="D378" s="1"/>
  <c r="D516" s="1"/>
  <c r="D56"/>
  <c r="D194" s="1"/>
  <c r="D332" s="1"/>
  <c r="D470" s="1"/>
  <c r="E109" i="22"/>
  <c r="F107" i="18" s="1"/>
  <c r="F245" s="1"/>
  <c r="F383" s="1"/>
  <c r="F521" s="1"/>
  <c r="F61"/>
  <c r="F199" s="1"/>
  <c r="F337" s="1"/>
  <c r="F475" s="1"/>
  <c r="E113" i="22"/>
  <c r="F111" i="18" s="1"/>
  <c r="F249" s="1"/>
  <c r="F387" s="1"/>
  <c r="F525" s="1"/>
  <c r="F65"/>
  <c r="F203" s="1"/>
  <c r="F341" s="1"/>
  <c r="F479" s="1"/>
  <c r="E117" i="22"/>
  <c r="F115" i="18" s="1"/>
  <c r="F253" s="1"/>
  <c r="F391" s="1"/>
  <c r="F529" s="1"/>
  <c r="F69"/>
  <c r="F207" s="1"/>
  <c r="F345" s="1"/>
  <c r="F483" s="1"/>
  <c r="A133" i="22"/>
  <c r="B131" i="18" s="1"/>
  <c r="B269" s="1"/>
  <c r="B407" s="1"/>
  <c r="B545" s="1"/>
  <c r="B85"/>
  <c r="B223" s="1"/>
  <c r="B361" s="1"/>
  <c r="B499" s="1"/>
  <c r="B137" i="22"/>
  <c r="C135" i="18" s="1"/>
  <c r="C273" s="1"/>
  <c r="C411" s="1"/>
  <c r="C549" s="1"/>
  <c r="C89"/>
  <c r="C227" s="1"/>
  <c r="C365" s="1"/>
  <c r="C503" s="1"/>
  <c r="C93"/>
  <c r="C231" s="1"/>
  <c r="C369" s="1"/>
  <c r="C507" s="1"/>
  <c r="D143" i="22"/>
  <c r="E141" i="18" s="1"/>
  <c r="E279" s="1"/>
  <c r="E417" s="1"/>
  <c r="E555" s="1"/>
  <c r="E95"/>
  <c r="E233" s="1"/>
  <c r="E371" s="1"/>
  <c r="E509" s="1"/>
  <c r="D140" i="22"/>
  <c r="E138" i="18" s="1"/>
  <c r="E276" s="1"/>
  <c r="E414" s="1"/>
  <c r="E552" s="1"/>
  <c r="E92"/>
  <c r="E230" s="1"/>
  <c r="E368" s="1"/>
  <c r="E506" s="1"/>
  <c r="D141" i="22"/>
  <c r="E139" i="18" s="1"/>
  <c r="E277" s="1"/>
  <c r="E415" s="1"/>
  <c r="E553" s="1"/>
  <c r="E93"/>
  <c r="E231" s="1"/>
  <c r="E369" s="1"/>
  <c r="E507" s="1"/>
  <c r="E56"/>
  <c r="E194" s="1"/>
  <c r="E332" s="1"/>
  <c r="E470" s="1"/>
  <c r="A111" i="22"/>
  <c r="B109" i="18" s="1"/>
  <c r="B247" s="1"/>
  <c r="B385" s="1"/>
  <c r="B523" s="1"/>
  <c r="B63"/>
  <c r="B201" s="1"/>
  <c r="B339" s="1"/>
  <c r="B477" s="1"/>
  <c r="E128" i="22"/>
  <c r="F126" i="18" s="1"/>
  <c r="F264" s="1"/>
  <c r="F402" s="1"/>
  <c r="F540" s="1"/>
  <c r="F80"/>
  <c r="F218" s="1"/>
  <c r="F356" s="1"/>
  <c r="F494" s="1"/>
  <c r="D132" i="22"/>
  <c r="E130" i="18" s="1"/>
  <c r="E268" s="1"/>
  <c r="E406" s="1"/>
  <c r="E544" s="1"/>
  <c r="E84"/>
  <c r="E222" s="1"/>
  <c r="E360" s="1"/>
  <c r="E498" s="1"/>
  <c r="C95"/>
  <c r="C233" s="1"/>
  <c r="C371" s="1"/>
  <c r="C509" s="1"/>
  <c r="D102" i="22"/>
  <c r="E100" i="18" s="1"/>
  <c r="E238" s="1"/>
  <c r="E376" s="1"/>
  <c r="E514" s="1"/>
  <c r="E54"/>
  <c r="E192" s="1"/>
  <c r="E330" s="1"/>
  <c r="E468" s="1"/>
  <c r="D118" i="22"/>
  <c r="E116" i="18" s="1"/>
  <c r="E254" s="1"/>
  <c r="E392" s="1"/>
  <c r="E530" s="1"/>
  <c r="E70"/>
  <c r="E208" s="1"/>
  <c r="E346" s="1"/>
  <c r="E484" s="1"/>
  <c r="C135" i="22"/>
  <c r="D133" i="18" s="1"/>
  <c r="D271" s="1"/>
  <c r="D409" s="1"/>
  <c r="D547" s="1"/>
  <c r="D87"/>
  <c r="D225" s="1"/>
  <c r="D363" s="1"/>
  <c r="D501" s="1"/>
  <c r="C139" i="22"/>
  <c r="D137" i="18" s="1"/>
  <c r="D275" s="1"/>
  <c r="D413" s="1"/>
  <c r="D551" s="1"/>
  <c r="D91"/>
  <c r="D229" s="1"/>
  <c r="D367" s="1"/>
  <c r="D505" s="1"/>
  <c r="F140" i="22"/>
  <c r="G138" i="18" s="1"/>
  <c r="G276" s="1"/>
  <c r="G414" s="1"/>
  <c r="G552" s="1"/>
  <c r="G92"/>
  <c r="G230" s="1"/>
  <c r="G368" s="1"/>
  <c r="G506" s="1"/>
  <c r="C143" i="22"/>
  <c r="D141" i="18" s="1"/>
  <c r="D279" s="1"/>
  <c r="D417" s="1"/>
  <c r="D555" s="1"/>
  <c r="D95"/>
  <c r="D233" s="1"/>
  <c r="D371" s="1"/>
  <c r="D509" s="1"/>
  <c r="F144" i="22"/>
  <c r="G142" i="18" s="1"/>
  <c r="G280" s="1"/>
  <c r="G418" s="1"/>
  <c r="G556" s="1"/>
  <c r="G96"/>
  <c r="G234" s="1"/>
  <c r="G372" s="1"/>
  <c r="G510" s="1"/>
  <c r="C7"/>
  <c r="C145" s="1"/>
  <c r="C283" s="1"/>
  <c r="C421" s="1"/>
  <c r="F9"/>
  <c r="F147" s="1"/>
  <c r="F285" s="1"/>
  <c r="F423" s="1"/>
  <c r="C15"/>
  <c r="C153" s="1"/>
  <c r="C291" s="1"/>
  <c r="C429" s="1"/>
  <c r="G19"/>
  <c r="G157" s="1"/>
  <c r="G295" s="1"/>
  <c r="G433" s="1"/>
  <c r="C23"/>
  <c r="C161" s="1"/>
  <c r="C299" s="1"/>
  <c r="C437" s="1"/>
  <c r="E50"/>
  <c r="E188" s="1"/>
  <c r="E326" s="1"/>
  <c r="E464" s="1"/>
  <c r="F54"/>
  <c r="F192" s="1"/>
  <c r="F330" s="1"/>
  <c r="F468" s="1"/>
  <c r="F84"/>
  <c r="F222" s="1"/>
  <c r="F360" s="1"/>
  <c r="F498" s="1"/>
  <c r="E85"/>
  <c r="E223" s="1"/>
  <c r="E361" s="1"/>
  <c r="E499" s="1"/>
  <c r="B86"/>
  <c r="B224" s="1"/>
  <c r="B362" s="1"/>
  <c r="B500" s="1"/>
  <c r="E96"/>
  <c r="E234" s="1"/>
  <c r="E372" s="1"/>
  <c r="E510" s="1"/>
  <c r="A54" i="22"/>
  <c r="E54"/>
  <c r="C61"/>
  <c r="D59" i="18" s="1"/>
  <c r="D197" s="1"/>
  <c r="D335" s="1"/>
  <c r="D473" s="1"/>
  <c r="B64" i="22"/>
  <c r="H22"/>
  <c r="I20" i="18" s="1"/>
  <c r="I158" s="1"/>
  <c r="I296" s="1"/>
  <c r="I434" s="1"/>
  <c r="F69" i="22"/>
  <c r="F72"/>
  <c r="H72" s="1"/>
  <c r="I70" i="18" s="1"/>
  <c r="I208" s="1"/>
  <c r="I346" s="1"/>
  <c r="I484" s="1"/>
  <c r="B88" i="22"/>
  <c r="B62"/>
  <c r="D64"/>
  <c r="B66"/>
  <c r="B67"/>
  <c r="B70"/>
  <c r="F83"/>
  <c r="F86"/>
  <c r="F87"/>
  <c r="H87" s="1"/>
  <c r="I85" i="18" s="1"/>
  <c r="I223" s="1"/>
  <c r="I361" s="1"/>
  <c r="I499" s="1"/>
  <c r="G5"/>
  <c r="G143" s="1"/>
  <c r="G281" s="1"/>
  <c r="G419" s="1"/>
  <c r="E44"/>
  <c r="E182" s="1"/>
  <c r="E320" s="1"/>
  <c r="E458" s="1"/>
  <c r="G52"/>
  <c r="G190" s="1"/>
  <c r="G328" s="1"/>
  <c r="G466" s="1"/>
  <c r="E53"/>
  <c r="E191" s="1"/>
  <c r="E329" s="1"/>
  <c r="E467" s="1"/>
  <c r="E57"/>
  <c r="E195" s="1"/>
  <c r="E333" s="1"/>
  <c r="E471" s="1"/>
  <c r="E61"/>
  <c r="E199" s="1"/>
  <c r="E337" s="1"/>
  <c r="E475" s="1"/>
  <c r="B62"/>
  <c r="B200" s="1"/>
  <c r="B338" s="1"/>
  <c r="B476" s="1"/>
  <c r="B66"/>
  <c r="B204" s="1"/>
  <c r="B342" s="1"/>
  <c r="B480" s="1"/>
  <c r="E69"/>
  <c r="E207" s="1"/>
  <c r="E345" s="1"/>
  <c r="E483" s="1"/>
  <c r="B70"/>
  <c r="B208" s="1"/>
  <c r="B346" s="1"/>
  <c r="B484" s="1"/>
  <c r="C80"/>
  <c r="C218" s="1"/>
  <c r="C356" s="1"/>
  <c r="C494" s="1"/>
  <c r="E83"/>
  <c r="E221" s="1"/>
  <c r="E359" s="1"/>
  <c r="E497" s="1"/>
  <c r="B106" i="22"/>
  <c r="C104" i="18" s="1"/>
  <c r="C242" s="1"/>
  <c r="C380" s="1"/>
  <c r="C518" s="1"/>
  <c r="C58"/>
  <c r="C196" s="1"/>
  <c r="C334" s="1"/>
  <c r="C472" s="1"/>
  <c r="B114" i="22"/>
  <c r="C112" i="18" s="1"/>
  <c r="C250" s="1"/>
  <c r="C388" s="1"/>
  <c r="C526" s="1"/>
  <c r="C66"/>
  <c r="C204" s="1"/>
  <c r="C342" s="1"/>
  <c r="C480" s="1"/>
  <c r="F130" i="22"/>
  <c r="G128" i="18" s="1"/>
  <c r="G266" s="1"/>
  <c r="G404" s="1"/>
  <c r="G542" s="1"/>
  <c r="G82"/>
  <c r="G220" s="1"/>
  <c r="G358" s="1"/>
  <c r="G496" s="1"/>
  <c r="E131" i="22"/>
  <c r="F129" i="18" s="1"/>
  <c r="F267" s="1"/>
  <c r="F405" s="1"/>
  <c r="F543" s="1"/>
  <c r="F83"/>
  <c r="F221" s="1"/>
  <c r="F359" s="1"/>
  <c r="F497" s="1"/>
  <c r="B139" i="22"/>
  <c r="C137" i="18" s="1"/>
  <c r="C275" s="1"/>
  <c r="C413" s="1"/>
  <c r="C551" s="1"/>
  <c r="C91"/>
  <c r="C229" s="1"/>
  <c r="C367" s="1"/>
  <c r="C505" s="1"/>
  <c r="E105" i="22"/>
  <c r="F103" i="18" s="1"/>
  <c r="F241" s="1"/>
  <c r="F379" s="1"/>
  <c r="F517" s="1"/>
  <c r="F57"/>
  <c r="F195" s="1"/>
  <c r="F333" s="1"/>
  <c r="F471" s="1"/>
  <c r="A130" i="22"/>
  <c r="B128" i="18" s="1"/>
  <c r="B266" s="1"/>
  <c r="B404" s="1"/>
  <c r="B542" s="1"/>
  <c r="B82"/>
  <c r="B220" s="1"/>
  <c r="B358" s="1"/>
  <c r="B496" s="1"/>
  <c r="D135" i="22"/>
  <c r="E133" i="18" s="1"/>
  <c r="E271" s="1"/>
  <c r="E409" s="1"/>
  <c r="E547" s="1"/>
  <c r="E87"/>
  <c r="E225" s="1"/>
  <c r="E363" s="1"/>
  <c r="E501" s="1"/>
  <c r="D139" i="22"/>
  <c r="E137" i="18" s="1"/>
  <c r="E275" s="1"/>
  <c r="E413" s="1"/>
  <c r="E551" s="1"/>
  <c r="E91"/>
  <c r="E229" s="1"/>
  <c r="E367" s="1"/>
  <c r="E505" s="1"/>
  <c r="B107" i="22"/>
  <c r="C105" i="18" s="1"/>
  <c r="C243" s="1"/>
  <c r="C381" s="1"/>
  <c r="C519" s="1"/>
  <c r="C59"/>
  <c r="C197" s="1"/>
  <c r="C335" s="1"/>
  <c r="C473" s="1"/>
  <c r="D128" i="22"/>
  <c r="E126" i="18" s="1"/>
  <c r="E264" s="1"/>
  <c r="E402" s="1"/>
  <c r="E540" s="1"/>
  <c r="E80"/>
  <c r="E218" s="1"/>
  <c r="E356" s="1"/>
  <c r="E494" s="1"/>
  <c r="A132" i="22"/>
  <c r="B130" i="18" s="1"/>
  <c r="B268" s="1"/>
  <c r="B406" s="1"/>
  <c r="B544" s="1"/>
  <c r="B84"/>
  <c r="B222" s="1"/>
  <c r="B360" s="1"/>
  <c r="B498" s="1"/>
  <c r="B135" i="22"/>
  <c r="C133" i="18" s="1"/>
  <c r="C271" s="1"/>
  <c r="C409" s="1"/>
  <c r="C547" s="1"/>
  <c r="C87"/>
  <c r="C225" s="1"/>
  <c r="C363" s="1"/>
  <c r="C501" s="1"/>
  <c r="A109" i="22"/>
  <c r="B107" i="18" s="1"/>
  <c r="B245" s="1"/>
  <c r="B383" s="1"/>
  <c r="B521" s="1"/>
  <c r="B61"/>
  <c r="B199" s="1"/>
  <c r="B337" s="1"/>
  <c r="B475" s="1"/>
  <c r="A113" i="22"/>
  <c r="B111" i="18" s="1"/>
  <c r="B249" s="1"/>
  <c r="B387" s="1"/>
  <c r="B525" s="1"/>
  <c r="B65"/>
  <c r="B203" s="1"/>
  <c r="B341" s="1"/>
  <c r="B479" s="1"/>
  <c r="A117" i="22"/>
  <c r="B115" i="18" s="1"/>
  <c r="B253" s="1"/>
  <c r="B391" s="1"/>
  <c r="B529" s="1"/>
  <c r="B69"/>
  <c r="B207" s="1"/>
  <c r="B345" s="1"/>
  <c r="B483" s="1"/>
  <c r="E130" i="22"/>
  <c r="F128" i="18" s="1"/>
  <c r="F266" s="1"/>
  <c r="F404" s="1"/>
  <c r="F542" s="1"/>
  <c r="F82"/>
  <c r="F220" s="1"/>
  <c r="F358" s="1"/>
  <c r="F496" s="1"/>
  <c r="E134" i="22"/>
  <c r="F132" i="18" s="1"/>
  <c r="F270" s="1"/>
  <c r="F408" s="1"/>
  <c r="F546" s="1"/>
  <c r="F86"/>
  <c r="F224" s="1"/>
  <c r="F362" s="1"/>
  <c r="F500" s="1"/>
  <c r="C136" i="22"/>
  <c r="D134" i="18" s="1"/>
  <c r="D272" s="1"/>
  <c r="D410" s="1"/>
  <c r="D548" s="1"/>
  <c r="D88"/>
  <c r="D226" s="1"/>
  <c r="D364" s="1"/>
  <c r="D502" s="1"/>
  <c r="C144" i="22"/>
  <c r="D142" i="18" s="1"/>
  <c r="D280" s="1"/>
  <c r="D418" s="1"/>
  <c r="D556" s="1"/>
  <c r="D96"/>
  <c r="D234" s="1"/>
  <c r="D372" s="1"/>
  <c r="D510" s="1"/>
  <c r="H12" i="22"/>
  <c r="I10" i="18" s="1"/>
  <c r="I148" s="1"/>
  <c r="I286" s="1"/>
  <c r="I424" s="1"/>
  <c r="H18" i="22"/>
  <c r="I16" i="18" s="1"/>
  <c r="I154" s="1"/>
  <c r="I292" s="1"/>
  <c r="I430" s="1"/>
  <c r="F68" i="22"/>
  <c r="B84"/>
  <c r="B85"/>
  <c r="D90"/>
  <c r="A56"/>
  <c r="F82"/>
  <c r="D96"/>
  <c r="F56" i="18"/>
  <c r="F194" s="1"/>
  <c r="F332" s="1"/>
  <c r="F470" s="1"/>
  <c r="F60"/>
  <c r="F198" s="1"/>
  <c r="F336" s="1"/>
  <c r="F474" s="1"/>
  <c r="B81"/>
  <c r="B219" s="1"/>
  <c r="B357" s="1"/>
  <c r="B495" s="1"/>
  <c r="B51"/>
  <c r="B189" s="1"/>
  <c r="B327" s="1"/>
  <c r="B465" s="1"/>
  <c r="H44" i="22"/>
  <c r="I42" i="18" s="1"/>
  <c r="I180" s="1"/>
  <c r="I318" s="1"/>
  <c r="I456" s="1"/>
  <c r="H47" i="22"/>
  <c r="I45" i="18" s="1"/>
  <c r="I183" s="1"/>
  <c r="I321" s="1"/>
  <c r="I459" s="1"/>
  <c r="H48" i="22"/>
  <c r="I46" i="18" s="1"/>
  <c r="I184" s="1"/>
  <c r="I322" s="1"/>
  <c r="I460" s="1"/>
  <c r="H58" i="22"/>
  <c r="I56" i="18" s="1"/>
  <c r="I194" s="1"/>
  <c r="I332" s="1"/>
  <c r="I470" s="1"/>
  <c r="H98" i="22"/>
  <c r="I96" i="18" s="1"/>
  <c r="I234" s="1"/>
  <c r="I372" s="1"/>
  <c r="I510" s="1"/>
  <c r="E115" i="22"/>
  <c r="H69"/>
  <c r="I67" i="18" s="1"/>
  <c r="I205" s="1"/>
  <c r="I343" s="1"/>
  <c r="I481" s="1"/>
  <c r="E114" i="22"/>
  <c r="H68"/>
  <c r="I66" i="18" s="1"/>
  <c r="I204" s="1"/>
  <c r="I342" s="1"/>
  <c r="I480" s="1"/>
  <c r="C105" i="22"/>
  <c r="E111"/>
  <c r="H65"/>
  <c r="I63" i="18" s="1"/>
  <c r="I201" s="1"/>
  <c r="I339" s="1"/>
  <c r="I477" s="1"/>
  <c r="E66" i="22"/>
  <c r="F64" i="18" s="1"/>
  <c r="F202" s="1"/>
  <c r="F340" s="1"/>
  <c r="F478" s="1"/>
  <c r="H20" i="22"/>
  <c r="I18" i="18" s="1"/>
  <c r="I156" s="1"/>
  <c r="I294" s="1"/>
  <c r="I432" s="1"/>
  <c r="C129" i="22"/>
  <c r="H15"/>
  <c r="I13" i="18" s="1"/>
  <c r="I151" s="1"/>
  <c r="I289" s="1"/>
  <c r="I427" s="1"/>
  <c r="H10" i="22"/>
  <c r="I8" i="18" s="1"/>
  <c r="I146" s="1"/>
  <c r="I284" s="1"/>
  <c r="I422" s="1"/>
  <c r="H11" i="22"/>
  <c r="I9" i="18" s="1"/>
  <c r="I147" s="1"/>
  <c r="I285" s="1"/>
  <c r="I423" s="1"/>
  <c r="H13" i="22"/>
  <c r="I11" i="18" s="1"/>
  <c r="I149" s="1"/>
  <c r="I287" s="1"/>
  <c r="I425" s="1"/>
  <c r="H36" i="22"/>
  <c r="I34" i="18" s="1"/>
  <c r="I172" s="1"/>
  <c r="I310" s="1"/>
  <c r="I448" s="1"/>
  <c r="H38" i="22"/>
  <c r="I36" i="18" s="1"/>
  <c r="I174" s="1"/>
  <c r="I312" s="1"/>
  <c r="I450" s="1"/>
  <c r="H51" i="22"/>
  <c r="I49" i="18" s="1"/>
  <c r="I187" s="1"/>
  <c r="I325" s="1"/>
  <c r="I463" s="1"/>
  <c r="H52" i="22"/>
  <c r="I50" i="18" s="1"/>
  <c r="I188" s="1"/>
  <c r="I326" s="1"/>
  <c r="I464" s="1"/>
  <c r="C141" i="22"/>
  <c r="C142"/>
  <c r="E118"/>
  <c r="E70"/>
  <c r="F68" i="18" s="1"/>
  <c r="F206" s="1"/>
  <c r="F344" s="1"/>
  <c r="F482" s="1"/>
  <c r="H24" i="22"/>
  <c r="I22" i="18" s="1"/>
  <c r="I160" s="1"/>
  <c r="I298" s="1"/>
  <c r="I436" s="1"/>
  <c r="C138" i="22"/>
  <c r="H92"/>
  <c r="I90" i="18" s="1"/>
  <c r="I228" s="1"/>
  <c r="I366" s="1"/>
  <c r="I504" s="1"/>
  <c r="H63" i="22"/>
  <c r="I61" i="18" s="1"/>
  <c r="I199" s="1"/>
  <c r="I337" s="1"/>
  <c r="I475" s="1"/>
  <c r="C109" i="22"/>
  <c r="C133"/>
  <c r="H50"/>
  <c r="I48" i="18" s="1"/>
  <c r="I186" s="1"/>
  <c r="I324" s="1"/>
  <c r="I462" s="1"/>
  <c r="H46" i="22"/>
  <c r="I44" i="18" s="1"/>
  <c r="I182" s="1"/>
  <c r="I320" s="1"/>
  <c r="I458" s="1"/>
  <c r="H16" i="22"/>
  <c r="I14" i="18" s="1"/>
  <c r="I152" s="1"/>
  <c r="I290" s="1"/>
  <c r="I428" s="1"/>
  <c r="H40" i="22"/>
  <c r="I38" i="18" s="1"/>
  <c r="I176" s="1"/>
  <c r="I314" s="1"/>
  <c r="I452" s="1"/>
  <c r="H42" i="22"/>
  <c r="I40" i="18" s="1"/>
  <c r="I178" s="1"/>
  <c r="I316" s="1"/>
  <c r="I454" s="1"/>
  <c r="H90" i="22"/>
  <c r="I88" i="18" s="1"/>
  <c r="I226" s="1"/>
  <c r="I364" s="1"/>
  <c r="I502" s="1"/>
  <c r="H7" i="22"/>
  <c r="I5" i="18" s="1"/>
  <c r="I143" s="1"/>
  <c r="I281" s="1"/>
  <c r="I419" s="1"/>
  <c r="H9" i="22"/>
  <c r="I7" i="18" s="1"/>
  <c r="I145" s="1"/>
  <c r="I283" s="1"/>
  <c r="I421" s="1"/>
  <c r="H49" i="22"/>
  <c r="I47" i="18" s="1"/>
  <c r="I185" s="1"/>
  <c r="I323" s="1"/>
  <c r="I461" s="1"/>
  <c r="H93" i="22"/>
  <c r="I91" i="18" s="1"/>
  <c r="I229" s="1"/>
  <c r="I367" s="1"/>
  <c r="I505" s="1"/>
  <c r="H14" i="22"/>
  <c r="I12" i="18" s="1"/>
  <c r="I150" s="1"/>
  <c r="I288" s="1"/>
  <c r="I426" s="1"/>
  <c r="C56" i="22"/>
  <c r="D54" i="18" s="1"/>
  <c r="D192" s="1"/>
  <c r="D330" s="1"/>
  <c r="D468" s="1"/>
  <c r="H17" i="22"/>
  <c r="I15" i="18" s="1"/>
  <c r="I153" s="1"/>
  <c r="I291" s="1"/>
  <c r="I429" s="1"/>
  <c r="H37" i="22"/>
  <c r="I35" i="18" s="1"/>
  <c r="I173" s="1"/>
  <c r="I311" s="1"/>
  <c r="I449" s="1"/>
  <c r="H41" i="22"/>
  <c r="I39" i="18" s="1"/>
  <c r="I177" s="1"/>
  <c r="I315" s="1"/>
  <c r="I453" s="1"/>
  <c r="H45" i="22"/>
  <c r="I43" i="18" s="1"/>
  <c r="I181" s="1"/>
  <c r="I319" s="1"/>
  <c r="I457" s="1"/>
  <c r="H57" i="22"/>
  <c r="I55" i="18" s="1"/>
  <c r="I193" s="1"/>
  <c r="I331" s="1"/>
  <c r="I469" s="1"/>
  <c r="H19" i="22"/>
  <c r="I17" i="18" s="1"/>
  <c r="I155" s="1"/>
  <c r="I293" s="1"/>
  <c r="I431" s="1"/>
  <c r="H23" i="22"/>
  <c r="I21" i="18" s="1"/>
  <c r="I159" s="1"/>
  <c r="I297" s="1"/>
  <c r="I435" s="1"/>
  <c r="H67" i="22"/>
  <c r="I65" i="18" s="1"/>
  <c r="I203" s="1"/>
  <c r="I341" s="1"/>
  <c r="I479" s="1"/>
  <c r="H71" i="22"/>
  <c r="I69" i="18" s="1"/>
  <c r="I207" s="1"/>
  <c r="I345" s="1"/>
  <c r="I483" s="1"/>
  <c r="D92" l="1"/>
  <c r="D230" s="1"/>
  <c r="D368" s="1"/>
  <c r="D506" s="1"/>
  <c r="G94"/>
  <c r="G232" s="1"/>
  <c r="G370" s="1"/>
  <c r="G508" s="1"/>
  <c r="D130" i="22"/>
  <c r="E128" i="18" s="1"/>
  <c r="E266" s="1"/>
  <c r="E404" s="1"/>
  <c r="E542" s="1"/>
  <c r="B140" i="22"/>
  <c r="C138" i="18" s="1"/>
  <c r="C276" s="1"/>
  <c r="C414" s="1"/>
  <c r="C552" s="1"/>
  <c r="C67"/>
  <c r="C205" s="1"/>
  <c r="C343" s="1"/>
  <c r="C481" s="1"/>
  <c r="E110" i="22"/>
  <c r="F108" i="18" s="1"/>
  <c r="F246" s="1"/>
  <c r="F384" s="1"/>
  <c r="F522" s="1"/>
  <c r="H85" i="22"/>
  <c r="I83" i="18" s="1"/>
  <c r="I221" s="1"/>
  <c r="I359" s="1"/>
  <c r="I497" s="1"/>
  <c r="E129" i="22"/>
  <c r="F127" i="18" s="1"/>
  <c r="F265" s="1"/>
  <c r="F403" s="1"/>
  <c r="F541" s="1"/>
  <c r="E65"/>
  <c r="E203" s="1"/>
  <c r="E341" s="1"/>
  <c r="E479" s="1"/>
  <c r="E55"/>
  <c r="E193" s="1"/>
  <c r="E331" s="1"/>
  <c r="E469" s="1"/>
  <c r="H96" i="22"/>
  <c r="I94" i="18" s="1"/>
  <c r="I232" s="1"/>
  <c r="I370" s="1"/>
  <c r="I508" s="1"/>
  <c r="D52"/>
  <c r="D190" s="1"/>
  <c r="D328" s="1"/>
  <c r="D466" s="1"/>
  <c r="H55" i="22"/>
  <c r="I53" i="18" s="1"/>
  <c r="I191" s="1"/>
  <c r="I329" s="1"/>
  <c r="I467" s="1"/>
  <c r="H83" i="22"/>
  <c r="I81" i="18" s="1"/>
  <c r="I219" s="1"/>
  <c r="I357" s="1"/>
  <c r="I495" s="1"/>
  <c r="C137" i="22"/>
  <c r="A101"/>
  <c r="B99" i="18" s="1"/>
  <c r="B237" s="1"/>
  <c r="B375" s="1"/>
  <c r="B513" s="1"/>
  <c r="H94" i="22"/>
  <c r="I92" i="18" s="1"/>
  <c r="I230" s="1"/>
  <c r="I368" s="1"/>
  <c r="I506" s="1"/>
  <c r="B56"/>
  <c r="B194" s="1"/>
  <c r="B332" s="1"/>
  <c r="B470" s="1"/>
  <c r="C99" i="22"/>
  <c r="D97" i="18" s="1"/>
  <c r="D235" s="1"/>
  <c r="D373" s="1"/>
  <c r="D511" s="1"/>
  <c r="H64" i="22"/>
  <c r="I62" i="18" s="1"/>
  <c r="I200" s="1"/>
  <c r="I338" s="1"/>
  <c r="I476" s="1"/>
  <c r="H91" i="22"/>
  <c r="I89" i="18" s="1"/>
  <c r="I227" s="1"/>
  <c r="I365" s="1"/>
  <c r="I503" s="1"/>
  <c r="C107" i="22"/>
  <c r="D105" i="18" s="1"/>
  <c r="D243" s="1"/>
  <c r="D381" s="1"/>
  <c r="D519" s="1"/>
  <c r="C134" i="22"/>
  <c r="H86"/>
  <c r="I84" i="18" s="1"/>
  <c r="I222" s="1"/>
  <c r="I360" s="1"/>
  <c r="I498" s="1"/>
  <c r="H88" i="22"/>
  <c r="I86" i="18" s="1"/>
  <c r="I224" s="1"/>
  <c r="I362" s="1"/>
  <c r="I500" s="1"/>
  <c r="H104" i="22"/>
  <c r="I102" i="18" s="1"/>
  <c r="I240" s="1"/>
  <c r="I378" s="1"/>
  <c r="I516" s="1"/>
  <c r="H109" i="22"/>
  <c r="I107" i="18" s="1"/>
  <c r="I245" s="1"/>
  <c r="I383" s="1"/>
  <c r="I521" s="1"/>
  <c r="D107"/>
  <c r="D245" s="1"/>
  <c r="D383" s="1"/>
  <c r="D521" s="1"/>
  <c r="D139"/>
  <c r="D277" s="1"/>
  <c r="D415" s="1"/>
  <c r="D553" s="1"/>
  <c r="C116" i="22"/>
  <c r="D114" i="18" s="1"/>
  <c r="D252" s="1"/>
  <c r="D390" s="1"/>
  <c r="D528" s="1"/>
  <c r="D68"/>
  <c r="D206" s="1"/>
  <c r="D344" s="1"/>
  <c r="D482" s="1"/>
  <c r="E141" i="22"/>
  <c r="F139" i="18" s="1"/>
  <c r="F277" s="1"/>
  <c r="F415" s="1"/>
  <c r="F553" s="1"/>
  <c r="F93"/>
  <c r="F231" s="1"/>
  <c r="F369" s="1"/>
  <c r="F507" s="1"/>
  <c r="A137" i="22"/>
  <c r="B135" i="18" s="1"/>
  <c r="B273" s="1"/>
  <c r="B411" s="1"/>
  <c r="B549" s="1"/>
  <c r="B89"/>
  <c r="B227" s="1"/>
  <c r="B365" s="1"/>
  <c r="B503" s="1"/>
  <c r="A136" i="22"/>
  <c r="B134" i="18" s="1"/>
  <c r="B272" s="1"/>
  <c r="B410" s="1"/>
  <c r="B548" s="1"/>
  <c r="B88"/>
  <c r="B226" s="1"/>
  <c r="B364" s="1"/>
  <c r="B502" s="1"/>
  <c r="C108" i="22"/>
  <c r="D60" i="18"/>
  <c r="D198" s="1"/>
  <c r="D336" s="1"/>
  <c r="D474" s="1"/>
  <c r="D142" i="22"/>
  <c r="E140" i="18" s="1"/>
  <c r="E278" s="1"/>
  <c r="E416" s="1"/>
  <c r="E554" s="1"/>
  <c r="E94"/>
  <c r="E232" s="1"/>
  <c r="E370" s="1"/>
  <c r="E508" s="1"/>
  <c r="A138" i="22"/>
  <c r="B136" i="18" s="1"/>
  <c r="B274" s="1"/>
  <c r="B412" s="1"/>
  <c r="B550" s="1"/>
  <c r="B90"/>
  <c r="B228" s="1"/>
  <c r="B366" s="1"/>
  <c r="B504" s="1"/>
  <c r="C128" i="22"/>
  <c r="D80" i="18"/>
  <c r="D218" s="1"/>
  <c r="D356" s="1"/>
  <c r="D494" s="1"/>
  <c r="H82" i="22"/>
  <c r="I80" i="18" s="1"/>
  <c r="I218" s="1"/>
  <c r="I356" s="1"/>
  <c r="I494" s="1"/>
  <c r="C118" i="22"/>
  <c r="D116" i="18" s="1"/>
  <c r="D254" s="1"/>
  <c r="D392" s="1"/>
  <c r="D530" s="1"/>
  <c r="D70"/>
  <c r="D208" s="1"/>
  <c r="D346" s="1"/>
  <c r="D484" s="1"/>
  <c r="F102" i="22"/>
  <c r="G100" i="18" s="1"/>
  <c r="G238" s="1"/>
  <c r="G376" s="1"/>
  <c r="G514" s="1"/>
  <c r="G54"/>
  <c r="G192" s="1"/>
  <c r="G330" s="1"/>
  <c r="G468" s="1"/>
  <c r="D131"/>
  <c r="D269" s="1"/>
  <c r="D407" s="1"/>
  <c r="D545" s="1"/>
  <c r="D103"/>
  <c r="D241" s="1"/>
  <c r="D379" s="1"/>
  <c r="D517" s="1"/>
  <c r="D135"/>
  <c r="D273" s="1"/>
  <c r="D411" s="1"/>
  <c r="D549" s="1"/>
  <c r="D136" i="22"/>
  <c r="E134" i="18" s="1"/>
  <c r="E272" s="1"/>
  <c r="E410" s="1"/>
  <c r="E548" s="1"/>
  <c r="E88"/>
  <c r="E226" s="1"/>
  <c r="E364" s="1"/>
  <c r="E502" s="1"/>
  <c r="B113" i="22"/>
  <c r="C111" i="18" s="1"/>
  <c r="C249" s="1"/>
  <c r="C387" s="1"/>
  <c r="C525" s="1"/>
  <c r="C65"/>
  <c r="C203" s="1"/>
  <c r="C341" s="1"/>
  <c r="C479" s="1"/>
  <c r="B134" i="22"/>
  <c r="C132" i="18" s="1"/>
  <c r="C270" s="1"/>
  <c r="C408" s="1"/>
  <c r="C546" s="1"/>
  <c r="C86"/>
  <c r="C224" s="1"/>
  <c r="C362" s="1"/>
  <c r="C500" s="1"/>
  <c r="B110" i="22"/>
  <c r="C108" i="18" s="1"/>
  <c r="C246" s="1"/>
  <c r="C384" s="1"/>
  <c r="C522" s="1"/>
  <c r="C62"/>
  <c r="C200" s="1"/>
  <c r="C338" s="1"/>
  <c r="C476" s="1"/>
  <c r="A140" i="22"/>
  <c r="B138" i="18" s="1"/>
  <c r="B276" s="1"/>
  <c r="B414" s="1"/>
  <c r="B552" s="1"/>
  <c r="B92"/>
  <c r="B230" s="1"/>
  <c r="B368" s="1"/>
  <c r="B506" s="1"/>
  <c r="B103" i="22"/>
  <c r="C101" i="18" s="1"/>
  <c r="C239" s="1"/>
  <c r="C377" s="1"/>
  <c r="C515" s="1"/>
  <c r="C55"/>
  <c r="C193" s="1"/>
  <c r="C331" s="1"/>
  <c r="C469" s="1"/>
  <c r="C114" i="22"/>
  <c r="D112" i="18" s="1"/>
  <c r="D250" s="1"/>
  <c r="D388" s="1"/>
  <c r="D526" s="1"/>
  <c r="D66"/>
  <c r="D204" s="1"/>
  <c r="D342" s="1"/>
  <c r="D480" s="1"/>
  <c r="E142" i="22"/>
  <c r="F140" i="18" s="1"/>
  <c r="F278" s="1"/>
  <c r="F416" s="1"/>
  <c r="F554" s="1"/>
  <c r="F94"/>
  <c r="F232" s="1"/>
  <c r="F370" s="1"/>
  <c r="F508" s="1"/>
  <c r="E139" i="22"/>
  <c r="F91" i="18"/>
  <c r="F229" s="1"/>
  <c r="F367" s="1"/>
  <c r="F505" s="1"/>
  <c r="E137" i="22"/>
  <c r="F135" i="18" s="1"/>
  <c r="F273" s="1"/>
  <c r="F411" s="1"/>
  <c r="F549" s="1"/>
  <c r="F89"/>
  <c r="F227" s="1"/>
  <c r="F365" s="1"/>
  <c r="F503" s="1"/>
  <c r="E136" i="22"/>
  <c r="F88" i="18"/>
  <c r="F226" s="1"/>
  <c r="F364" s="1"/>
  <c r="F502" s="1"/>
  <c r="C131" i="22"/>
  <c r="D83" i="18"/>
  <c r="D221" s="1"/>
  <c r="D359" s="1"/>
  <c r="D497" s="1"/>
  <c r="H103" i="22"/>
  <c r="I101" i="18" s="1"/>
  <c r="I239" s="1"/>
  <c r="I377" s="1"/>
  <c r="I515" s="1"/>
  <c r="C130" i="22"/>
  <c r="H117"/>
  <c r="I115" i="18" s="1"/>
  <c r="I253" s="1"/>
  <c r="I391" s="1"/>
  <c r="I529" s="1"/>
  <c r="H53" i="22"/>
  <c r="I51" i="18" s="1"/>
  <c r="I189" s="1"/>
  <c r="I327" s="1"/>
  <c r="I465" s="1"/>
  <c r="C101" i="22"/>
  <c r="H84"/>
  <c r="I82" i="18" s="1"/>
  <c r="I220" s="1"/>
  <c r="I358" s="1"/>
  <c r="I496" s="1"/>
  <c r="H61" i="22"/>
  <c r="I59" i="18" s="1"/>
  <c r="I197" s="1"/>
  <c r="I335" s="1"/>
  <c r="I473" s="1"/>
  <c r="D127"/>
  <c r="D265" s="1"/>
  <c r="D403" s="1"/>
  <c r="D541" s="1"/>
  <c r="F128" i="22"/>
  <c r="G126" i="18" s="1"/>
  <c r="G264" s="1"/>
  <c r="G402" s="1"/>
  <c r="G540" s="1"/>
  <c r="G80"/>
  <c r="G218" s="1"/>
  <c r="G356" s="1"/>
  <c r="G494" s="1"/>
  <c r="B130" i="22"/>
  <c r="C128" i="18" s="1"/>
  <c r="C266" s="1"/>
  <c r="C404" s="1"/>
  <c r="C542" s="1"/>
  <c r="C82"/>
  <c r="C220" s="1"/>
  <c r="C358" s="1"/>
  <c r="C496" s="1"/>
  <c r="F132" i="22"/>
  <c r="G130" i="18" s="1"/>
  <c r="G268" s="1"/>
  <c r="G406" s="1"/>
  <c r="G544" s="1"/>
  <c r="G84"/>
  <c r="G222" s="1"/>
  <c r="G360" s="1"/>
  <c r="G498" s="1"/>
  <c r="D110" i="22"/>
  <c r="E108" i="18" s="1"/>
  <c r="E246" s="1"/>
  <c r="E384" s="1"/>
  <c r="E522" s="1"/>
  <c r="E62"/>
  <c r="E200" s="1"/>
  <c r="E338" s="1"/>
  <c r="E476" s="1"/>
  <c r="F115" i="22"/>
  <c r="G113" i="18" s="1"/>
  <c r="G251" s="1"/>
  <c r="G389" s="1"/>
  <c r="G527" s="1"/>
  <c r="G67"/>
  <c r="G205" s="1"/>
  <c r="G343" s="1"/>
  <c r="G481" s="1"/>
  <c r="E100" i="22"/>
  <c r="F52" i="18"/>
  <c r="F190" s="1"/>
  <c r="F328" s="1"/>
  <c r="F466" s="1"/>
  <c r="E135" i="22"/>
  <c r="F87" i="18"/>
  <c r="F225" s="1"/>
  <c r="F363" s="1"/>
  <c r="F501" s="1"/>
  <c r="A135" i="22"/>
  <c r="B133" i="18" s="1"/>
  <c r="B271" s="1"/>
  <c r="B409" s="1"/>
  <c r="B547" s="1"/>
  <c r="B87"/>
  <c r="B225" s="1"/>
  <c r="B363" s="1"/>
  <c r="B501" s="1"/>
  <c r="D100" i="22"/>
  <c r="E98" i="18" s="1"/>
  <c r="E236" s="1"/>
  <c r="E374" s="1"/>
  <c r="E512" s="1"/>
  <c r="E52"/>
  <c r="E190" s="1"/>
  <c r="E328" s="1"/>
  <c r="E466" s="1"/>
  <c r="E143" i="22"/>
  <c r="F95" i="18"/>
  <c r="F233" s="1"/>
  <c r="F371" s="1"/>
  <c r="F509" s="1"/>
  <c r="A139" i="22"/>
  <c r="B137" i="18" s="1"/>
  <c r="B275" s="1"/>
  <c r="B413" s="1"/>
  <c r="B551" s="1"/>
  <c r="B91"/>
  <c r="B229" s="1"/>
  <c r="B367" s="1"/>
  <c r="B505" s="1"/>
  <c r="H110" i="22"/>
  <c r="I108" i="18" s="1"/>
  <c r="I246" s="1"/>
  <c r="I384" s="1"/>
  <c r="I522" s="1"/>
  <c r="H99" i="22"/>
  <c r="I97" i="18" s="1"/>
  <c r="I235" s="1"/>
  <c r="I373" s="1"/>
  <c r="I511" s="1"/>
  <c r="H142" i="22"/>
  <c r="I140" i="18" s="1"/>
  <c r="I278" s="1"/>
  <c r="I416" s="1"/>
  <c r="I554" s="1"/>
  <c r="D140"/>
  <c r="D278" s="1"/>
  <c r="D416" s="1"/>
  <c r="D554" s="1"/>
  <c r="B131" i="22"/>
  <c r="C129" i="18" s="1"/>
  <c r="C267" s="1"/>
  <c r="C405" s="1"/>
  <c r="C543" s="1"/>
  <c r="C83"/>
  <c r="C221" s="1"/>
  <c r="C359" s="1"/>
  <c r="C497" s="1"/>
  <c r="F114" i="22"/>
  <c r="G112" i="18" s="1"/>
  <c r="G250" s="1"/>
  <c r="G388" s="1"/>
  <c r="G526" s="1"/>
  <c r="G66"/>
  <c r="G204" s="1"/>
  <c r="G342" s="1"/>
  <c r="G480" s="1"/>
  <c r="F133" i="22"/>
  <c r="G131" i="18" s="1"/>
  <c r="G269" s="1"/>
  <c r="G407" s="1"/>
  <c r="G545" s="1"/>
  <c r="G85"/>
  <c r="G223" s="1"/>
  <c r="G361" s="1"/>
  <c r="G499" s="1"/>
  <c r="B112" i="22"/>
  <c r="C110" i="18" s="1"/>
  <c r="C248" s="1"/>
  <c r="C386" s="1"/>
  <c r="C524" s="1"/>
  <c r="C64"/>
  <c r="C202" s="1"/>
  <c r="C340" s="1"/>
  <c r="C478" s="1"/>
  <c r="F118" i="22"/>
  <c r="G116" i="18" s="1"/>
  <c r="G254" s="1"/>
  <c r="G392" s="1"/>
  <c r="G530" s="1"/>
  <c r="G70"/>
  <c r="G208" s="1"/>
  <c r="G346" s="1"/>
  <c r="G484" s="1"/>
  <c r="A143" i="22"/>
  <c r="B141" i="18" s="1"/>
  <c r="B279" s="1"/>
  <c r="B417" s="1"/>
  <c r="B555" s="1"/>
  <c r="B95"/>
  <c r="B233" s="1"/>
  <c r="B371" s="1"/>
  <c r="B509" s="1"/>
  <c r="A141" i="22"/>
  <c r="B139" i="18" s="1"/>
  <c r="B277" s="1"/>
  <c r="B415" s="1"/>
  <c r="B553" s="1"/>
  <c r="B93"/>
  <c r="B231" s="1"/>
  <c r="B369" s="1"/>
  <c r="B507" s="1"/>
  <c r="C132" i="22"/>
  <c r="D84" i="18"/>
  <c r="D222" s="1"/>
  <c r="D360" s="1"/>
  <c r="D498" s="1"/>
  <c r="E106" i="22"/>
  <c r="F58" i="18"/>
  <c r="F196" s="1"/>
  <c r="F334" s="1"/>
  <c r="F472" s="1"/>
  <c r="B105" i="22"/>
  <c r="C103" i="18" s="1"/>
  <c r="C241" s="1"/>
  <c r="C379" s="1"/>
  <c r="C517" s="1"/>
  <c r="C57"/>
  <c r="C195" s="1"/>
  <c r="C333" s="1"/>
  <c r="C471" s="1"/>
  <c r="H134" i="22"/>
  <c r="I132" i="18" s="1"/>
  <c r="I270" s="1"/>
  <c r="I408" s="1"/>
  <c r="I546" s="1"/>
  <c r="D132"/>
  <c r="D270" s="1"/>
  <c r="D408" s="1"/>
  <c r="D546" s="1"/>
  <c r="D136"/>
  <c r="D274" s="1"/>
  <c r="D412" s="1"/>
  <c r="D550" s="1"/>
  <c r="F116"/>
  <c r="F254" s="1"/>
  <c r="F392" s="1"/>
  <c r="F530" s="1"/>
  <c r="H111" i="22"/>
  <c r="I109" i="18" s="1"/>
  <c r="I247" s="1"/>
  <c r="I385" s="1"/>
  <c r="I523" s="1"/>
  <c r="F109"/>
  <c r="F247" s="1"/>
  <c r="F385" s="1"/>
  <c r="F523" s="1"/>
  <c r="H114" i="22"/>
  <c r="I112" i="18" s="1"/>
  <c r="I250" s="1"/>
  <c r="I388" s="1"/>
  <c r="I526" s="1"/>
  <c r="F112"/>
  <c r="F250" s="1"/>
  <c r="F388" s="1"/>
  <c r="F526" s="1"/>
  <c r="F113"/>
  <c r="F251" s="1"/>
  <c r="F389" s="1"/>
  <c r="F527" s="1"/>
  <c r="A102" i="22"/>
  <c r="B100" i="18" s="1"/>
  <c r="B238" s="1"/>
  <c r="B376" s="1"/>
  <c r="B514" s="1"/>
  <c r="B54"/>
  <c r="B192" s="1"/>
  <c r="B330" s="1"/>
  <c r="B468" s="1"/>
  <c r="F129" i="22"/>
  <c r="G127" i="18" s="1"/>
  <c r="G265" s="1"/>
  <c r="G403" s="1"/>
  <c r="G541" s="1"/>
  <c r="G81"/>
  <c r="G219" s="1"/>
  <c r="G357" s="1"/>
  <c r="G495" s="1"/>
  <c r="B116" i="22"/>
  <c r="C114" i="18" s="1"/>
  <c r="C252" s="1"/>
  <c r="C390" s="1"/>
  <c r="C528" s="1"/>
  <c r="C68"/>
  <c r="C206" s="1"/>
  <c r="C344" s="1"/>
  <c r="C482" s="1"/>
  <c r="B108" i="22"/>
  <c r="C106" i="18" s="1"/>
  <c r="C244" s="1"/>
  <c r="C382" s="1"/>
  <c r="C520" s="1"/>
  <c r="C60"/>
  <c r="C198" s="1"/>
  <c r="C336" s="1"/>
  <c r="C474" s="1"/>
  <c r="A100" i="22"/>
  <c r="B98" i="18" s="1"/>
  <c r="B236" s="1"/>
  <c r="B374" s="1"/>
  <c r="B512" s="1"/>
  <c r="B52"/>
  <c r="B190" s="1"/>
  <c r="B328" s="1"/>
  <c r="B466" s="1"/>
  <c r="A144" i="22"/>
  <c r="B142" i="18" s="1"/>
  <c r="B280" s="1"/>
  <c r="B418" s="1"/>
  <c r="B556" s="1"/>
  <c r="B96"/>
  <c r="B234" s="1"/>
  <c r="B372" s="1"/>
  <c r="B510" s="1"/>
  <c r="A142" i="22"/>
  <c r="B140" i="18" s="1"/>
  <c r="B278" s="1"/>
  <c r="B416" s="1"/>
  <c r="B554" s="1"/>
  <c r="B94"/>
  <c r="B232" s="1"/>
  <c r="B370" s="1"/>
  <c r="B508" s="1"/>
  <c r="E140" i="22"/>
  <c r="F92" i="18"/>
  <c r="F230" s="1"/>
  <c r="F368" s="1"/>
  <c r="F506" s="1"/>
  <c r="E138" i="22"/>
  <c r="F136" i="18" s="1"/>
  <c r="F274" s="1"/>
  <c r="F412" s="1"/>
  <c r="F550" s="1"/>
  <c r="F90"/>
  <c r="F228" s="1"/>
  <c r="F366" s="1"/>
  <c r="F504" s="1"/>
  <c r="C117" i="22"/>
  <c r="D115" i="18" s="1"/>
  <c r="D253" s="1"/>
  <c r="D391" s="1"/>
  <c r="D529" s="1"/>
  <c r="D69"/>
  <c r="D207" s="1"/>
  <c r="D345" s="1"/>
  <c r="D483" s="1"/>
  <c r="D62"/>
  <c r="D200" s="1"/>
  <c r="D338" s="1"/>
  <c r="D476" s="1"/>
  <c r="C110" i="22"/>
  <c r="D108" i="18" s="1"/>
  <c r="D246" s="1"/>
  <c r="D384" s="1"/>
  <c r="D522" s="1"/>
  <c r="A106" i="22"/>
  <c r="B104" i="18" s="1"/>
  <c r="B242" s="1"/>
  <c r="B380" s="1"/>
  <c r="B518" s="1"/>
  <c r="B58"/>
  <c r="B196" s="1"/>
  <c r="B334" s="1"/>
  <c r="B472" s="1"/>
  <c r="B104" i="22"/>
  <c r="C102" i="18" s="1"/>
  <c r="C240" s="1"/>
  <c r="C378" s="1"/>
  <c r="C516" s="1"/>
  <c r="C56"/>
  <c r="C194" s="1"/>
  <c r="C332" s="1"/>
  <c r="C470" s="1"/>
  <c r="F105" i="22"/>
  <c r="G103" i="18" s="1"/>
  <c r="G241" s="1"/>
  <c r="G379" s="1"/>
  <c r="G517" s="1"/>
  <c r="G57"/>
  <c r="G195" s="1"/>
  <c r="G333" s="1"/>
  <c r="G471" s="1"/>
  <c r="C113" i="22"/>
  <c r="D111" i="18" s="1"/>
  <c r="D249" s="1"/>
  <c r="D387" s="1"/>
  <c r="D525" s="1"/>
  <c r="D65"/>
  <c r="D203" s="1"/>
  <c r="D341" s="1"/>
  <c r="D479" s="1"/>
  <c r="D107" i="22"/>
  <c r="E105" i="18" s="1"/>
  <c r="E243" s="1"/>
  <c r="E381" s="1"/>
  <c r="E519" s="1"/>
  <c r="E59"/>
  <c r="E197" s="1"/>
  <c r="E335" s="1"/>
  <c r="E473" s="1"/>
  <c r="B102" i="22"/>
  <c r="C100" i="18" s="1"/>
  <c r="C238" s="1"/>
  <c r="C376" s="1"/>
  <c r="C514" s="1"/>
  <c r="C54"/>
  <c r="C192" s="1"/>
  <c r="C330" s="1"/>
  <c r="C468" s="1"/>
  <c r="H89" i="22"/>
  <c r="I87" i="18" s="1"/>
  <c r="I225" s="1"/>
  <c r="I363" s="1"/>
  <c r="I501" s="1"/>
  <c r="H54" i="22"/>
  <c r="I52" i="18" s="1"/>
  <c r="I190" s="1"/>
  <c r="I328" s="1"/>
  <c r="I466" s="1"/>
  <c r="H144" i="22"/>
  <c r="I142" i="18" s="1"/>
  <c r="I280" s="1"/>
  <c r="I418" s="1"/>
  <c r="I556" s="1"/>
  <c r="H62" i="22"/>
  <c r="I60" i="18" s="1"/>
  <c r="I198" s="1"/>
  <c r="I336" s="1"/>
  <c r="I474" s="1"/>
  <c r="H95" i="22"/>
  <c r="I93" i="18" s="1"/>
  <c r="I231" s="1"/>
  <c r="I369" s="1"/>
  <c r="I507" s="1"/>
  <c r="H113" i="22"/>
  <c r="I111" i="18" s="1"/>
  <c r="I249" s="1"/>
  <c r="I387" s="1"/>
  <c r="I525" s="1"/>
  <c r="H56" i="22"/>
  <c r="I54" i="18" s="1"/>
  <c r="I192" s="1"/>
  <c r="I330" s="1"/>
  <c r="I468" s="1"/>
  <c r="C102" i="22"/>
  <c r="E116"/>
  <c r="H70"/>
  <c r="I68" i="18" s="1"/>
  <c r="I206" s="1"/>
  <c r="I344" s="1"/>
  <c r="I482" s="1"/>
  <c r="H66" i="22"/>
  <c r="I64" i="18" s="1"/>
  <c r="I202" s="1"/>
  <c r="I340" s="1"/>
  <c r="I478" s="1"/>
  <c r="E112" i="22"/>
  <c r="H107" l="1"/>
  <c r="I105" i="18" s="1"/>
  <c r="I243" s="1"/>
  <c r="I381" s="1"/>
  <c r="I519" s="1"/>
  <c r="H105" i="22"/>
  <c r="I103" i="18" s="1"/>
  <c r="I241" s="1"/>
  <c r="I379" s="1"/>
  <c r="I517" s="1"/>
  <c r="H118" i="22"/>
  <c r="I116" i="18" s="1"/>
  <c r="I254" s="1"/>
  <c r="I392" s="1"/>
  <c r="I530" s="1"/>
  <c r="F138"/>
  <c r="F276" s="1"/>
  <c r="F414" s="1"/>
  <c r="F552" s="1"/>
  <c r="H140" i="22"/>
  <c r="I138" i="18" s="1"/>
  <c r="I276" s="1"/>
  <c r="I414" s="1"/>
  <c r="I552" s="1"/>
  <c r="F134"/>
  <c r="F272" s="1"/>
  <c r="F410" s="1"/>
  <c r="F548" s="1"/>
  <c r="H136" i="22"/>
  <c r="I134" i="18" s="1"/>
  <c r="I272" s="1"/>
  <c r="I410" s="1"/>
  <c r="I548" s="1"/>
  <c r="F137"/>
  <c r="F275" s="1"/>
  <c r="F413" s="1"/>
  <c r="F551" s="1"/>
  <c r="H139" i="22"/>
  <c r="I137" i="18" s="1"/>
  <c r="I275" s="1"/>
  <c r="I413" s="1"/>
  <c r="I551" s="1"/>
  <c r="D106"/>
  <c r="D244" s="1"/>
  <c r="D382" s="1"/>
  <c r="D520" s="1"/>
  <c r="H108" i="22"/>
  <c r="I106" i="18" s="1"/>
  <c r="I244" s="1"/>
  <c r="I382" s="1"/>
  <c r="I520" s="1"/>
  <c r="H130" i="22"/>
  <c r="I128" i="18" s="1"/>
  <c r="I266" s="1"/>
  <c r="I404" s="1"/>
  <c r="I542" s="1"/>
  <c r="D128"/>
  <c r="D266" s="1"/>
  <c r="D404" s="1"/>
  <c r="D542" s="1"/>
  <c r="H112" i="22"/>
  <c r="I110" i="18" s="1"/>
  <c r="I248" s="1"/>
  <c r="I386" s="1"/>
  <c r="I524" s="1"/>
  <c r="F110"/>
  <c r="F248" s="1"/>
  <c r="F386" s="1"/>
  <c r="F524" s="1"/>
  <c r="H102" i="22"/>
  <c r="I100" i="18" s="1"/>
  <c r="I238" s="1"/>
  <c r="I376" s="1"/>
  <c r="I514" s="1"/>
  <c r="D100"/>
  <c r="D238" s="1"/>
  <c r="D376" s="1"/>
  <c r="D514" s="1"/>
  <c r="D130"/>
  <c r="D268" s="1"/>
  <c r="D406" s="1"/>
  <c r="D544" s="1"/>
  <c r="H132" i="22"/>
  <c r="I130" i="18" s="1"/>
  <c r="I268" s="1"/>
  <c r="I406" s="1"/>
  <c r="I544" s="1"/>
  <c r="F141"/>
  <c r="F279" s="1"/>
  <c r="F417" s="1"/>
  <c r="F555" s="1"/>
  <c r="H143" i="22"/>
  <c r="I141" i="18" s="1"/>
  <c r="I279" s="1"/>
  <c r="I417" s="1"/>
  <c r="I555" s="1"/>
  <c r="F133"/>
  <c r="F271" s="1"/>
  <c r="F409" s="1"/>
  <c r="F547" s="1"/>
  <c r="H135" i="22"/>
  <c r="I133" i="18" s="1"/>
  <c r="I271" s="1"/>
  <c r="I409" s="1"/>
  <c r="I547" s="1"/>
  <c r="F98"/>
  <c r="F236" s="1"/>
  <c r="F374" s="1"/>
  <c r="F512" s="1"/>
  <c r="H100" i="22"/>
  <c r="I98" i="18" s="1"/>
  <c r="I236" s="1"/>
  <c r="I374" s="1"/>
  <c r="I512" s="1"/>
  <c r="D129"/>
  <c r="D267" s="1"/>
  <c r="D405" s="1"/>
  <c r="D543" s="1"/>
  <c r="H131" i="22"/>
  <c r="I129" i="18" s="1"/>
  <c r="I267" s="1"/>
  <c r="I405" s="1"/>
  <c r="I543" s="1"/>
  <c r="H115" i="22"/>
  <c r="I113" i="18" s="1"/>
  <c r="I251" s="1"/>
  <c r="I389" s="1"/>
  <c r="I527" s="1"/>
  <c r="H138" i="22"/>
  <c r="I136" i="18" s="1"/>
  <c r="I274" s="1"/>
  <c r="I412" s="1"/>
  <c r="I550" s="1"/>
  <c r="H129" i="22"/>
  <c r="I127" i="18" s="1"/>
  <c r="I265" s="1"/>
  <c r="I403" s="1"/>
  <c r="I541" s="1"/>
  <c r="H137" i="22"/>
  <c r="I135" i="18" s="1"/>
  <c r="I273" s="1"/>
  <c r="I411" s="1"/>
  <c r="I549" s="1"/>
  <c r="H133" i="22"/>
  <c r="I131" i="18" s="1"/>
  <c r="I269" s="1"/>
  <c r="I407" s="1"/>
  <c r="I545" s="1"/>
  <c r="H141" i="22"/>
  <c r="I139" i="18" s="1"/>
  <c r="I277" s="1"/>
  <c r="I415" s="1"/>
  <c r="I553" s="1"/>
  <c r="F104"/>
  <c r="F242" s="1"/>
  <c r="F380" s="1"/>
  <c r="F518" s="1"/>
  <c r="H106" i="22"/>
  <c r="I104" i="18" s="1"/>
  <c r="I242" s="1"/>
  <c r="I380" s="1"/>
  <c r="I518" s="1"/>
  <c r="H101" i="22"/>
  <c r="I99" i="18" s="1"/>
  <c r="I237" s="1"/>
  <c r="I375" s="1"/>
  <c r="I513" s="1"/>
  <c r="D99"/>
  <c r="D237" s="1"/>
  <c r="D375" s="1"/>
  <c r="D513" s="1"/>
  <c r="D126"/>
  <c r="D264" s="1"/>
  <c r="D402" s="1"/>
  <c r="D540" s="1"/>
  <c r="H128" i="22"/>
  <c r="I126" i="18" s="1"/>
  <c r="I264" s="1"/>
  <c r="I402" s="1"/>
  <c r="I540" s="1"/>
  <c r="H116" i="22"/>
  <c r="I114" i="18" s="1"/>
  <c r="I252" s="1"/>
  <c r="I390" s="1"/>
  <c r="I528" s="1"/>
  <c r="F114"/>
  <c r="F252" s="1"/>
  <c r="F390" s="1"/>
  <c r="F528" s="1"/>
  <c r="B15" i="20"/>
  <c r="F6"/>
  <c r="C6"/>
  <c r="D6" s="1"/>
  <c r="G5"/>
  <c r="D5"/>
  <c r="D4"/>
  <c r="G3"/>
  <c r="D3"/>
  <c r="C8" i="1" l="1"/>
  <c r="D8" s="1"/>
  <c r="C9"/>
  <c r="D9" s="1"/>
  <c r="C10"/>
  <c r="D10" s="1"/>
  <c r="C11"/>
  <c r="C12"/>
  <c r="D12" s="1"/>
  <c r="C13"/>
  <c r="D13" s="1"/>
  <c r="C14"/>
  <c r="C15"/>
  <c r="C16"/>
  <c r="D16" s="1"/>
  <c r="C17"/>
  <c r="C18"/>
  <c r="C19"/>
  <c r="C20"/>
  <c r="D20" s="1"/>
  <c r="C21"/>
  <c r="D21" s="1"/>
  <c r="C22"/>
  <c r="D22" s="1"/>
  <c r="C23"/>
  <c r="B235"/>
  <c r="B234"/>
  <c r="B233"/>
  <c r="B232"/>
  <c r="B231"/>
  <c r="B119" i="3" s="1"/>
  <c r="B230" i="1"/>
  <c r="B118" i="3" s="1"/>
  <c r="B229" i="1"/>
  <c r="B228"/>
  <c r="B227"/>
  <c r="B115" i="3" s="1"/>
  <c r="B226" i="1"/>
  <c r="B225"/>
  <c r="B224"/>
  <c r="B223"/>
  <c r="B114" i="3" s="1"/>
  <c r="B222" i="1"/>
  <c r="B221"/>
  <c r="B220"/>
  <c r="B219"/>
  <c r="B111" i="3" s="1"/>
  <c r="B218" i="1"/>
  <c r="B110" i="3" s="1"/>
  <c r="B217" i="1"/>
  <c r="B216"/>
  <c r="B215"/>
  <c r="B214"/>
  <c r="B108" i="3" s="1"/>
  <c r="B213" i="1"/>
  <c r="B212"/>
  <c r="B211"/>
  <c r="B105" i="3" s="1"/>
  <c r="B210" i="1"/>
  <c r="B104" i="3" s="1"/>
  <c r="B209" i="1"/>
  <c r="B208"/>
  <c r="B207"/>
  <c r="B206"/>
  <c r="B205"/>
  <c r="B204"/>
  <c r="B203"/>
  <c r="B100" i="3" s="1"/>
  <c r="B202" i="1"/>
  <c r="B99" i="3" s="1"/>
  <c r="B201" i="1"/>
  <c r="B200"/>
  <c r="B199"/>
  <c r="B97" i="3" s="1"/>
  <c r="B198" i="1"/>
  <c r="B96" i="3" s="1"/>
  <c r="B197" i="1"/>
  <c r="B196"/>
  <c r="B195"/>
  <c r="B95" i="3" s="1"/>
  <c r="B194" i="1"/>
  <c r="B94" i="3" s="1"/>
  <c r="B193" i="1"/>
  <c r="B192"/>
  <c r="B191"/>
  <c r="B91" i="3" s="1"/>
  <c r="B190" i="1"/>
  <c r="B90" i="3" s="1"/>
  <c r="B189" i="1"/>
  <c r="B188"/>
  <c r="B187"/>
  <c r="B186"/>
  <c r="B185"/>
  <c r="B184"/>
  <c r="B183"/>
  <c r="B86" i="3" s="1"/>
  <c r="B182" i="1"/>
  <c r="B181"/>
  <c r="B180"/>
  <c r="B179"/>
  <c r="B83" i="3" s="1"/>
  <c r="B178" i="1"/>
  <c r="B177"/>
  <c r="B176"/>
  <c r="B175"/>
  <c r="B81" i="3" s="1"/>
  <c r="B174" i="1"/>
  <c r="B80" i="3" s="1"/>
  <c r="B173" i="1"/>
  <c r="B172"/>
  <c r="B171"/>
  <c r="B77" i="3" s="1"/>
  <c r="B170" i="1"/>
  <c r="B76" i="3" s="1"/>
  <c r="B169" i="1"/>
  <c r="B168"/>
  <c r="B167"/>
  <c r="B166"/>
  <c r="B165"/>
  <c r="B164"/>
  <c r="B163"/>
  <c r="B162"/>
  <c r="B72" i="3" s="1"/>
  <c r="B161" i="1"/>
  <c r="B160"/>
  <c r="B159"/>
  <c r="B158"/>
  <c r="B157"/>
  <c r="B156"/>
  <c r="B155"/>
  <c r="B67" i="3" s="1"/>
  <c r="B154" i="1"/>
  <c r="B66" i="3" s="1"/>
  <c r="B153" i="1"/>
  <c r="B152"/>
  <c r="B151"/>
  <c r="B63" i="3" s="1"/>
  <c r="B150" i="1"/>
  <c r="B149"/>
  <c r="B148"/>
  <c r="B147"/>
  <c r="B62" i="3" s="1"/>
  <c r="B146" i="1"/>
  <c r="B61" i="3" s="1"/>
  <c r="B145" i="1"/>
  <c r="B144"/>
  <c r="B143"/>
  <c r="B59" i="3" s="1"/>
  <c r="B142" i="1"/>
  <c r="B58" i="3" s="1"/>
  <c r="B141" i="1"/>
  <c r="B140"/>
  <c r="B139"/>
  <c r="B138"/>
  <c r="B56" i="3" s="1"/>
  <c r="B137" i="1"/>
  <c r="B136"/>
  <c r="B135"/>
  <c r="B53" i="3" s="1"/>
  <c r="B134" i="1"/>
  <c r="B52" i="3" s="1"/>
  <c r="B133" i="1"/>
  <c r="B132"/>
  <c r="B131"/>
  <c r="B130"/>
  <c r="B129"/>
  <c r="B128"/>
  <c r="B127"/>
  <c r="B48" i="3" s="1"/>
  <c r="B126" i="1"/>
  <c r="B47" i="3" s="1"/>
  <c r="B125" i="1"/>
  <c r="B124"/>
  <c r="B123"/>
  <c r="B45" i="3" s="1"/>
  <c r="B122" i="1"/>
  <c r="B44" i="3" s="1"/>
  <c r="B121" i="1"/>
  <c r="B120"/>
  <c r="B119"/>
  <c r="B43" i="3" s="1"/>
  <c r="B118" i="1"/>
  <c r="B42" i="3" s="1"/>
  <c r="B117" i="1"/>
  <c r="B116"/>
  <c r="B115"/>
  <c r="B39" i="3" s="1"/>
  <c r="B114" i="1"/>
  <c r="B38" i="3" s="1"/>
  <c r="B113" i="1"/>
  <c r="B112"/>
  <c r="B111"/>
  <c r="B110"/>
  <c r="B109"/>
  <c r="B108"/>
  <c r="B107"/>
  <c r="B34" i="3" s="1"/>
  <c r="B106" i="1"/>
  <c r="B105"/>
  <c r="B104"/>
  <c r="B103"/>
  <c r="B31" i="3" s="1"/>
  <c r="B102" i="1"/>
  <c r="B101"/>
  <c r="B100"/>
  <c r="B99"/>
  <c r="B29" i="3" s="1"/>
  <c r="B98" i="1"/>
  <c r="B28" i="3" s="1"/>
  <c r="B97" i="1"/>
  <c r="B96"/>
  <c r="B95"/>
  <c r="B25" i="3" s="1"/>
  <c r="B94" i="1"/>
  <c r="B24" i="3" s="1"/>
  <c r="B93" i="1"/>
  <c r="B92"/>
  <c r="B91"/>
  <c r="B90"/>
  <c r="B23" i="3" s="1"/>
  <c r="B89" i="1"/>
  <c r="B88"/>
  <c r="B87"/>
  <c r="B86"/>
  <c r="B85"/>
  <c r="B84"/>
  <c r="B83"/>
  <c r="B82"/>
  <c r="B81"/>
  <c r="B80"/>
  <c r="B79"/>
  <c r="B15" i="3" s="1"/>
  <c r="B78" i="1"/>
  <c r="B14" i="3" s="1"/>
  <c r="B77" i="1"/>
  <c r="B76"/>
  <c r="B75"/>
  <c r="B11" i="3" s="1"/>
  <c r="B74" i="1"/>
  <c r="B73"/>
  <c r="B72"/>
  <c r="B71"/>
  <c r="B10" i="3" s="1"/>
  <c r="B70" i="1"/>
  <c r="B9" i="3" s="1"/>
  <c r="B69" i="1"/>
  <c r="B68"/>
  <c r="B67"/>
  <c r="B7" i="3" s="1"/>
  <c r="B66" i="1"/>
  <c r="B6" i="3" s="1"/>
  <c r="B65" i="1"/>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C235"/>
  <c r="D235" s="1"/>
  <c r="C234"/>
  <c r="D234" s="1"/>
  <c r="C233"/>
  <c r="C232"/>
  <c r="C231"/>
  <c r="D231" s="1"/>
  <c r="C230"/>
  <c r="D230" s="1"/>
  <c r="C229"/>
  <c r="C228"/>
  <c r="C227"/>
  <c r="D227" s="1"/>
  <c r="C226"/>
  <c r="D226" s="1"/>
  <c r="C225"/>
  <c r="D225" s="1"/>
  <c r="C224"/>
  <c r="C223"/>
  <c r="D223" s="1"/>
  <c r="C222"/>
  <c r="D222" s="1"/>
  <c r="C221"/>
  <c r="D221" s="1"/>
  <c r="C220"/>
  <c r="C219"/>
  <c r="D219" s="1"/>
  <c r="C218"/>
  <c r="C217"/>
  <c r="C216"/>
  <c r="D216" s="1"/>
  <c r="C215"/>
  <c r="D215" s="1"/>
  <c r="C214"/>
  <c r="D214" s="1"/>
  <c r="C213"/>
  <c r="C212"/>
  <c r="C211"/>
  <c r="D211" s="1"/>
  <c r="C210"/>
  <c r="D210" s="1"/>
  <c r="C209"/>
  <c r="C208"/>
  <c r="C207"/>
  <c r="D207" s="1"/>
  <c r="C206"/>
  <c r="C205"/>
  <c r="C204"/>
  <c r="C203"/>
  <c r="D203" s="1"/>
  <c r="C202"/>
  <c r="D202" s="1"/>
  <c r="C201"/>
  <c r="C200"/>
  <c r="D200" s="1"/>
  <c r="C199"/>
  <c r="D199" s="1"/>
  <c r="C198"/>
  <c r="D198" s="1"/>
  <c r="C197"/>
  <c r="D197" s="1"/>
  <c r="C196"/>
  <c r="C195"/>
  <c r="D195" s="1"/>
  <c r="C194"/>
  <c r="C193"/>
  <c r="D193" s="1"/>
  <c r="C192"/>
  <c r="C191"/>
  <c r="D191" s="1"/>
  <c r="C190"/>
  <c r="D190" s="1"/>
  <c r="C189"/>
  <c r="D189" s="1"/>
  <c r="C188"/>
  <c r="C187"/>
  <c r="D187" s="1"/>
  <c r="C186"/>
  <c r="D186" s="1"/>
  <c r="C185"/>
  <c r="C184"/>
  <c r="C183"/>
  <c r="D183" s="1"/>
  <c r="C182"/>
  <c r="D182" s="1"/>
  <c r="C181"/>
  <c r="D181" s="1"/>
  <c r="C180"/>
  <c r="C179"/>
  <c r="D179" s="1"/>
  <c r="C178"/>
  <c r="D178" s="1"/>
  <c r="C177"/>
  <c r="D177" s="1"/>
  <c r="C176"/>
  <c r="C175"/>
  <c r="D175" s="1"/>
  <c r="C174"/>
  <c r="D174" s="1"/>
  <c r="C173"/>
  <c r="D173" s="1"/>
  <c r="C172"/>
  <c r="C171"/>
  <c r="D171" s="1"/>
  <c r="C170"/>
  <c r="D170" s="1"/>
  <c r="C169"/>
  <c r="D169" s="1"/>
  <c r="C168"/>
  <c r="C167"/>
  <c r="D167" s="1"/>
  <c r="C166"/>
  <c r="D166" s="1"/>
  <c r="C165"/>
  <c r="D165" s="1"/>
  <c r="C164"/>
  <c r="C163"/>
  <c r="D163" s="1"/>
  <c r="C162"/>
  <c r="D162" s="1"/>
  <c r="C161"/>
  <c r="D161" s="1"/>
  <c r="C160"/>
  <c r="C159"/>
  <c r="D159" s="1"/>
  <c r="C158"/>
  <c r="D158" s="1"/>
  <c r="C157"/>
  <c r="D157" s="1"/>
  <c r="C156"/>
  <c r="C155"/>
  <c r="D155" s="1"/>
  <c r="C154"/>
  <c r="D154" s="1"/>
  <c r="C153"/>
  <c r="D153" s="1"/>
  <c r="C152"/>
  <c r="C151"/>
  <c r="D151" s="1"/>
  <c r="C150"/>
  <c r="D150" s="1"/>
  <c r="C149"/>
  <c r="D149" s="1"/>
  <c r="C148"/>
  <c r="C147"/>
  <c r="D147" s="1"/>
  <c r="C146"/>
  <c r="D146" s="1"/>
  <c r="C145"/>
  <c r="D145" s="1"/>
  <c r="C144"/>
  <c r="C143"/>
  <c r="D143" s="1"/>
  <c r="C142"/>
  <c r="D142" s="1"/>
  <c r="C141"/>
  <c r="D141" s="1"/>
  <c r="C140"/>
  <c r="D140" s="1"/>
  <c r="C139"/>
  <c r="D139" s="1"/>
  <c r="C138"/>
  <c r="D138" s="1"/>
  <c r="C137"/>
  <c r="D137" s="1"/>
  <c r="C136"/>
  <c r="C135"/>
  <c r="D135" s="1"/>
  <c r="C134"/>
  <c r="D134" s="1"/>
  <c r="C133"/>
  <c r="D133" s="1"/>
  <c r="C132"/>
  <c r="D132" s="1"/>
  <c r="C131"/>
  <c r="D131" s="1"/>
  <c r="C130"/>
  <c r="D130" s="1"/>
  <c r="C129"/>
  <c r="D129" s="1"/>
  <c r="C128"/>
  <c r="D128" s="1"/>
  <c r="C127"/>
  <c r="D127" s="1"/>
  <c r="C126"/>
  <c r="D126" s="1"/>
  <c r="C125"/>
  <c r="D125" s="1"/>
  <c r="C124"/>
  <c r="D124" s="1"/>
  <c r="C123"/>
  <c r="D123" s="1"/>
  <c r="D45" i="3" s="1"/>
  <c r="C122" i="1"/>
  <c r="D122" s="1"/>
  <c r="C121"/>
  <c r="D121" s="1"/>
  <c r="C120"/>
  <c r="C119"/>
  <c r="D119" s="1"/>
  <c r="C118"/>
  <c r="D118" s="1"/>
  <c r="C117"/>
  <c r="D117" s="1"/>
  <c r="C116"/>
  <c r="D116" s="1"/>
  <c r="C115"/>
  <c r="D115" s="1"/>
  <c r="C114"/>
  <c r="C113"/>
  <c r="D113" s="1"/>
  <c r="C112"/>
  <c r="D112" s="1"/>
  <c r="C111"/>
  <c r="D111" s="1"/>
  <c r="C110"/>
  <c r="D110" s="1"/>
  <c r="C109"/>
  <c r="D109" s="1"/>
  <c r="C108"/>
  <c r="C107"/>
  <c r="D107" s="1"/>
  <c r="C106"/>
  <c r="D106" s="1"/>
  <c r="C105"/>
  <c r="D105" s="1"/>
  <c r="C104"/>
  <c r="C103"/>
  <c r="D103" s="1"/>
  <c r="D31" i="3" s="1"/>
  <c r="C102" i="1"/>
  <c r="C101"/>
  <c r="D101" s="1"/>
  <c r="C100"/>
  <c r="C99"/>
  <c r="D99" s="1"/>
  <c r="C98"/>
  <c r="D98" s="1"/>
  <c r="C97"/>
  <c r="D97" s="1"/>
  <c r="C96"/>
  <c r="C95"/>
  <c r="D95" s="1"/>
  <c r="C94"/>
  <c r="C93"/>
  <c r="D93" s="1"/>
  <c r="C92"/>
  <c r="D92" s="1"/>
  <c r="C91"/>
  <c r="D91" s="1"/>
  <c r="C90"/>
  <c r="D90" s="1"/>
  <c r="C89"/>
  <c r="D89" s="1"/>
  <c r="C88"/>
  <c r="D88" s="1"/>
  <c r="C87"/>
  <c r="D87" s="1"/>
  <c r="C86"/>
  <c r="C85"/>
  <c r="D85" s="1"/>
  <c r="C84"/>
  <c r="C83"/>
  <c r="D83" s="1"/>
  <c r="C82"/>
  <c r="D82" s="1"/>
  <c r="C81"/>
  <c r="D81" s="1"/>
  <c r="C80"/>
  <c r="C79"/>
  <c r="D79" s="1"/>
  <c r="C78"/>
  <c r="D78" s="1"/>
  <c r="C77"/>
  <c r="D77" s="1"/>
  <c r="C76"/>
  <c r="C75"/>
  <c r="D75" s="1"/>
  <c r="C74"/>
  <c r="D74" s="1"/>
  <c r="C73"/>
  <c r="D73" s="1"/>
  <c r="C72"/>
  <c r="C71"/>
  <c r="D71" s="1"/>
  <c r="C70"/>
  <c r="D70" s="1"/>
  <c r="C69"/>
  <c r="D69" s="1"/>
  <c r="C68"/>
  <c r="C67"/>
  <c r="D67" s="1"/>
  <c r="C66"/>
  <c r="D66" s="1"/>
  <c r="C65"/>
  <c r="D65" s="1"/>
  <c r="C64"/>
  <c r="C63"/>
  <c r="D63" s="1"/>
  <c r="C62"/>
  <c r="C61"/>
  <c r="D61" s="1"/>
  <c r="C60"/>
  <c r="C59"/>
  <c r="D59" s="1"/>
  <c r="C58"/>
  <c r="D58" s="1"/>
  <c r="C57"/>
  <c r="D57" s="1"/>
  <c r="C56"/>
  <c r="C55"/>
  <c r="D55" s="1"/>
  <c r="C54"/>
  <c r="D54" s="1"/>
  <c r="C53"/>
  <c r="D53" s="1"/>
  <c r="C52"/>
  <c r="C51"/>
  <c r="D51" s="1"/>
  <c r="C50"/>
  <c r="C49"/>
  <c r="D49" s="1"/>
  <c r="C48"/>
  <c r="C47"/>
  <c r="D47" s="1"/>
  <c r="C46"/>
  <c r="D46" s="1"/>
  <c r="C45"/>
  <c r="D45" s="1"/>
  <c r="C44"/>
  <c r="D44" s="1"/>
  <c r="C43"/>
  <c r="D43" s="1"/>
  <c r="C42"/>
  <c r="D42" s="1"/>
  <c r="C41"/>
  <c r="D41" s="1"/>
  <c r="C40"/>
  <c r="C39"/>
  <c r="D39" s="1"/>
  <c r="C38"/>
  <c r="D38" s="1"/>
  <c r="C37"/>
  <c r="D37" s="1"/>
  <c r="C36"/>
  <c r="C35"/>
  <c r="D35" s="1"/>
  <c r="C34"/>
  <c r="C33"/>
  <c r="C32"/>
  <c r="D32" s="1"/>
  <c r="C31"/>
  <c r="D31" s="1"/>
  <c r="C30"/>
  <c r="D30" s="1"/>
  <c r="C29"/>
  <c r="D29" s="1"/>
  <c r="C28"/>
  <c r="D28" s="1"/>
  <c r="C27"/>
  <c r="D27" s="1"/>
  <c r="C26"/>
  <c r="D26" s="1"/>
  <c r="C25"/>
  <c r="D25" s="1"/>
  <c r="C24"/>
  <c r="D14"/>
  <c r="D17"/>
  <c r="D33"/>
  <c r="D185"/>
  <c r="D201"/>
  <c r="D205"/>
  <c r="D209"/>
  <c r="D213"/>
  <c r="D217"/>
  <c r="D229"/>
  <c r="D233"/>
  <c r="B113" i="3"/>
  <c r="B75"/>
  <c r="B20"/>
  <c r="B5"/>
  <c r="B8"/>
  <c r="B12"/>
  <c r="B13"/>
  <c r="B16"/>
  <c r="B17"/>
  <c r="B18"/>
  <c r="B19"/>
  <c r="B21"/>
  <c r="B22"/>
  <c r="B26"/>
  <c r="B27"/>
  <c r="B30"/>
  <c r="B32"/>
  <c r="B33"/>
  <c r="B35"/>
  <c r="B36"/>
  <c r="B37"/>
  <c r="B40"/>
  <c r="B41"/>
  <c r="B46"/>
  <c r="B49"/>
  <c r="B50"/>
  <c r="B51"/>
  <c r="B54"/>
  <c r="B55"/>
  <c r="B57"/>
  <c r="B60"/>
  <c r="B64"/>
  <c r="B65"/>
  <c r="B68"/>
  <c r="B69"/>
  <c r="B70"/>
  <c r="B71"/>
  <c r="B73"/>
  <c r="B74"/>
  <c r="B78"/>
  <c r="B79"/>
  <c r="B82"/>
  <c r="B84"/>
  <c r="B85"/>
  <c r="B87"/>
  <c r="B88"/>
  <c r="B89"/>
  <c r="B92"/>
  <c r="B93"/>
  <c r="B98"/>
  <c r="B101"/>
  <c r="B102"/>
  <c r="B103"/>
  <c r="B106"/>
  <c r="B107"/>
  <c r="B109"/>
  <c r="B112"/>
  <c r="B116"/>
  <c r="B117"/>
  <c r="B120"/>
  <c r="B121"/>
  <c r="D232" i="1"/>
  <c r="D228"/>
  <c r="D224"/>
  <c r="D220"/>
  <c r="D218"/>
  <c r="D212"/>
  <c r="D208"/>
  <c r="D206"/>
  <c r="D204"/>
  <c r="D196"/>
  <c r="D194"/>
  <c r="D192"/>
  <c r="D188"/>
  <c r="D184"/>
  <c r="D180"/>
  <c r="D176"/>
  <c r="D172"/>
  <c r="D168"/>
  <c r="D164"/>
  <c r="D160"/>
  <c r="D156"/>
  <c r="D152"/>
  <c r="D148"/>
  <c r="D144"/>
  <c r="D136"/>
  <c r="D120"/>
  <c r="D114"/>
  <c r="D108"/>
  <c r="D104"/>
  <c r="D102"/>
  <c r="D100"/>
  <c r="D96"/>
  <c r="D94"/>
  <c r="D86"/>
  <c r="D84"/>
  <c r="D80"/>
  <c r="D76"/>
  <c r="D72"/>
  <c r="D68"/>
  <c r="D64"/>
  <c r="D62"/>
  <c r="D60"/>
  <c r="D56"/>
  <c r="D52"/>
  <c r="D50"/>
  <c r="D48"/>
  <c r="D40"/>
  <c r="D36"/>
  <c r="D34"/>
  <c r="D24"/>
  <c r="D23"/>
  <c r="D19"/>
  <c r="D18"/>
  <c r="D15"/>
  <c r="D11"/>
  <c r="F26"/>
  <c r="B18" i="19"/>
  <c r="F24" i="1" s="1"/>
  <c r="F23"/>
  <c r="B16" i="19"/>
  <c r="F22" i="1" s="1"/>
  <c r="F20"/>
  <c r="F19"/>
  <c r="F18"/>
  <c r="B11" i="19"/>
  <c r="F17" i="1" s="1"/>
  <c r="F36" s="1"/>
  <c r="F55" s="1"/>
  <c r="F74" s="1"/>
  <c r="F93" s="1"/>
  <c r="F112" s="1"/>
  <c r="F131" s="1"/>
  <c r="F150" s="1"/>
  <c r="F169" s="1"/>
  <c r="F188" s="1"/>
  <c r="F207" s="1"/>
  <c r="F226" s="1"/>
  <c r="B10" i="19"/>
  <c r="F16" i="1" s="1"/>
  <c r="F35" s="1"/>
  <c r="F54" s="1"/>
  <c r="F73" s="1"/>
  <c r="F92" s="1"/>
  <c r="F111" s="1"/>
  <c r="F130" s="1"/>
  <c r="F149" s="1"/>
  <c r="F168" s="1"/>
  <c r="F187" s="1"/>
  <c r="F206" s="1"/>
  <c r="F225" s="1"/>
  <c r="B9" i="19"/>
  <c r="F15" i="1" s="1"/>
  <c r="F34" s="1"/>
  <c r="F53" s="1"/>
  <c r="F72" s="1"/>
  <c r="F91" s="1"/>
  <c r="F110" s="1"/>
  <c r="F129" s="1"/>
  <c r="F148" s="1"/>
  <c r="F167" s="1"/>
  <c r="F186" s="1"/>
  <c r="F205" s="1"/>
  <c r="F224" s="1"/>
  <c r="F14"/>
  <c r="F13"/>
  <c r="F12"/>
  <c r="B5" i="19"/>
  <c r="F11" i="1" s="1"/>
  <c r="F10"/>
  <c r="F9"/>
  <c r="F8"/>
  <c r="J119" i="17"/>
  <c r="D14" i="3" l="1"/>
  <c r="D58"/>
  <c r="D66"/>
  <c r="D76"/>
  <c r="D80"/>
  <c r="D96"/>
  <c r="D118"/>
  <c r="D61"/>
  <c r="D86"/>
  <c r="D70"/>
  <c r="D9"/>
  <c r="D34"/>
  <c r="D78"/>
  <c r="D116"/>
  <c r="D10"/>
  <c r="D18"/>
  <c r="D26"/>
  <c r="D120"/>
  <c r="D87"/>
  <c r="D102"/>
  <c r="D59"/>
  <c r="D67"/>
  <c r="D113"/>
  <c r="D101"/>
  <c r="D82"/>
  <c r="D23"/>
  <c r="D35"/>
  <c r="D39"/>
  <c r="D81"/>
  <c r="D91"/>
  <c r="D119"/>
  <c r="D16"/>
  <c r="D48"/>
  <c r="D6"/>
  <c r="D20"/>
  <c r="D24"/>
  <c r="D94"/>
  <c r="D99"/>
  <c r="D106"/>
  <c r="D60"/>
  <c r="D103"/>
  <c r="D79"/>
  <c r="D110"/>
  <c r="D30"/>
  <c r="D38"/>
  <c r="D54"/>
  <c r="D68"/>
  <c r="D73"/>
  <c r="D100"/>
  <c r="D108"/>
  <c r="D117"/>
  <c r="D55"/>
  <c r="D27"/>
  <c r="D62"/>
  <c r="D37"/>
  <c r="D28"/>
  <c r="D42"/>
  <c r="D47"/>
  <c r="D52"/>
  <c r="D12"/>
  <c r="D44"/>
  <c r="D56"/>
  <c r="D84"/>
  <c r="D104"/>
  <c r="D114"/>
  <c r="F8" i="2"/>
  <c r="N7" i="3"/>
  <c r="J7"/>
  <c r="E7"/>
  <c r="I7"/>
  <c r="O7"/>
  <c r="K7"/>
  <c r="G7"/>
  <c r="Q7"/>
  <c r="P7"/>
  <c r="L7"/>
  <c r="H7"/>
  <c r="M7"/>
  <c r="F12" i="2"/>
  <c r="N11" i="3"/>
  <c r="J11"/>
  <c r="E11"/>
  <c r="M11"/>
  <c r="O11"/>
  <c r="K11"/>
  <c r="G11"/>
  <c r="I11"/>
  <c r="P11"/>
  <c r="L11"/>
  <c r="H11"/>
  <c r="Q11"/>
  <c r="F26" i="2"/>
  <c r="N25" i="3"/>
  <c r="J25"/>
  <c r="E25"/>
  <c r="M25"/>
  <c r="O25"/>
  <c r="K25"/>
  <c r="G25"/>
  <c r="I25"/>
  <c r="P25"/>
  <c r="L25"/>
  <c r="H25"/>
  <c r="Q25"/>
  <c r="F32" i="2"/>
  <c r="N31" i="3"/>
  <c r="J31"/>
  <c r="E31"/>
  <c r="O31"/>
  <c r="K31"/>
  <c r="G31"/>
  <c r="Q31"/>
  <c r="I31"/>
  <c r="P31"/>
  <c r="L31"/>
  <c r="H31"/>
  <c r="M31"/>
  <c r="F40" i="2"/>
  <c r="N39" i="3"/>
  <c r="J39"/>
  <c r="E39"/>
  <c r="O39"/>
  <c r="K39"/>
  <c r="G39"/>
  <c r="M39"/>
  <c r="P39"/>
  <c r="L39"/>
  <c r="H39"/>
  <c r="Q39"/>
  <c r="I39"/>
  <c r="F44" i="2"/>
  <c r="N43" i="3"/>
  <c r="J43"/>
  <c r="E43"/>
  <c r="I43"/>
  <c r="O43"/>
  <c r="K43"/>
  <c r="G43"/>
  <c r="Q43"/>
  <c r="P43"/>
  <c r="L43"/>
  <c r="H43"/>
  <c r="M43"/>
  <c r="F46" i="2"/>
  <c r="N45" i="3"/>
  <c r="J45"/>
  <c r="E45"/>
  <c r="O45"/>
  <c r="K45"/>
  <c r="G45"/>
  <c r="Q45"/>
  <c r="I45"/>
  <c r="P45"/>
  <c r="L45"/>
  <c r="H45"/>
  <c r="M45"/>
  <c r="F60" i="2"/>
  <c r="N59" i="3"/>
  <c r="J59"/>
  <c r="E59"/>
  <c r="O59"/>
  <c r="K59"/>
  <c r="G59"/>
  <c r="P59"/>
  <c r="L59"/>
  <c r="H59"/>
  <c r="Q59"/>
  <c r="M59"/>
  <c r="I59"/>
  <c r="F64" i="2"/>
  <c r="N63" i="3"/>
  <c r="J63"/>
  <c r="E63"/>
  <c r="O63"/>
  <c r="K63"/>
  <c r="G63"/>
  <c r="P63"/>
  <c r="L63"/>
  <c r="H63"/>
  <c r="I63"/>
  <c r="Q63"/>
  <c r="M63"/>
  <c r="F68" i="2"/>
  <c r="N67" i="3"/>
  <c r="J67"/>
  <c r="E67"/>
  <c r="O67"/>
  <c r="K67"/>
  <c r="G67"/>
  <c r="P67"/>
  <c r="L67"/>
  <c r="H67"/>
  <c r="I67"/>
  <c r="M67"/>
  <c r="Q67"/>
  <c r="F78" i="2"/>
  <c r="N77" i="3"/>
  <c r="J77"/>
  <c r="E77"/>
  <c r="O77"/>
  <c r="K77"/>
  <c r="G77"/>
  <c r="P77"/>
  <c r="L77"/>
  <c r="H77"/>
  <c r="I77"/>
  <c r="M77"/>
  <c r="Q77"/>
  <c r="F82" i="2"/>
  <c r="N81" i="3"/>
  <c r="J81"/>
  <c r="E81"/>
  <c r="O81"/>
  <c r="K81"/>
  <c r="G81"/>
  <c r="P81"/>
  <c r="L81"/>
  <c r="H81"/>
  <c r="I81"/>
  <c r="M81"/>
  <c r="Q81"/>
  <c r="F84" i="2"/>
  <c r="N83" i="3"/>
  <c r="J83"/>
  <c r="E83"/>
  <c r="O83"/>
  <c r="K83"/>
  <c r="G83"/>
  <c r="P83"/>
  <c r="L83"/>
  <c r="H83"/>
  <c r="I83"/>
  <c r="M83"/>
  <c r="Q83"/>
  <c r="F92" i="2"/>
  <c r="N91" i="3"/>
  <c r="J91"/>
  <c r="E91"/>
  <c r="O91"/>
  <c r="K91"/>
  <c r="G91"/>
  <c r="P91"/>
  <c r="L91"/>
  <c r="H91"/>
  <c r="M91"/>
  <c r="Q91"/>
  <c r="I91"/>
  <c r="F96" i="2"/>
  <c r="N95" i="3"/>
  <c r="J95"/>
  <c r="E95"/>
  <c r="O95"/>
  <c r="K95"/>
  <c r="G95"/>
  <c r="P95"/>
  <c r="L95"/>
  <c r="H95"/>
  <c r="M95"/>
  <c r="Q95"/>
  <c r="I95"/>
  <c r="F98" i="2"/>
  <c r="N97" i="3"/>
  <c r="J97"/>
  <c r="E97"/>
  <c r="O97"/>
  <c r="K97"/>
  <c r="G97"/>
  <c r="P97"/>
  <c r="L97"/>
  <c r="H97"/>
  <c r="M97"/>
  <c r="Q97"/>
  <c r="I97"/>
  <c r="F106" i="2"/>
  <c r="N105" i="3"/>
  <c r="J105"/>
  <c r="E105"/>
  <c r="O105"/>
  <c r="K105"/>
  <c r="G105"/>
  <c r="P105"/>
  <c r="L105"/>
  <c r="H105"/>
  <c r="Q105"/>
  <c r="M105"/>
  <c r="I105"/>
  <c r="F112" i="2"/>
  <c r="N111" i="3"/>
  <c r="J111"/>
  <c r="E111"/>
  <c r="O111"/>
  <c r="K111"/>
  <c r="G111"/>
  <c r="P111"/>
  <c r="L111"/>
  <c r="H111"/>
  <c r="Q111"/>
  <c r="M111"/>
  <c r="I111"/>
  <c r="F116" i="2"/>
  <c r="N115" i="3"/>
  <c r="J115"/>
  <c r="E115"/>
  <c r="O115"/>
  <c r="K115"/>
  <c r="G115"/>
  <c r="P115"/>
  <c r="L115"/>
  <c r="H115"/>
  <c r="I115"/>
  <c r="Q115"/>
  <c r="M115"/>
  <c r="F120" i="2"/>
  <c r="N119" i="3"/>
  <c r="J119"/>
  <c r="E119"/>
  <c r="O119"/>
  <c r="K119"/>
  <c r="G119"/>
  <c r="P119"/>
  <c r="L119"/>
  <c r="H119"/>
  <c r="I119"/>
  <c r="Q119"/>
  <c r="M119"/>
  <c r="F117" i="2"/>
  <c r="N116" i="3"/>
  <c r="J116"/>
  <c r="E116"/>
  <c r="O116"/>
  <c r="K116"/>
  <c r="G116"/>
  <c r="P116"/>
  <c r="L116"/>
  <c r="H116"/>
  <c r="I116"/>
  <c r="M116"/>
  <c r="Q116"/>
  <c r="F103" i="2"/>
  <c r="N102" i="3"/>
  <c r="J102"/>
  <c r="E102"/>
  <c r="O102"/>
  <c r="K102"/>
  <c r="G102"/>
  <c r="P102"/>
  <c r="L102"/>
  <c r="H102"/>
  <c r="I102"/>
  <c r="Q102"/>
  <c r="M102"/>
  <c r="F99" i="2"/>
  <c r="N98" i="3"/>
  <c r="J98"/>
  <c r="E98"/>
  <c r="O98"/>
  <c r="K98"/>
  <c r="G98"/>
  <c r="P98"/>
  <c r="L98"/>
  <c r="H98"/>
  <c r="Q98"/>
  <c r="M98"/>
  <c r="I98"/>
  <c r="F93" i="2"/>
  <c r="N92" i="3"/>
  <c r="J92"/>
  <c r="E92"/>
  <c r="O92"/>
  <c r="K92"/>
  <c r="G92"/>
  <c r="P92"/>
  <c r="L92"/>
  <c r="H92"/>
  <c r="Q92"/>
  <c r="M92"/>
  <c r="I92"/>
  <c r="F88" i="2"/>
  <c r="N87" i="3"/>
  <c r="J87"/>
  <c r="E87"/>
  <c r="O87"/>
  <c r="K87"/>
  <c r="G87"/>
  <c r="P87"/>
  <c r="L87"/>
  <c r="H87"/>
  <c r="M87"/>
  <c r="Q87"/>
  <c r="I87"/>
  <c r="F79" i="2"/>
  <c r="N78" i="3"/>
  <c r="J78"/>
  <c r="E78"/>
  <c r="O78"/>
  <c r="K78"/>
  <c r="G78"/>
  <c r="P78"/>
  <c r="L78"/>
  <c r="H78"/>
  <c r="M78"/>
  <c r="Q78"/>
  <c r="I78"/>
  <c r="F72" i="2"/>
  <c r="N71" i="3"/>
  <c r="J71"/>
  <c r="E71"/>
  <c r="O71"/>
  <c r="K71"/>
  <c r="G71"/>
  <c r="P71"/>
  <c r="L71"/>
  <c r="H71"/>
  <c r="M71"/>
  <c r="Q71"/>
  <c r="I71"/>
  <c r="F66" i="2"/>
  <c r="N65" i="3"/>
  <c r="J65"/>
  <c r="E65"/>
  <c r="O65"/>
  <c r="K65"/>
  <c r="G65"/>
  <c r="P65"/>
  <c r="L65"/>
  <c r="H65"/>
  <c r="M65"/>
  <c r="Q65"/>
  <c r="I65"/>
  <c r="F58" i="2"/>
  <c r="N57" i="3"/>
  <c r="J57"/>
  <c r="E57"/>
  <c r="O57"/>
  <c r="K57"/>
  <c r="G57"/>
  <c r="P57"/>
  <c r="L57"/>
  <c r="H57"/>
  <c r="I57"/>
  <c r="M57"/>
  <c r="Q57"/>
  <c r="F52" i="2"/>
  <c r="N51" i="3"/>
  <c r="J51"/>
  <c r="E51"/>
  <c r="O51"/>
  <c r="K51"/>
  <c r="G51"/>
  <c r="M51"/>
  <c r="P51"/>
  <c r="L51"/>
  <c r="H51"/>
  <c r="Q51"/>
  <c r="I51"/>
  <c r="F42" i="2"/>
  <c r="N41" i="3"/>
  <c r="J41"/>
  <c r="E41"/>
  <c r="O41"/>
  <c r="K41"/>
  <c r="G41"/>
  <c r="M41"/>
  <c r="P41"/>
  <c r="L41"/>
  <c r="H41"/>
  <c r="Q41"/>
  <c r="I41"/>
  <c r="F37" i="2"/>
  <c r="N36" i="3"/>
  <c r="J36"/>
  <c r="E36"/>
  <c r="O36"/>
  <c r="K36"/>
  <c r="G36"/>
  <c r="Q36"/>
  <c r="I36"/>
  <c r="P36"/>
  <c r="L36"/>
  <c r="H36"/>
  <c r="M36"/>
  <c r="F33" i="2"/>
  <c r="N32" i="3"/>
  <c r="J32"/>
  <c r="E32"/>
  <c r="O32"/>
  <c r="K32"/>
  <c r="G32"/>
  <c r="M32"/>
  <c r="P32"/>
  <c r="L32"/>
  <c r="H32"/>
  <c r="Q32"/>
  <c r="I32"/>
  <c r="F28" i="2"/>
  <c r="N27" i="3"/>
  <c r="J27"/>
  <c r="E27"/>
  <c r="Q27"/>
  <c r="O27"/>
  <c r="K27"/>
  <c r="G27"/>
  <c r="M27"/>
  <c r="P27"/>
  <c r="L27"/>
  <c r="H27"/>
  <c r="I27"/>
  <c r="F17" i="2"/>
  <c r="N16" i="3"/>
  <c r="J16"/>
  <c r="E16"/>
  <c r="M16"/>
  <c r="O16"/>
  <c r="K16"/>
  <c r="G16"/>
  <c r="I16"/>
  <c r="P16"/>
  <c r="L16"/>
  <c r="H16"/>
  <c r="Q16"/>
  <c r="F21" i="2"/>
  <c r="N20" i="3"/>
  <c r="J20"/>
  <c r="E20"/>
  <c r="O20"/>
  <c r="K20"/>
  <c r="G20"/>
  <c r="M20"/>
  <c r="P20"/>
  <c r="L20"/>
  <c r="H20"/>
  <c r="Q20"/>
  <c r="I20"/>
  <c r="F57" i="2"/>
  <c r="N56" i="3"/>
  <c r="J56"/>
  <c r="E56"/>
  <c r="O56"/>
  <c r="K56"/>
  <c r="G56"/>
  <c r="P56"/>
  <c r="L56"/>
  <c r="H56"/>
  <c r="M56"/>
  <c r="Q56"/>
  <c r="I56"/>
  <c r="F73" i="2"/>
  <c r="N72" i="3"/>
  <c r="J72"/>
  <c r="E72"/>
  <c r="O72"/>
  <c r="K72"/>
  <c r="G72"/>
  <c r="P72"/>
  <c r="L72"/>
  <c r="H72"/>
  <c r="Q72"/>
  <c r="M72"/>
  <c r="I72"/>
  <c r="F109" i="2"/>
  <c r="N108" i="3"/>
  <c r="J108"/>
  <c r="E108"/>
  <c r="O108"/>
  <c r="K108"/>
  <c r="G108"/>
  <c r="P108"/>
  <c r="L108"/>
  <c r="H108"/>
  <c r="M108"/>
  <c r="Q108"/>
  <c r="I108"/>
  <c r="F7" i="2"/>
  <c r="N6" i="3"/>
  <c r="J6"/>
  <c r="E6"/>
  <c r="I6"/>
  <c r="O6"/>
  <c r="K6"/>
  <c r="G6"/>
  <c r="Q6"/>
  <c r="P6"/>
  <c r="L6"/>
  <c r="H6"/>
  <c r="M6"/>
  <c r="F15" i="2"/>
  <c r="N14" i="3"/>
  <c r="J14"/>
  <c r="E14"/>
  <c r="M14"/>
  <c r="O14"/>
  <c r="K14"/>
  <c r="G14"/>
  <c r="I14"/>
  <c r="P14"/>
  <c r="L14"/>
  <c r="H14"/>
  <c r="Q14"/>
  <c r="F25" i="2"/>
  <c r="N24" i="3"/>
  <c r="J24"/>
  <c r="E24"/>
  <c r="M24"/>
  <c r="O24"/>
  <c r="K24"/>
  <c r="G24"/>
  <c r="I24"/>
  <c r="P24"/>
  <c r="L24"/>
  <c r="H24"/>
  <c r="Q24"/>
  <c r="F29" i="2"/>
  <c r="N28" i="3"/>
  <c r="J28"/>
  <c r="E28"/>
  <c r="Q28"/>
  <c r="O28"/>
  <c r="K28"/>
  <c r="G28"/>
  <c r="M28"/>
  <c r="P28"/>
  <c r="L28"/>
  <c r="H28"/>
  <c r="I28"/>
  <c r="F43" i="2"/>
  <c r="N42" i="3"/>
  <c r="J42"/>
  <c r="E42"/>
  <c r="O42"/>
  <c r="K42"/>
  <c r="G42"/>
  <c r="Q42"/>
  <c r="I42"/>
  <c r="P42"/>
  <c r="L42"/>
  <c r="H42"/>
  <c r="M42"/>
  <c r="F45" i="2"/>
  <c r="N44" i="3"/>
  <c r="J44"/>
  <c r="E44"/>
  <c r="O44"/>
  <c r="K44"/>
  <c r="G44"/>
  <c r="M44"/>
  <c r="P44"/>
  <c r="L44"/>
  <c r="H44"/>
  <c r="Q44"/>
  <c r="I44"/>
  <c r="F53" i="2"/>
  <c r="N52" i="3"/>
  <c r="J52"/>
  <c r="E52"/>
  <c r="O52"/>
  <c r="K52"/>
  <c r="G52"/>
  <c r="Q52"/>
  <c r="I52"/>
  <c r="P52"/>
  <c r="L52"/>
  <c r="H52"/>
  <c r="M52"/>
  <c r="F59" i="2"/>
  <c r="N58" i="3"/>
  <c r="J58"/>
  <c r="E58"/>
  <c r="O58"/>
  <c r="K58"/>
  <c r="G58"/>
  <c r="P58"/>
  <c r="L58"/>
  <c r="H58"/>
  <c r="M58"/>
  <c r="Q58"/>
  <c r="I58"/>
  <c r="F67" i="2"/>
  <c r="N66" i="3"/>
  <c r="J66"/>
  <c r="E66"/>
  <c r="O66"/>
  <c r="K66"/>
  <c r="G66"/>
  <c r="P66"/>
  <c r="L66"/>
  <c r="H66"/>
  <c r="Q66"/>
  <c r="M66"/>
  <c r="I66"/>
  <c r="F77" i="2"/>
  <c r="N76" i="3"/>
  <c r="J76"/>
  <c r="E76"/>
  <c r="O76"/>
  <c r="K76"/>
  <c r="G76"/>
  <c r="P76"/>
  <c r="L76"/>
  <c r="H76"/>
  <c r="I76"/>
  <c r="Q76"/>
  <c r="M76"/>
  <c r="F81" i="2"/>
  <c r="N80" i="3"/>
  <c r="J80"/>
  <c r="E80"/>
  <c r="O80"/>
  <c r="K80"/>
  <c r="G80"/>
  <c r="P80"/>
  <c r="L80"/>
  <c r="H80"/>
  <c r="I80"/>
  <c r="M80"/>
  <c r="Q80"/>
  <c r="F95" i="2"/>
  <c r="N94" i="3"/>
  <c r="J94"/>
  <c r="E94"/>
  <c r="O94"/>
  <c r="K94"/>
  <c r="G94"/>
  <c r="P94"/>
  <c r="L94"/>
  <c r="H94"/>
  <c r="I94"/>
  <c r="M94"/>
  <c r="Q94"/>
  <c r="F97" i="2"/>
  <c r="N96" i="3"/>
  <c r="J96"/>
  <c r="E96"/>
  <c r="O96"/>
  <c r="K96"/>
  <c r="G96"/>
  <c r="P96"/>
  <c r="L96"/>
  <c r="H96"/>
  <c r="I96"/>
  <c r="M96"/>
  <c r="Q96"/>
  <c r="F105" i="2"/>
  <c r="N104" i="3"/>
  <c r="J104"/>
  <c r="E104"/>
  <c r="O104"/>
  <c r="K104"/>
  <c r="G104"/>
  <c r="P104"/>
  <c r="L104"/>
  <c r="H104"/>
  <c r="M104"/>
  <c r="Q104"/>
  <c r="I104"/>
  <c r="F111" i="2"/>
  <c r="N110" i="3"/>
  <c r="J110"/>
  <c r="E110"/>
  <c r="O110"/>
  <c r="K110"/>
  <c r="G110"/>
  <c r="P110"/>
  <c r="L110"/>
  <c r="H110"/>
  <c r="M110"/>
  <c r="Q110"/>
  <c r="I110"/>
  <c r="F119" i="2"/>
  <c r="N118" i="3"/>
  <c r="J118"/>
  <c r="E118"/>
  <c r="O118"/>
  <c r="K118"/>
  <c r="G118"/>
  <c r="P118"/>
  <c r="L118"/>
  <c r="H118"/>
  <c r="Q118"/>
  <c r="M118"/>
  <c r="I118"/>
  <c r="D7"/>
  <c r="D11"/>
  <c r="D25"/>
  <c r="D83"/>
  <c r="D90"/>
  <c r="D95"/>
  <c r="D121"/>
  <c r="D75"/>
  <c r="F16" i="2"/>
  <c r="N15" i="3"/>
  <c r="J15"/>
  <c r="E15"/>
  <c r="M15"/>
  <c r="O15"/>
  <c r="K15"/>
  <c r="G15"/>
  <c r="I15"/>
  <c r="P15"/>
  <c r="L15"/>
  <c r="H15"/>
  <c r="Q15"/>
  <c r="F30" i="2"/>
  <c r="N29" i="3"/>
  <c r="J29"/>
  <c r="E29"/>
  <c r="M29"/>
  <c r="O29"/>
  <c r="K29"/>
  <c r="G29"/>
  <c r="Q29"/>
  <c r="P29"/>
  <c r="L29"/>
  <c r="H29"/>
  <c r="I29"/>
  <c r="F54" i="2"/>
  <c r="N53" i="3"/>
  <c r="O53"/>
  <c r="P53"/>
  <c r="Q53"/>
  <c r="J53"/>
  <c r="E53"/>
  <c r="K53"/>
  <c r="G53"/>
  <c r="M53"/>
  <c r="L53"/>
  <c r="H53"/>
  <c r="I53"/>
  <c r="F118" i="2"/>
  <c r="N117" i="3"/>
  <c r="J117"/>
  <c r="E117"/>
  <c r="O117"/>
  <c r="K117"/>
  <c r="G117"/>
  <c r="P117"/>
  <c r="L117"/>
  <c r="H117"/>
  <c r="M117"/>
  <c r="Q117"/>
  <c r="I117"/>
  <c r="F110" i="2"/>
  <c r="N109" i="3"/>
  <c r="J109"/>
  <c r="E109"/>
  <c r="O109"/>
  <c r="K109"/>
  <c r="G109"/>
  <c r="P109"/>
  <c r="L109"/>
  <c r="H109"/>
  <c r="I109"/>
  <c r="M109"/>
  <c r="Q109"/>
  <c r="F104" i="2"/>
  <c r="N103" i="3"/>
  <c r="J103"/>
  <c r="E103"/>
  <c r="O103"/>
  <c r="K103"/>
  <c r="G103"/>
  <c r="P103"/>
  <c r="L103"/>
  <c r="H103"/>
  <c r="I103"/>
  <c r="M103"/>
  <c r="Q103"/>
  <c r="F94" i="2"/>
  <c r="N93" i="3"/>
  <c r="J93"/>
  <c r="E93"/>
  <c r="O93"/>
  <c r="K93"/>
  <c r="G93"/>
  <c r="P93"/>
  <c r="L93"/>
  <c r="H93"/>
  <c r="I93"/>
  <c r="M93"/>
  <c r="Q93"/>
  <c r="F89" i="2"/>
  <c r="N88" i="3"/>
  <c r="J88"/>
  <c r="E88"/>
  <c r="O88"/>
  <c r="K88"/>
  <c r="G88"/>
  <c r="P88"/>
  <c r="L88"/>
  <c r="H88"/>
  <c r="Q88"/>
  <c r="I88"/>
  <c r="M88"/>
  <c r="F85" i="2"/>
  <c r="N84" i="3"/>
  <c r="J84"/>
  <c r="E84"/>
  <c r="O84"/>
  <c r="K84"/>
  <c r="G84"/>
  <c r="P84"/>
  <c r="L84"/>
  <c r="H84"/>
  <c r="M84"/>
  <c r="Q84"/>
  <c r="I84"/>
  <c r="F80" i="2"/>
  <c r="N79" i="3"/>
  <c r="J79"/>
  <c r="E79"/>
  <c r="O79"/>
  <c r="K79"/>
  <c r="G79"/>
  <c r="P79"/>
  <c r="L79"/>
  <c r="H79"/>
  <c r="Q79"/>
  <c r="M79"/>
  <c r="I79"/>
  <c r="F69" i="2"/>
  <c r="N68" i="3"/>
  <c r="J68"/>
  <c r="E68"/>
  <c r="O68"/>
  <c r="K68"/>
  <c r="G68"/>
  <c r="P68"/>
  <c r="L68"/>
  <c r="H68"/>
  <c r="I68"/>
  <c r="M68"/>
  <c r="Q68"/>
  <c r="F55" i="2"/>
  <c r="N54" i="3"/>
  <c r="J54"/>
  <c r="E54"/>
  <c r="O54"/>
  <c r="K54"/>
  <c r="G54"/>
  <c r="P54"/>
  <c r="L54"/>
  <c r="H54"/>
  <c r="I54"/>
  <c r="M54"/>
  <c r="Q54"/>
  <c r="F48" i="2"/>
  <c r="N47" i="3"/>
  <c r="J47"/>
  <c r="E47"/>
  <c r="O47"/>
  <c r="K47"/>
  <c r="G47"/>
  <c r="M47"/>
  <c r="P47"/>
  <c r="L47"/>
  <c r="H47"/>
  <c r="Q47"/>
  <c r="I47"/>
  <c r="F38" i="2"/>
  <c r="N37" i="3"/>
  <c r="J37"/>
  <c r="E37"/>
  <c r="O37"/>
  <c r="K37"/>
  <c r="G37"/>
  <c r="M37"/>
  <c r="P37"/>
  <c r="L37"/>
  <c r="H37"/>
  <c r="Q37"/>
  <c r="I37"/>
  <c r="F34" i="2"/>
  <c r="N33" i="3"/>
  <c r="J33"/>
  <c r="E33"/>
  <c r="O33"/>
  <c r="K33"/>
  <c r="G33"/>
  <c r="Q33"/>
  <c r="I33"/>
  <c r="P33"/>
  <c r="L33"/>
  <c r="H33"/>
  <c r="M33"/>
  <c r="F31" i="2"/>
  <c r="N30" i="3"/>
  <c r="J30"/>
  <c r="E30"/>
  <c r="M30"/>
  <c r="O30"/>
  <c r="K30"/>
  <c r="G30"/>
  <c r="Q30"/>
  <c r="P30"/>
  <c r="L30"/>
  <c r="H30"/>
  <c r="I30"/>
  <c r="F22" i="2"/>
  <c r="N21" i="3"/>
  <c r="J21"/>
  <c r="E21"/>
  <c r="O21"/>
  <c r="K21"/>
  <c r="G21"/>
  <c r="M21"/>
  <c r="P21"/>
  <c r="L21"/>
  <c r="H21"/>
  <c r="Q21"/>
  <c r="I21"/>
  <c r="F18" i="2"/>
  <c r="N17" i="3"/>
  <c r="J17"/>
  <c r="E17"/>
  <c r="Q17"/>
  <c r="O17"/>
  <c r="K17"/>
  <c r="G17"/>
  <c r="I17"/>
  <c r="P17"/>
  <c r="L17"/>
  <c r="H17"/>
  <c r="M17"/>
  <c r="F9" i="2"/>
  <c r="N8" i="3"/>
  <c r="J8"/>
  <c r="E8"/>
  <c r="M8"/>
  <c r="O8"/>
  <c r="K8"/>
  <c r="G8"/>
  <c r="P8"/>
  <c r="L8"/>
  <c r="H8"/>
  <c r="Q8"/>
  <c r="I8"/>
  <c r="F11" i="2"/>
  <c r="N10" i="3"/>
  <c r="J10"/>
  <c r="E10"/>
  <c r="M10"/>
  <c r="O10"/>
  <c r="K10"/>
  <c r="G10"/>
  <c r="I10"/>
  <c r="P10"/>
  <c r="L10"/>
  <c r="H10"/>
  <c r="Q10"/>
  <c r="F49" i="2"/>
  <c r="N48" i="3"/>
  <c r="J48"/>
  <c r="E48"/>
  <c r="O48"/>
  <c r="K48"/>
  <c r="G48"/>
  <c r="Q48"/>
  <c r="I48"/>
  <c r="P48"/>
  <c r="L48"/>
  <c r="H48"/>
  <c r="M48"/>
  <c r="F63" i="2"/>
  <c r="N62" i="3"/>
  <c r="J62"/>
  <c r="E62"/>
  <c r="O62"/>
  <c r="K62"/>
  <c r="G62"/>
  <c r="P62"/>
  <c r="L62"/>
  <c r="H62"/>
  <c r="Q62"/>
  <c r="I62"/>
  <c r="M62"/>
  <c r="F101" i="2"/>
  <c r="N100" i="3"/>
  <c r="J100"/>
  <c r="E100"/>
  <c r="O100"/>
  <c r="K100"/>
  <c r="G100"/>
  <c r="P100"/>
  <c r="L100"/>
  <c r="H100"/>
  <c r="M100"/>
  <c r="Q100"/>
  <c r="I100"/>
  <c r="F115" i="2"/>
  <c r="N114" i="3"/>
  <c r="J114"/>
  <c r="E114"/>
  <c r="O114"/>
  <c r="K114"/>
  <c r="G114"/>
  <c r="P114"/>
  <c r="L114"/>
  <c r="H114"/>
  <c r="Q114"/>
  <c r="I114"/>
  <c r="M114"/>
  <c r="D29"/>
  <c r="D53"/>
  <c r="D64"/>
  <c r="D77"/>
  <c r="D111"/>
  <c r="D115"/>
  <c r="D107"/>
  <c r="D88"/>
  <c r="D8"/>
  <c r="D5"/>
  <c r="D13"/>
  <c r="D17"/>
  <c r="D19"/>
  <c r="D22"/>
  <c r="D33"/>
  <c r="D36"/>
  <c r="D41"/>
  <c r="D57"/>
  <c r="D69"/>
  <c r="D71"/>
  <c r="D74"/>
  <c r="D85"/>
  <c r="D89"/>
  <c r="D93"/>
  <c r="D112"/>
  <c r="F122" i="2"/>
  <c r="N121" i="3"/>
  <c r="J121"/>
  <c r="E121"/>
  <c r="O121"/>
  <c r="K121"/>
  <c r="G121"/>
  <c r="P121"/>
  <c r="L121"/>
  <c r="H121"/>
  <c r="M121"/>
  <c r="Q121"/>
  <c r="I121"/>
  <c r="F113" i="2"/>
  <c r="N112" i="3"/>
  <c r="J112"/>
  <c r="E112"/>
  <c r="O112"/>
  <c r="K112"/>
  <c r="G112"/>
  <c r="P112"/>
  <c r="L112"/>
  <c r="H112"/>
  <c r="I112"/>
  <c r="M112"/>
  <c r="Q112"/>
  <c r="F108" i="2"/>
  <c r="N107" i="3"/>
  <c r="J107"/>
  <c r="E107"/>
  <c r="O107"/>
  <c r="K107"/>
  <c r="G107"/>
  <c r="P107"/>
  <c r="L107"/>
  <c r="H107"/>
  <c r="I107"/>
  <c r="M107"/>
  <c r="Q107"/>
  <c r="F102" i="2"/>
  <c r="N101" i="3"/>
  <c r="J101"/>
  <c r="E101"/>
  <c r="O101"/>
  <c r="K101"/>
  <c r="G101"/>
  <c r="P101"/>
  <c r="L101"/>
  <c r="H101"/>
  <c r="Q101"/>
  <c r="I101"/>
  <c r="M101"/>
  <c r="F91" i="2"/>
  <c r="N90" i="3"/>
  <c r="J90"/>
  <c r="E90"/>
  <c r="O90"/>
  <c r="K90"/>
  <c r="G90"/>
  <c r="P90"/>
  <c r="L90"/>
  <c r="H90"/>
  <c r="I90"/>
  <c r="M90"/>
  <c r="Q90"/>
  <c r="F75" i="2"/>
  <c r="N74" i="3"/>
  <c r="J74"/>
  <c r="E74"/>
  <c r="O74"/>
  <c r="K74"/>
  <c r="G74"/>
  <c r="P74"/>
  <c r="L74"/>
  <c r="H74"/>
  <c r="M74"/>
  <c r="Q74"/>
  <c r="I74"/>
  <c r="F71" i="2"/>
  <c r="N70" i="3"/>
  <c r="J70"/>
  <c r="E70"/>
  <c r="O70"/>
  <c r="K70"/>
  <c r="G70"/>
  <c r="P70"/>
  <c r="L70"/>
  <c r="H70"/>
  <c r="I70"/>
  <c r="M70"/>
  <c r="Q70"/>
  <c r="F65" i="2"/>
  <c r="N64" i="3"/>
  <c r="J64"/>
  <c r="E64"/>
  <c r="O64"/>
  <c r="K64"/>
  <c r="G64"/>
  <c r="P64"/>
  <c r="L64"/>
  <c r="H64"/>
  <c r="I64"/>
  <c r="M64"/>
  <c r="Q64"/>
  <c r="F51" i="2"/>
  <c r="N50" i="3"/>
  <c r="J50"/>
  <c r="E50"/>
  <c r="O50"/>
  <c r="K50"/>
  <c r="G50"/>
  <c r="Q50"/>
  <c r="I50"/>
  <c r="P50"/>
  <c r="L50"/>
  <c r="H50"/>
  <c r="M50"/>
  <c r="F47" i="2"/>
  <c r="N46" i="3"/>
  <c r="J46"/>
  <c r="E46"/>
  <c r="O46"/>
  <c r="K46"/>
  <c r="G46"/>
  <c r="M46"/>
  <c r="P46"/>
  <c r="L46"/>
  <c r="H46"/>
  <c r="Q46"/>
  <c r="I46"/>
  <c r="F41" i="2"/>
  <c r="N40" i="3"/>
  <c r="J40"/>
  <c r="E40"/>
  <c r="O40"/>
  <c r="K40"/>
  <c r="G40"/>
  <c r="Q40"/>
  <c r="I40"/>
  <c r="P40"/>
  <c r="L40"/>
  <c r="H40"/>
  <c r="M40"/>
  <c r="F36" i="2"/>
  <c r="N35" i="3"/>
  <c r="J35"/>
  <c r="E35"/>
  <c r="O35"/>
  <c r="K35"/>
  <c r="G35"/>
  <c r="M35"/>
  <c r="P35"/>
  <c r="L35"/>
  <c r="H35"/>
  <c r="Q35"/>
  <c r="I35"/>
  <c r="F27" i="2"/>
  <c r="N26" i="3"/>
  <c r="J26"/>
  <c r="E26"/>
  <c r="Q26"/>
  <c r="I26"/>
  <c r="O26"/>
  <c r="K26"/>
  <c r="G26"/>
  <c r="M26"/>
  <c r="P26"/>
  <c r="L26"/>
  <c r="H26"/>
  <c r="F20" i="2"/>
  <c r="N19" i="3"/>
  <c r="J19"/>
  <c r="E19"/>
  <c r="I19"/>
  <c r="O19"/>
  <c r="K19"/>
  <c r="G19"/>
  <c r="Q19"/>
  <c r="P19"/>
  <c r="L19"/>
  <c r="H19"/>
  <c r="M19"/>
  <c r="F14" i="2"/>
  <c r="N13" i="3"/>
  <c r="J13"/>
  <c r="E13"/>
  <c r="M13"/>
  <c r="O13"/>
  <c r="K13"/>
  <c r="G13"/>
  <c r="I13"/>
  <c r="P13"/>
  <c r="L13"/>
  <c r="H13"/>
  <c r="Q13"/>
  <c r="F6" i="2"/>
  <c r="N5" i="3"/>
  <c r="J5"/>
  <c r="E5"/>
  <c r="I5"/>
  <c r="O5"/>
  <c r="K5"/>
  <c r="G5"/>
  <c r="Q5"/>
  <c r="P5"/>
  <c r="L5"/>
  <c r="H5"/>
  <c r="M5"/>
  <c r="F24" i="2"/>
  <c r="N23" i="3"/>
  <c r="J23"/>
  <c r="E23"/>
  <c r="O23"/>
  <c r="K23"/>
  <c r="G23"/>
  <c r="M23"/>
  <c r="P23"/>
  <c r="L23"/>
  <c r="H23"/>
  <c r="Q23"/>
  <c r="I23"/>
  <c r="F76" i="2"/>
  <c r="N75" i="3"/>
  <c r="J75"/>
  <c r="E75"/>
  <c r="O75"/>
  <c r="K75"/>
  <c r="G75"/>
  <c r="P75"/>
  <c r="L75"/>
  <c r="H75"/>
  <c r="Q75"/>
  <c r="I75"/>
  <c r="M75"/>
  <c r="F121" i="2"/>
  <c r="N120" i="3"/>
  <c r="J120"/>
  <c r="E120"/>
  <c r="O120"/>
  <c r="K120"/>
  <c r="G120"/>
  <c r="P120"/>
  <c r="L120"/>
  <c r="H120"/>
  <c r="I120"/>
  <c r="M120"/>
  <c r="Q120"/>
  <c r="F107" i="2"/>
  <c r="N106" i="3"/>
  <c r="J106"/>
  <c r="E106"/>
  <c r="O106"/>
  <c r="K106"/>
  <c r="G106"/>
  <c r="P106"/>
  <c r="L106"/>
  <c r="H106"/>
  <c r="I106"/>
  <c r="M106"/>
  <c r="Q106"/>
  <c r="F100" i="2"/>
  <c r="N99" i="3"/>
  <c r="J99"/>
  <c r="E99"/>
  <c r="O99"/>
  <c r="K99"/>
  <c r="G99"/>
  <c r="P99"/>
  <c r="L99"/>
  <c r="H99"/>
  <c r="I99"/>
  <c r="M99"/>
  <c r="Q99"/>
  <c r="F90" i="2"/>
  <c r="N89" i="3"/>
  <c r="J89"/>
  <c r="E89"/>
  <c r="O89"/>
  <c r="K89"/>
  <c r="G89"/>
  <c r="P89"/>
  <c r="L89"/>
  <c r="H89"/>
  <c r="I89"/>
  <c r="Q89"/>
  <c r="M89"/>
  <c r="F86" i="2"/>
  <c r="N85" i="3"/>
  <c r="J85"/>
  <c r="E85"/>
  <c r="O85"/>
  <c r="K85"/>
  <c r="G85"/>
  <c r="P85"/>
  <c r="L85"/>
  <c r="H85"/>
  <c r="Q85"/>
  <c r="M85"/>
  <c r="I85"/>
  <c r="F83" i="2"/>
  <c r="N82" i="3"/>
  <c r="J82"/>
  <c r="E82"/>
  <c r="O82"/>
  <c r="K82"/>
  <c r="G82"/>
  <c r="P82"/>
  <c r="L82"/>
  <c r="H82"/>
  <c r="M82"/>
  <c r="Q82"/>
  <c r="I82"/>
  <c r="F74" i="2"/>
  <c r="N73" i="3"/>
  <c r="J73"/>
  <c r="E73"/>
  <c r="O73"/>
  <c r="K73"/>
  <c r="G73"/>
  <c r="P73"/>
  <c r="L73"/>
  <c r="H73"/>
  <c r="I73"/>
  <c r="M73"/>
  <c r="Q73"/>
  <c r="F70" i="2"/>
  <c r="N69" i="3"/>
  <c r="J69"/>
  <c r="E69"/>
  <c r="O69"/>
  <c r="K69"/>
  <c r="G69"/>
  <c r="P69"/>
  <c r="L69"/>
  <c r="H69"/>
  <c r="M69"/>
  <c r="Q69"/>
  <c r="I69"/>
  <c r="F61" i="2"/>
  <c r="N60" i="3"/>
  <c r="J60"/>
  <c r="E60"/>
  <c r="O60"/>
  <c r="K60"/>
  <c r="G60"/>
  <c r="P60"/>
  <c r="L60"/>
  <c r="H60"/>
  <c r="I60"/>
  <c r="M60"/>
  <c r="Q60"/>
  <c r="F56" i="2"/>
  <c r="N55" i="3"/>
  <c r="J55"/>
  <c r="E55"/>
  <c r="O55"/>
  <c r="K55"/>
  <c r="G55"/>
  <c r="P55"/>
  <c r="L55"/>
  <c r="H55"/>
  <c r="I55"/>
  <c r="M55"/>
  <c r="Q55"/>
  <c r="F50" i="2"/>
  <c r="N49" i="3"/>
  <c r="J49"/>
  <c r="E49"/>
  <c r="O49"/>
  <c r="K49"/>
  <c r="G49"/>
  <c r="M49"/>
  <c r="P49"/>
  <c r="L49"/>
  <c r="H49"/>
  <c r="Q49"/>
  <c r="I49"/>
  <c r="F39" i="2"/>
  <c r="N38" i="3"/>
  <c r="J38"/>
  <c r="E38"/>
  <c r="O38"/>
  <c r="K38"/>
  <c r="G38"/>
  <c r="Q38"/>
  <c r="I38"/>
  <c r="P38"/>
  <c r="L38"/>
  <c r="H38"/>
  <c r="M38"/>
  <c r="F23" i="2"/>
  <c r="N22" i="3"/>
  <c r="J22"/>
  <c r="E22"/>
  <c r="O22"/>
  <c r="K22"/>
  <c r="G22"/>
  <c r="Q22"/>
  <c r="I22"/>
  <c r="P22"/>
  <c r="L22"/>
  <c r="H22"/>
  <c r="M22"/>
  <c r="F19" i="2"/>
  <c r="N18" i="3"/>
  <c r="J18"/>
  <c r="E18"/>
  <c r="O18"/>
  <c r="K18"/>
  <c r="G18"/>
  <c r="Q18"/>
  <c r="I18"/>
  <c r="P18"/>
  <c r="L18"/>
  <c r="H18"/>
  <c r="M18"/>
  <c r="F13" i="2"/>
  <c r="N12" i="3"/>
  <c r="J12"/>
  <c r="E12"/>
  <c r="M12"/>
  <c r="O12"/>
  <c r="K12"/>
  <c r="G12"/>
  <c r="I12"/>
  <c r="P12"/>
  <c r="L12"/>
  <c r="H12"/>
  <c r="Q12"/>
  <c r="F10" i="2"/>
  <c r="N9" i="3"/>
  <c r="J9"/>
  <c r="E9"/>
  <c r="M9"/>
  <c r="O9"/>
  <c r="K9"/>
  <c r="G9"/>
  <c r="I9"/>
  <c r="P9"/>
  <c r="L9"/>
  <c r="H9"/>
  <c r="Q9"/>
  <c r="F35" i="2"/>
  <c r="N34" i="3"/>
  <c r="J34"/>
  <c r="E34"/>
  <c r="O34"/>
  <c r="K34"/>
  <c r="G34"/>
  <c r="Q34"/>
  <c r="I34"/>
  <c r="P34"/>
  <c r="L34"/>
  <c r="H34"/>
  <c r="M34"/>
  <c r="F62" i="2"/>
  <c r="N61" i="3"/>
  <c r="J61"/>
  <c r="E61"/>
  <c r="O61"/>
  <c r="K61"/>
  <c r="G61"/>
  <c r="P61"/>
  <c r="L61"/>
  <c r="H61"/>
  <c r="M61"/>
  <c r="Q61"/>
  <c r="I61"/>
  <c r="F87" i="2"/>
  <c r="N86" i="3"/>
  <c r="J86"/>
  <c r="E86"/>
  <c r="O86"/>
  <c r="K86"/>
  <c r="G86"/>
  <c r="P86"/>
  <c r="L86"/>
  <c r="H86"/>
  <c r="I86"/>
  <c r="M86"/>
  <c r="Q86"/>
  <c r="F114" i="2"/>
  <c r="N113" i="3"/>
  <c r="J113"/>
  <c r="E113"/>
  <c r="O113"/>
  <c r="K113"/>
  <c r="G113"/>
  <c r="P113"/>
  <c r="L113"/>
  <c r="H113"/>
  <c r="M113"/>
  <c r="Q113"/>
  <c r="I113"/>
  <c r="D43"/>
  <c r="D15"/>
  <c r="D32"/>
  <c r="D63"/>
  <c r="D72"/>
  <c r="D92"/>
  <c r="D97"/>
  <c r="D105"/>
  <c r="D109"/>
  <c r="D65"/>
  <c r="D51"/>
  <c r="D21"/>
  <c r="D40"/>
  <c r="D46"/>
  <c r="D49"/>
  <c r="D50"/>
  <c r="D98"/>
  <c r="F30" i="1"/>
  <c r="F29"/>
  <c r="F33"/>
  <c r="F37"/>
  <c r="F38"/>
  <c r="F28"/>
  <c r="F32"/>
  <c r="F27"/>
  <c r="F31"/>
  <c r="F39"/>
  <c r="F42"/>
  <c r="F41"/>
  <c r="F45"/>
  <c r="F43"/>
  <c r="F21"/>
  <c r="F25"/>
  <c r="J135" i="17"/>
  <c r="K135"/>
  <c r="I141"/>
  <c r="J141" s="1"/>
  <c r="K141" s="1"/>
  <c r="I138"/>
  <c r="J131"/>
  <c r="I131"/>
  <c r="J130"/>
  <c r="I130"/>
  <c r="J128"/>
  <c r="I128"/>
  <c r="J127"/>
  <c r="I127"/>
  <c r="J125"/>
  <c r="J142" s="1"/>
  <c r="K142" s="1"/>
  <c r="I125"/>
  <c r="J124"/>
  <c r="I124"/>
  <c r="J122"/>
  <c r="I122"/>
  <c r="J121"/>
  <c r="I121"/>
  <c r="I119"/>
  <c r="J118"/>
  <c r="I118"/>
  <c r="M111"/>
  <c r="K111"/>
  <c r="J144" s="1"/>
  <c r="K144" s="1"/>
  <c r="F47" i="1" l="1"/>
  <c r="F48"/>
  <c r="F50"/>
  <c r="F51"/>
  <c r="F57"/>
  <c r="F52"/>
  <c r="F49"/>
  <c r="F56"/>
  <c r="F58"/>
  <c r="F46"/>
  <c r="F40"/>
  <c r="F64"/>
  <c r="F44"/>
  <c r="F61"/>
  <c r="F60"/>
  <c r="F62"/>
  <c r="J140" i="17"/>
  <c r="K140" s="1"/>
  <c r="J137"/>
  <c r="K137" s="1"/>
  <c r="J138"/>
  <c r="K138" s="1"/>
  <c r="E6" i="2"/>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F77" i="1" l="1"/>
  <c r="F68"/>
  <c r="F76"/>
  <c r="F69"/>
  <c r="F66"/>
  <c r="F65"/>
  <c r="F75"/>
  <c r="F71"/>
  <c r="F70"/>
  <c r="F67"/>
  <c r="F79"/>
  <c r="F63"/>
  <c r="F59"/>
  <c r="F81"/>
  <c r="F80"/>
  <c r="F83"/>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5" i="3"/>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8" i="1"/>
  <c r="M86" i="2" l="1"/>
  <c r="R86"/>
  <c r="R20"/>
  <c r="K20"/>
  <c r="H91"/>
  <c r="K91"/>
  <c r="K113"/>
  <c r="N113"/>
  <c r="T49"/>
  <c r="M49"/>
  <c r="M80"/>
  <c r="P80"/>
  <c r="M104"/>
  <c r="H30"/>
  <c r="H119"/>
  <c r="K119"/>
  <c r="H67"/>
  <c r="K67"/>
  <c r="T43"/>
  <c r="R43"/>
  <c r="T15"/>
  <c r="K15"/>
  <c r="H57"/>
  <c r="R57"/>
  <c r="K33"/>
  <c r="M58"/>
  <c r="R58"/>
  <c r="N98"/>
  <c r="H82"/>
  <c r="T64"/>
  <c r="H40"/>
  <c r="H12"/>
  <c r="M114"/>
  <c r="R114"/>
  <c r="K10"/>
  <c r="P10"/>
  <c r="M56"/>
  <c r="K56"/>
  <c r="K83"/>
  <c r="M100"/>
  <c r="R100"/>
  <c r="M76"/>
  <c r="R14"/>
  <c r="K14"/>
  <c r="H36"/>
  <c r="M108"/>
  <c r="P108"/>
  <c r="H63"/>
  <c r="K63"/>
  <c r="K18"/>
  <c r="R18"/>
  <c r="K38"/>
  <c r="P38"/>
  <c r="K69"/>
  <c r="M94"/>
  <c r="P94"/>
  <c r="H54"/>
  <c r="H97"/>
  <c r="M97"/>
  <c r="M45"/>
  <c r="H45"/>
  <c r="H73"/>
  <c r="T73"/>
  <c r="R28"/>
  <c r="K28"/>
  <c r="K52"/>
  <c r="P52"/>
  <c r="K79"/>
  <c r="P79"/>
  <c r="K99"/>
  <c r="N99"/>
  <c r="T106"/>
  <c r="N84"/>
  <c r="H68"/>
  <c r="H44"/>
  <c r="K13"/>
  <c r="M39"/>
  <c r="T39"/>
  <c r="K61"/>
  <c r="K41"/>
  <c r="K65"/>
  <c r="P65"/>
  <c r="K103"/>
  <c r="T120"/>
  <c r="T35"/>
  <c r="M35"/>
  <c r="H50"/>
  <c r="H74"/>
  <c r="H102"/>
  <c r="H77"/>
  <c r="K77"/>
  <c r="M53"/>
  <c r="T53"/>
  <c r="M25"/>
  <c r="T25"/>
  <c r="H109"/>
  <c r="K109"/>
  <c r="K17"/>
  <c r="H17"/>
  <c r="R42"/>
  <c r="K42"/>
  <c r="M72"/>
  <c r="R72"/>
  <c r="K93"/>
  <c r="P93"/>
  <c r="K117"/>
  <c r="T86"/>
  <c r="M20"/>
  <c r="N91"/>
  <c r="M91"/>
  <c r="R113"/>
  <c r="P113"/>
  <c r="N49"/>
  <c r="K49"/>
  <c r="T80"/>
  <c r="R80"/>
  <c r="T104"/>
  <c r="K104"/>
  <c r="P30"/>
  <c r="N30"/>
  <c r="N119"/>
  <c r="M119"/>
  <c r="N67"/>
  <c r="R67"/>
  <c r="N43"/>
  <c r="K43"/>
  <c r="N15"/>
  <c r="M15"/>
  <c r="N57"/>
  <c r="K57"/>
  <c r="R33"/>
  <c r="N33"/>
  <c r="T58"/>
  <c r="P58"/>
  <c r="P98"/>
  <c r="M98"/>
  <c r="P82"/>
  <c r="M82"/>
  <c r="P64"/>
  <c r="M64"/>
  <c r="P40"/>
  <c r="T40"/>
  <c r="P12"/>
  <c r="T12"/>
  <c r="T114"/>
  <c r="M10"/>
  <c r="R10"/>
  <c r="T56"/>
  <c r="R83"/>
  <c r="H83"/>
  <c r="T100"/>
  <c r="T76"/>
  <c r="K76"/>
  <c r="M14"/>
  <c r="P14"/>
  <c r="P36"/>
  <c r="T36"/>
  <c r="T108"/>
  <c r="R108"/>
  <c r="N63"/>
  <c r="M63"/>
  <c r="M18"/>
  <c r="M38"/>
  <c r="R38"/>
  <c r="R69"/>
  <c r="H69"/>
  <c r="T94"/>
  <c r="R94"/>
  <c r="P54"/>
  <c r="T54"/>
  <c r="N97"/>
  <c r="R97"/>
  <c r="N45"/>
  <c r="R45"/>
  <c r="N73"/>
  <c r="R73"/>
  <c r="M28"/>
  <c r="M52"/>
  <c r="R52"/>
  <c r="R79"/>
  <c r="H79"/>
  <c r="R99"/>
  <c r="P99"/>
  <c r="P106"/>
  <c r="M106"/>
  <c r="P84"/>
  <c r="M84"/>
  <c r="P68"/>
  <c r="T68"/>
  <c r="P44"/>
  <c r="N44"/>
  <c r="R13"/>
  <c r="H13"/>
  <c r="N39"/>
  <c r="H39"/>
  <c r="R61"/>
  <c r="N61"/>
  <c r="R41"/>
  <c r="H41"/>
  <c r="R65"/>
  <c r="H65"/>
  <c r="R103"/>
  <c r="N103"/>
  <c r="P120"/>
  <c r="M120"/>
  <c r="N35"/>
  <c r="K35"/>
  <c r="P50"/>
  <c r="T50"/>
  <c r="P74"/>
  <c r="T74"/>
  <c r="P102"/>
  <c r="T102"/>
  <c r="N77"/>
  <c r="M77"/>
  <c r="N53"/>
  <c r="H53"/>
  <c r="N25"/>
  <c r="H25"/>
  <c r="N109"/>
  <c r="R109"/>
  <c r="R17"/>
  <c r="N17"/>
  <c r="M42"/>
  <c r="T72"/>
  <c r="P72"/>
  <c r="R93"/>
  <c r="H93"/>
  <c r="R117"/>
  <c r="N117"/>
  <c r="H86"/>
  <c r="P86"/>
  <c r="T20"/>
  <c r="P20"/>
  <c r="R91"/>
  <c r="M113"/>
  <c r="H113"/>
  <c r="H49"/>
  <c r="H80"/>
  <c r="H104"/>
  <c r="P104"/>
  <c r="K30"/>
  <c r="M30"/>
  <c r="R119"/>
  <c r="T67"/>
  <c r="M43"/>
  <c r="H15"/>
  <c r="M57"/>
  <c r="M33"/>
  <c r="H33"/>
  <c r="H58"/>
  <c r="K98"/>
  <c r="T98"/>
  <c r="K82"/>
  <c r="T82"/>
  <c r="K64"/>
  <c r="N64"/>
  <c r="K40"/>
  <c r="M40"/>
  <c r="K12"/>
  <c r="M12"/>
  <c r="H114"/>
  <c r="P114"/>
  <c r="T10"/>
  <c r="H56"/>
  <c r="P56"/>
  <c r="M83"/>
  <c r="N83"/>
  <c r="H100"/>
  <c r="P100"/>
  <c r="H76"/>
  <c r="P76"/>
  <c r="T14"/>
  <c r="K36"/>
  <c r="M36"/>
  <c r="H108"/>
  <c r="R63"/>
  <c r="T18"/>
  <c r="P18"/>
  <c r="T38"/>
  <c r="M69"/>
  <c r="N69"/>
  <c r="H94"/>
  <c r="K54"/>
  <c r="M54"/>
  <c r="K97"/>
  <c r="T45"/>
  <c r="K73"/>
  <c r="T28"/>
  <c r="P28"/>
  <c r="T52"/>
  <c r="M79"/>
  <c r="N79"/>
  <c r="M99"/>
  <c r="H99"/>
  <c r="K106"/>
  <c r="N106"/>
  <c r="K84"/>
  <c r="T84"/>
  <c r="K68"/>
  <c r="M68"/>
  <c r="K44"/>
  <c r="M44"/>
  <c r="M13"/>
  <c r="N13"/>
  <c r="R39"/>
  <c r="M61"/>
  <c r="H61"/>
  <c r="M41"/>
  <c r="N41"/>
  <c r="M65"/>
  <c r="N65"/>
  <c r="M103"/>
  <c r="H103"/>
  <c r="K120"/>
  <c r="N120"/>
  <c r="H35"/>
  <c r="K50"/>
  <c r="M50"/>
  <c r="K74"/>
  <c r="M74"/>
  <c r="K102"/>
  <c r="M102"/>
  <c r="R77"/>
  <c r="K53"/>
  <c r="K25"/>
  <c r="T109"/>
  <c r="M17"/>
  <c r="P17"/>
  <c r="T42"/>
  <c r="P42"/>
  <c r="H72"/>
  <c r="M93"/>
  <c r="N93"/>
  <c r="M117"/>
  <c r="H117"/>
  <c r="K112"/>
  <c r="T112"/>
  <c r="K92"/>
  <c r="N92"/>
  <c r="K46"/>
  <c r="T46"/>
  <c r="K26"/>
  <c r="M26"/>
  <c r="K87"/>
  <c r="M107"/>
  <c r="N107"/>
  <c r="K22"/>
  <c r="T22"/>
  <c r="T95"/>
  <c r="M23"/>
  <c r="N23"/>
  <c r="T6"/>
  <c r="P6"/>
  <c r="M51"/>
  <c r="N51"/>
  <c r="M75"/>
  <c r="H75"/>
  <c r="K101"/>
  <c r="M9"/>
  <c r="N9"/>
  <c r="T34"/>
  <c r="M55"/>
  <c r="N55"/>
  <c r="M89"/>
  <c r="H89"/>
  <c r="H118"/>
  <c r="P118"/>
  <c r="R105"/>
  <c r="H62"/>
  <c r="P62"/>
  <c r="M19"/>
  <c r="H19"/>
  <c r="H70"/>
  <c r="H90"/>
  <c r="P90"/>
  <c r="M121"/>
  <c r="N121"/>
  <c r="T24"/>
  <c r="M27"/>
  <c r="N27"/>
  <c r="M47"/>
  <c r="H47"/>
  <c r="M71"/>
  <c r="P71"/>
  <c r="H122"/>
  <c r="K115"/>
  <c r="K11"/>
  <c r="M31"/>
  <c r="P31"/>
  <c r="T48"/>
  <c r="P48"/>
  <c r="M85"/>
  <c r="H85"/>
  <c r="H110"/>
  <c r="K16"/>
  <c r="N16"/>
  <c r="K111"/>
  <c r="T81"/>
  <c r="K59"/>
  <c r="H29"/>
  <c r="K7"/>
  <c r="K21"/>
  <c r="M37"/>
  <c r="N37"/>
  <c r="H66"/>
  <c r="R66"/>
  <c r="K88"/>
  <c r="M88"/>
  <c r="K116"/>
  <c r="M116"/>
  <c r="T91"/>
  <c r="R49"/>
  <c r="K80"/>
  <c r="T30"/>
  <c r="M67"/>
  <c r="R15"/>
  <c r="P33"/>
  <c r="N82"/>
  <c r="N40"/>
  <c r="K114"/>
  <c r="P83"/>
  <c r="R76"/>
  <c r="N36"/>
  <c r="T63"/>
  <c r="H38"/>
  <c r="K94"/>
  <c r="M73"/>
  <c r="H52"/>
  <c r="H106"/>
  <c r="N68"/>
  <c r="P13"/>
  <c r="P61"/>
  <c r="H120"/>
  <c r="N50"/>
  <c r="N102"/>
  <c r="R53"/>
  <c r="M109"/>
  <c r="H42"/>
  <c r="P112"/>
  <c r="N112"/>
  <c r="H92"/>
  <c r="N46"/>
  <c r="P26"/>
  <c r="H26"/>
  <c r="M87"/>
  <c r="R107"/>
  <c r="P107"/>
  <c r="M22"/>
  <c r="N95"/>
  <c r="K95"/>
  <c r="M6"/>
  <c r="K6"/>
  <c r="R51"/>
  <c r="P51"/>
  <c r="P75"/>
  <c r="N101"/>
  <c r="T101"/>
  <c r="M34"/>
  <c r="K34"/>
  <c r="P55"/>
  <c r="R89"/>
  <c r="R118"/>
  <c r="N105"/>
  <c r="K105"/>
  <c r="R62"/>
  <c r="R19"/>
  <c r="T70"/>
  <c r="K70"/>
  <c r="R90"/>
  <c r="R121"/>
  <c r="P121"/>
  <c r="H24"/>
  <c r="R27"/>
  <c r="P47"/>
  <c r="R71"/>
  <c r="H71"/>
  <c r="T122"/>
  <c r="R122"/>
  <c r="M115"/>
  <c r="N11"/>
  <c r="T11"/>
  <c r="M48"/>
  <c r="K48"/>
  <c r="T110"/>
  <c r="K110"/>
  <c r="T16"/>
  <c r="N111"/>
  <c r="M111"/>
  <c r="M81"/>
  <c r="N59"/>
  <c r="T59"/>
  <c r="R29"/>
  <c r="N7"/>
  <c r="M7"/>
  <c r="H21"/>
  <c r="R37"/>
  <c r="P37"/>
  <c r="K66"/>
  <c r="P88"/>
  <c r="H88"/>
  <c r="P116"/>
  <c r="H116"/>
  <c r="H96"/>
  <c r="T78"/>
  <c r="H60"/>
  <c r="H32"/>
  <c r="H8"/>
  <c r="T89"/>
  <c r="M105"/>
  <c r="M62"/>
  <c r="N19"/>
  <c r="N70"/>
  <c r="P70"/>
  <c r="T121"/>
  <c r="H121"/>
  <c r="T27"/>
  <c r="H27"/>
  <c r="T71"/>
  <c r="N71"/>
  <c r="N122"/>
  <c r="P122"/>
  <c r="P11"/>
  <c r="H11"/>
  <c r="N48"/>
  <c r="N110"/>
  <c r="P110"/>
  <c r="P111"/>
  <c r="R111"/>
  <c r="P59"/>
  <c r="R59"/>
  <c r="P7"/>
  <c r="R7"/>
  <c r="T37"/>
  <c r="H37"/>
  <c r="R88"/>
  <c r="T88"/>
  <c r="R116"/>
  <c r="T116"/>
  <c r="M96"/>
  <c r="P78"/>
  <c r="P60"/>
  <c r="M60"/>
  <c r="M32"/>
  <c r="P8"/>
  <c r="H20"/>
  <c r="T119"/>
  <c r="H43"/>
  <c r="K58"/>
  <c r="H98"/>
  <c r="N12"/>
  <c r="H10"/>
  <c r="K100"/>
  <c r="H14"/>
  <c r="K108"/>
  <c r="H18"/>
  <c r="N54"/>
  <c r="K45"/>
  <c r="H28"/>
  <c r="H84"/>
  <c r="K39"/>
  <c r="P41"/>
  <c r="N74"/>
  <c r="T77"/>
  <c r="K72"/>
  <c r="H112"/>
  <c r="P92"/>
  <c r="P46"/>
  <c r="N87"/>
  <c r="H22"/>
  <c r="R23"/>
  <c r="P9"/>
  <c r="H34"/>
  <c r="P89"/>
  <c r="T62"/>
  <c r="P27"/>
  <c r="R47"/>
  <c r="K122"/>
  <c r="R115"/>
  <c r="R31"/>
  <c r="H48"/>
  <c r="R110"/>
  <c r="P16"/>
  <c r="N81"/>
  <c r="K81"/>
  <c r="K29"/>
  <c r="H7"/>
  <c r="N88"/>
  <c r="K96"/>
  <c r="T96"/>
  <c r="K60"/>
  <c r="T60"/>
  <c r="K8"/>
  <c r="T8"/>
  <c r="P91"/>
  <c r="P49"/>
  <c r="N80"/>
  <c r="R30"/>
  <c r="P67"/>
  <c r="P15"/>
  <c r="T33"/>
  <c r="R82"/>
  <c r="R40"/>
  <c r="N114"/>
  <c r="T83"/>
  <c r="N76"/>
  <c r="R36"/>
  <c r="P63"/>
  <c r="N38"/>
  <c r="N94"/>
  <c r="P73"/>
  <c r="N52"/>
  <c r="T99"/>
  <c r="R106"/>
  <c r="R68"/>
  <c r="T13"/>
  <c r="T61"/>
  <c r="T65"/>
  <c r="R120"/>
  <c r="R50"/>
  <c r="R102"/>
  <c r="P53"/>
  <c r="P109"/>
  <c r="N42"/>
  <c r="T93"/>
  <c r="R112"/>
  <c r="M112"/>
  <c r="R26"/>
  <c r="T26"/>
  <c r="H87"/>
  <c r="T107"/>
  <c r="H107"/>
  <c r="P95"/>
  <c r="R95"/>
  <c r="K23"/>
  <c r="N6"/>
  <c r="T51"/>
  <c r="H51"/>
  <c r="K75"/>
  <c r="P101"/>
  <c r="R101"/>
  <c r="K9"/>
  <c r="N34"/>
  <c r="P34"/>
  <c r="K55"/>
  <c r="N89"/>
  <c r="M118"/>
  <c r="P105"/>
  <c r="T19"/>
  <c r="M90"/>
  <c r="K24"/>
  <c r="K47"/>
  <c r="H115"/>
  <c r="K31"/>
  <c r="K85"/>
  <c r="H81"/>
  <c r="T29"/>
  <c r="T21"/>
  <c r="M66"/>
  <c r="P96"/>
  <c r="M78"/>
  <c r="P32"/>
  <c r="N8"/>
  <c r="K86"/>
  <c r="R104"/>
  <c r="T57"/>
  <c r="H64"/>
  <c r="R56"/>
  <c r="P69"/>
  <c r="T97"/>
  <c r="T44"/>
  <c r="P103"/>
  <c r="R25"/>
  <c r="P117"/>
  <c r="T92"/>
  <c r="H46"/>
  <c r="T87"/>
  <c r="M95"/>
  <c r="M101"/>
  <c r="R55"/>
  <c r="T118"/>
  <c r="R70"/>
  <c r="M24"/>
  <c r="R11"/>
  <c r="R85"/>
  <c r="H16"/>
  <c r="M59"/>
  <c r="M21"/>
  <c r="N78"/>
  <c r="K32"/>
  <c r="N86"/>
  <c r="N20"/>
  <c r="T113"/>
  <c r="N104"/>
  <c r="P119"/>
  <c r="P43"/>
  <c r="P57"/>
  <c r="N58"/>
  <c r="R98"/>
  <c r="R64"/>
  <c r="R12"/>
  <c r="N10"/>
  <c r="N56"/>
  <c r="N100"/>
  <c r="N14"/>
  <c r="N108"/>
  <c r="N18"/>
  <c r="T69"/>
  <c r="R54"/>
  <c r="R158" s="1"/>
  <c r="P97"/>
  <c r="P45"/>
  <c r="N28"/>
  <c r="T79"/>
  <c r="R84"/>
  <c r="R44"/>
  <c r="P39"/>
  <c r="T41"/>
  <c r="T103"/>
  <c r="P35"/>
  <c r="R74"/>
  <c r="P77"/>
  <c r="P25"/>
  <c r="T17"/>
  <c r="T147" s="1"/>
  <c r="N72"/>
  <c r="T117"/>
  <c r="R92"/>
  <c r="M92"/>
  <c r="R46"/>
  <c r="M46"/>
  <c r="P87"/>
  <c r="P165" s="1"/>
  <c r="R87"/>
  <c r="K107"/>
  <c r="R22"/>
  <c r="N22"/>
  <c r="H95"/>
  <c r="T23"/>
  <c r="H23"/>
  <c r="R6"/>
  <c r="K51"/>
  <c r="K155" s="1"/>
  <c r="T75"/>
  <c r="N75"/>
  <c r="H101"/>
  <c r="T9"/>
  <c r="H9"/>
  <c r="R34"/>
  <c r="T55"/>
  <c r="H55"/>
  <c r="K89"/>
  <c r="N118"/>
  <c r="K118"/>
  <c r="H105"/>
  <c r="N62"/>
  <c r="K62"/>
  <c r="K19"/>
  <c r="M70"/>
  <c r="N90"/>
  <c r="K90"/>
  <c r="K121"/>
  <c r="N24"/>
  <c r="R24"/>
  <c r="K27"/>
  <c r="T47"/>
  <c r="N47"/>
  <c r="K71"/>
  <c r="M122"/>
  <c r="P115"/>
  <c r="T115"/>
  <c r="M11"/>
  <c r="T31"/>
  <c r="N31"/>
  <c r="R48"/>
  <c r="T85"/>
  <c r="P85"/>
  <c r="M110"/>
  <c r="R16"/>
  <c r="M16"/>
  <c r="H111"/>
  <c r="P81"/>
  <c r="R81"/>
  <c r="H59"/>
  <c r="P29"/>
  <c r="M29"/>
  <c r="T7"/>
  <c r="P21"/>
  <c r="R21"/>
  <c r="K37"/>
  <c r="N66"/>
  <c r="P66"/>
  <c r="R96"/>
  <c r="N96"/>
  <c r="R78"/>
  <c r="H78"/>
  <c r="R60"/>
  <c r="N60"/>
  <c r="R32"/>
  <c r="N32"/>
  <c r="R8"/>
  <c r="R138" s="1"/>
  <c r="M8"/>
  <c r="R35"/>
  <c r="N26"/>
  <c r="P22"/>
  <c r="P23"/>
  <c r="H6"/>
  <c r="R75"/>
  <c r="R9"/>
  <c r="T105"/>
  <c r="P19"/>
  <c r="T90"/>
  <c r="P24"/>
  <c r="N115"/>
  <c r="H31"/>
  <c r="N85"/>
  <c r="N163" s="1"/>
  <c r="T111"/>
  <c r="N29"/>
  <c r="N21"/>
  <c r="T66"/>
  <c r="N116"/>
  <c r="K78"/>
  <c r="T32"/>
  <c r="F86" i="1"/>
  <c r="F7" i="3"/>
  <c r="J8" i="2" s="1"/>
  <c r="F90" i="1"/>
  <c r="F10" i="3"/>
  <c r="J11" i="2" s="1"/>
  <c r="F84" i="1"/>
  <c r="F5" i="3"/>
  <c r="J6" i="2" s="1"/>
  <c r="F88" i="1"/>
  <c r="F8" i="3"/>
  <c r="J9" i="2" s="1"/>
  <c r="F87" i="1"/>
  <c r="F89"/>
  <c r="F9" i="3"/>
  <c r="J10" i="2" s="1"/>
  <c r="F94" i="1"/>
  <c r="F11" i="3"/>
  <c r="J12" i="2" s="1"/>
  <c r="F85" i="1"/>
  <c r="F6" i="3"/>
  <c r="J7" i="2" s="1"/>
  <c r="F95" i="1"/>
  <c r="F12" i="3"/>
  <c r="J13" i="2" s="1"/>
  <c r="F96" i="1"/>
  <c r="F13" i="3"/>
  <c r="J14" i="2" s="1"/>
  <c r="F99" i="1"/>
  <c r="F16" i="3"/>
  <c r="J17" i="2" s="1"/>
  <c r="F78" i="1"/>
  <c r="F98"/>
  <c r="F15" i="3"/>
  <c r="J16" i="2" s="1"/>
  <c r="F102" i="1"/>
  <c r="F100"/>
  <c r="F17" i="3"/>
  <c r="J18" i="2" s="1"/>
  <c r="F82" i="1"/>
  <c r="T25" i="10"/>
  <c r="N144" i="2" l="1"/>
  <c r="R142"/>
  <c r="K159"/>
  <c r="T155"/>
  <c r="H152"/>
  <c r="R162"/>
  <c r="M165"/>
  <c r="M155"/>
  <c r="H173"/>
  <c r="P163"/>
  <c r="M150"/>
  <c r="T171"/>
  <c r="N165"/>
  <c r="N152"/>
  <c r="R157"/>
  <c r="M167"/>
  <c r="M158"/>
  <c r="R139"/>
  <c r="R174"/>
  <c r="K168"/>
  <c r="R163"/>
  <c r="P173"/>
  <c r="K138"/>
  <c r="P138"/>
  <c r="R137"/>
  <c r="K139"/>
  <c r="N172"/>
  <c r="T174"/>
  <c r="H144"/>
  <c r="K152"/>
  <c r="P153"/>
  <c r="N140"/>
  <c r="P161"/>
  <c r="K174"/>
  <c r="T166"/>
  <c r="T167"/>
  <c r="H166"/>
  <c r="N141"/>
  <c r="P159"/>
  <c r="K136"/>
  <c r="H156"/>
  <c r="R145"/>
  <c r="R153"/>
  <c r="M166"/>
  <c r="N146"/>
  <c r="N139"/>
  <c r="M171"/>
  <c r="P147"/>
  <c r="K157"/>
  <c r="H160"/>
  <c r="M142"/>
  <c r="H157"/>
  <c r="N149"/>
  <c r="P158"/>
  <c r="N169"/>
  <c r="N162"/>
  <c r="H158"/>
  <c r="H169"/>
  <c r="M141"/>
  <c r="R150"/>
  <c r="K151"/>
  <c r="R152"/>
  <c r="N151"/>
  <c r="H159"/>
  <c r="R165"/>
  <c r="M170"/>
  <c r="N148"/>
  <c r="N160"/>
  <c r="K163"/>
  <c r="H137"/>
  <c r="N154"/>
  <c r="H151"/>
  <c r="P148"/>
  <c r="T168"/>
  <c r="M146"/>
  <c r="K167"/>
  <c r="R160"/>
  <c r="P174"/>
  <c r="P145"/>
  <c r="P150"/>
  <c r="H162"/>
  <c r="P137"/>
  <c r="H174"/>
  <c r="M147"/>
  <c r="K158"/>
  <c r="K142"/>
  <c r="N158"/>
  <c r="M163"/>
  <c r="T136"/>
  <c r="K165"/>
  <c r="K150"/>
  <c r="N143"/>
  <c r="T144"/>
  <c r="T154"/>
  <c r="H143"/>
  <c r="N161"/>
  <c r="N153"/>
  <c r="P171"/>
  <c r="T157"/>
  <c r="H149"/>
  <c r="M160"/>
  <c r="T145"/>
  <c r="T153"/>
  <c r="M164"/>
  <c r="M138"/>
  <c r="N174"/>
  <c r="T151"/>
  <c r="T159"/>
  <c r="R136"/>
  <c r="R170"/>
  <c r="H146"/>
  <c r="M173"/>
  <c r="T161"/>
  <c r="M168"/>
  <c r="N167"/>
  <c r="H155"/>
  <c r="R173"/>
  <c r="H165"/>
  <c r="P157"/>
  <c r="T138"/>
  <c r="P167"/>
  <c r="K149"/>
  <c r="N137"/>
  <c r="T141"/>
  <c r="R168"/>
  <c r="R167"/>
  <c r="R155"/>
  <c r="N173"/>
  <c r="H170"/>
  <c r="K137"/>
  <c r="H163"/>
  <c r="M151"/>
  <c r="H167"/>
  <c r="P136"/>
  <c r="T173"/>
  <c r="T150"/>
  <c r="N171"/>
  <c r="K154"/>
  <c r="K162"/>
  <c r="T148"/>
  <c r="P160"/>
  <c r="H153"/>
  <c r="R147"/>
  <c r="P162"/>
  <c r="M156"/>
  <c r="R149"/>
  <c r="T158"/>
  <c r="M148"/>
  <c r="M144"/>
  <c r="M140"/>
  <c r="K161"/>
  <c r="K153"/>
  <c r="M169"/>
  <c r="K147"/>
  <c r="K156"/>
  <c r="K148"/>
  <c r="K160"/>
  <c r="K145"/>
  <c r="M153"/>
  <c r="K169"/>
  <c r="R164"/>
  <c r="T165"/>
  <c r="H136"/>
  <c r="T137"/>
  <c r="R146"/>
  <c r="T139"/>
  <c r="P149"/>
  <c r="N164"/>
  <c r="T170"/>
  <c r="N138"/>
  <c r="P169"/>
  <c r="P146"/>
  <c r="P170"/>
  <c r="N142"/>
  <c r="P141"/>
  <c r="M137"/>
  <c r="T146"/>
  <c r="M152"/>
  <c r="P151"/>
  <c r="P155"/>
  <c r="K173"/>
  <c r="N150"/>
  <c r="K172"/>
  <c r="T152"/>
  <c r="H168"/>
  <c r="M159"/>
  <c r="K170"/>
  <c r="M154"/>
  <c r="T162"/>
  <c r="T156"/>
  <c r="T149"/>
  <c r="H172"/>
  <c r="H145"/>
  <c r="R169"/>
  <c r="H164"/>
  <c r="R171"/>
  <c r="N147"/>
  <c r="M162"/>
  <c r="R156"/>
  <c r="T172"/>
  <c r="P144"/>
  <c r="R140"/>
  <c r="P142"/>
  <c r="N145"/>
  <c r="T164"/>
  <c r="H147"/>
  <c r="H154"/>
  <c r="P156"/>
  <c r="M172"/>
  <c r="R148"/>
  <c r="R144"/>
  <c r="K140"/>
  <c r="H161"/>
  <c r="R151"/>
  <c r="T163"/>
  <c r="N168"/>
  <c r="H139"/>
  <c r="R141"/>
  <c r="R159"/>
  <c r="H150"/>
  <c r="K164"/>
  <c r="N136"/>
  <c r="R154"/>
  <c r="T143"/>
  <c r="N156"/>
  <c r="N166"/>
  <c r="P139"/>
  <c r="H148"/>
  <c r="H140"/>
  <c r="M174"/>
  <c r="R166"/>
  <c r="H141"/>
  <c r="H138"/>
  <c r="P166"/>
  <c r="M136"/>
  <c r="P143"/>
  <c r="T169"/>
  <c r="K166"/>
  <c r="K146"/>
  <c r="P152"/>
  <c r="K141"/>
  <c r="P168"/>
  <c r="N159"/>
  <c r="M139"/>
  <c r="N155"/>
  <c r="N170"/>
  <c r="M143"/>
  <c r="T140"/>
  <c r="M161"/>
  <c r="P164"/>
  <c r="H171"/>
  <c r="N157"/>
  <c r="P154"/>
  <c r="R143"/>
  <c r="R172"/>
  <c r="T160"/>
  <c r="T142"/>
  <c r="M145"/>
  <c r="K171"/>
  <c r="M157"/>
  <c r="K143"/>
  <c r="M149"/>
  <c r="P172"/>
  <c r="K144"/>
  <c r="P140"/>
  <c r="H142"/>
  <c r="R161"/>
  <c r="F115" i="1"/>
  <c r="F26" i="3"/>
  <c r="J27" i="2" s="1"/>
  <c r="F108" i="1"/>
  <c r="F22" i="3"/>
  <c r="J23" i="2" s="1"/>
  <c r="F107" i="1"/>
  <c r="F21" i="3"/>
  <c r="J22" i="2" s="1"/>
  <c r="F114" i="1"/>
  <c r="F25" i="3"/>
  <c r="J26" i="2" s="1"/>
  <c r="F113" i="1"/>
  <c r="F24" i="3"/>
  <c r="J25" i="2" s="1"/>
  <c r="F106" i="1"/>
  <c r="F103"/>
  <c r="F18" i="3"/>
  <c r="J19" i="2" s="1"/>
  <c r="F105" i="1"/>
  <c r="F20" i="3"/>
  <c r="J21" i="2" s="1"/>
  <c r="F104" i="1"/>
  <c r="F19" i="3"/>
  <c r="J20" i="2" s="1"/>
  <c r="F109" i="1"/>
  <c r="F23" i="3"/>
  <c r="J24" i="2" s="1"/>
  <c r="F119" i="1"/>
  <c r="F30" i="3"/>
  <c r="J31" i="2" s="1"/>
  <c r="F117" i="1"/>
  <c r="F28" i="3"/>
  <c r="J29" i="2" s="1"/>
  <c r="F118" i="1"/>
  <c r="F29" i="3"/>
  <c r="J30" i="2" s="1"/>
  <c r="F101" i="1"/>
  <c r="F121"/>
  <c r="F97"/>
  <c r="F14" i="3"/>
  <c r="J15" i="2" s="1"/>
  <c r="F137"/>
  <c r="A9" i="4" s="1"/>
  <c r="F138" i="2"/>
  <c r="A10" i="4" s="1"/>
  <c r="F139" i="2"/>
  <c r="A11" i="4" s="1"/>
  <c r="F140" i="2"/>
  <c r="A12" i="4" s="1"/>
  <c r="F141" i="2"/>
  <c r="A13" i="4" s="1"/>
  <c r="F142" i="2"/>
  <c r="A14" i="4" s="1"/>
  <c r="F143" i="2"/>
  <c r="A15" i="4" s="1"/>
  <c r="F144" i="2"/>
  <c r="A16" i="4" s="1"/>
  <c r="F145" i="2"/>
  <c r="A17" i="4" s="1"/>
  <c r="F146" i="2"/>
  <c r="A18" i="4" s="1"/>
  <c r="F147" i="2"/>
  <c r="A19" i="4" s="1"/>
  <c r="F148" i="2"/>
  <c r="A20" i="4" s="1"/>
  <c r="F149" i="2"/>
  <c r="A21" i="4" s="1"/>
  <c r="F150" i="2"/>
  <c r="A22" i="4" s="1"/>
  <c r="F151" i="2"/>
  <c r="A23" i="4" s="1"/>
  <c r="F152" i="2"/>
  <c r="A24" i="4" s="1"/>
  <c r="F153" i="2"/>
  <c r="A25" i="4" s="1"/>
  <c r="F154" i="2"/>
  <c r="A26" i="4" s="1"/>
  <c r="F155" i="2"/>
  <c r="A27" i="4" s="1"/>
  <c r="F156" i="2"/>
  <c r="A28" i="4" s="1"/>
  <c r="F157" i="2"/>
  <c r="A29" i="4" s="1"/>
  <c r="F158" i="2"/>
  <c r="A30" i="4" s="1"/>
  <c r="F159" i="2"/>
  <c r="A31" i="4" s="1"/>
  <c r="F160" i="2"/>
  <c r="A32" i="4" s="1"/>
  <c r="F161" i="2"/>
  <c r="A33" i="4" s="1"/>
  <c r="F162" i="2"/>
  <c r="A34" i="4" s="1"/>
  <c r="F163" i="2"/>
  <c r="A35" i="4" s="1"/>
  <c r="F164" i="2"/>
  <c r="A36" i="4" s="1"/>
  <c r="F165" i="2"/>
  <c r="A37" i="4" s="1"/>
  <c r="F166" i="2"/>
  <c r="A38" i="4" s="1"/>
  <c r="F167" i="2"/>
  <c r="A39" i="4" s="1"/>
  <c r="F168" i="2"/>
  <c r="A40" i="4" s="1"/>
  <c r="F169" i="2"/>
  <c r="A41" i="4" s="1"/>
  <c r="F170" i="2"/>
  <c r="A42" i="4" s="1"/>
  <c r="F171" i="2"/>
  <c r="A43" i="4" s="1"/>
  <c r="F172" i="2"/>
  <c r="A44" i="4" s="1"/>
  <c r="F173" i="2"/>
  <c r="A45" i="4" s="1"/>
  <c r="F174" i="2"/>
  <c r="A46" i="4" s="1"/>
  <c r="F136" i="2"/>
  <c r="A8" i="4" s="1"/>
  <c r="F123" i="1" l="1"/>
  <c r="F32" i="3"/>
  <c r="J33" i="2" s="1"/>
  <c r="J137" s="1"/>
  <c r="F122" i="1"/>
  <c r="F31" i="3"/>
  <c r="J32" i="2" s="1"/>
  <c r="J136" s="1"/>
  <c r="F132" i="1"/>
  <c r="F37" i="3"/>
  <c r="J38" i="2" s="1"/>
  <c r="J142" s="1"/>
  <c r="F126" i="1"/>
  <c r="F34" i="3"/>
  <c r="J35" i="2" s="1"/>
  <c r="J139" s="1"/>
  <c r="F134" i="1"/>
  <c r="F39" i="3"/>
  <c r="J40" i="2" s="1"/>
  <c r="J144" s="1"/>
  <c r="F128" i="1"/>
  <c r="F36" i="3"/>
  <c r="J37" i="2" s="1"/>
  <c r="J141" s="1"/>
  <c r="F124" i="1"/>
  <c r="F33" i="3"/>
  <c r="J34" i="2" s="1"/>
  <c r="J138" s="1"/>
  <c r="F125" i="1"/>
  <c r="F133"/>
  <c r="F38" i="3"/>
  <c r="J39" i="2" s="1"/>
  <c r="J143" s="1"/>
  <c r="F127" i="1"/>
  <c r="F35" i="3"/>
  <c r="J36" i="2" s="1"/>
  <c r="J140" s="1"/>
  <c r="F140" i="1"/>
  <c r="F137"/>
  <c r="F42" i="3"/>
  <c r="J43" i="2" s="1"/>
  <c r="J147" s="1"/>
  <c r="F138" i="1"/>
  <c r="F43" i="3"/>
  <c r="J44" i="2" s="1"/>
  <c r="J148" s="1"/>
  <c r="F116" i="1"/>
  <c r="F27" i="3"/>
  <c r="J28" i="2" s="1"/>
  <c r="F120" i="1"/>
  <c r="F136"/>
  <c r="F41" i="3"/>
  <c r="J42" i="2" s="1"/>
  <c r="J146" s="1"/>
  <c r="B8" i="4"/>
  <c r="F152" i="1" l="1"/>
  <c r="F51" i="3"/>
  <c r="J52" i="2" s="1"/>
  <c r="F143" i="1"/>
  <c r="F46" i="3"/>
  <c r="J47" i="2" s="1"/>
  <c r="F153" i="1"/>
  <c r="F52" i="3"/>
  <c r="J53" i="2" s="1"/>
  <c r="F142" i="1"/>
  <c r="F45" i="3"/>
  <c r="J46" i="2" s="1"/>
  <c r="F151" i="1"/>
  <c r="F50" i="3"/>
  <c r="J51" i="2" s="1"/>
  <c r="F146" i="1"/>
  <c r="F48" i="3"/>
  <c r="J49" i="2" s="1"/>
  <c r="F144" i="1"/>
  <c r="F147"/>
  <c r="F49" i="3"/>
  <c r="J50" i="2" s="1"/>
  <c r="F145" i="1"/>
  <c r="F47" i="3"/>
  <c r="J48" i="2" s="1"/>
  <c r="F141" i="1"/>
  <c r="F44" i="3"/>
  <c r="J45" i="2" s="1"/>
  <c r="F139" i="1"/>
  <c r="F157"/>
  <c r="F56" i="3"/>
  <c r="J57" i="2" s="1"/>
  <c r="F159" i="1"/>
  <c r="F155"/>
  <c r="F54" i="3"/>
  <c r="J55" i="2" s="1"/>
  <c r="F135" i="1"/>
  <c r="F40" i="3"/>
  <c r="J41" i="2" s="1"/>
  <c r="J145" s="1"/>
  <c r="F156" i="1"/>
  <c r="F55" i="3"/>
  <c r="J56" i="2" s="1"/>
  <c r="D138" i="6"/>
  <c r="D163"/>
  <c r="D157"/>
  <c r="D150"/>
  <c r="D144"/>
  <c r="D164"/>
  <c r="D158"/>
  <c r="D151"/>
  <c r="D139"/>
  <c r="D172"/>
  <c r="D159"/>
  <c r="D155"/>
  <c r="D142"/>
  <c r="D167"/>
  <c r="D154"/>
  <c r="D141"/>
  <c r="D173"/>
  <c r="D165"/>
  <c r="D162"/>
  <c r="D160"/>
  <c r="D156"/>
  <c r="D152"/>
  <c r="D149"/>
  <c r="D143"/>
  <c r="D171"/>
  <c r="D145"/>
  <c r="D166"/>
  <c r="D168"/>
  <c r="D170"/>
  <c r="D174"/>
  <c r="D146"/>
  <c r="D169"/>
  <c r="D161"/>
  <c r="D153"/>
  <c r="D148"/>
  <c r="D140"/>
  <c r="D137"/>
  <c r="D136"/>
  <c r="D147"/>
  <c r="B136" l="1"/>
  <c r="H3" i="27" s="1"/>
  <c r="B137" i="6"/>
  <c r="H4" i="27" s="1"/>
  <c r="A137" i="6"/>
  <c r="G4" i="27" s="1"/>
  <c r="B161" i="6"/>
  <c r="H28" i="27" s="1"/>
  <c r="A161" i="6"/>
  <c r="G28" i="27" s="1"/>
  <c r="B170" i="6"/>
  <c r="H37" i="27" s="1"/>
  <c r="A170" i="6"/>
  <c r="G37" i="27" s="1"/>
  <c r="B171" i="6"/>
  <c r="H38" i="27" s="1"/>
  <c r="A171" i="6"/>
  <c r="G38" i="27" s="1"/>
  <c r="B156" i="6"/>
  <c r="H23" i="27" s="1"/>
  <c r="A156" i="6"/>
  <c r="G23" i="27" s="1"/>
  <c r="B173" i="6"/>
  <c r="H40" i="27" s="1"/>
  <c r="A173" i="6"/>
  <c r="G40" i="27" s="1"/>
  <c r="B155" i="6"/>
  <c r="H22" i="27" s="1"/>
  <c r="A155" i="6"/>
  <c r="G22" i="27" s="1"/>
  <c r="B164" i="6"/>
  <c r="H31" i="27" s="1"/>
  <c r="A164" i="6"/>
  <c r="G31" i="27" s="1"/>
  <c r="B157" i="6"/>
  <c r="H24" i="27" s="1"/>
  <c r="A157" i="6"/>
  <c r="G24" i="27" s="1"/>
  <c r="B147" i="6"/>
  <c r="H14" i="27" s="1"/>
  <c r="A147" i="6"/>
  <c r="G14" i="27" s="1"/>
  <c r="B148" i="6"/>
  <c r="H15" i="27" s="1"/>
  <c r="A148" i="6"/>
  <c r="G15" i="27" s="1"/>
  <c r="B146" i="6"/>
  <c r="H13" i="27" s="1"/>
  <c r="A146" i="6"/>
  <c r="G13" i="27" s="1"/>
  <c r="B166" i="6"/>
  <c r="H33" i="27" s="1"/>
  <c r="A166" i="6"/>
  <c r="G33" i="27" s="1"/>
  <c r="B149" i="6"/>
  <c r="H16" i="27" s="1"/>
  <c r="A149" i="6"/>
  <c r="G16" i="27" s="1"/>
  <c r="B162" i="6"/>
  <c r="H29" i="27" s="1"/>
  <c r="A162" i="6"/>
  <c r="G29" i="27" s="1"/>
  <c r="B142" i="6"/>
  <c r="H9" i="27" s="1"/>
  <c r="A142" i="6"/>
  <c r="G9" i="27" s="1"/>
  <c r="B151" i="6"/>
  <c r="H18" i="27" s="1"/>
  <c r="A151" i="6"/>
  <c r="G18" i="27" s="1"/>
  <c r="B144" i="6"/>
  <c r="H11" i="27" s="1"/>
  <c r="A144" i="6"/>
  <c r="G11" i="27" s="1"/>
  <c r="B138" i="6"/>
  <c r="H5" i="27" s="1"/>
  <c r="A138" i="6"/>
  <c r="G5" i="27" s="1"/>
  <c r="B140" i="6"/>
  <c r="H7" i="27" s="1"/>
  <c r="A140" i="6"/>
  <c r="G7" i="27" s="1"/>
  <c r="B169" i="6"/>
  <c r="H36" i="27" s="1"/>
  <c r="A169" i="6"/>
  <c r="G36" i="27" s="1"/>
  <c r="B168" i="6"/>
  <c r="H35" i="27" s="1"/>
  <c r="A168" i="6"/>
  <c r="G35" i="27" s="1"/>
  <c r="B143" i="6"/>
  <c r="H10" i="27" s="1"/>
  <c r="A143" i="6"/>
  <c r="G10" i="27" s="1"/>
  <c r="B160" i="6"/>
  <c r="H27" i="27" s="1"/>
  <c r="A160" i="6"/>
  <c r="G27" i="27" s="1"/>
  <c r="B141" i="6"/>
  <c r="H8" i="27" s="1"/>
  <c r="A141" i="6"/>
  <c r="G8" i="27" s="1"/>
  <c r="B167" i="6"/>
  <c r="H34" i="27" s="1"/>
  <c r="A167" i="6"/>
  <c r="G34" i="27" s="1"/>
  <c r="B159" i="6"/>
  <c r="H26" i="27" s="1"/>
  <c r="A159" i="6"/>
  <c r="G26" i="27" s="1"/>
  <c r="B139" i="6"/>
  <c r="H6" i="27" s="1"/>
  <c r="A139" i="6"/>
  <c r="G6" i="27" s="1"/>
  <c r="B163" i="6"/>
  <c r="H30" i="27" s="1"/>
  <c r="A163" i="6"/>
  <c r="G30" i="27" s="1"/>
  <c r="B153" i="6"/>
  <c r="H20" i="27" s="1"/>
  <c r="A153" i="6"/>
  <c r="G20" i="27" s="1"/>
  <c r="B174" i="6"/>
  <c r="H41" i="27" s="1"/>
  <c r="A174" i="6"/>
  <c r="G41" i="27" s="1"/>
  <c r="B145" i="6"/>
  <c r="H12" i="27" s="1"/>
  <c r="A145" i="6"/>
  <c r="G12" i="27" s="1"/>
  <c r="B152" i="6"/>
  <c r="H19" i="27" s="1"/>
  <c r="A152" i="6"/>
  <c r="G19" i="27" s="1"/>
  <c r="B165" i="6"/>
  <c r="H32" i="27" s="1"/>
  <c r="A165" i="6"/>
  <c r="G32" i="27" s="1"/>
  <c r="B154" i="6"/>
  <c r="H21" i="27" s="1"/>
  <c r="A154" i="6"/>
  <c r="G21" i="27" s="1"/>
  <c r="B172" i="6"/>
  <c r="H39" i="27" s="1"/>
  <c r="A172" i="6"/>
  <c r="G39" i="27" s="1"/>
  <c r="B158" i="6"/>
  <c r="H25" i="27" s="1"/>
  <c r="A158" i="6"/>
  <c r="G25" i="27" s="1"/>
  <c r="B150" i="6"/>
  <c r="H17" i="27" s="1"/>
  <c r="A150" i="6"/>
  <c r="G17" i="27" s="1"/>
  <c r="F164" i="1"/>
  <c r="F60" i="3"/>
  <c r="J61" i="2" s="1"/>
  <c r="F163" i="1"/>
  <c r="F170"/>
  <c r="F63" i="3"/>
  <c r="J64" i="2" s="1"/>
  <c r="F172" i="1"/>
  <c r="F65" i="3"/>
  <c r="J66" i="2" s="1"/>
  <c r="F171" i="1"/>
  <c r="F64" i="3"/>
  <c r="J65" i="2" s="1"/>
  <c r="F160" i="1"/>
  <c r="F57" i="3"/>
  <c r="J58" i="2" s="1"/>
  <c r="F166" i="1"/>
  <c r="F62" i="3"/>
  <c r="J63" i="2" s="1"/>
  <c r="F165" i="1"/>
  <c r="F61" i="3"/>
  <c r="J62" i="2" s="1"/>
  <c r="F161" i="1"/>
  <c r="F58" i="3"/>
  <c r="J59" i="2" s="1"/>
  <c r="F162" i="1"/>
  <c r="F59" i="3"/>
  <c r="J60" i="2" s="1"/>
  <c r="F175" i="1"/>
  <c r="F68" i="3"/>
  <c r="J69" i="2" s="1"/>
  <c r="F174" i="1"/>
  <c r="F67" i="3"/>
  <c r="J68" i="2" s="1"/>
  <c r="F154" i="1"/>
  <c r="F53" i="3"/>
  <c r="J54" i="2" s="1"/>
  <c r="F178" i="1"/>
  <c r="F158"/>
  <c r="F176"/>
  <c r="F69" i="3"/>
  <c r="J70" i="2" s="1"/>
  <c r="X220" i="6"/>
  <c r="X221" s="1"/>
  <c r="W220"/>
  <c r="W221" s="1"/>
  <c r="V220"/>
  <c r="V221" s="1"/>
  <c r="U220"/>
  <c r="U221" s="1"/>
  <c r="T220"/>
  <c r="T221" s="1"/>
  <c r="S220"/>
  <c r="S221" s="1"/>
  <c r="R220"/>
  <c r="R221" s="1"/>
  <c r="Q220"/>
  <c r="Q221" s="1"/>
  <c r="P220"/>
  <c r="P221" s="1"/>
  <c r="O220"/>
  <c r="O221" s="1"/>
  <c r="N220"/>
  <c r="N221" s="1"/>
  <c r="M220"/>
  <c r="M221" s="1"/>
  <c r="L220"/>
  <c r="L221" s="1"/>
  <c r="K220"/>
  <c r="K221" s="1"/>
  <c r="J220"/>
  <c r="J221" s="1"/>
  <c r="I220"/>
  <c r="I221" s="1"/>
  <c r="H220"/>
  <c r="H221" s="1"/>
  <c r="G220"/>
  <c r="G221" s="1"/>
  <c r="F220"/>
  <c r="F221" s="1"/>
  <c r="E220"/>
  <c r="E221" s="1"/>
  <c r="X183"/>
  <c r="X184" s="1"/>
  <c r="W183"/>
  <c r="W184" s="1"/>
  <c r="V183"/>
  <c r="V184" s="1"/>
  <c r="U183"/>
  <c r="U184" s="1"/>
  <c r="T183"/>
  <c r="T184" s="1"/>
  <c r="S183"/>
  <c r="S184" s="1"/>
  <c r="R183"/>
  <c r="R184" s="1"/>
  <c r="Q183"/>
  <c r="Q184" s="1"/>
  <c r="P183"/>
  <c r="P184" s="1"/>
  <c r="O183"/>
  <c r="O184" s="1"/>
  <c r="N183"/>
  <c r="N184" s="1"/>
  <c r="M183"/>
  <c r="M184" s="1"/>
  <c r="L183"/>
  <c r="L184" s="1"/>
  <c r="K183"/>
  <c r="K184" s="1"/>
  <c r="J183"/>
  <c r="J184" s="1"/>
  <c r="I183"/>
  <c r="I184" s="1"/>
  <c r="H183"/>
  <c r="H184" s="1"/>
  <c r="G183"/>
  <c r="G184" s="1"/>
  <c r="F183"/>
  <c r="F184" s="1"/>
  <c r="E183"/>
  <c r="E184" s="1"/>
  <c r="X134"/>
  <c r="X135" s="1"/>
  <c r="W134"/>
  <c r="W135" s="1"/>
  <c r="V134"/>
  <c r="V135" s="1"/>
  <c r="U134"/>
  <c r="U135" s="1"/>
  <c r="T134"/>
  <c r="T135" s="1"/>
  <c r="S134"/>
  <c r="S135" s="1"/>
  <c r="R134"/>
  <c r="R135" s="1"/>
  <c r="Q134"/>
  <c r="Q135" s="1"/>
  <c r="P134"/>
  <c r="P135" s="1"/>
  <c r="O134"/>
  <c r="O135" s="1"/>
  <c r="N134"/>
  <c r="N135" s="1"/>
  <c r="M134"/>
  <c r="M135" s="1"/>
  <c r="L134"/>
  <c r="L135" s="1"/>
  <c r="K134"/>
  <c r="K135" s="1"/>
  <c r="J134"/>
  <c r="J135" s="1"/>
  <c r="I134"/>
  <c r="I135" s="1"/>
  <c r="H134"/>
  <c r="H135" s="1"/>
  <c r="G134"/>
  <c r="G135" s="1"/>
  <c r="F134"/>
  <c r="F135" s="1"/>
  <c r="E134"/>
  <c r="E135" s="1"/>
  <c r="C133"/>
  <c r="C22"/>
  <c r="A21" s="1"/>
  <c r="A11"/>
  <c r="F180" i="1" l="1"/>
  <c r="F71" i="3"/>
  <c r="J72" i="2" s="1"/>
  <c r="F185" i="1"/>
  <c r="F75" i="3"/>
  <c r="J76" i="2" s="1"/>
  <c r="J154" s="1"/>
  <c r="F190" i="1"/>
  <c r="F77" i="3"/>
  <c r="J78" i="2" s="1"/>
  <c r="J156" s="1"/>
  <c r="F189" i="1"/>
  <c r="F76" i="3"/>
  <c r="J77" i="2" s="1"/>
  <c r="J155" s="1"/>
  <c r="F183" i="1"/>
  <c r="F73" i="3"/>
  <c r="J74" i="2" s="1"/>
  <c r="J152" s="1"/>
  <c r="F181" i="1"/>
  <c r="F72" i="3"/>
  <c r="J73" i="2" s="1"/>
  <c r="J151" s="1"/>
  <c r="F184" i="1"/>
  <c r="F74" i="3"/>
  <c r="J75" i="2" s="1"/>
  <c r="J153" s="1"/>
  <c r="F179" i="1"/>
  <c r="F70" i="3"/>
  <c r="J71" i="2" s="1"/>
  <c r="J149" s="1"/>
  <c r="F191" i="1"/>
  <c r="F78" i="3"/>
  <c r="J79" i="2" s="1"/>
  <c r="J157" s="1"/>
  <c r="F182" i="1"/>
  <c r="F177"/>
  <c r="F173"/>
  <c r="F66" i="3"/>
  <c r="J67" i="2" s="1"/>
  <c r="F194" i="1"/>
  <c r="F81" i="3"/>
  <c r="J82" i="2" s="1"/>
  <c r="J160" s="1"/>
  <c r="F195" i="1"/>
  <c r="F82" i="3"/>
  <c r="J83" i="2" s="1"/>
  <c r="J161" s="1"/>
  <c r="F197" i="1"/>
  <c r="F193"/>
  <c r="F80" i="3"/>
  <c r="J81" i="2" s="1"/>
  <c r="J159" s="1"/>
  <c r="C35" i="6"/>
  <c r="C100" s="1"/>
  <c r="C37"/>
  <c r="C102" s="1"/>
  <c r="C40"/>
  <c r="C105" s="1"/>
  <c r="C44"/>
  <c r="C109" s="1"/>
  <c r="C48"/>
  <c r="C113" s="1"/>
  <c r="C50"/>
  <c r="C115" s="1"/>
  <c r="C53"/>
  <c r="C118" s="1"/>
  <c r="C57"/>
  <c r="C122" s="1"/>
  <c r="C61"/>
  <c r="C126" s="1"/>
  <c r="C38"/>
  <c r="C103" s="1"/>
  <c r="C41"/>
  <c r="C106" s="1"/>
  <c r="C45"/>
  <c r="C110" s="1"/>
  <c r="C51"/>
  <c r="C116" s="1"/>
  <c r="C54"/>
  <c r="C119" s="1"/>
  <c r="C58"/>
  <c r="C123" s="1"/>
  <c r="C42"/>
  <c r="C107" s="1"/>
  <c r="C55"/>
  <c r="C120" s="1"/>
  <c r="C33"/>
  <c r="C98" s="1"/>
  <c r="C46"/>
  <c r="C111" s="1"/>
  <c r="C59"/>
  <c r="C124" s="1"/>
  <c r="C43"/>
  <c r="C108" s="1"/>
  <c r="C56"/>
  <c r="C121" s="1"/>
  <c r="C34"/>
  <c r="C99" s="1"/>
  <c r="C47"/>
  <c r="C112" s="1"/>
  <c r="C60"/>
  <c r="C125" s="1"/>
  <c r="C36"/>
  <c r="A36" s="1"/>
  <c r="C49"/>
  <c r="A49" s="1"/>
  <c r="C39"/>
  <c r="C104" s="1"/>
  <c r="C52"/>
  <c r="C117" s="1"/>
  <c r="C144"/>
  <c r="C148"/>
  <c r="C150"/>
  <c r="C153"/>
  <c r="C157"/>
  <c r="C161"/>
  <c r="C163"/>
  <c r="C166"/>
  <c r="C170"/>
  <c r="C174"/>
  <c r="C145"/>
  <c r="C151"/>
  <c r="C154"/>
  <c r="C158"/>
  <c r="C164"/>
  <c r="C167"/>
  <c r="C171"/>
  <c r="C146"/>
  <c r="C155"/>
  <c r="C159"/>
  <c r="C168"/>
  <c r="C172"/>
  <c r="C147"/>
  <c r="C149"/>
  <c r="C152"/>
  <c r="C156"/>
  <c r="C160"/>
  <c r="C162"/>
  <c r="C165"/>
  <c r="C169"/>
  <c r="C173"/>
  <c r="C32"/>
  <c r="C97" s="1"/>
  <c r="C31"/>
  <c r="C96" s="1"/>
  <c r="C28"/>
  <c r="C93" s="1"/>
  <c r="C30"/>
  <c r="C95" s="1"/>
  <c r="C27"/>
  <c r="C92" s="1"/>
  <c r="C29"/>
  <c r="C94" s="1"/>
  <c r="C25"/>
  <c r="C24"/>
  <c r="C88"/>
  <c r="C26"/>
  <c r="C91" s="1"/>
  <c r="D220"/>
  <c r="C87"/>
  <c r="C140"/>
  <c r="C139"/>
  <c r="C143"/>
  <c r="C141"/>
  <c r="C138"/>
  <c r="C142"/>
  <c r="C137"/>
  <c r="W87" l="1"/>
  <c r="S87"/>
  <c r="O87"/>
  <c r="K87"/>
  <c r="G87"/>
  <c r="U87"/>
  <c r="M87"/>
  <c r="E87"/>
  <c r="V87"/>
  <c r="R87"/>
  <c r="N87"/>
  <c r="J87"/>
  <c r="F87"/>
  <c r="X87"/>
  <c r="T87"/>
  <c r="P87"/>
  <c r="L87"/>
  <c r="H87"/>
  <c r="Q87"/>
  <c r="I87"/>
  <c r="C101"/>
  <c r="C114"/>
  <c r="F210" i="1"/>
  <c r="F91" i="3"/>
  <c r="J92" i="2" s="1"/>
  <c r="F203" i="1"/>
  <c r="F87" i="3"/>
  <c r="J88" i="2" s="1"/>
  <c r="F202" i="1"/>
  <c r="F86" i="3"/>
  <c r="J87" i="2" s="1"/>
  <c r="F209" i="1"/>
  <c r="F90" i="3"/>
  <c r="J91" i="2" s="1"/>
  <c r="F199" i="1"/>
  <c r="F84" i="3"/>
  <c r="J85" i="2" s="1"/>
  <c r="F201" i="1"/>
  <c r="F198"/>
  <c r="F83" i="3"/>
  <c r="J84" i="2" s="1"/>
  <c r="F200" i="1"/>
  <c r="F85" i="3"/>
  <c r="J86" i="2" s="1"/>
  <c r="F208" i="1"/>
  <c r="F89" i="3"/>
  <c r="J90" i="2" s="1"/>
  <c r="F204" i="1"/>
  <c r="F88" i="3"/>
  <c r="J89" i="2" s="1"/>
  <c r="F216" i="1"/>
  <c r="F213"/>
  <c r="F94" i="3"/>
  <c r="J95" i="2" s="1"/>
  <c r="F196" i="1"/>
  <c r="F212"/>
  <c r="F93" i="3"/>
  <c r="J94" i="2" s="1"/>
  <c r="F214" i="1"/>
  <c r="F95" i="3"/>
  <c r="J96" i="2" s="1"/>
  <c r="F192" i="1"/>
  <c r="F79" i="3"/>
  <c r="J80" i="2" s="1"/>
  <c r="J158" s="1"/>
  <c r="C89" i="6"/>
  <c r="C90"/>
  <c r="A86"/>
  <c r="F227" i="1" l="1"/>
  <c r="F115" i="3" s="1"/>
  <c r="J116" i="2" s="1"/>
  <c r="F102" i="3"/>
  <c r="J103" i="2" s="1"/>
  <c r="F217" i="1"/>
  <c r="F109" i="3" s="1"/>
  <c r="J110" i="2" s="1"/>
  <c r="F96" i="3"/>
  <c r="J97" i="2" s="1"/>
  <c r="F218" i="1"/>
  <c r="F110" i="3" s="1"/>
  <c r="J111" i="2" s="1"/>
  <c r="F97" i="3"/>
  <c r="J98" i="2" s="1"/>
  <c r="F221" i="1"/>
  <c r="F112" i="3" s="1"/>
  <c r="J113" i="2" s="1"/>
  <c r="F99" i="3"/>
  <c r="J100" i="2" s="1"/>
  <c r="F229" i="1"/>
  <c r="F117" i="3" s="1"/>
  <c r="J118" i="2" s="1"/>
  <c r="F104" i="3"/>
  <c r="J105" i="2" s="1"/>
  <c r="F223" i="1"/>
  <c r="F114" i="3" s="1"/>
  <c r="J115" i="2" s="1"/>
  <c r="F101" i="3"/>
  <c r="J102" i="2" s="1"/>
  <c r="F219" i="1"/>
  <c r="F111" i="3" s="1"/>
  <c r="J112" i="2" s="1"/>
  <c r="F98" i="3"/>
  <c r="J99" i="2" s="1"/>
  <c r="F220" i="1"/>
  <c r="F228"/>
  <c r="F116" i="3" s="1"/>
  <c r="J117" i="2" s="1"/>
  <c r="F103" i="3"/>
  <c r="J104" i="2" s="1"/>
  <c r="F222" i="1"/>
  <c r="F113" i="3" s="1"/>
  <c r="J114" i="2" s="1"/>
  <c r="F100" i="3"/>
  <c r="J101" i="2" s="1"/>
  <c r="F233" i="1"/>
  <c r="F121" i="3" s="1"/>
  <c r="J122" i="2" s="1"/>
  <c r="F108" i="3"/>
  <c r="J109" i="2" s="1"/>
  <c r="F215" i="1"/>
  <c r="F235"/>
  <c r="F211"/>
  <c r="F92" i="3"/>
  <c r="J93" i="2" s="1"/>
  <c r="F231" i="1"/>
  <c r="F119" i="3" s="1"/>
  <c r="J120" i="2" s="1"/>
  <c r="F106" i="3"/>
  <c r="J107" i="2" s="1"/>
  <c r="F232" i="1"/>
  <c r="F120" i="3" s="1"/>
  <c r="J121" i="2" s="1"/>
  <c r="F107" i="3"/>
  <c r="J108" i="2" s="1"/>
  <c r="J164" l="1"/>
  <c r="J170"/>
  <c r="J163"/>
  <c r="J168"/>
  <c r="J167"/>
  <c r="J162"/>
  <c r="J172"/>
  <c r="J166"/>
  <c r="J165"/>
  <c r="J173"/>
  <c r="J174"/>
  <c r="J169"/>
  <c r="F230" i="1"/>
  <c r="F118" i="3" s="1"/>
  <c r="J119" i="2" s="1"/>
  <c r="F105" i="3"/>
  <c r="J106" i="2" s="1"/>
  <c r="F234" i="1"/>
  <c r="J171" i="2" l="1"/>
  <c r="S121"/>
  <c r="Q120"/>
  <c r="S110"/>
  <c r="Q109"/>
  <c r="O106"/>
  <c r="O99"/>
  <c r="Q87"/>
  <c r="S83"/>
  <c r="S75"/>
  <c r="S72"/>
  <c r="S70"/>
  <c r="O66"/>
  <c r="Q65"/>
  <c r="S64"/>
  <c r="L59"/>
  <c r="O55"/>
  <c r="S53"/>
  <c r="L48"/>
  <c r="L152" s="1"/>
  <c r="S46"/>
  <c r="O43"/>
  <c r="L42"/>
  <c r="O36"/>
  <c r="Q35"/>
  <c r="S29"/>
  <c r="L28"/>
  <c r="S27"/>
  <c r="S23"/>
  <c r="S18"/>
  <c r="L17"/>
  <c r="L147" s="1"/>
  <c r="L16"/>
  <c r="L146" s="1"/>
  <c r="S12"/>
  <c r="O10"/>
  <c r="O7"/>
  <c r="O91"/>
  <c r="O137" l="1"/>
  <c r="J9" i="4" s="1"/>
  <c r="S157" i="2"/>
  <c r="N29" i="4" s="1"/>
  <c r="O169" i="2"/>
  <c r="J41" i="4" s="1"/>
  <c r="S142" i="2"/>
  <c r="N14" i="4" s="1"/>
  <c r="S150" i="2"/>
  <c r="N22" i="4" s="1"/>
  <c r="Q165" i="2"/>
  <c r="L37" i="4" s="1"/>
  <c r="O140" i="2"/>
  <c r="J12" i="4" s="1"/>
  <c r="S148" i="2"/>
  <c r="N20" i="4" s="1"/>
  <c r="O159" i="2"/>
  <c r="J31" i="4" s="1"/>
  <c r="O24" i="2"/>
  <c r="L58"/>
  <c r="L65"/>
  <c r="L15"/>
  <c r="L145" s="1"/>
  <c r="O47"/>
  <c r="O69"/>
  <c r="L52"/>
  <c r="L156" s="1"/>
  <c r="L56"/>
  <c r="L160" s="1"/>
  <c r="O102"/>
  <c r="O76"/>
  <c r="O6"/>
  <c r="O136" s="1"/>
  <c r="J8" i="4" s="1"/>
  <c r="O21" i="2"/>
  <c r="O14"/>
  <c r="L50"/>
  <c r="L154" s="1"/>
  <c r="O117"/>
  <c r="L54"/>
  <c r="L158" s="1"/>
  <c r="L73"/>
  <c r="L61"/>
  <c r="O110"/>
  <c r="O19"/>
  <c r="O84"/>
  <c r="Q13"/>
  <c r="O9"/>
  <c r="L66"/>
  <c r="L35"/>
  <c r="O13"/>
  <c r="L30"/>
  <c r="O39"/>
  <c r="L32"/>
  <c r="O59"/>
  <c r="O61"/>
  <c r="O54"/>
  <c r="O42"/>
  <c r="O30"/>
  <c r="L24"/>
  <c r="O15"/>
  <c r="O65"/>
  <c r="O35"/>
  <c r="L21"/>
  <c r="O73"/>
  <c r="O72"/>
  <c r="L69"/>
  <c r="O58"/>
  <c r="O56"/>
  <c r="O50"/>
  <c r="L47"/>
  <c r="L151" s="1"/>
  <c r="L39"/>
  <c r="O32"/>
  <c r="O121"/>
  <c r="O113"/>
  <c r="O95"/>
  <c r="O87"/>
  <c r="Q58"/>
  <c r="O53"/>
  <c r="Q6"/>
  <c r="Q136" s="1"/>
  <c r="L8" i="4" s="1"/>
  <c r="Q54" i="2"/>
  <c r="Q76"/>
  <c r="O98"/>
  <c r="O90"/>
  <c r="O79"/>
  <c r="Q24"/>
  <c r="Q110"/>
  <c r="Q98"/>
  <c r="O70"/>
  <c r="O20"/>
  <c r="O18"/>
  <c r="O64"/>
  <c r="O45"/>
  <c r="O38"/>
  <c r="O29"/>
  <c r="O101"/>
  <c r="O83"/>
  <c r="S14"/>
  <c r="S44"/>
  <c r="S79"/>
  <c r="O49"/>
  <c r="O109"/>
  <c r="S49"/>
  <c r="O27"/>
  <c r="O23"/>
  <c r="O68"/>
  <c r="O46"/>
  <c r="O44"/>
  <c r="O105"/>
  <c r="O80"/>
  <c r="O8"/>
  <c r="S17"/>
  <c r="O17"/>
  <c r="O26"/>
  <c r="S34"/>
  <c r="L34"/>
  <c r="L43"/>
  <c r="S52"/>
  <c r="O52"/>
  <c r="O67"/>
  <c r="L74"/>
  <c r="S82"/>
  <c r="O82"/>
  <c r="O89"/>
  <c r="L97"/>
  <c r="O104"/>
  <c r="O112"/>
  <c r="S11"/>
  <c r="O11"/>
  <c r="L19"/>
  <c r="S22"/>
  <c r="L22"/>
  <c r="O28"/>
  <c r="L37"/>
  <c r="L41"/>
  <c r="S41"/>
  <c r="S45"/>
  <c r="L45"/>
  <c r="L149" s="1"/>
  <c r="O48"/>
  <c r="L60"/>
  <c r="O63"/>
  <c r="S63"/>
  <c r="O71"/>
  <c r="O78"/>
  <c r="L86"/>
  <c r="L164" s="1"/>
  <c r="S93"/>
  <c r="O93"/>
  <c r="O100"/>
  <c r="L108"/>
  <c r="Q115"/>
  <c r="O115"/>
  <c r="L119"/>
  <c r="O37"/>
  <c r="O34"/>
  <c r="L26"/>
  <c r="O22"/>
  <c r="L71"/>
  <c r="L67"/>
  <c r="L63"/>
  <c r="O60"/>
  <c r="O41"/>
  <c r="S28"/>
  <c r="S20"/>
  <c r="Q30"/>
  <c r="S38"/>
  <c r="Q47"/>
  <c r="S68"/>
  <c r="S90"/>
  <c r="O120"/>
  <c r="O116"/>
  <c r="O94"/>
  <c r="O75"/>
  <c r="S7"/>
  <c r="Q7"/>
  <c r="S10"/>
  <c r="Q10"/>
  <c r="S16"/>
  <c r="Q16"/>
  <c r="S25"/>
  <c r="Q25"/>
  <c r="O25"/>
  <c r="S31"/>
  <c r="Q31"/>
  <c r="S33"/>
  <c r="Q33"/>
  <c r="L33"/>
  <c r="O33"/>
  <c r="S36"/>
  <c r="Q36"/>
  <c r="S40"/>
  <c r="O40"/>
  <c r="Q40"/>
  <c r="L40"/>
  <c r="S42"/>
  <c r="Q42"/>
  <c r="S51"/>
  <c r="O51"/>
  <c r="Q51"/>
  <c r="L51"/>
  <c r="L155" s="1"/>
  <c r="S55"/>
  <c r="Q55"/>
  <c r="S57"/>
  <c r="Q57"/>
  <c r="L57"/>
  <c r="L161" s="1"/>
  <c r="O57"/>
  <c r="S59"/>
  <c r="Q59"/>
  <c r="S62"/>
  <c r="O62"/>
  <c r="Q62"/>
  <c r="L62"/>
  <c r="S66"/>
  <c r="Q66"/>
  <c r="S77"/>
  <c r="O77"/>
  <c r="Q77"/>
  <c r="L77"/>
  <c r="S81"/>
  <c r="L81"/>
  <c r="Q81"/>
  <c r="O81"/>
  <c r="S85"/>
  <c r="O85"/>
  <c r="Q85"/>
  <c r="L85"/>
  <c r="L163" s="1"/>
  <c r="S88"/>
  <c r="O88"/>
  <c r="Q88"/>
  <c r="L88"/>
  <c r="L166" s="1"/>
  <c r="S92"/>
  <c r="L92"/>
  <c r="L170" s="1"/>
  <c r="Q92"/>
  <c r="O92"/>
  <c r="Q96"/>
  <c r="S96"/>
  <c r="L96"/>
  <c r="L174" s="1"/>
  <c r="O96"/>
  <c r="Q103"/>
  <c r="L103"/>
  <c r="S103"/>
  <c r="O103"/>
  <c r="Q107"/>
  <c r="S107"/>
  <c r="L107"/>
  <c r="O107"/>
  <c r="Q111"/>
  <c r="O111"/>
  <c r="S111"/>
  <c r="L111"/>
  <c r="Q114"/>
  <c r="S114"/>
  <c r="L114"/>
  <c r="O114"/>
  <c r="Q118"/>
  <c r="L118"/>
  <c r="S118"/>
  <c r="O118"/>
  <c r="Q122"/>
  <c r="S122"/>
  <c r="J150" s="1"/>
  <c r="O122"/>
  <c r="L122"/>
  <c r="L25"/>
  <c r="O16"/>
  <c r="L55"/>
  <c r="L159" s="1"/>
  <c r="L31"/>
  <c r="L36"/>
  <c r="O31"/>
  <c r="Q8"/>
  <c r="S8"/>
  <c r="Q11"/>
  <c r="Q17"/>
  <c r="Q19"/>
  <c r="S19"/>
  <c r="Q22"/>
  <c r="Q26"/>
  <c r="S26"/>
  <c r="Q28"/>
  <c r="Q34"/>
  <c r="Q37"/>
  <c r="S37"/>
  <c r="Q41"/>
  <c r="Q43"/>
  <c r="S43"/>
  <c r="Q45"/>
  <c r="Q48"/>
  <c r="S48"/>
  <c r="Q52"/>
  <c r="Q60"/>
  <c r="S60"/>
  <c r="Q63"/>
  <c r="Q67"/>
  <c r="S67"/>
  <c r="Q71"/>
  <c r="S71"/>
  <c r="Q74"/>
  <c r="O74"/>
  <c r="Q78"/>
  <c r="S78"/>
  <c r="L78"/>
  <c r="Q82"/>
  <c r="L82"/>
  <c r="Q86"/>
  <c r="O86"/>
  <c r="Q89"/>
  <c r="S89"/>
  <c r="L89"/>
  <c r="L167" s="1"/>
  <c r="Q93"/>
  <c r="L93"/>
  <c r="L171" s="1"/>
  <c r="S97"/>
  <c r="Q97"/>
  <c r="O97"/>
  <c r="Q100"/>
  <c r="S100"/>
  <c r="L100"/>
  <c r="Q104"/>
  <c r="S104"/>
  <c r="L104"/>
  <c r="S108"/>
  <c r="O108"/>
  <c r="S112"/>
  <c r="Q112"/>
  <c r="L112"/>
  <c r="S115"/>
  <c r="L115"/>
  <c r="S119"/>
  <c r="Q119"/>
  <c r="O119"/>
  <c r="Q108"/>
  <c r="S74"/>
  <c r="S86"/>
  <c r="S6"/>
  <c r="S136" s="1"/>
  <c r="N8" i="4" s="1"/>
  <c r="S9" i="2"/>
  <c r="S13"/>
  <c r="S15"/>
  <c r="S21"/>
  <c r="S24"/>
  <c r="S30"/>
  <c r="S32"/>
  <c r="S35"/>
  <c r="S39"/>
  <c r="S47"/>
  <c r="S50"/>
  <c r="S54"/>
  <c r="S56"/>
  <c r="S58"/>
  <c r="S61"/>
  <c r="S65"/>
  <c r="S69"/>
  <c r="S73"/>
  <c r="L76"/>
  <c r="S76"/>
  <c r="L80"/>
  <c r="S80"/>
  <c r="L84"/>
  <c r="L162" s="1"/>
  <c r="S84"/>
  <c r="L87"/>
  <c r="L165" s="1"/>
  <c r="S87"/>
  <c r="L91"/>
  <c r="L169" s="1"/>
  <c r="S91"/>
  <c r="L95"/>
  <c r="L173" s="1"/>
  <c r="Q95"/>
  <c r="S95"/>
  <c r="L99"/>
  <c r="L102"/>
  <c r="Q102"/>
  <c r="L106"/>
  <c r="Q106"/>
  <c r="S106"/>
  <c r="L110"/>
  <c r="L113"/>
  <c r="Q113"/>
  <c r="L117"/>
  <c r="Q117"/>
  <c r="S117"/>
  <c r="L121"/>
  <c r="Q121"/>
  <c r="S99"/>
  <c r="O12"/>
  <c r="Q12"/>
  <c r="Q14"/>
  <c r="Q18"/>
  <c r="Q20"/>
  <c r="Q23"/>
  <c r="Q27"/>
  <c r="Q29"/>
  <c r="Q38"/>
  <c r="Q44"/>
  <c r="Q46"/>
  <c r="Q49"/>
  <c r="Q53"/>
  <c r="Q64"/>
  <c r="Q68"/>
  <c r="Q70"/>
  <c r="Q72"/>
  <c r="Q75"/>
  <c r="Q79"/>
  <c r="Q83"/>
  <c r="Q90"/>
  <c r="S94"/>
  <c r="Q94"/>
  <c r="S98"/>
  <c r="S101"/>
  <c r="Q101"/>
  <c r="S105"/>
  <c r="Q105"/>
  <c r="S109"/>
  <c r="S116"/>
  <c r="Q116"/>
  <c r="S120"/>
  <c r="Q9"/>
  <c r="Q15"/>
  <c r="Q21"/>
  <c r="Q32"/>
  <c r="Q39"/>
  <c r="Q50"/>
  <c r="Q56"/>
  <c r="Q61"/>
  <c r="Q69"/>
  <c r="Q73"/>
  <c r="Q80"/>
  <c r="Q84"/>
  <c r="Q91"/>
  <c r="Q99"/>
  <c r="S102"/>
  <c r="S113"/>
  <c r="L14"/>
  <c r="L144" s="1"/>
  <c r="L18"/>
  <c r="L148" s="1"/>
  <c r="L20"/>
  <c r="L23"/>
  <c r="L27"/>
  <c r="L29"/>
  <c r="L38"/>
  <c r="L44"/>
  <c r="L46"/>
  <c r="L150" s="1"/>
  <c r="L49"/>
  <c r="L153" s="1"/>
  <c r="L53"/>
  <c r="L157" s="1"/>
  <c r="L64"/>
  <c r="L68"/>
  <c r="L70"/>
  <c r="L72"/>
  <c r="L75"/>
  <c r="L79"/>
  <c r="L83"/>
  <c r="L90"/>
  <c r="L168" s="1"/>
  <c r="L94"/>
  <c r="L172" s="1"/>
  <c r="L98"/>
  <c r="L101"/>
  <c r="L105"/>
  <c r="L109"/>
  <c r="L116"/>
  <c r="L120"/>
  <c r="Q153" l="1"/>
  <c r="L25" i="4" s="1"/>
  <c r="Q173" i="2"/>
  <c r="L45" i="4" s="1"/>
  <c r="S151" i="2"/>
  <c r="N23" i="4" s="1"/>
  <c r="S143" i="2"/>
  <c r="N15" i="4" s="1"/>
  <c r="Q152" i="2"/>
  <c r="L24" i="4" s="1"/>
  <c r="O161" i="2"/>
  <c r="J33" i="4" s="1"/>
  <c r="S149" i="2"/>
  <c r="N21" i="4" s="1"/>
  <c r="O141" i="2"/>
  <c r="J13" i="4" s="1"/>
  <c r="O165" i="2"/>
  <c r="J37" i="4" s="1"/>
  <c r="O160" i="2"/>
  <c r="J32" i="4" s="1"/>
  <c r="O145" i="2"/>
  <c r="J17" i="4" s="1"/>
  <c r="Q160" i="2"/>
  <c r="L32" i="4" s="1"/>
  <c r="Q172" i="2"/>
  <c r="L44" i="4" s="1"/>
  <c r="Q150" i="2"/>
  <c r="L22" i="4" s="1"/>
  <c r="Q144" i="2"/>
  <c r="L16" i="4" s="1"/>
  <c r="S160" i="2"/>
  <c r="N32" i="4" s="1"/>
  <c r="S139" i="2"/>
  <c r="N11" i="4" s="1"/>
  <c r="Q167" i="2"/>
  <c r="L39" i="4" s="1"/>
  <c r="Q149" i="2"/>
  <c r="L21" i="4" s="1"/>
  <c r="Q138" i="2"/>
  <c r="L10" i="4" s="1"/>
  <c r="Q170" i="2"/>
  <c r="L42" i="4" s="1"/>
  <c r="Q166" i="2"/>
  <c r="L38" i="4" s="1"/>
  <c r="Q163" i="2"/>
  <c r="L35" i="4" s="1"/>
  <c r="S159" i="2"/>
  <c r="N31" i="4" s="1"/>
  <c r="S155" i="2"/>
  <c r="N27" i="4" s="1"/>
  <c r="Q140" i="2"/>
  <c r="L12" i="4" s="1"/>
  <c r="S168" i="2"/>
  <c r="N40" i="4" s="1"/>
  <c r="S141" i="2"/>
  <c r="N13" i="4" s="1"/>
  <c r="O167" i="2"/>
  <c r="J39" i="4" s="1"/>
  <c r="S147" i="2"/>
  <c r="N19" i="4" s="1"/>
  <c r="O168" i="2"/>
  <c r="J40" i="4" s="1"/>
  <c r="O173" i="2"/>
  <c r="J45" i="4" s="1"/>
  <c r="O139" i="2"/>
  <c r="J11" i="4" s="1"/>
  <c r="Q162" i="2"/>
  <c r="L34" i="4" s="1"/>
  <c r="Q148" i="2"/>
  <c r="L20" i="4" s="1"/>
  <c r="S165" i="2"/>
  <c r="N37" i="4" s="1"/>
  <c r="O174" i="2"/>
  <c r="J46" i="4" s="1"/>
  <c r="Q159" i="2"/>
  <c r="L31" i="4" s="1"/>
  <c r="S146" i="2"/>
  <c r="N18" i="4" s="1"/>
  <c r="O147" i="2"/>
  <c r="J19" i="4" s="1"/>
  <c r="O153" i="2"/>
  <c r="J25" i="4" s="1"/>
  <c r="Q158" i="2"/>
  <c r="L30" i="4" s="1"/>
  <c r="O158" i="2"/>
  <c r="J30" i="4" s="1"/>
  <c r="Q169" i="2"/>
  <c r="L41" i="4" s="1"/>
  <c r="Q139" i="2"/>
  <c r="L11" i="4" s="1"/>
  <c r="Q168" i="2"/>
  <c r="L40" i="4" s="1"/>
  <c r="Q157" i="2"/>
  <c r="L29" i="4" s="1"/>
  <c r="O142" i="2"/>
  <c r="J14" i="4" s="1"/>
  <c r="S173" i="2"/>
  <c r="N45" i="4" s="1"/>
  <c r="S154" i="2"/>
  <c r="N26" i="4" s="1"/>
  <c r="S145" i="2"/>
  <c r="N17" i="4" s="1"/>
  <c r="S164" i="2"/>
  <c r="N36" i="4" s="1"/>
  <c r="Q164" i="2"/>
  <c r="L36" i="4" s="1"/>
  <c r="S152" i="2"/>
  <c r="N24" i="4" s="1"/>
  <c r="Q141" i="2"/>
  <c r="L13" i="4" s="1"/>
  <c r="Q174" i="2"/>
  <c r="L46" i="4" s="1"/>
  <c r="S170" i="2"/>
  <c r="N42" i="4" s="1"/>
  <c r="S166" i="2"/>
  <c r="N38" i="4" s="1"/>
  <c r="S163" i="2"/>
  <c r="N35" i="4" s="1"/>
  <c r="S161" i="2"/>
  <c r="N33" i="4" s="1"/>
  <c r="Q155" i="2"/>
  <c r="L27" i="4" s="1"/>
  <c r="Q146" i="2"/>
  <c r="L18" i="4" s="1"/>
  <c r="Q137" i="2"/>
  <c r="L9" i="4" s="1"/>
  <c r="Q151" i="2"/>
  <c r="L23" i="4" s="1"/>
  <c r="S171" i="2"/>
  <c r="N43" i="4" s="1"/>
  <c r="S156" i="2"/>
  <c r="N28" i="4" s="1"/>
  <c r="S144" i="2"/>
  <c r="N16" i="4" s="1"/>
  <c r="O154" i="2"/>
  <c r="J26" i="4" s="1"/>
  <c r="O162" i="2"/>
  <c r="J34" i="4" s="1"/>
  <c r="O144" i="2"/>
  <c r="J16" i="4" s="1"/>
  <c r="O151" i="2"/>
  <c r="J23" i="4" s="1"/>
  <c r="S167" i="2"/>
  <c r="N39" i="4" s="1"/>
  <c r="S138" i="2"/>
  <c r="N10" i="4" s="1"/>
  <c r="O170" i="2"/>
  <c r="J42" i="4" s="1"/>
  <c r="O155" i="2"/>
  <c r="J27" i="4" s="1"/>
  <c r="S137" i="2"/>
  <c r="N9" i="4" s="1"/>
  <c r="O149" i="2"/>
  <c r="J21" i="4" s="1"/>
  <c r="Q154" i="2"/>
  <c r="L26" i="4" s="1"/>
  <c r="Q145" i="2"/>
  <c r="L17" i="4" s="1"/>
  <c r="S172" i="2"/>
  <c r="N44" i="4" s="1"/>
  <c r="Q142" i="2"/>
  <c r="L14" i="4" s="1"/>
  <c r="S169" i="2"/>
  <c r="N41" i="4" s="1"/>
  <c r="S162" i="2"/>
  <c r="N34" i="4" s="1"/>
  <c r="S158" i="2"/>
  <c r="N30" i="4" s="1"/>
  <c r="Q171" i="2"/>
  <c r="L43" i="4" s="1"/>
  <c r="O164" i="2"/>
  <c r="J36" i="4" s="1"/>
  <c r="Q156" i="2"/>
  <c r="L28" i="4" s="1"/>
  <c r="Q147" i="2"/>
  <c r="L19" i="4" s="1"/>
  <c r="O146" i="2"/>
  <c r="J18" i="4" s="1"/>
  <c r="S174" i="2"/>
  <c r="N46" i="4" s="1"/>
  <c r="O166" i="2"/>
  <c r="J38" i="4" s="1"/>
  <c r="O163" i="2"/>
  <c r="J35" i="4" s="1"/>
  <c r="Q161" i="2"/>
  <c r="L33" i="4" s="1"/>
  <c r="S140" i="2"/>
  <c r="N12" i="4" s="1"/>
  <c r="O172" i="2"/>
  <c r="J44" i="4" s="1"/>
  <c r="O171" i="2"/>
  <c r="J43" i="4" s="1"/>
  <c r="O152" i="2"/>
  <c r="J24" i="4" s="1"/>
  <c r="O156" i="2"/>
  <c r="J28" i="4" s="1"/>
  <c r="O138" i="2"/>
  <c r="J10" i="4" s="1"/>
  <c r="O150" i="2"/>
  <c r="J22" i="4" s="1"/>
  <c r="S153" i="2"/>
  <c r="N25" i="4" s="1"/>
  <c r="O148" i="2"/>
  <c r="J20" i="4" s="1"/>
  <c r="O157" i="2"/>
  <c r="J29" i="4" s="1"/>
  <c r="O143" i="2"/>
  <c r="J15" i="4" s="1"/>
  <c r="Q143" i="2"/>
  <c r="L15" i="4" s="1"/>
  <c r="I36" i="2"/>
  <c r="I33"/>
  <c r="I25"/>
  <c r="I107"/>
  <c r="I96"/>
  <c r="I88"/>
  <c r="I79"/>
  <c r="I68"/>
  <c r="I12"/>
  <c r="L11"/>
  <c r="L141" s="1"/>
  <c r="I59"/>
  <c r="I57"/>
  <c r="I111"/>
  <c r="I17"/>
  <c r="I47"/>
  <c r="I43"/>
  <c r="I119"/>
  <c r="L8"/>
  <c r="L138" s="1"/>
  <c r="I92"/>
  <c r="L7"/>
  <c r="L137" s="1"/>
  <c r="I98"/>
  <c r="I108"/>
  <c r="I113"/>
  <c r="I34"/>
  <c r="I65"/>
  <c r="I87"/>
  <c r="I93"/>
  <c r="I99"/>
  <c r="I104"/>
  <c r="I109"/>
  <c r="I110"/>
  <c r="I13"/>
  <c r="I42"/>
  <c r="I51"/>
  <c r="L6"/>
  <c r="L136" s="1"/>
  <c r="I9"/>
  <c r="I20"/>
  <c r="I44"/>
  <c r="I77"/>
  <c r="I60"/>
  <c r="L10"/>
  <c r="L140" s="1"/>
  <c r="I26"/>
  <c r="I75"/>
  <c r="I102"/>
  <c r="I24"/>
  <c r="I90"/>
  <c r="I97"/>
  <c r="I117"/>
  <c r="I15"/>
  <c r="I61"/>
  <c r="I121"/>
  <c r="I81"/>
  <c r="I11"/>
  <c r="I72"/>
  <c r="I80"/>
  <c r="I52"/>
  <c r="I86"/>
  <c r="I101"/>
  <c r="I22"/>
  <c r="I54"/>
  <c r="I120"/>
  <c r="I118"/>
  <c r="I10"/>
  <c r="L13"/>
  <c r="L143" s="1"/>
  <c r="I23"/>
  <c r="I46"/>
  <c r="I66"/>
  <c r="I32"/>
  <c r="I41"/>
  <c r="I106"/>
  <c r="I73"/>
  <c r="I114"/>
  <c r="I8"/>
  <c r="I56"/>
  <c r="I71"/>
  <c r="I35"/>
  <c r="I30"/>
  <c r="I76"/>
  <c r="I16"/>
  <c r="I55"/>
  <c r="I62"/>
  <c r="I29"/>
  <c r="I53"/>
  <c r="I64"/>
  <c r="I95"/>
  <c r="I45"/>
  <c r="I31"/>
  <c r="I18"/>
  <c r="I50"/>
  <c r="I84"/>
  <c r="I105"/>
  <c r="I112"/>
  <c r="I91"/>
  <c r="I28"/>
  <c r="L9"/>
  <c r="L139" s="1"/>
  <c r="I27"/>
  <c r="I85"/>
  <c r="I122"/>
  <c r="I58"/>
  <c r="L12"/>
  <c r="L142" s="1"/>
  <c r="I67"/>
  <c r="I89"/>
  <c r="I100"/>
  <c r="I116"/>
  <c r="I103"/>
  <c r="I63"/>
  <c r="I6"/>
  <c r="I136" s="1"/>
  <c r="D8" i="4" s="1"/>
  <c r="I7" i="2"/>
  <c r="I14"/>
  <c r="I38"/>
  <c r="I37"/>
  <c r="I74"/>
  <c r="I39"/>
  <c r="I70"/>
  <c r="I21"/>
  <c r="I115"/>
  <c r="I40"/>
  <c r="I69"/>
  <c r="I19"/>
  <c r="I78"/>
  <c r="I83"/>
  <c r="I94"/>
  <c r="I48"/>
  <c r="I82"/>
  <c r="I49"/>
  <c r="I167" l="1"/>
  <c r="D39" i="4" s="1"/>
  <c r="I162" i="2"/>
  <c r="D34" i="4" s="1"/>
  <c r="I160" i="2"/>
  <c r="D32" i="4" s="1"/>
  <c r="I152" i="2"/>
  <c r="D24" i="4" s="1"/>
  <c r="I157" i="2"/>
  <c r="D29" i="4" s="1"/>
  <c r="I146" i="2"/>
  <c r="D18" i="4" s="1"/>
  <c r="I140" i="2"/>
  <c r="D12" i="4" s="1"/>
  <c r="I171" i="2"/>
  <c r="D43" i="4" s="1"/>
  <c r="I170" i="2"/>
  <c r="D42" i="4" s="1"/>
  <c r="I151" i="2"/>
  <c r="D23" i="4" s="1"/>
  <c r="I159" i="2"/>
  <c r="D31" i="4" s="1"/>
  <c r="I158" i="2"/>
  <c r="D30" i="4" s="1"/>
  <c r="I139" i="2"/>
  <c r="D11" i="4" s="1"/>
  <c r="I143" i="2"/>
  <c r="D15" i="4" s="1"/>
  <c r="I161" i="2"/>
  <c r="D33" i="4" s="1"/>
  <c r="I172" i="2"/>
  <c r="D44" i="4" s="1"/>
  <c r="I137" i="2"/>
  <c r="D9" i="4" s="1"/>
  <c r="I148" i="2"/>
  <c r="D20" i="4" s="1"/>
  <c r="I156" i="2"/>
  <c r="D28" i="4" s="1"/>
  <c r="I153" i="2"/>
  <c r="D25" i="4" s="1"/>
  <c r="I144" i="2"/>
  <c r="D16" i="4" s="1"/>
  <c r="I163" i="2"/>
  <c r="D35" i="4" s="1"/>
  <c r="I169" i="2"/>
  <c r="D41" i="4" s="1"/>
  <c r="I154" i="2"/>
  <c r="D26" i="4" s="1"/>
  <c r="I173" i="2"/>
  <c r="D45" i="4" s="1"/>
  <c r="I138" i="2"/>
  <c r="D10" i="4" s="1"/>
  <c r="I164" i="2"/>
  <c r="D36" i="4" s="1"/>
  <c r="I141" i="2"/>
  <c r="D13" i="4" s="1"/>
  <c r="I145" i="2"/>
  <c r="D17" i="4" s="1"/>
  <c r="I142" i="2"/>
  <c r="D14" i="4" s="1"/>
  <c r="I174" i="2"/>
  <c r="D46" i="4" s="1"/>
  <c r="I149" i="2"/>
  <c r="D21" i="4" s="1"/>
  <c r="I150" i="2"/>
  <c r="D22" i="4" s="1"/>
  <c r="I168" i="2"/>
  <c r="D40" i="4" s="1"/>
  <c r="I155" i="2"/>
  <c r="D27" i="4" s="1"/>
  <c r="I165" i="2"/>
  <c r="D37" i="4" s="1"/>
  <c r="I147" i="2"/>
  <c r="D19" i="4" s="1"/>
  <c r="I166" i="2"/>
  <c r="D38" i="4" s="1"/>
  <c r="C39"/>
  <c r="C21"/>
  <c r="C16"/>
  <c r="C12"/>
  <c r="C19"/>
  <c r="C36"/>
  <c r="C20"/>
  <c r="C32"/>
  <c r="C41"/>
  <c r="C34"/>
  <c r="C33"/>
  <c r="C9"/>
  <c r="C27"/>
  <c r="C35"/>
  <c r="C17"/>
  <c r="C37"/>
  <c r="C25"/>
  <c r="C10"/>
  <c r="C28"/>
  <c r="C46"/>
  <c r="C45"/>
  <c r="C13"/>
  <c r="C15"/>
  <c r="C23"/>
  <c r="C24"/>
  <c r="C38"/>
  <c r="C14"/>
  <c r="C29"/>
  <c r="C11"/>
  <c r="C31"/>
  <c r="C18"/>
  <c r="C8"/>
  <c r="I20"/>
  <c r="I43"/>
  <c r="H37"/>
  <c r="H24"/>
  <c r="O35"/>
  <c r="E37"/>
  <c r="E24"/>
  <c r="H20"/>
  <c r="F18"/>
  <c r="F31"/>
  <c r="H15"/>
  <c r="K18"/>
  <c r="H44"/>
  <c r="M31"/>
  <c r="K12"/>
  <c r="O15"/>
  <c r="E18"/>
  <c r="K17"/>
  <c r="I42"/>
  <c r="I28"/>
  <c r="H31"/>
  <c r="M12"/>
  <c r="F22"/>
  <c r="M36"/>
  <c r="F21"/>
  <c r="F40"/>
  <c r="I16"/>
  <c r="K41"/>
  <c r="M40"/>
  <c r="O27"/>
  <c r="H9"/>
  <c r="K25"/>
  <c r="O36"/>
  <c r="E41"/>
  <c r="I38"/>
  <c r="K20"/>
  <c r="I21"/>
  <c r="I37"/>
  <c r="M27"/>
  <c r="M41"/>
  <c r="F17"/>
  <c r="O38"/>
  <c r="I34"/>
  <c r="K44"/>
  <c r="I46"/>
  <c r="O32"/>
  <c r="E34"/>
  <c r="O45"/>
  <c r="M18"/>
  <c r="H21"/>
  <c r="E9"/>
  <c r="I10"/>
  <c r="E13"/>
  <c r="O22"/>
  <c r="F23"/>
  <c r="H34"/>
  <c r="O25"/>
  <c r="H40"/>
  <c r="M28"/>
  <c r="E20"/>
  <c r="K45"/>
  <c r="O20"/>
  <c r="I44"/>
  <c r="O33"/>
  <c r="F32"/>
  <c r="E33"/>
  <c r="M46"/>
  <c r="M32"/>
  <c r="K9"/>
  <c r="E10"/>
  <c r="M35"/>
  <c r="H8"/>
  <c r="F36"/>
  <c r="M38"/>
  <c r="F8"/>
  <c r="E8"/>
  <c r="K21"/>
  <c r="M9"/>
  <c r="E23"/>
  <c r="I14"/>
  <c r="E15"/>
  <c r="E27"/>
  <c r="F20"/>
  <c r="M26"/>
  <c r="M10"/>
  <c r="O44"/>
  <c r="H39"/>
  <c r="O39"/>
  <c r="K14"/>
  <c r="H27"/>
  <c r="E17"/>
  <c r="I26"/>
  <c r="O34"/>
  <c r="M19"/>
  <c r="F39"/>
  <c r="F26"/>
  <c r="O26"/>
  <c r="O41"/>
  <c r="E29"/>
  <c r="I12"/>
  <c r="H45"/>
  <c r="F19"/>
  <c r="I18"/>
  <c r="H33"/>
  <c r="O46"/>
  <c r="M33"/>
  <c r="H46"/>
  <c r="E43"/>
  <c r="K33"/>
  <c r="I33"/>
  <c r="E31"/>
  <c r="F33"/>
  <c r="I32"/>
  <c r="K26"/>
  <c r="H26"/>
  <c r="E26"/>
  <c r="F13"/>
  <c r="O11"/>
  <c r="I36"/>
  <c r="F10"/>
  <c r="O9"/>
  <c r="H23"/>
  <c r="F37"/>
  <c r="M8"/>
  <c r="I11"/>
  <c r="K35"/>
  <c r="M24"/>
  <c r="O37"/>
  <c r="F25"/>
  <c r="F35"/>
  <c r="K11"/>
  <c r="E21"/>
  <c r="F11"/>
  <c r="M34"/>
  <c r="H38"/>
  <c r="E11"/>
  <c r="I25"/>
  <c r="F34"/>
  <c r="H29"/>
  <c r="M14"/>
  <c r="O14"/>
  <c r="I27"/>
  <c r="O40"/>
  <c r="H14"/>
  <c r="K29"/>
  <c r="K16"/>
  <c r="I40"/>
  <c r="H42"/>
  <c r="F29"/>
  <c r="I45"/>
  <c r="M44"/>
  <c r="K43"/>
  <c r="H18"/>
  <c r="K19"/>
  <c r="E46"/>
  <c r="O17"/>
  <c r="H32"/>
  <c r="K32"/>
  <c r="K13"/>
  <c r="I39"/>
  <c r="H13"/>
  <c r="F38"/>
  <c r="E25"/>
  <c r="K37"/>
  <c r="K10"/>
  <c r="O8"/>
  <c r="M11"/>
  <c r="E36"/>
  <c r="O21"/>
  <c r="H10"/>
  <c r="K34"/>
  <c r="E12"/>
  <c r="H25"/>
  <c r="O24"/>
  <c r="M22"/>
  <c r="F24"/>
  <c r="I9"/>
  <c r="M25"/>
  <c r="I22"/>
  <c r="K23"/>
  <c r="E40"/>
  <c r="F14"/>
  <c r="K40"/>
  <c r="O29"/>
  <c r="E16"/>
  <c r="I15"/>
  <c r="M16"/>
  <c r="F27"/>
  <c r="M15"/>
  <c r="H16"/>
  <c r="E14"/>
  <c r="K27"/>
  <c r="K42"/>
  <c r="H19"/>
  <c r="M20"/>
  <c r="O30"/>
  <c r="I17"/>
  <c r="F30"/>
  <c r="O43"/>
  <c r="M17"/>
  <c r="O19"/>
  <c r="K31"/>
  <c r="I31"/>
  <c r="F44"/>
  <c r="O31"/>
  <c r="I19"/>
  <c r="H30"/>
  <c r="E30"/>
  <c r="H17"/>
  <c r="K46"/>
  <c r="O18"/>
  <c r="E44"/>
  <c r="I30"/>
  <c r="K39"/>
  <c r="O13"/>
  <c r="O23"/>
  <c r="F9"/>
  <c r="K38"/>
  <c r="H12"/>
  <c r="I35"/>
  <c r="O12"/>
  <c r="I23"/>
  <c r="I24"/>
  <c r="E38"/>
  <c r="K8"/>
  <c r="F28"/>
  <c r="H41"/>
  <c r="I29"/>
  <c r="M42"/>
  <c r="F16"/>
  <c r="E42"/>
  <c r="K15"/>
  <c r="O28"/>
  <c r="O16"/>
  <c r="K28"/>
  <c r="I41"/>
  <c r="F41"/>
  <c r="O42"/>
  <c r="M45"/>
  <c r="E19"/>
  <c r="H43"/>
  <c r="E32"/>
  <c r="E45"/>
  <c r="F46"/>
  <c r="F45"/>
  <c r="K30"/>
  <c r="F43"/>
  <c r="M30"/>
  <c r="M43"/>
  <c r="M39"/>
  <c r="I13"/>
  <c r="M13"/>
  <c r="E39"/>
  <c r="E22"/>
  <c r="H11"/>
  <c r="H35"/>
  <c r="F12"/>
  <c r="I8"/>
  <c r="M23"/>
  <c r="K22"/>
  <c r="M21"/>
  <c r="K36"/>
  <c r="H22"/>
  <c r="O10"/>
  <c r="H36"/>
  <c r="M37"/>
  <c r="K24"/>
  <c r="E35"/>
  <c r="E28"/>
  <c r="F15"/>
  <c r="M29"/>
  <c r="F42"/>
  <c r="H28"/>
  <c r="C44" l="1"/>
  <c r="C42"/>
  <c r="C30"/>
  <c r="C26"/>
  <c r="C22"/>
  <c r="C40"/>
  <c r="C43"/>
  <c r="A136" i="6"/>
  <c r="G3" i="27" l="1"/>
  <c r="Y185" i="6" l="1"/>
  <c r="Y222" s="1"/>
  <c r="H185" l="1"/>
  <c r="H222" s="1"/>
  <c r="I185" l="1"/>
  <c r="I222" s="1"/>
  <c r="K185" l="1"/>
  <c r="K222" s="1"/>
  <c r="L185" l="1"/>
  <c r="L222" s="1"/>
  <c r="N185" l="1"/>
  <c r="N222" s="1"/>
  <c r="E185" l="1"/>
  <c r="E222" s="1"/>
  <c r="F185"/>
  <c r="F222" s="1"/>
  <c r="P185" l="1"/>
  <c r="P222" s="1"/>
  <c r="R185" l="1"/>
  <c r="R222" s="1"/>
  <c r="S185" l="1"/>
  <c r="S222" s="1"/>
  <c r="T185" l="1"/>
  <c r="T222" s="1"/>
  <c r="V185" l="1"/>
  <c r="V222" s="1"/>
  <c r="X185" l="1"/>
  <c r="X222" s="1"/>
  <c r="W185" l="1"/>
  <c r="W222" l="1"/>
  <c r="M185" l="1"/>
  <c r="M222" s="1"/>
  <c r="O185" l="1"/>
  <c r="O222" s="1"/>
  <c r="Q185" l="1"/>
  <c r="Q222" s="1"/>
  <c r="U185" l="1"/>
  <c r="U222" s="1"/>
  <c r="G185" l="1"/>
  <c r="J185"/>
  <c r="G222" l="1"/>
  <c r="J222"/>
  <c r="O14" l="1"/>
  <c r="G15"/>
  <c r="X16"/>
  <c r="H15"/>
  <c r="S16"/>
  <c r="X14"/>
  <c r="R16"/>
  <c r="L16"/>
  <c r="V14"/>
  <c r="F15"/>
  <c r="Q15"/>
  <c r="X15"/>
  <c r="N15"/>
  <c r="W16"/>
  <c r="M13"/>
  <c r="N14"/>
  <c r="R13"/>
  <c r="T16"/>
  <c r="U15"/>
  <c r="M15"/>
  <c r="I15"/>
  <c r="P14"/>
  <c r="N13"/>
  <c r="I16"/>
  <c r="R14"/>
  <c r="E15"/>
  <c r="G13"/>
  <c r="F14"/>
  <c r="U13"/>
  <c r="H16"/>
  <c r="P13"/>
  <c r="V13"/>
  <c r="Q16"/>
  <c r="V16"/>
  <c r="O15"/>
  <c r="H14"/>
  <c r="K16"/>
  <c r="E14"/>
  <c r="H13"/>
  <c r="J16"/>
  <c r="M16"/>
  <c r="L15"/>
  <c r="V15"/>
  <c r="M14"/>
  <c r="T14"/>
  <c r="X13"/>
  <c r="X18" s="1"/>
  <c r="L14"/>
  <c r="U16"/>
  <c r="S15"/>
  <c r="P16"/>
  <c r="U14"/>
  <c r="K15"/>
  <c r="J15"/>
  <c r="G16"/>
  <c r="Q13"/>
  <c r="S13"/>
  <c r="G14"/>
  <c r="O16"/>
  <c r="I13"/>
  <c r="R15"/>
  <c r="Q14"/>
  <c r="F16"/>
  <c r="J13"/>
  <c r="E13"/>
  <c r="T15"/>
  <c r="E16"/>
  <c r="F13"/>
  <c r="S14"/>
  <c r="J14"/>
  <c r="N16"/>
  <c r="K14"/>
  <c r="W15"/>
  <c r="K13"/>
  <c r="K18" s="1"/>
  <c r="P15"/>
  <c r="W14"/>
  <c r="I14"/>
  <c r="O13"/>
  <c r="L13"/>
  <c r="L18" s="1"/>
  <c r="T13"/>
  <c r="W13"/>
  <c r="O18" l="1"/>
  <c r="U18"/>
  <c r="G36"/>
  <c r="G101" s="1"/>
  <c r="G149" s="1"/>
  <c r="M16" i="27" s="1"/>
  <c r="G49" i="6"/>
  <c r="G114" s="1"/>
  <c r="G162" s="1"/>
  <c r="M29" i="27" s="1"/>
  <c r="G23" i="6"/>
  <c r="R49"/>
  <c r="R114" s="1"/>
  <c r="R162" s="1"/>
  <c r="X29" i="27" s="1"/>
  <c r="R23" i="6"/>
  <c r="R36"/>
  <c r="R101" s="1"/>
  <c r="R149" s="1"/>
  <c r="X16" i="27" s="1"/>
  <c r="V23" i="6"/>
  <c r="V49"/>
  <c r="V114" s="1"/>
  <c r="V162" s="1"/>
  <c r="AB29" i="27" s="1"/>
  <c r="V36" i="6"/>
  <c r="V101" s="1"/>
  <c r="V149" s="1"/>
  <c r="AB16" i="27" s="1"/>
  <c r="O23" i="6"/>
  <c r="O36"/>
  <c r="O101" s="1"/>
  <c r="O149" s="1"/>
  <c r="U16" i="27" s="1"/>
  <c r="O49" i="6"/>
  <c r="O114" s="1"/>
  <c r="O162" s="1"/>
  <c r="U29" i="27" s="1"/>
  <c r="E23" i="6"/>
  <c r="E49"/>
  <c r="E114" s="1"/>
  <c r="E36"/>
  <c r="E101" s="1"/>
  <c r="P23"/>
  <c r="P49"/>
  <c r="P114" s="1"/>
  <c r="P162" s="1"/>
  <c r="V29" i="27" s="1"/>
  <c r="P36" i="6"/>
  <c r="P101" s="1"/>
  <c r="P149" s="1"/>
  <c r="V16" i="27" s="1"/>
  <c r="X23" i="6"/>
  <c r="Z23"/>
  <c r="Y136" s="1"/>
  <c r="Z49"/>
  <c r="Y162" s="1"/>
  <c r="AE29" i="27" s="1"/>
  <c r="Z36" i="6"/>
  <c r="Y149" s="1"/>
  <c r="AE16" i="27" s="1"/>
  <c r="X36" i="6"/>
  <c r="X101" s="1"/>
  <c r="X149" s="1"/>
  <c r="AD16" i="27" s="1"/>
  <c r="X49" i="6"/>
  <c r="X114" s="1"/>
  <c r="X162" s="1"/>
  <c r="AD29" i="27" s="1"/>
  <c r="W49" i="6"/>
  <c r="W114" s="1"/>
  <c r="W162" s="1"/>
  <c r="AC29" i="27" s="1"/>
  <c r="W36" i="6"/>
  <c r="W101" s="1"/>
  <c r="W149" s="1"/>
  <c r="AC16" i="27" s="1"/>
  <c r="W23" i="6"/>
  <c r="K23"/>
  <c r="K36"/>
  <c r="K101" s="1"/>
  <c r="K149" s="1"/>
  <c r="Q16" i="27" s="1"/>
  <c r="K49" i="6"/>
  <c r="K114" s="1"/>
  <c r="K162" s="1"/>
  <c r="Q29" i="27" s="1"/>
  <c r="U23" i="6"/>
  <c r="U49"/>
  <c r="U114" s="1"/>
  <c r="U162" s="1"/>
  <c r="AA29" i="27" s="1"/>
  <c r="U36" i="6"/>
  <c r="U101" s="1"/>
  <c r="U149" s="1"/>
  <c r="AA16" i="27" s="1"/>
  <c r="L23" i="6"/>
  <c r="L49"/>
  <c r="L114" s="1"/>
  <c r="L162" s="1"/>
  <c r="R29" i="27" s="1"/>
  <c r="L36" i="6"/>
  <c r="L101" s="1"/>
  <c r="L149" s="1"/>
  <c r="R16" i="27" s="1"/>
  <c r="R18" i="6"/>
  <c r="T18"/>
  <c r="F18"/>
  <c r="J18"/>
  <c r="I18"/>
  <c r="Q18"/>
  <c r="H18"/>
  <c r="P18"/>
  <c r="G18"/>
  <c r="N18"/>
  <c r="M18"/>
  <c r="J23"/>
  <c r="J36"/>
  <c r="J101" s="1"/>
  <c r="J149" s="1"/>
  <c r="P16" i="27" s="1"/>
  <c r="J49" i="6"/>
  <c r="J114" s="1"/>
  <c r="J162" s="1"/>
  <c r="P29" i="27" s="1"/>
  <c r="Q23" i="6"/>
  <c r="Q36"/>
  <c r="Q101" s="1"/>
  <c r="Q149" s="1"/>
  <c r="W16" i="27" s="1"/>
  <c r="Q49" i="6"/>
  <c r="Q114" s="1"/>
  <c r="Q162" s="1"/>
  <c r="W29" i="27" s="1"/>
  <c r="T49" i="6"/>
  <c r="T114" s="1"/>
  <c r="T162" s="1"/>
  <c r="Z29" i="27" s="1"/>
  <c r="T23" i="6"/>
  <c r="T36"/>
  <c r="T101" s="1"/>
  <c r="T149" s="1"/>
  <c r="Z16" i="27" s="1"/>
  <c r="I49" i="6"/>
  <c r="I114" s="1"/>
  <c r="I162" s="1"/>
  <c r="O29" i="27" s="1"/>
  <c r="I36" i="6"/>
  <c r="I101" s="1"/>
  <c r="I149" s="1"/>
  <c r="O16" i="27" s="1"/>
  <c r="I23" i="6"/>
  <c r="S23"/>
  <c r="S36"/>
  <c r="S101" s="1"/>
  <c r="S149" s="1"/>
  <c r="Y16" i="27" s="1"/>
  <c r="S49" i="6"/>
  <c r="S114" s="1"/>
  <c r="S162" s="1"/>
  <c r="Y29" i="27" s="1"/>
  <c r="M49" i="6"/>
  <c r="M114" s="1"/>
  <c r="M162" s="1"/>
  <c r="S29" i="27" s="1"/>
  <c r="M36" i="6"/>
  <c r="M101" s="1"/>
  <c r="M149" s="1"/>
  <c r="S16" i="27" s="1"/>
  <c r="M23" i="6"/>
  <c r="H49"/>
  <c r="H114" s="1"/>
  <c r="H162" s="1"/>
  <c r="N29" i="27" s="1"/>
  <c r="H36" i="6"/>
  <c r="H101" s="1"/>
  <c r="H149" s="1"/>
  <c r="N16" i="27" s="1"/>
  <c r="H23" i="6"/>
  <c r="F23"/>
  <c r="F36"/>
  <c r="F101" s="1"/>
  <c r="F149" s="1"/>
  <c r="L16" i="27" s="1"/>
  <c r="F49" i="6"/>
  <c r="F114" s="1"/>
  <c r="F162" s="1"/>
  <c r="L29" i="27" s="1"/>
  <c r="N49" i="6"/>
  <c r="N114" s="1"/>
  <c r="N162" s="1"/>
  <c r="T29" i="27" s="1"/>
  <c r="N23" i="6"/>
  <c r="N36"/>
  <c r="N101" s="1"/>
  <c r="N149" s="1"/>
  <c r="T16" i="27" s="1"/>
  <c r="W18" i="6"/>
  <c r="E18"/>
  <c r="S18"/>
  <c r="V18"/>
  <c r="N88" l="1"/>
  <c r="F88"/>
  <c r="M88"/>
  <c r="E88"/>
  <c r="R88"/>
  <c r="E162"/>
  <c r="AA114"/>
  <c r="I88"/>
  <c r="T88"/>
  <c r="Q88"/>
  <c r="U88"/>
  <c r="W88"/>
  <c r="X88"/>
  <c r="E149"/>
  <c r="AA101"/>
  <c r="V88"/>
  <c r="G88"/>
  <c r="L88"/>
  <c r="O88"/>
  <c r="H88"/>
  <c r="S88"/>
  <c r="J88"/>
  <c r="K88"/>
  <c r="AE3" i="27"/>
  <c r="Y186" i="6"/>
  <c r="Y223" s="1"/>
  <c r="P88"/>
  <c r="P136" l="1"/>
  <c r="K136"/>
  <c r="S136"/>
  <c r="O136"/>
  <c r="L136"/>
  <c r="V136"/>
  <c r="W136"/>
  <c r="Q136"/>
  <c r="I136"/>
  <c r="F136"/>
  <c r="J136"/>
  <c r="H136"/>
  <c r="G136"/>
  <c r="K16" i="27"/>
  <c r="AA149" i="6"/>
  <c r="X136"/>
  <c r="U136"/>
  <c r="T136"/>
  <c r="K29" i="27"/>
  <c r="AA162" i="6"/>
  <c r="E136"/>
  <c r="AA88"/>
  <c r="M136"/>
  <c r="N136"/>
  <c r="R136"/>
  <c r="X3" i="27" l="1"/>
  <c r="R186" i="6"/>
  <c r="R223" s="1"/>
  <c r="AD3" i="27"/>
  <c r="X186" i="6"/>
  <c r="X223" s="1"/>
  <c r="M3" i="27"/>
  <c r="G186" i="6"/>
  <c r="G223" s="1"/>
  <c r="AC3" i="27"/>
  <c r="W186" i="6"/>
  <c r="W223" s="1"/>
  <c r="U3" i="27"/>
  <c r="O186" i="6"/>
  <c r="O223" s="1"/>
  <c r="V3" i="27"/>
  <c r="P186" i="6"/>
  <c r="P223" s="1"/>
  <c r="K3" i="27"/>
  <c r="AA136" i="6"/>
  <c r="E186"/>
  <c r="E223" s="1"/>
  <c r="AA3" i="27"/>
  <c r="U186" i="6"/>
  <c r="U223" s="1"/>
  <c r="N3" i="27"/>
  <c r="H186" i="6"/>
  <c r="H223" s="1"/>
  <c r="L3" i="27"/>
  <c r="F186" i="6"/>
  <c r="F223" s="1"/>
  <c r="W3" i="27"/>
  <c r="Q186" i="6"/>
  <c r="Q223" s="1"/>
  <c r="R3" i="27"/>
  <c r="L186" i="6"/>
  <c r="L223" s="1"/>
  <c r="Y3" i="27"/>
  <c r="S186" i="6"/>
  <c r="S223" s="1"/>
  <c r="T3" i="27"/>
  <c r="N186" i="6"/>
  <c r="N223" s="1"/>
  <c r="Z3" i="27"/>
  <c r="T186" i="6"/>
  <c r="T223" s="1"/>
  <c r="P3" i="27"/>
  <c r="J186" i="6"/>
  <c r="J223" s="1"/>
  <c r="O3" i="27"/>
  <c r="I186" i="6"/>
  <c r="I223" s="1"/>
  <c r="AB3" i="27"/>
  <c r="V186" i="6"/>
  <c r="V223" s="1"/>
  <c r="Q3" i="27"/>
  <c r="K186" i="6"/>
  <c r="K223" s="1"/>
  <c r="S3" i="27"/>
  <c r="M186" i="6"/>
  <c r="M223" s="1"/>
  <c r="B11" i="20" l="1"/>
  <c r="A28" i="6" l="1"/>
  <c r="A41"/>
  <c r="A54"/>
  <c r="A29"/>
  <c r="A42"/>
  <c r="A55"/>
  <c r="A51"/>
  <c r="A38"/>
  <c r="A25"/>
  <c r="A46"/>
  <c r="A59"/>
  <c r="A33"/>
  <c r="A24"/>
  <c r="A37"/>
  <c r="A50"/>
  <c r="A27"/>
  <c r="A53"/>
  <c r="A40"/>
  <c r="A57"/>
  <c r="A31"/>
  <c r="A44"/>
  <c r="A48"/>
  <c r="A61"/>
  <c r="A35"/>
  <c r="B10" i="20"/>
  <c r="C10" s="1"/>
  <c r="B9"/>
  <c r="A32" i="6"/>
  <c r="A45"/>
  <c r="A58"/>
  <c r="A26"/>
  <c r="A52"/>
  <c r="A39"/>
  <c r="A56"/>
  <c r="A30"/>
  <c r="A43"/>
  <c r="A60"/>
  <c r="A47"/>
  <c r="A34"/>
  <c r="C11" i="20" l="1"/>
  <c r="G26" i="6"/>
  <c r="G91" s="1"/>
  <c r="G139" s="1"/>
  <c r="M6" i="27" s="1"/>
  <c r="R26" i="6"/>
  <c r="R91" s="1"/>
  <c r="R139" s="1"/>
  <c r="X6" i="27" s="1"/>
  <c r="K26" i="6"/>
  <c r="K91" s="1"/>
  <c r="K139" s="1"/>
  <c r="Q6" i="27" s="1"/>
  <c r="L26" i="6"/>
  <c r="L91" s="1"/>
  <c r="L139" s="1"/>
  <c r="R6" i="27" s="1"/>
  <c r="S26" i="6"/>
  <c r="S91" s="1"/>
  <c r="S139" s="1"/>
  <c r="Y6" i="27" s="1"/>
  <c r="M26" i="6"/>
  <c r="M91" s="1"/>
  <c r="M139" s="1"/>
  <c r="S6" i="27" s="1"/>
  <c r="O26" i="6"/>
  <c r="O91" s="1"/>
  <c r="O139" s="1"/>
  <c r="U6" i="27" s="1"/>
  <c r="W26" i="6"/>
  <c r="W91" s="1"/>
  <c r="W139" s="1"/>
  <c r="AC6" i="27" s="1"/>
  <c r="U26" i="6"/>
  <c r="U91" s="1"/>
  <c r="U139" s="1"/>
  <c r="AA6" i="27" s="1"/>
  <c r="F26" i="6"/>
  <c r="F91" s="1"/>
  <c r="F139" s="1"/>
  <c r="L6" i="27" s="1"/>
  <c r="E26" i="6"/>
  <c r="E91" s="1"/>
  <c r="P26"/>
  <c r="P91" s="1"/>
  <c r="P139" s="1"/>
  <c r="V6" i="27" s="1"/>
  <c r="V26" i="6"/>
  <c r="V91" s="1"/>
  <c r="V139" s="1"/>
  <c r="AB6" i="27" s="1"/>
  <c r="I26" i="6"/>
  <c r="I91" s="1"/>
  <c r="I139" s="1"/>
  <c r="O6" i="27" s="1"/>
  <c r="H26" i="6"/>
  <c r="H91" s="1"/>
  <c r="H139" s="1"/>
  <c r="N6" i="27" s="1"/>
  <c r="X26" i="6"/>
  <c r="X91" s="1"/>
  <c r="X139" s="1"/>
  <c r="AD6" i="27" s="1"/>
  <c r="J26" i="6"/>
  <c r="J91" s="1"/>
  <c r="J139" s="1"/>
  <c r="P6" i="27" s="1"/>
  <c r="Q26" i="6"/>
  <c r="Q91" s="1"/>
  <c r="Q139" s="1"/>
  <c r="W6" i="27" s="1"/>
  <c r="Z26" i="6"/>
  <c r="Y139" s="1"/>
  <c r="AE6" i="27" s="1"/>
  <c r="T26" i="6"/>
  <c r="T91" s="1"/>
  <c r="T139" s="1"/>
  <c r="Z6" i="27" s="1"/>
  <c r="N26" i="6"/>
  <c r="N91" s="1"/>
  <c r="N139" s="1"/>
  <c r="T6" i="27" s="1"/>
  <c r="R40" i="6"/>
  <c r="R105" s="1"/>
  <c r="R153" s="1"/>
  <c r="X20" i="27" s="1"/>
  <c r="V40" i="6"/>
  <c r="V105" s="1"/>
  <c r="V153" s="1"/>
  <c r="AB20" i="27" s="1"/>
  <c r="P40" i="6"/>
  <c r="P105" s="1"/>
  <c r="P153" s="1"/>
  <c r="V20" i="27" s="1"/>
  <c r="Z40" i="6"/>
  <c r="Y153" s="1"/>
  <c r="AE20" i="27" s="1"/>
  <c r="U40" i="6"/>
  <c r="U105" s="1"/>
  <c r="U153" s="1"/>
  <c r="AA20" i="27" s="1"/>
  <c r="Q40" i="6"/>
  <c r="Q105" s="1"/>
  <c r="Q153" s="1"/>
  <c r="W20" i="27" s="1"/>
  <c r="T40" i="6"/>
  <c r="T105" s="1"/>
  <c r="T153" s="1"/>
  <c r="Z20" i="27" s="1"/>
  <c r="I40" i="6"/>
  <c r="I105" s="1"/>
  <c r="I153" s="1"/>
  <c r="O20" i="27" s="1"/>
  <c r="J40" i="6"/>
  <c r="J105" s="1"/>
  <c r="J153" s="1"/>
  <c r="P20" i="27" s="1"/>
  <c r="S40" i="6"/>
  <c r="S105" s="1"/>
  <c r="S153" s="1"/>
  <c r="Y20" i="27" s="1"/>
  <c r="H40" i="6"/>
  <c r="H105" s="1"/>
  <c r="H153" s="1"/>
  <c r="N20" i="27" s="1"/>
  <c r="N40" i="6"/>
  <c r="N105" s="1"/>
  <c r="N153" s="1"/>
  <c r="T20" i="27" s="1"/>
  <c r="G40" i="6"/>
  <c r="G105" s="1"/>
  <c r="G153" s="1"/>
  <c r="M20" i="27" s="1"/>
  <c r="X40" i="6"/>
  <c r="X105" s="1"/>
  <c r="X153" s="1"/>
  <c r="AD20" i="27" s="1"/>
  <c r="F40" i="6"/>
  <c r="F105" s="1"/>
  <c r="F153" s="1"/>
  <c r="L20" i="27" s="1"/>
  <c r="E40" i="6"/>
  <c r="E105" s="1"/>
  <c r="K40"/>
  <c r="K105" s="1"/>
  <c r="K153" s="1"/>
  <c r="Q20" i="27" s="1"/>
  <c r="L40" i="6"/>
  <c r="L105" s="1"/>
  <c r="L153" s="1"/>
  <c r="R20" i="27" s="1"/>
  <c r="O40" i="6"/>
  <c r="O105" s="1"/>
  <c r="O153" s="1"/>
  <c r="U20" i="27" s="1"/>
  <c r="M40" i="6"/>
  <c r="M105" s="1"/>
  <c r="M153" s="1"/>
  <c r="S20" i="27" s="1"/>
  <c r="W40" i="6"/>
  <c r="W105" s="1"/>
  <c r="W153" s="1"/>
  <c r="AC20" i="27" s="1"/>
  <c r="G47" i="6"/>
  <c r="G112" s="1"/>
  <c r="G160" s="1"/>
  <c r="M27" i="27" s="1"/>
  <c r="V47" i="6"/>
  <c r="V112" s="1"/>
  <c r="V160" s="1"/>
  <c r="AB27" i="27" s="1"/>
  <c r="E47" i="6"/>
  <c r="E112" s="1"/>
  <c r="P47"/>
  <c r="P112" s="1"/>
  <c r="P160" s="1"/>
  <c r="V27" i="27" s="1"/>
  <c r="Q47" i="6"/>
  <c r="Q112" s="1"/>
  <c r="Q160" s="1"/>
  <c r="W27" i="27" s="1"/>
  <c r="M47" i="6"/>
  <c r="M112" s="1"/>
  <c r="M160" s="1"/>
  <c r="S27" i="27" s="1"/>
  <c r="R47" i="6"/>
  <c r="R112" s="1"/>
  <c r="R160" s="1"/>
  <c r="X27" i="27" s="1"/>
  <c r="U47" i="6"/>
  <c r="U112" s="1"/>
  <c r="U160" s="1"/>
  <c r="AA27" i="27" s="1"/>
  <c r="S47" i="6"/>
  <c r="S112" s="1"/>
  <c r="S160" s="1"/>
  <c r="Y27" i="27" s="1"/>
  <c r="H47" i="6"/>
  <c r="H112" s="1"/>
  <c r="H160" s="1"/>
  <c r="N27" i="27" s="1"/>
  <c r="N47" i="6"/>
  <c r="N112" s="1"/>
  <c r="N160" s="1"/>
  <c r="T27" i="27" s="1"/>
  <c r="J47" i="6"/>
  <c r="J112" s="1"/>
  <c r="J160" s="1"/>
  <c r="P27" i="27" s="1"/>
  <c r="I47" i="6"/>
  <c r="I112" s="1"/>
  <c r="I160" s="1"/>
  <c r="O27" i="27" s="1"/>
  <c r="Z47" i="6"/>
  <c r="Y160" s="1"/>
  <c r="AE27" i="27" s="1"/>
  <c r="X47" i="6"/>
  <c r="X112" s="1"/>
  <c r="X160" s="1"/>
  <c r="AD27" i="27" s="1"/>
  <c r="W47" i="6"/>
  <c r="W112" s="1"/>
  <c r="W160" s="1"/>
  <c r="AC27" i="27" s="1"/>
  <c r="K47" i="6"/>
  <c r="K112" s="1"/>
  <c r="K160" s="1"/>
  <c r="Q27" i="27" s="1"/>
  <c r="T47" i="6"/>
  <c r="T112" s="1"/>
  <c r="T160" s="1"/>
  <c r="Z27" i="27" s="1"/>
  <c r="F47" i="6"/>
  <c r="F112" s="1"/>
  <c r="F160" s="1"/>
  <c r="L27" i="27" s="1"/>
  <c r="O47" i="6"/>
  <c r="O112" s="1"/>
  <c r="O160" s="1"/>
  <c r="U27" i="27" s="1"/>
  <c r="L47" i="6"/>
  <c r="L112" s="1"/>
  <c r="L160" s="1"/>
  <c r="R27" i="27" s="1"/>
  <c r="P56" i="6"/>
  <c r="P121" s="1"/>
  <c r="P169" s="1"/>
  <c r="V36" i="27" s="1"/>
  <c r="F56" i="6"/>
  <c r="F121" s="1"/>
  <c r="F169" s="1"/>
  <c r="L36" i="27" s="1"/>
  <c r="V56" i="6"/>
  <c r="V121" s="1"/>
  <c r="V169" s="1"/>
  <c r="AB36" i="27" s="1"/>
  <c r="Q56" i="6"/>
  <c r="Q121" s="1"/>
  <c r="Q169" s="1"/>
  <c r="W36" i="27" s="1"/>
  <c r="T56" i="6"/>
  <c r="T121" s="1"/>
  <c r="T169" s="1"/>
  <c r="Z36" i="27" s="1"/>
  <c r="M56" i="6"/>
  <c r="M121" s="1"/>
  <c r="M169" s="1"/>
  <c r="S36" i="27" s="1"/>
  <c r="G56" i="6"/>
  <c r="G121" s="1"/>
  <c r="G169" s="1"/>
  <c r="M36" i="27" s="1"/>
  <c r="O56" i="6"/>
  <c r="O121" s="1"/>
  <c r="O169" s="1"/>
  <c r="U36" i="27" s="1"/>
  <c r="J56" i="6"/>
  <c r="J121" s="1"/>
  <c r="J169" s="1"/>
  <c r="P36" i="27" s="1"/>
  <c r="R56" i="6"/>
  <c r="R121" s="1"/>
  <c r="R169" s="1"/>
  <c r="X36" i="27" s="1"/>
  <c r="U56" i="6"/>
  <c r="U121" s="1"/>
  <c r="U169" s="1"/>
  <c r="AA36" i="27" s="1"/>
  <c r="I56" i="6"/>
  <c r="I121" s="1"/>
  <c r="I169" s="1"/>
  <c r="O36" i="27" s="1"/>
  <c r="Z56" i="6"/>
  <c r="Y169" s="1"/>
  <c r="AE36" i="27" s="1"/>
  <c r="K56" i="6"/>
  <c r="K121" s="1"/>
  <c r="K169" s="1"/>
  <c r="Q36" i="27" s="1"/>
  <c r="S56" i="6"/>
  <c r="S121" s="1"/>
  <c r="S169" s="1"/>
  <c r="Y36" i="27" s="1"/>
  <c r="H56" i="6"/>
  <c r="H121" s="1"/>
  <c r="H169" s="1"/>
  <c r="N36" i="27" s="1"/>
  <c r="E56" i="6"/>
  <c r="E121" s="1"/>
  <c r="W56"/>
  <c r="W121" s="1"/>
  <c r="W169" s="1"/>
  <c r="AC36" i="27" s="1"/>
  <c r="X56" i="6"/>
  <c r="X121" s="1"/>
  <c r="X169" s="1"/>
  <c r="AD36" i="27" s="1"/>
  <c r="L56" i="6"/>
  <c r="L121" s="1"/>
  <c r="L169" s="1"/>
  <c r="R36" i="27" s="1"/>
  <c r="N56" i="6"/>
  <c r="N121" s="1"/>
  <c r="N169" s="1"/>
  <c r="T36" i="27" s="1"/>
  <c r="W58" i="6"/>
  <c r="W123" s="1"/>
  <c r="W171" s="1"/>
  <c r="AC38" i="27" s="1"/>
  <c r="L58" i="6"/>
  <c r="L123" s="1"/>
  <c r="L171" s="1"/>
  <c r="R38" i="27" s="1"/>
  <c r="S58" i="6"/>
  <c r="S123" s="1"/>
  <c r="S171" s="1"/>
  <c r="Y38" i="27" s="1"/>
  <c r="M58" i="6"/>
  <c r="M123" s="1"/>
  <c r="M171" s="1"/>
  <c r="S38" i="27" s="1"/>
  <c r="V58" i="6"/>
  <c r="V123" s="1"/>
  <c r="V171" s="1"/>
  <c r="AB38" i="27" s="1"/>
  <c r="O58" i="6"/>
  <c r="O123" s="1"/>
  <c r="O171" s="1"/>
  <c r="U38" i="27" s="1"/>
  <c r="Z58" i="6"/>
  <c r="Y171" s="1"/>
  <c r="AE38" i="27" s="1"/>
  <c r="K58" i="6"/>
  <c r="K123" s="1"/>
  <c r="K171" s="1"/>
  <c r="Q38" i="27" s="1"/>
  <c r="U58" i="6"/>
  <c r="U123" s="1"/>
  <c r="U171" s="1"/>
  <c r="AA38" i="27" s="1"/>
  <c r="T58" i="6"/>
  <c r="T123" s="1"/>
  <c r="T171" s="1"/>
  <c r="Z38" i="27" s="1"/>
  <c r="I58" i="6"/>
  <c r="I123" s="1"/>
  <c r="I171" s="1"/>
  <c r="O38" i="27" s="1"/>
  <c r="G58" i="6"/>
  <c r="G123" s="1"/>
  <c r="G171" s="1"/>
  <c r="M38" i="27" s="1"/>
  <c r="R58" i="6"/>
  <c r="R123" s="1"/>
  <c r="R171" s="1"/>
  <c r="X38" i="27" s="1"/>
  <c r="E58" i="6"/>
  <c r="E123" s="1"/>
  <c r="P58"/>
  <c r="P123" s="1"/>
  <c r="P171" s="1"/>
  <c r="V38" i="27" s="1"/>
  <c r="J58" i="6"/>
  <c r="J123" s="1"/>
  <c r="J171" s="1"/>
  <c r="P38" i="27" s="1"/>
  <c r="H58" i="6"/>
  <c r="H123" s="1"/>
  <c r="H171" s="1"/>
  <c r="N38" i="27" s="1"/>
  <c r="F58" i="6"/>
  <c r="F123" s="1"/>
  <c r="F171" s="1"/>
  <c r="L38" i="27" s="1"/>
  <c r="Q58" i="6"/>
  <c r="Q123" s="1"/>
  <c r="Q171" s="1"/>
  <c r="W38" i="27" s="1"/>
  <c r="N58" i="6"/>
  <c r="N123" s="1"/>
  <c r="N171" s="1"/>
  <c r="T38" i="27" s="1"/>
  <c r="X58" i="6"/>
  <c r="X123" s="1"/>
  <c r="X171" s="1"/>
  <c r="AD38" i="27" s="1"/>
  <c r="G44" i="6"/>
  <c r="G109" s="1"/>
  <c r="G157" s="1"/>
  <c r="M24" i="27" s="1"/>
  <c r="R44" i="6"/>
  <c r="R109" s="1"/>
  <c r="R157" s="1"/>
  <c r="X24" i="27" s="1"/>
  <c r="U44" i="6"/>
  <c r="U109" s="1"/>
  <c r="U157" s="1"/>
  <c r="AA24" i="27" s="1"/>
  <c r="L44" i="6"/>
  <c r="L109" s="1"/>
  <c r="L157" s="1"/>
  <c r="R24" i="27" s="1"/>
  <c r="Q44" i="6"/>
  <c r="Q109" s="1"/>
  <c r="Q157" s="1"/>
  <c r="W24" i="27" s="1"/>
  <c r="S44" i="6"/>
  <c r="S109" s="1"/>
  <c r="S157" s="1"/>
  <c r="Y24" i="27" s="1"/>
  <c r="M44" i="6"/>
  <c r="M109" s="1"/>
  <c r="M157" s="1"/>
  <c r="S24" i="27" s="1"/>
  <c r="F44" i="6"/>
  <c r="F109" s="1"/>
  <c r="F157" s="1"/>
  <c r="L24" i="27" s="1"/>
  <c r="V44" i="6"/>
  <c r="V109" s="1"/>
  <c r="V157" s="1"/>
  <c r="AB24" i="27" s="1"/>
  <c r="E44" i="6"/>
  <c r="E109" s="1"/>
  <c r="K44"/>
  <c r="K109" s="1"/>
  <c r="K157" s="1"/>
  <c r="Q24" i="27" s="1"/>
  <c r="P44" i="6"/>
  <c r="P109" s="1"/>
  <c r="P157" s="1"/>
  <c r="V24" i="27" s="1"/>
  <c r="J44" i="6"/>
  <c r="J109" s="1"/>
  <c r="J157" s="1"/>
  <c r="P24" i="27" s="1"/>
  <c r="T44" i="6"/>
  <c r="T109" s="1"/>
  <c r="T157" s="1"/>
  <c r="Z24" i="27" s="1"/>
  <c r="N44" i="6"/>
  <c r="N109" s="1"/>
  <c r="N157" s="1"/>
  <c r="T24" i="27" s="1"/>
  <c r="H44" i="6"/>
  <c r="H109" s="1"/>
  <c r="H157" s="1"/>
  <c r="N24" i="27" s="1"/>
  <c r="X44" i="6"/>
  <c r="X109" s="1"/>
  <c r="X157" s="1"/>
  <c r="AD24" i="27" s="1"/>
  <c r="Z44" i="6"/>
  <c r="Y157" s="1"/>
  <c r="AE24" i="27" s="1"/>
  <c r="W44" i="6"/>
  <c r="W109" s="1"/>
  <c r="W157" s="1"/>
  <c r="AC24" i="27" s="1"/>
  <c r="I44" i="6"/>
  <c r="I109" s="1"/>
  <c r="I157" s="1"/>
  <c r="O24" i="27" s="1"/>
  <c r="O44" i="6"/>
  <c r="O109" s="1"/>
  <c r="O157" s="1"/>
  <c r="U24" i="27" s="1"/>
  <c r="E53" i="6"/>
  <c r="E118" s="1"/>
  <c r="P53"/>
  <c r="P118" s="1"/>
  <c r="P166" s="1"/>
  <c r="V33" i="27" s="1"/>
  <c r="Z53" i="6"/>
  <c r="Y166" s="1"/>
  <c r="AE33" i="27" s="1"/>
  <c r="U53" i="6"/>
  <c r="U118" s="1"/>
  <c r="U166" s="1"/>
  <c r="AA33" i="27" s="1"/>
  <c r="X53" i="6"/>
  <c r="X118" s="1"/>
  <c r="X166" s="1"/>
  <c r="AD33" i="27" s="1"/>
  <c r="L53" i="6"/>
  <c r="L118" s="1"/>
  <c r="L166" s="1"/>
  <c r="R33" i="27" s="1"/>
  <c r="T53" i="6"/>
  <c r="T118" s="1"/>
  <c r="T166" s="1"/>
  <c r="Z33" i="27" s="1"/>
  <c r="M53" i="6"/>
  <c r="M118" s="1"/>
  <c r="M166" s="1"/>
  <c r="S33" i="27" s="1"/>
  <c r="G53" i="6"/>
  <c r="G118" s="1"/>
  <c r="G166" s="1"/>
  <c r="M33" i="27" s="1"/>
  <c r="O53" i="6"/>
  <c r="O118" s="1"/>
  <c r="O166" s="1"/>
  <c r="U33" i="27" s="1"/>
  <c r="R53" i="6"/>
  <c r="R118" s="1"/>
  <c r="R166" s="1"/>
  <c r="X33" i="27" s="1"/>
  <c r="F53" i="6"/>
  <c r="F118" s="1"/>
  <c r="F166" s="1"/>
  <c r="L33" i="27" s="1"/>
  <c r="W53" i="6"/>
  <c r="W118" s="1"/>
  <c r="W166" s="1"/>
  <c r="AC33" i="27" s="1"/>
  <c r="K53" i="6"/>
  <c r="K118" s="1"/>
  <c r="K166" s="1"/>
  <c r="Q33" i="27" s="1"/>
  <c r="J53" i="6"/>
  <c r="J118" s="1"/>
  <c r="J166" s="1"/>
  <c r="P33" i="27" s="1"/>
  <c r="Q53" i="6"/>
  <c r="Q118" s="1"/>
  <c r="Q166" s="1"/>
  <c r="W33" i="27" s="1"/>
  <c r="I53" i="6"/>
  <c r="I118" s="1"/>
  <c r="I166" s="1"/>
  <c r="O33" i="27" s="1"/>
  <c r="S53" i="6"/>
  <c r="S118" s="1"/>
  <c r="S166" s="1"/>
  <c r="Y33" i="27" s="1"/>
  <c r="H53" i="6"/>
  <c r="H118" s="1"/>
  <c r="H166" s="1"/>
  <c r="N33" i="27" s="1"/>
  <c r="V53" i="6"/>
  <c r="V118" s="1"/>
  <c r="V166" s="1"/>
  <c r="AB33" i="27" s="1"/>
  <c r="N53" i="6"/>
  <c r="N118" s="1"/>
  <c r="N166" s="1"/>
  <c r="T33" i="27" s="1"/>
  <c r="Z24" i="6"/>
  <c r="Y137" s="1"/>
  <c r="T24"/>
  <c r="H24"/>
  <c r="E24"/>
  <c r="P24"/>
  <c r="X24"/>
  <c r="U24"/>
  <c r="I24"/>
  <c r="M24"/>
  <c r="F24"/>
  <c r="R24"/>
  <c r="V24"/>
  <c r="K24"/>
  <c r="S24"/>
  <c r="O24"/>
  <c r="W24"/>
  <c r="L24"/>
  <c r="Q24"/>
  <c r="G24"/>
  <c r="J24"/>
  <c r="N24"/>
  <c r="R25"/>
  <c r="R90" s="1"/>
  <c r="R138" s="1"/>
  <c r="K25"/>
  <c r="K90" s="1"/>
  <c r="K138" s="1"/>
  <c r="P25"/>
  <c r="P90" s="1"/>
  <c r="P138" s="1"/>
  <c r="J25"/>
  <c r="J90" s="1"/>
  <c r="J138" s="1"/>
  <c r="M25"/>
  <c r="M90" s="1"/>
  <c r="M138" s="1"/>
  <c r="H25"/>
  <c r="H90" s="1"/>
  <c r="H138" s="1"/>
  <c r="G25"/>
  <c r="G90" s="1"/>
  <c r="G138" s="1"/>
  <c r="E25"/>
  <c r="E90" s="1"/>
  <c r="X25"/>
  <c r="X90" s="1"/>
  <c r="X138" s="1"/>
  <c r="U25"/>
  <c r="U90" s="1"/>
  <c r="U138" s="1"/>
  <c r="L25"/>
  <c r="L90" s="1"/>
  <c r="L138" s="1"/>
  <c r="T25"/>
  <c r="T90" s="1"/>
  <c r="T138" s="1"/>
  <c r="F25"/>
  <c r="F90" s="1"/>
  <c r="F138" s="1"/>
  <c r="N25"/>
  <c r="N90" s="1"/>
  <c r="N138" s="1"/>
  <c r="Z25"/>
  <c r="Y138" s="1"/>
  <c r="O25"/>
  <c r="O90" s="1"/>
  <c r="O138" s="1"/>
  <c r="W25"/>
  <c r="W90" s="1"/>
  <c r="W138" s="1"/>
  <c r="V25"/>
  <c r="V90" s="1"/>
  <c r="V138" s="1"/>
  <c r="I25"/>
  <c r="I90" s="1"/>
  <c r="I138" s="1"/>
  <c r="Q25"/>
  <c r="Q90" s="1"/>
  <c r="Q138" s="1"/>
  <c r="S25"/>
  <c r="S90" s="1"/>
  <c r="S138" s="1"/>
  <c r="V42"/>
  <c r="V107" s="1"/>
  <c r="V155" s="1"/>
  <c r="AB22" i="27" s="1"/>
  <c r="E42" i="6"/>
  <c r="E107" s="1"/>
  <c r="X42"/>
  <c r="X107" s="1"/>
  <c r="X155" s="1"/>
  <c r="AD22" i="27" s="1"/>
  <c r="Z42" i="6"/>
  <c r="Y155" s="1"/>
  <c r="AE22" i="27" s="1"/>
  <c r="W42" i="6"/>
  <c r="W107" s="1"/>
  <c r="W155" s="1"/>
  <c r="AC22" i="27" s="1"/>
  <c r="Q42" i="6"/>
  <c r="Q107" s="1"/>
  <c r="Q155" s="1"/>
  <c r="W22" i="27" s="1"/>
  <c r="T42" i="6"/>
  <c r="T107" s="1"/>
  <c r="T155" s="1"/>
  <c r="Z22" i="27" s="1"/>
  <c r="I42" i="6"/>
  <c r="I107" s="1"/>
  <c r="I155" s="1"/>
  <c r="O22" i="27" s="1"/>
  <c r="H42" i="6"/>
  <c r="H107" s="1"/>
  <c r="H155" s="1"/>
  <c r="N22" i="27" s="1"/>
  <c r="G42" i="6"/>
  <c r="G107" s="1"/>
  <c r="G155" s="1"/>
  <c r="M22" i="27" s="1"/>
  <c r="P42" i="6"/>
  <c r="P107" s="1"/>
  <c r="P155" s="1"/>
  <c r="V22" i="27" s="1"/>
  <c r="K42" i="6"/>
  <c r="K107" s="1"/>
  <c r="K155" s="1"/>
  <c r="Q22" i="27" s="1"/>
  <c r="L42" i="6"/>
  <c r="L107" s="1"/>
  <c r="L155" s="1"/>
  <c r="R22" i="27" s="1"/>
  <c r="J42" i="6"/>
  <c r="J107" s="1"/>
  <c r="J155" s="1"/>
  <c r="P22" i="27" s="1"/>
  <c r="M42" i="6"/>
  <c r="M107" s="1"/>
  <c r="M155" s="1"/>
  <c r="S22" i="27" s="1"/>
  <c r="N42" i="6"/>
  <c r="N107" s="1"/>
  <c r="N155" s="1"/>
  <c r="T22" i="27" s="1"/>
  <c r="F42" i="6"/>
  <c r="F107" s="1"/>
  <c r="F155" s="1"/>
  <c r="L22" i="27" s="1"/>
  <c r="O42" i="6"/>
  <c r="O107" s="1"/>
  <c r="O155" s="1"/>
  <c r="U22" i="27" s="1"/>
  <c r="S42" i="6"/>
  <c r="S107" s="1"/>
  <c r="S155" s="1"/>
  <c r="Y22" i="27" s="1"/>
  <c r="U42" i="6"/>
  <c r="U107" s="1"/>
  <c r="U155" s="1"/>
  <c r="AA22" i="27" s="1"/>
  <c r="R42" i="6"/>
  <c r="R107" s="1"/>
  <c r="R155" s="1"/>
  <c r="X22" i="27" s="1"/>
  <c r="P28" i="6"/>
  <c r="P93" s="1"/>
  <c r="P141" s="1"/>
  <c r="V8" i="27" s="1"/>
  <c r="Z28" i="6"/>
  <c r="Y141" s="1"/>
  <c r="AE8" i="27" s="1"/>
  <c r="X28" i="6"/>
  <c r="X93" s="1"/>
  <c r="X141" s="1"/>
  <c r="AD8" i="27" s="1"/>
  <c r="S28" i="6"/>
  <c r="S93" s="1"/>
  <c r="S141" s="1"/>
  <c r="Y8" i="27" s="1"/>
  <c r="M28" i="6"/>
  <c r="M93" s="1"/>
  <c r="M141" s="1"/>
  <c r="S8" i="27" s="1"/>
  <c r="F28" i="6"/>
  <c r="F93" s="1"/>
  <c r="F141" s="1"/>
  <c r="L8" i="27" s="1"/>
  <c r="G28" i="6"/>
  <c r="G93" s="1"/>
  <c r="G141" s="1"/>
  <c r="M8" i="27" s="1"/>
  <c r="R28" i="6"/>
  <c r="R93" s="1"/>
  <c r="R141" s="1"/>
  <c r="X8" i="27" s="1"/>
  <c r="E28" i="6"/>
  <c r="E93" s="1"/>
  <c r="U28"/>
  <c r="U93" s="1"/>
  <c r="U141" s="1"/>
  <c r="AA8" i="27" s="1"/>
  <c r="L28" i="6"/>
  <c r="L93" s="1"/>
  <c r="L141" s="1"/>
  <c r="R8" i="27" s="1"/>
  <c r="T28" i="6"/>
  <c r="T93" s="1"/>
  <c r="T141" s="1"/>
  <c r="Z8" i="27" s="1"/>
  <c r="I28" i="6"/>
  <c r="I93" s="1"/>
  <c r="I141" s="1"/>
  <c r="O8" i="27" s="1"/>
  <c r="N28" i="6"/>
  <c r="N93" s="1"/>
  <c r="N141" s="1"/>
  <c r="T8" i="27" s="1"/>
  <c r="V28" i="6"/>
  <c r="V93" s="1"/>
  <c r="V141" s="1"/>
  <c r="AB8" i="27" s="1"/>
  <c r="O28" i="6"/>
  <c r="O93" s="1"/>
  <c r="O141" s="1"/>
  <c r="U8" i="27" s="1"/>
  <c r="K28" i="6"/>
  <c r="K93" s="1"/>
  <c r="K141" s="1"/>
  <c r="Q8" i="27" s="1"/>
  <c r="Q28" i="6"/>
  <c r="Q93" s="1"/>
  <c r="Q141" s="1"/>
  <c r="W8" i="27" s="1"/>
  <c r="W28" i="6"/>
  <c r="W93" s="1"/>
  <c r="W141" s="1"/>
  <c r="AC8" i="27" s="1"/>
  <c r="J28" i="6"/>
  <c r="J93" s="1"/>
  <c r="J141" s="1"/>
  <c r="P8" i="27" s="1"/>
  <c r="H28" i="6"/>
  <c r="H93" s="1"/>
  <c r="H141" s="1"/>
  <c r="N8" i="27" s="1"/>
  <c r="G30" i="6"/>
  <c r="G95" s="1"/>
  <c r="G143" s="1"/>
  <c r="M10" i="27" s="1"/>
  <c r="O30" i="6"/>
  <c r="O95" s="1"/>
  <c r="O143" s="1"/>
  <c r="U10" i="27" s="1"/>
  <c r="K30" i="6"/>
  <c r="K95" s="1"/>
  <c r="K143" s="1"/>
  <c r="Q10" i="27" s="1"/>
  <c r="I30" i="6"/>
  <c r="I95" s="1"/>
  <c r="I143" s="1"/>
  <c r="O10" i="27" s="1"/>
  <c r="H30" i="6"/>
  <c r="H95" s="1"/>
  <c r="H143" s="1"/>
  <c r="N10" i="27" s="1"/>
  <c r="F30" i="6"/>
  <c r="F95" s="1"/>
  <c r="F143" s="1"/>
  <c r="L10" i="27" s="1"/>
  <c r="X30" i="6"/>
  <c r="X95" s="1"/>
  <c r="X143" s="1"/>
  <c r="AD10" i="27" s="1"/>
  <c r="Z30" i="6"/>
  <c r="Y143" s="1"/>
  <c r="AE10" i="27" s="1"/>
  <c r="J30" i="6"/>
  <c r="J95" s="1"/>
  <c r="J143" s="1"/>
  <c r="P10" i="27" s="1"/>
  <c r="R30" i="6"/>
  <c r="R95" s="1"/>
  <c r="R143" s="1"/>
  <c r="X10" i="27" s="1"/>
  <c r="V30" i="6"/>
  <c r="V95" s="1"/>
  <c r="V143" s="1"/>
  <c r="AB10" i="27" s="1"/>
  <c r="E30" i="6"/>
  <c r="E95" s="1"/>
  <c r="T30"/>
  <c r="T95" s="1"/>
  <c r="T143" s="1"/>
  <c r="Z10" i="27" s="1"/>
  <c r="P30" i="6"/>
  <c r="P95" s="1"/>
  <c r="P143" s="1"/>
  <c r="V10" i="27" s="1"/>
  <c r="W30" i="6"/>
  <c r="W95" s="1"/>
  <c r="W143" s="1"/>
  <c r="AC10" i="27" s="1"/>
  <c r="U30" i="6"/>
  <c r="U95" s="1"/>
  <c r="U143" s="1"/>
  <c r="AA10" i="27" s="1"/>
  <c r="L30" i="6"/>
  <c r="L95" s="1"/>
  <c r="L143" s="1"/>
  <c r="R10" i="27" s="1"/>
  <c r="Q30" i="6"/>
  <c r="Q95" s="1"/>
  <c r="Q143" s="1"/>
  <c r="W10" i="27" s="1"/>
  <c r="M30" i="6"/>
  <c r="M95" s="1"/>
  <c r="M143" s="1"/>
  <c r="S10" i="27" s="1"/>
  <c r="N30" i="6"/>
  <c r="N95" s="1"/>
  <c r="N143" s="1"/>
  <c r="T10" i="27" s="1"/>
  <c r="S30" i="6"/>
  <c r="S95" s="1"/>
  <c r="S143" s="1"/>
  <c r="Y10" i="27" s="1"/>
  <c r="O46" i="6"/>
  <c r="O111" s="1"/>
  <c r="O159" s="1"/>
  <c r="U26" i="27" s="1"/>
  <c r="E46" i="6"/>
  <c r="E111" s="1"/>
  <c r="E159" s="1"/>
  <c r="X46"/>
  <c r="X111" s="1"/>
  <c r="X159" s="1"/>
  <c r="AD26" i="27" s="1"/>
  <c r="Q46" i="6"/>
  <c r="Q111" s="1"/>
  <c r="Q159" s="1"/>
  <c r="W26" i="27" s="1"/>
  <c r="W46" i="6"/>
  <c r="W111" s="1"/>
  <c r="W159" s="1"/>
  <c r="AC26" i="27" s="1"/>
  <c r="J46" i="6"/>
  <c r="J111" s="1"/>
  <c r="J159" s="1"/>
  <c r="P26" i="27" s="1"/>
  <c r="R46" i="6"/>
  <c r="R111" s="1"/>
  <c r="R159" s="1"/>
  <c r="X26" i="27" s="1"/>
  <c r="P46" i="6"/>
  <c r="P111" s="1"/>
  <c r="P159" s="1"/>
  <c r="V26" i="27" s="1"/>
  <c r="V46" i="6"/>
  <c r="V111" s="1"/>
  <c r="V159" s="1"/>
  <c r="AB26" i="27" s="1"/>
  <c r="Z46" i="6"/>
  <c r="Y159" s="1"/>
  <c r="AE26" i="27" s="1"/>
  <c r="S46" i="6"/>
  <c r="S111" s="1"/>
  <c r="S159" s="1"/>
  <c r="Y26" i="27" s="1"/>
  <c r="G46" i="6"/>
  <c r="G111" s="1"/>
  <c r="G159" s="1"/>
  <c r="M26" i="27" s="1"/>
  <c r="K46" i="6"/>
  <c r="K111" s="1"/>
  <c r="K159" s="1"/>
  <c r="Q26" i="27" s="1"/>
  <c r="L46" i="6"/>
  <c r="L111" s="1"/>
  <c r="L159" s="1"/>
  <c r="R26" i="27" s="1"/>
  <c r="T46" i="6"/>
  <c r="T111" s="1"/>
  <c r="T159" s="1"/>
  <c r="Z26" i="27" s="1"/>
  <c r="M46" i="6"/>
  <c r="M111" s="1"/>
  <c r="M159" s="1"/>
  <c r="S26" i="27" s="1"/>
  <c r="H46" i="6"/>
  <c r="H111" s="1"/>
  <c r="H159" s="1"/>
  <c r="N26" i="27" s="1"/>
  <c r="F46" i="6"/>
  <c r="F111" s="1"/>
  <c r="F159" s="1"/>
  <c r="L26" i="27" s="1"/>
  <c r="N46" i="6"/>
  <c r="N111" s="1"/>
  <c r="N159" s="1"/>
  <c r="T26" i="27" s="1"/>
  <c r="I46" i="6"/>
  <c r="I111" s="1"/>
  <c r="I159" s="1"/>
  <c r="O26" i="27" s="1"/>
  <c r="U46" i="6"/>
  <c r="U111" s="1"/>
  <c r="U159" s="1"/>
  <c r="AA26" i="27" s="1"/>
  <c r="K43" i="6"/>
  <c r="K108" s="1"/>
  <c r="K156" s="1"/>
  <c r="Q23" i="27" s="1"/>
  <c r="J43" i="6"/>
  <c r="J108" s="1"/>
  <c r="J156" s="1"/>
  <c r="P23" i="27" s="1"/>
  <c r="T43" i="6"/>
  <c r="T108" s="1"/>
  <c r="T156" s="1"/>
  <c r="Z23" i="27" s="1"/>
  <c r="S43" i="6"/>
  <c r="S108" s="1"/>
  <c r="S156" s="1"/>
  <c r="Y23" i="27" s="1"/>
  <c r="Z43" i="6"/>
  <c r="Y156" s="1"/>
  <c r="AE23" i="27" s="1"/>
  <c r="X43" i="6"/>
  <c r="X108" s="1"/>
  <c r="X156" s="1"/>
  <c r="AD23" i="27" s="1"/>
  <c r="W43" i="6"/>
  <c r="W108" s="1"/>
  <c r="W156" s="1"/>
  <c r="AC23" i="27" s="1"/>
  <c r="Q43" i="6"/>
  <c r="Q108" s="1"/>
  <c r="Q156" s="1"/>
  <c r="W23" i="27" s="1"/>
  <c r="I43" i="6"/>
  <c r="I108" s="1"/>
  <c r="I156" s="1"/>
  <c r="O23" i="27" s="1"/>
  <c r="G43" i="6"/>
  <c r="G108" s="1"/>
  <c r="G156" s="1"/>
  <c r="M23" i="27" s="1"/>
  <c r="R43" i="6"/>
  <c r="R108" s="1"/>
  <c r="R156" s="1"/>
  <c r="X23" i="27" s="1"/>
  <c r="V43" i="6"/>
  <c r="V108" s="1"/>
  <c r="V156" s="1"/>
  <c r="AB23" i="27" s="1"/>
  <c r="O43" i="6"/>
  <c r="O108" s="1"/>
  <c r="O156" s="1"/>
  <c r="U23" i="27" s="1"/>
  <c r="E43" i="6"/>
  <c r="E108" s="1"/>
  <c r="U43"/>
  <c r="U108" s="1"/>
  <c r="U156" s="1"/>
  <c r="AA23" i="27" s="1"/>
  <c r="P43" i="6"/>
  <c r="P108" s="1"/>
  <c r="P156" s="1"/>
  <c r="V23" i="27" s="1"/>
  <c r="M43" i="6"/>
  <c r="M108" s="1"/>
  <c r="M156" s="1"/>
  <c r="S23" i="27" s="1"/>
  <c r="H43" i="6"/>
  <c r="H108" s="1"/>
  <c r="H156" s="1"/>
  <c r="N23" i="27" s="1"/>
  <c r="F43" i="6"/>
  <c r="F108" s="1"/>
  <c r="F156" s="1"/>
  <c r="L23" i="27" s="1"/>
  <c r="N43" i="6"/>
  <c r="N108" s="1"/>
  <c r="N156" s="1"/>
  <c r="T23" i="27" s="1"/>
  <c r="L43" i="6"/>
  <c r="L108" s="1"/>
  <c r="L156" s="1"/>
  <c r="R23" i="27" s="1"/>
  <c r="E32" i="6"/>
  <c r="E97" s="1"/>
  <c r="U32"/>
  <c r="U97" s="1"/>
  <c r="U145" s="1"/>
  <c r="J32"/>
  <c r="J97" s="1"/>
  <c r="J145" s="1"/>
  <c r="I32"/>
  <c r="I97" s="1"/>
  <c r="I145" s="1"/>
  <c r="M32"/>
  <c r="M97" s="1"/>
  <c r="M145" s="1"/>
  <c r="X32"/>
  <c r="X97" s="1"/>
  <c r="X145" s="1"/>
  <c r="W32"/>
  <c r="W97" s="1"/>
  <c r="W145" s="1"/>
  <c r="N32"/>
  <c r="N97" s="1"/>
  <c r="N145" s="1"/>
  <c r="G32"/>
  <c r="G97" s="1"/>
  <c r="G145" s="1"/>
  <c r="V32"/>
  <c r="V97" s="1"/>
  <c r="V145" s="1"/>
  <c r="P32"/>
  <c r="P97" s="1"/>
  <c r="P145" s="1"/>
  <c r="R32"/>
  <c r="R97" s="1"/>
  <c r="R145" s="1"/>
  <c r="O32"/>
  <c r="O97" s="1"/>
  <c r="O145" s="1"/>
  <c r="K32"/>
  <c r="K97" s="1"/>
  <c r="K145" s="1"/>
  <c r="F32"/>
  <c r="F97" s="1"/>
  <c r="F145" s="1"/>
  <c r="Z32"/>
  <c r="Y145" s="1"/>
  <c r="T32"/>
  <c r="T97" s="1"/>
  <c r="T145" s="1"/>
  <c r="H32"/>
  <c r="H97" s="1"/>
  <c r="H145" s="1"/>
  <c r="L32"/>
  <c r="L97" s="1"/>
  <c r="L145" s="1"/>
  <c r="Q32"/>
  <c r="Q97" s="1"/>
  <c r="Q145" s="1"/>
  <c r="S32"/>
  <c r="S97" s="1"/>
  <c r="S145" s="1"/>
  <c r="O61"/>
  <c r="O126" s="1"/>
  <c r="O174" s="1"/>
  <c r="U41" i="27" s="1"/>
  <c r="Z61" i="6"/>
  <c r="Y174" s="1"/>
  <c r="AE41" i="27" s="1"/>
  <c r="I61" i="6"/>
  <c r="I126" s="1"/>
  <c r="I174" s="1"/>
  <c r="O41" i="27" s="1"/>
  <c r="H61" i="6"/>
  <c r="H126" s="1"/>
  <c r="H174" s="1"/>
  <c r="N41" i="27" s="1"/>
  <c r="R61" i="6"/>
  <c r="R126" s="1"/>
  <c r="R174" s="1"/>
  <c r="X41" i="27" s="1"/>
  <c r="V61" i="6"/>
  <c r="V126" s="1"/>
  <c r="V174" s="1"/>
  <c r="AB41" i="27" s="1"/>
  <c r="E61" i="6"/>
  <c r="E126" s="1"/>
  <c r="E174" s="1"/>
  <c r="P61"/>
  <c r="P126" s="1"/>
  <c r="P174" s="1"/>
  <c r="V41" i="27" s="1"/>
  <c r="J61" i="6"/>
  <c r="J126" s="1"/>
  <c r="J174" s="1"/>
  <c r="P41" i="27" s="1"/>
  <c r="T61" i="6"/>
  <c r="T126" s="1"/>
  <c r="T174" s="1"/>
  <c r="Z41" i="27" s="1"/>
  <c r="S61" i="6"/>
  <c r="S126" s="1"/>
  <c r="S174" s="1"/>
  <c r="Y41" i="27" s="1"/>
  <c r="F61" i="6"/>
  <c r="F126" s="1"/>
  <c r="F174" s="1"/>
  <c r="L41" i="27" s="1"/>
  <c r="N61" i="6"/>
  <c r="N126" s="1"/>
  <c r="N174" s="1"/>
  <c r="T41" i="27" s="1"/>
  <c r="X61" i="6"/>
  <c r="X126" s="1"/>
  <c r="X174" s="1"/>
  <c r="AD41" i="27" s="1"/>
  <c r="W61" i="6"/>
  <c r="W126" s="1"/>
  <c r="W174" s="1"/>
  <c r="AC41" i="27" s="1"/>
  <c r="U61" i="6"/>
  <c r="U126" s="1"/>
  <c r="U174" s="1"/>
  <c r="AA41" i="27" s="1"/>
  <c r="Q61" i="6"/>
  <c r="Q126" s="1"/>
  <c r="Q174" s="1"/>
  <c r="W41" i="27" s="1"/>
  <c r="K61" i="6"/>
  <c r="K126" s="1"/>
  <c r="K174" s="1"/>
  <c r="Q41" i="27" s="1"/>
  <c r="M61" i="6"/>
  <c r="M126" s="1"/>
  <c r="M174" s="1"/>
  <c r="S41" i="27" s="1"/>
  <c r="G61" i="6"/>
  <c r="G126" s="1"/>
  <c r="G174" s="1"/>
  <c r="M41" i="27" s="1"/>
  <c r="L61" i="6"/>
  <c r="L126" s="1"/>
  <c r="L174" s="1"/>
  <c r="R41" i="27" s="1"/>
  <c r="Z57" i="6"/>
  <c r="Y170" s="1"/>
  <c r="AE37" i="27" s="1"/>
  <c r="W57" i="6"/>
  <c r="W122" s="1"/>
  <c r="W170" s="1"/>
  <c r="AC37" i="27" s="1"/>
  <c r="U57" i="6"/>
  <c r="U122" s="1"/>
  <c r="U170" s="1"/>
  <c r="AA37" i="27" s="1"/>
  <c r="V57" i="6"/>
  <c r="V122" s="1"/>
  <c r="V170" s="1"/>
  <c r="AB37" i="27" s="1"/>
  <c r="X57" i="6"/>
  <c r="X122" s="1"/>
  <c r="X170" s="1"/>
  <c r="AD37" i="27" s="1"/>
  <c r="Q57" i="6"/>
  <c r="Q122" s="1"/>
  <c r="Q170" s="1"/>
  <c r="W37" i="27" s="1"/>
  <c r="T57" i="6"/>
  <c r="T122" s="1"/>
  <c r="T170" s="1"/>
  <c r="Z37" i="27" s="1"/>
  <c r="H57" i="6"/>
  <c r="H122" s="1"/>
  <c r="H170" s="1"/>
  <c r="N37" i="27" s="1"/>
  <c r="G57" i="6"/>
  <c r="G122" s="1"/>
  <c r="G170" s="1"/>
  <c r="M37" i="27" s="1"/>
  <c r="O57" i="6"/>
  <c r="O122" s="1"/>
  <c r="O170" s="1"/>
  <c r="U37" i="27" s="1"/>
  <c r="S57" i="6"/>
  <c r="S122" s="1"/>
  <c r="S170" s="1"/>
  <c r="Y37" i="27" s="1"/>
  <c r="M57" i="6"/>
  <c r="M122" s="1"/>
  <c r="M170" s="1"/>
  <c r="S37" i="27" s="1"/>
  <c r="I57" i="6"/>
  <c r="I122" s="1"/>
  <c r="I170" s="1"/>
  <c r="O37" i="27" s="1"/>
  <c r="R57" i="6"/>
  <c r="R122" s="1"/>
  <c r="R170" s="1"/>
  <c r="X37" i="27" s="1"/>
  <c r="P57" i="6"/>
  <c r="P122" s="1"/>
  <c r="P170" s="1"/>
  <c r="V37" i="27" s="1"/>
  <c r="N57" i="6"/>
  <c r="N122" s="1"/>
  <c r="N170" s="1"/>
  <c r="T37" i="27" s="1"/>
  <c r="E57" i="6"/>
  <c r="E122" s="1"/>
  <c r="F57"/>
  <c r="F122" s="1"/>
  <c r="F170" s="1"/>
  <c r="L37" i="27" s="1"/>
  <c r="K57" i="6"/>
  <c r="K122" s="1"/>
  <c r="K170" s="1"/>
  <c r="Q37" i="27" s="1"/>
  <c r="J57" i="6"/>
  <c r="J122" s="1"/>
  <c r="J170" s="1"/>
  <c r="P37" i="27" s="1"/>
  <c r="L57" i="6"/>
  <c r="L122" s="1"/>
  <c r="L170" s="1"/>
  <c r="R37" i="27" s="1"/>
  <c r="R50" i="6"/>
  <c r="R115" s="1"/>
  <c r="R163" s="1"/>
  <c r="X30" i="27" s="1"/>
  <c r="X50" i="6"/>
  <c r="X115" s="1"/>
  <c r="X163" s="1"/>
  <c r="AD30" i="27" s="1"/>
  <c r="L50" i="6"/>
  <c r="L115" s="1"/>
  <c r="L163" s="1"/>
  <c r="R30" i="27" s="1"/>
  <c r="H50" i="6"/>
  <c r="H115" s="1"/>
  <c r="H163" s="1"/>
  <c r="N30" i="27" s="1"/>
  <c r="G50" i="6"/>
  <c r="G115" s="1"/>
  <c r="G163" s="1"/>
  <c r="M30" i="27" s="1"/>
  <c r="V50" i="6"/>
  <c r="V115" s="1"/>
  <c r="V163" s="1"/>
  <c r="AB30" i="27" s="1"/>
  <c r="P50" i="6"/>
  <c r="P115" s="1"/>
  <c r="P163" s="1"/>
  <c r="V30" i="27" s="1"/>
  <c r="Q50" i="6"/>
  <c r="Q115" s="1"/>
  <c r="Q163" s="1"/>
  <c r="W30" i="27" s="1"/>
  <c r="S50" i="6"/>
  <c r="S115" s="1"/>
  <c r="S163" s="1"/>
  <c r="Y30" i="27" s="1"/>
  <c r="N50" i="6"/>
  <c r="N115" s="1"/>
  <c r="N163" s="1"/>
  <c r="T30" i="27" s="1"/>
  <c r="O50" i="6"/>
  <c r="O115" s="1"/>
  <c r="O163" s="1"/>
  <c r="U30" i="27" s="1"/>
  <c r="Z50" i="6"/>
  <c r="Y163" s="1"/>
  <c r="AE30" i="27" s="1"/>
  <c r="K50" i="6"/>
  <c r="K115" s="1"/>
  <c r="K163" s="1"/>
  <c r="Q30" i="27" s="1"/>
  <c r="T50" i="6"/>
  <c r="T115" s="1"/>
  <c r="T163" s="1"/>
  <c r="Z30" i="27" s="1"/>
  <c r="I50" i="6"/>
  <c r="I115" s="1"/>
  <c r="I163" s="1"/>
  <c r="O30" i="27" s="1"/>
  <c r="M50" i="6"/>
  <c r="M115" s="1"/>
  <c r="M163" s="1"/>
  <c r="S30" i="27" s="1"/>
  <c r="E50" i="6"/>
  <c r="E115" s="1"/>
  <c r="W50"/>
  <c r="W115" s="1"/>
  <c r="W163" s="1"/>
  <c r="AC30" i="27" s="1"/>
  <c r="F50" i="6"/>
  <c r="F115" s="1"/>
  <c r="F163" s="1"/>
  <c r="L30" i="27" s="1"/>
  <c r="U50" i="6"/>
  <c r="U115" s="1"/>
  <c r="U163" s="1"/>
  <c r="AA30" i="27" s="1"/>
  <c r="J50" i="6"/>
  <c r="J115" s="1"/>
  <c r="J163" s="1"/>
  <c r="P30" i="27" s="1"/>
  <c r="L59" i="6"/>
  <c r="L124" s="1"/>
  <c r="L172" s="1"/>
  <c r="R39" i="27" s="1"/>
  <c r="T59" i="6"/>
  <c r="T124" s="1"/>
  <c r="T172" s="1"/>
  <c r="Z39" i="27" s="1"/>
  <c r="O59" i="6"/>
  <c r="O124" s="1"/>
  <c r="O172" s="1"/>
  <c r="U39" i="27" s="1"/>
  <c r="E59" i="6"/>
  <c r="E124" s="1"/>
  <c r="F59"/>
  <c r="F124" s="1"/>
  <c r="F172" s="1"/>
  <c r="L39" i="27" s="1"/>
  <c r="N59" i="6"/>
  <c r="N124" s="1"/>
  <c r="N172" s="1"/>
  <c r="T39" i="27" s="1"/>
  <c r="R59" i="6"/>
  <c r="R124" s="1"/>
  <c r="R172" s="1"/>
  <c r="X39" i="27" s="1"/>
  <c r="P59" i="6"/>
  <c r="P124" s="1"/>
  <c r="P172" s="1"/>
  <c r="V39" i="27" s="1"/>
  <c r="Z59" i="6"/>
  <c r="Y172" s="1"/>
  <c r="AE39" i="27" s="1"/>
  <c r="Q59" i="6"/>
  <c r="Q124" s="1"/>
  <c r="Q172" s="1"/>
  <c r="W39" i="27" s="1"/>
  <c r="I59" i="6"/>
  <c r="I124" s="1"/>
  <c r="I172" s="1"/>
  <c r="O39" i="27" s="1"/>
  <c r="M59" i="6"/>
  <c r="M124" s="1"/>
  <c r="M172" s="1"/>
  <c r="S39" i="27" s="1"/>
  <c r="H59" i="6"/>
  <c r="H124" s="1"/>
  <c r="H172" s="1"/>
  <c r="N39" i="27" s="1"/>
  <c r="V59" i="6"/>
  <c r="V124" s="1"/>
  <c r="V172" s="1"/>
  <c r="AB39" i="27" s="1"/>
  <c r="J59" i="6"/>
  <c r="J124" s="1"/>
  <c r="J172" s="1"/>
  <c r="P39" i="27" s="1"/>
  <c r="S59" i="6"/>
  <c r="S124" s="1"/>
  <c r="S172" s="1"/>
  <c r="Y39" i="27" s="1"/>
  <c r="X59" i="6"/>
  <c r="X124" s="1"/>
  <c r="X172" s="1"/>
  <c r="AD39" i="27" s="1"/>
  <c r="W59" i="6"/>
  <c r="W124" s="1"/>
  <c r="W172" s="1"/>
  <c r="AC39" i="27" s="1"/>
  <c r="G59" i="6"/>
  <c r="G124" s="1"/>
  <c r="G172" s="1"/>
  <c r="M39" i="27" s="1"/>
  <c r="K59" i="6"/>
  <c r="K124" s="1"/>
  <c r="K172" s="1"/>
  <c r="Q39" i="27" s="1"/>
  <c r="U59" i="6"/>
  <c r="U124" s="1"/>
  <c r="U172" s="1"/>
  <c r="AA39" i="27" s="1"/>
  <c r="G51" i="6"/>
  <c r="G116" s="1"/>
  <c r="G164" s="1"/>
  <c r="M31" i="27" s="1"/>
  <c r="R51" i="6"/>
  <c r="R116" s="1"/>
  <c r="R164" s="1"/>
  <c r="X31" i="27" s="1"/>
  <c r="V51" i="6"/>
  <c r="V116" s="1"/>
  <c r="V164" s="1"/>
  <c r="AB31" i="27" s="1"/>
  <c r="O51" i="6"/>
  <c r="O116" s="1"/>
  <c r="O164" s="1"/>
  <c r="U31" i="27" s="1"/>
  <c r="X51" i="6"/>
  <c r="X116" s="1"/>
  <c r="X164" s="1"/>
  <c r="AD31" i="27" s="1"/>
  <c r="W51" i="6"/>
  <c r="W116" s="1"/>
  <c r="W164" s="1"/>
  <c r="AC31" i="27" s="1"/>
  <c r="L51" i="6"/>
  <c r="L116" s="1"/>
  <c r="L164" s="1"/>
  <c r="R31" i="27" s="1"/>
  <c r="Q51" i="6"/>
  <c r="Q116" s="1"/>
  <c r="Q164" s="1"/>
  <c r="W31" i="27" s="1"/>
  <c r="I51" i="6"/>
  <c r="I116" s="1"/>
  <c r="I164" s="1"/>
  <c r="O31" i="27" s="1"/>
  <c r="F51" i="6"/>
  <c r="F116" s="1"/>
  <c r="F164" s="1"/>
  <c r="L31" i="27" s="1"/>
  <c r="J51" i="6"/>
  <c r="J116" s="1"/>
  <c r="J164" s="1"/>
  <c r="P31" i="27" s="1"/>
  <c r="S51" i="6"/>
  <c r="S116" s="1"/>
  <c r="S164" s="1"/>
  <c r="Y31" i="27" s="1"/>
  <c r="N51" i="6"/>
  <c r="N116" s="1"/>
  <c r="N164" s="1"/>
  <c r="T31" i="27" s="1"/>
  <c r="E51" i="6"/>
  <c r="E116" s="1"/>
  <c r="Z51"/>
  <c r="Y164" s="1"/>
  <c r="AE31" i="27" s="1"/>
  <c r="K51" i="6"/>
  <c r="K116" s="1"/>
  <c r="K164" s="1"/>
  <c r="Q31" i="27" s="1"/>
  <c r="T51" i="6"/>
  <c r="T116" s="1"/>
  <c r="T164" s="1"/>
  <c r="Z31" i="27" s="1"/>
  <c r="H51" i="6"/>
  <c r="H116" s="1"/>
  <c r="H164" s="1"/>
  <c r="N31" i="27" s="1"/>
  <c r="U51" i="6"/>
  <c r="U116" s="1"/>
  <c r="U164" s="1"/>
  <c r="AA31" i="27" s="1"/>
  <c r="P51" i="6"/>
  <c r="P116" s="1"/>
  <c r="P164" s="1"/>
  <c r="V31" i="27" s="1"/>
  <c r="M51" i="6"/>
  <c r="M116" s="1"/>
  <c r="M164" s="1"/>
  <c r="S31" i="27" s="1"/>
  <c r="V54" i="6"/>
  <c r="V119" s="1"/>
  <c r="V167" s="1"/>
  <c r="AB34" i="27" s="1"/>
  <c r="O54" i="6"/>
  <c r="O119" s="1"/>
  <c r="O167" s="1"/>
  <c r="U34" i="27" s="1"/>
  <c r="Z54" i="6"/>
  <c r="Y167" s="1"/>
  <c r="AE34" i="27" s="1"/>
  <c r="T54" i="6"/>
  <c r="T119" s="1"/>
  <c r="T167" s="1"/>
  <c r="Z34" i="27" s="1"/>
  <c r="H54" i="6"/>
  <c r="H119" s="1"/>
  <c r="H167" s="1"/>
  <c r="N34" i="27" s="1"/>
  <c r="F54" i="6"/>
  <c r="F119" s="1"/>
  <c r="F167" s="1"/>
  <c r="L34" i="27" s="1"/>
  <c r="G54" i="6"/>
  <c r="G119" s="1"/>
  <c r="G167" s="1"/>
  <c r="M34" i="27" s="1"/>
  <c r="R54" i="6"/>
  <c r="R119" s="1"/>
  <c r="R167" s="1"/>
  <c r="X34" i="27" s="1"/>
  <c r="U54" i="6"/>
  <c r="U119" s="1"/>
  <c r="U167" s="1"/>
  <c r="AA34" i="27" s="1"/>
  <c r="L54" i="6"/>
  <c r="L119" s="1"/>
  <c r="L167" s="1"/>
  <c r="R34" i="27" s="1"/>
  <c r="Q54" i="6"/>
  <c r="Q119" s="1"/>
  <c r="Q167" s="1"/>
  <c r="W34" i="27" s="1"/>
  <c r="I54" i="6"/>
  <c r="I119" s="1"/>
  <c r="I167" s="1"/>
  <c r="O34" i="27" s="1"/>
  <c r="E54" i="6"/>
  <c r="E119" s="1"/>
  <c r="S54"/>
  <c r="S119" s="1"/>
  <c r="S167" s="1"/>
  <c r="Y34" i="27" s="1"/>
  <c r="N54" i="6"/>
  <c r="N119" s="1"/>
  <c r="N167" s="1"/>
  <c r="T34" i="27" s="1"/>
  <c r="M54" i="6"/>
  <c r="M119" s="1"/>
  <c r="M167" s="1"/>
  <c r="S34" i="27" s="1"/>
  <c r="P54" i="6"/>
  <c r="P119" s="1"/>
  <c r="P167" s="1"/>
  <c r="V34" i="27" s="1"/>
  <c r="X54" i="6"/>
  <c r="X119" s="1"/>
  <c r="X167" s="1"/>
  <c r="AD34" i="27" s="1"/>
  <c r="K54" i="6"/>
  <c r="K119" s="1"/>
  <c r="K167" s="1"/>
  <c r="Q34" i="27" s="1"/>
  <c r="J54" i="6"/>
  <c r="J119" s="1"/>
  <c r="J167" s="1"/>
  <c r="P34" i="27" s="1"/>
  <c r="W54" i="6"/>
  <c r="W119" s="1"/>
  <c r="W167" s="1"/>
  <c r="AC34" i="27" s="1"/>
  <c r="R34" i="6"/>
  <c r="R99" s="1"/>
  <c r="R147" s="1"/>
  <c r="X14" i="27" s="1"/>
  <c r="U34" i="6"/>
  <c r="U99" s="1"/>
  <c r="U147" s="1"/>
  <c r="AA14" i="27" s="1"/>
  <c r="L34" i="6"/>
  <c r="L99" s="1"/>
  <c r="L147" s="1"/>
  <c r="R14" i="27" s="1"/>
  <c r="J34" i="6"/>
  <c r="J99" s="1"/>
  <c r="J147" s="1"/>
  <c r="P14" i="27" s="1"/>
  <c r="S34" i="6"/>
  <c r="S99" s="1"/>
  <c r="S147" s="1"/>
  <c r="Y14" i="27" s="1"/>
  <c r="V34" i="6"/>
  <c r="V99" s="1"/>
  <c r="V147" s="1"/>
  <c r="AB14" i="27" s="1"/>
  <c r="E34" i="6"/>
  <c r="E99" s="1"/>
  <c r="P34"/>
  <c r="P99" s="1"/>
  <c r="P147" s="1"/>
  <c r="V14" i="27" s="1"/>
  <c r="Z34" i="6"/>
  <c r="Y147" s="1"/>
  <c r="AE14" i="27" s="1"/>
  <c r="I34" i="6"/>
  <c r="I99" s="1"/>
  <c r="I147" s="1"/>
  <c r="O14" i="27" s="1"/>
  <c r="M34" i="6"/>
  <c r="M99" s="1"/>
  <c r="M147" s="1"/>
  <c r="S14" i="27" s="1"/>
  <c r="G34" i="6"/>
  <c r="G99" s="1"/>
  <c r="G147" s="1"/>
  <c r="M14" i="27" s="1"/>
  <c r="O34" i="6"/>
  <c r="O99" s="1"/>
  <c r="O147" s="1"/>
  <c r="U14" i="27" s="1"/>
  <c r="X34" i="6"/>
  <c r="X99" s="1"/>
  <c r="X147" s="1"/>
  <c r="AD14" i="27" s="1"/>
  <c r="W34" i="6"/>
  <c r="W99" s="1"/>
  <c r="W147" s="1"/>
  <c r="AC14" i="27" s="1"/>
  <c r="K34" i="6"/>
  <c r="K99" s="1"/>
  <c r="K147" s="1"/>
  <c r="Q14" i="27" s="1"/>
  <c r="Q34" i="6"/>
  <c r="Q99" s="1"/>
  <c r="Q147" s="1"/>
  <c r="W14" i="27" s="1"/>
  <c r="T34" i="6"/>
  <c r="T99" s="1"/>
  <c r="T147" s="1"/>
  <c r="Z14" i="27" s="1"/>
  <c r="N34" i="6"/>
  <c r="N99" s="1"/>
  <c r="N147" s="1"/>
  <c r="T14" i="27" s="1"/>
  <c r="H34" i="6"/>
  <c r="H99" s="1"/>
  <c r="H147" s="1"/>
  <c r="N14" i="27" s="1"/>
  <c r="F34" i="6"/>
  <c r="F99" s="1"/>
  <c r="F147" s="1"/>
  <c r="L14" i="27" s="1"/>
  <c r="R48" i="6"/>
  <c r="R113" s="1"/>
  <c r="R161" s="1"/>
  <c r="X28" i="27" s="1"/>
  <c r="V48" i="6"/>
  <c r="V113" s="1"/>
  <c r="V161" s="1"/>
  <c r="AB28" i="27" s="1"/>
  <c r="X48" i="6"/>
  <c r="X113" s="1"/>
  <c r="X161" s="1"/>
  <c r="AD28" i="27" s="1"/>
  <c r="K48" i="6"/>
  <c r="K113" s="1"/>
  <c r="K161" s="1"/>
  <c r="Q28" i="27" s="1"/>
  <c r="J48" i="6"/>
  <c r="J113" s="1"/>
  <c r="J161" s="1"/>
  <c r="P28" i="27" s="1"/>
  <c r="H48" i="6"/>
  <c r="H113" s="1"/>
  <c r="H161" s="1"/>
  <c r="N28" i="27" s="1"/>
  <c r="O48" i="6"/>
  <c r="O113" s="1"/>
  <c r="O161" s="1"/>
  <c r="U28" i="27" s="1"/>
  <c r="P48" i="6"/>
  <c r="P113" s="1"/>
  <c r="P161" s="1"/>
  <c r="V28" i="27" s="1"/>
  <c r="Z48" i="6"/>
  <c r="Y161" s="1"/>
  <c r="AE28" i="27" s="1"/>
  <c r="W48" i="6"/>
  <c r="W113" s="1"/>
  <c r="W161" s="1"/>
  <c r="AC28" i="27" s="1"/>
  <c r="U48" i="6"/>
  <c r="U113" s="1"/>
  <c r="U161" s="1"/>
  <c r="AA28" i="27" s="1"/>
  <c r="T48" i="6"/>
  <c r="T113" s="1"/>
  <c r="T161" s="1"/>
  <c r="Z28" i="27" s="1"/>
  <c r="I48" i="6"/>
  <c r="I113" s="1"/>
  <c r="I161" s="1"/>
  <c r="O28" i="27" s="1"/>
  <c r="N48" i="6"/>
  <c r="N113" s="1"/>
  <c r="N161" s="1"/>
  <c r="T28" i="27" s="1"/>
  <c r="G48" i="6"/>
  <c r="G113" s="1"/>
  <c r="G161" s="1"/>
  <c r="M28" i="27" s="1"/>
  <c r="L48" i="6"/>
  <c r="L113" s="1"/>
  <c r="L161" s="1"/>
  <c r="R28" i="27" s="1"/>
  <c r="E48" i="6"/>
  <c r="E113" s="1"/>
  <c r="S48"/>
  <c r="S113" s="1"/>
  <c r="S161" s="1"/>
  <c r="Y28" i="27" s="1"/>
  <c r="M48" i="6"/>
  <c r="M113" s="1"/>
  <c r="M161" s="1"/>
  <c r="S28" i="27" s="1"/>
  <c r="F48" i="6"/>
  <c r="F113" s="1"/>
  <c r="F161" s="1"/>
  <c r="L28" i="27" s="1"/>
  <c r="Q48" i="6"/>
  <c r="Q113" s="1"/>
  <c r="Q161" s="1"/>
  <c r="W28" i="27" s="1"/>
  <c r="U37" i="6"/>
  <c r="U102" s="1"/>
  <c r="U150" s="1"/>
  <c r="AA17" i="27" s="1"/>
  <c r="J37" i="6"/>
  <c r="J102" s="1"/>
  <c r="J150" s="1"/>
  <c r="P17" i="27" s="1"/>
  <c r="M37" i="6"/>
  <c r="M102" s="1"/>
  <c r="M150" s="1"/>
  <c r="S17" i="27" s="1"/>
  <c r="R37" i="6"/>
  <c r="R102" s="1"/>
  <c r="R150" s="1"/>
  <c r="X17" i="27" s="1"/>
  <c r="V37" i="6"/>
  <c r="V102" s="1"/>
  <c r="V150" s="1"/>
  <c r="AB17" i="27" s="1"/>
  <c r="O37" i="6"/>
  <c r="O102" s="1"/>
  <c r="O150" s="1"/>
  <c r="U17" i="27" s="1"/>
  <c r="X37" i="6"/>
  <c r="X102" s="1"/>
  <c r="X150" s="1"/>
  <c r="AD17" i="27" s="1"/>
  <c r="K37" i="6"/>
  <c r="K102" s="1"/>
  <c r="K150" s="1"/>
  <c r="Q17" i="27" s="1"/>
  <c r="L37" i="6"/>
  <c r="L102" s="1"/>
  <c r="L150" s="1"/>
  <c r="R17" i="27" s="1"/>
  <c r="I37" i="6"/>
  <c r="I102" s="1"/>
  <c r="I150" s="1"/>
  <c r="O17" i="27" s="1"/>
  <c r="F37" i="6"/>
  <c r="F102" s="1"/>
  <c r="F150" s="1"/>
  <c r="L17" i="27" s="1"/>
  <c r="N37" i="6"/>
  <c r="N102" s="1"/>
  <c r="N150" s="1"/>
  <c r="T17" i="27" s="1"/>
  <c r="P37" i="6"/>
  <c r="P102" s="1"/>
  <c r="P150" s="1"/>
  <c r="V17" i="27" s="1"/>
  <c r="E37" i="6"/>
  <c r="E102" s="1"/>
  <c r="S37"/>
  <c r="S102" s="1"/>
  <c r="S150" s="1"/>
  <c r="Y17" i="27" s="1"/>
  <c r="G37" i="6"/>
  <c r="G102" s="1"/>
  <c r="G150" s="1"/>
  <c r="M17" i="27" s="1"/>
  <c r="Z37" i="6"/>
  <c r="Y150" s="1"/>
  <c r="AE17" i="27" s="1"/>
  <c r="W37" i="6"/>
  <c r="W102" s="1"/>
  <c r="W150" s="1"/>
  <c r="AC17" i="27" s="1"/>
  <c r="Q37" i="6"/>
  <c r="Q102" s="1"/>
  <c r="Q150" s="1"/>
  <c r="W17" i="27" s="1"/>
  <c r="T37" i="6"/>
  <c r="T102" s="1"/>
  <c r="T150" s="1"/>
  <c r="Z17" i="27" s="1"/>
  <c r="H37" i="6"/>
  <c r="H102" s="1"/>
  <c r="H150" s="1"/>
  <c r="N17" i="27" s="1"/>
  <c r="V55" i="6"/>
  <c r="V120" s="1"/>
  <c r="V168" s="1"/>
  <c r="AB35" i="27" s="1"/>
  <c r="E55" i="6"/>
  <c r="E120" s="1"/>
  <c r="W55"/>
  <c r="W120" s="1"/>
  <c r="W168" s="1"/>
  <c r="AC35" i="27" s="1"/>
  <c r="G55" i="6"/>
  <c r="G120" s="1"/>
  <c r="G168" s="1"/>
  <c r="M35" i="27" s="1"/>
  <c r="K55" i="6"/>
  <c r="K120" s="1"/>
  <c r="K168" s="1"/>
  <c r="Q35" i="27" s="1"/>
  <c r="Q55" i="6"/>
  <c r="Q120" s="1"/>
  <c r="Q168" s="1"/>
  <c r="W35" i="27" s="1"/>
  <c r="M55" i="6"/>
  <c r="M120" s="1"/>
  <c r="M168" s="1"/>
  <c r="S35" i="27" s="1"/>
  <c r="H55" i="6"/>
  <c r="H120" s="1"/>
  <c r="H168" s="1"/>
  <c r="N35" i="27" s="1"/>
  <c r="F55" i="6"/>
  <c r="F120" s="1"/>
  <c r="F168" s="1"/>
  <c r="L35" i="27" s="1"/>
  <c r="N55" i="6"/>
  <c r="N120" s="1"/>
  <c r="N168" s="1"/>
  <c r="T35" i="27" s="1"/>
  <c r="O55" i="6"/>
  <c r="O120" s="1"/>
  <c r="O168" s="1"/>
  <c r="U35" i="27" s="1"/>
  <c r="P55" i="6"/>
  <c r="P120" s="1"/>
  <c r="P168" s="1"/>
  <c r="V35" i="27" s="1"/>
  <c r="X55" i="6"/>
  <c r="X120" s="1"/>
  <c r="X168" s="1"/>
  <c r="AD35" i="27" s="1"/>
  <c r="Z55" i="6"/>
  <c r="Y168" s="1"/>
  <c r="AE35" i="27" s="1"/>
  <c r="U55" i="6"/>
  <c r="U120" s="1"/>
  <c r="U168" s="1"/>
  <c r="AA35" i="27" s="1"/>
  <c r="I55" i="6"/>
  <c r="I120" s="1"/>
  <c r="I168" s="1"/>
  <c r="O35" i="27" s="1"/>
  <c r="R55" i="6"/>
  <c r="R120" s="1"/>
  <c r="R168" s="1"/>
  <c r="X35" i="27" s="1"/>
  <c r="L55" i="6"/>
  <c r="L120" s="1"/>
  <c r="L168" s="1"/>
  <c r="R35" i="27" s="1"/>
  <c r="J55" i="6"/>
  <c r="J120" s="1"/>
  <c r="J168" s="1"/>
  <c r="P35" i="27" s="1"/>
  <c r="S55" i="6"/>
  <c r="S120" s="1"/>
  <c r="S168" s="1"/>
  <c r="Y35" i="27" s="1"/>
  <c r="T55" i="6"/>
  <c r="T120" s="1"/>
  <c r="T168" s="1"/>
  <c r="Z35" i="27" s="1"/>
  <c r="V41" i="6"/>
  <c r="V106" s="1"/>
  <c r="V154" s="1"/>
  <c r="AB21" i="27" s="1"/>
  <c r="P41" i="6"/>
  <c r="P106" s="1"/>
  <c r="P154" s="1"/>
  <c r="V21" i="27" s="1"/>
  <c r="Z41" i="6"/>
  <c r="Y154" s="1"/>
  <c r="AE21" i="27" s="1"/>
  <c r="T41" i="6"/>
  <c r="T106" s="1"/>
  <c r="T154" s="1"/>
  <c r="Z21" i="27" s="1"/>
  <c r="S41" i="6"/>
  <c r="S106" s="1"/>
  <c r="S154" s="1"/>
  <c r="Y21" i="27" s="1"/>
  <c r="M41" i="6"/>
  <c r="M106" s="1"/>
  <c r="M154" s="1"/>
  <c r="S21" i="27" s="1"/>
  <c r="F41" i="6"/>
  <c r="F106" s="1"/>
  <c r="F154" s="1"/>
  <c r="L21" i="27" s="1"/>
  <c r="G41" i="6"/>
  <c r="G106" s="1"/>
  <c r="G154" s="1"/>
  <c r="M21" i="27" s="1"/>
  <c r="O41" i="6"/>
  <c r="O106" s="1"/>
  <c r="O154" s="1"/>
  <c r="U21" i="27" s="1"/>
  <c r="E41" i="6"/>
  <c r="E106" s="1"/>
  <c r="W41"/>
  <c r="W106" s="1"/>
  <c r="W154" s="1"/>
  <c r="AC21" i="27" s="1"/>
  <c r="U41" i="6"/>
  <c r="U106" s="1"/>
  <c r="U154" s="1"/>
  <c r="AA21" i="27" s="1"/>
  <c r="H41" i="6"/>
  <c r="H106" s="1"/>
  <c r="H154" s="1"/>
  <c r="N21" i="27" s="1"/>
  <c r="R41" i="6"/>
  <c r="R106" s="1"/>
  <c r="R154" s="1"/>
  <c r="X21" i="27" s="1"/>
  <c r="X41" i="6"/>
  <c r="X106" s="1"/>
  <c r="X154" s="1"/>
  <c r="AD21" i="27" s="1"/>
  <c r="L41" i="6"/>
  <c r="L106" s="1"/>
  <c r="L154" s="1"/>
  <c r="R21" i="27" s="1"/>
  <c r="Q41" i="6"/>
  <c r="Q106" s="1"/>
  <c r="Q154" s="1"/>
  <c r="W21" i="27" s="1"/>
  <c r="K41" i="6"/>
  <c r="K106" s="1"/>
  <c r="K154" s="1"/>
  <c r="Q21" i="27" s="1"/>
  <c r="I41" i="6"/>
  <c r="I106" s="1"/>
  <c r="I154" s="1"/>
  <c r="O21" i="27" s="1"/>
  <c r="J41" i="6"/>
  <c r="J106" s="1"/>
  <c r="J154" s="1"/>
  <c r="P21" i="27" s="1"/>
  <c r="N41" i="6"/>
  <c r="N106" s="1"/>
  <c r="N154" s="1"/>
  <c r="T21" i="27" s="1"/>
  <c r="G52" i="6"/>
  <c r="G117" s="1"/>
  <c r="G165" s="1"/>
  <c r="M32" i="27" s="1"/>
  <c r="O52" i="6"/>
  <c r="O117" s="1"/>
  <c r="O165" s="1"/>
  <c r="U32" i="27" s="1"/>
  <c r="Q52" i="6"/>
  <c r="Q117" s="1"/>
  <c r="Q165" s="1"/>
  <c r="W32" i="27" s="1"/>
  <c r="T52" i="6"/>
  <c r="T117" s="1"/>
  <c r="T165" s="1"/>
  <c r="Z32" i="27" s="1"/>
  <c r="H52" i="6"/>
  <c r="H117" s="1"/>
  <c r="H165" s="1"/>
  <c r="N32" i="27" s="1"/>
  <c r="R52" i="6"/>
  <c r="R117" s="1"/>
  <c r="R165" s="1"/>
  <c r="X32" i="27" s="1"/>
  <c r="Z52" i="6"/>
  <c r="Y165" s="1"/>
  <c r="AE32" i="27" s="1"/>
  <c r="W52" i="6"/>
  <c r="W117" s="1"/>
  <c r="W165" s="1"/>
  <c r="AC32" i="27" s="1"/>
  <c r="K52" i="6"/>
  <c r="K117" s="1"/>
  <c r="K165" s="1"/>
  <c r="Q32" i="27" s="1"/>
  <c r="J52" i="6"/>
  <c r="J117" s="1"/>
  <c r="J165" s="1"/>
  <c r="P32" i="27" s="1"/>
  <c r="I52" i="6"/>
  <c r="I117" s="1"/>
  <c r="I165" s="1"/>
  <c r="O32" i="27" s="1"/>
  <c r="S52" i="6"/>
  <c r="S117" s="1"/>
  <c r="S165" s="1"/>
  <c r="Y32" i="27" s="1"/>
  <c r="M52" i="6"/>
  <c r="M117" s="1"/>
  <c r="M165" s="1"/>
  <c r="S32" i="27" s="1"/>
  <c r="P52" i="6"/>
  <c r="P117" s="1"/>
  <c r="P165" s="1"/>
  <c r="V32" i="27" s="1"/>
  <c r="V52" i="6"/>
  <c r="V117" s="1"/>
  <c r="V165" s="1"/>
  <c r="AB32" i="27" s="1"/>
  <c r="E52" i="6"/>
  <c r="E117" s="1"/>
  <c r="X52"/>
  <c r="X117" s="1"/>
  <c r="X165" s="1"/>
  <c r="AD32" i="27" s="1"/>
  <c r="L52" i="6"/>
  <c r="L117" s="1"/>
  <c r="L165" s="1"/>
  <c r="R32" i="27" s="1"/>
  <c r="U52" i="6"/>
  <c r="U117" s="1"/>
  <c r="U165" s="1"/>
  <c r="AA32" i="27" s="1"/>
  <c r="N52" i="6"/>
  <c r="N117" s="1"/>
  <c r="N165" s="1"/>
  <c r="T32" i="27" s="1"/>
  <c r="F52" i="6"/>
  <c r="F117" s="1"/>
  <c r="F165" s="1"/>
  <c r="L32" i="27" s="1"/>
  <c r="Z60" i="6"/>
  <c r="Y173" s="1"/>
  <c r="AE40" i="27" s="1"/>
  <c r="W60" i="6"/>
  <c r="W125" s="1"/>
  <c r="W173" s="1"/>
  <c r="AC40" i="27" s="1"/>
  <c r="K60" i="6"/>
  <c r="K125" s="1"/>
  <c r="K173" s="1"/>
  <c r="Q40" i="27" s="1"/>
  <c r="J60" i="6"/>
  <c r="J125" s="1"/>
  <c r="J173" s="1"/>
  <c r="P40" i="27" s="1"/>
  <c r="I60" i="6"/>
  <c r="I125" s="1"/>
  <c r="I173" s="1"/>
  <c r="O40" i="27" s="1"/>
  <c r="S60" i="6"/>
  <c r="S125" s="1"/>
  <c r="S173" s="1"/>
  <c r="Y40" i="27" s="1"/>
  <c r="F60" i="6"/>
  <c r="F125" s="1"/>
  <c r="F173" s="1"/>
  <c r="L40" i="27" s="1"/>
  <c r="R60" i="6"/>
  <c r="R125" s="1"/>
  <c r="R173" s="1"/>
  <c r="X40" i="27" s="1"/>
  <c r="V60" i="6"/>
  <c r="V125" s="1"/>
  <c r="V173" s="1"/>
  <c r="AB40" i="27" s="1"/>
  <c r="P60" i="6"/>
  <c r="P125" s="1"/>
  <c r="P173" s="1"/>
  <c r="V40" i="27" s="1"/>
  <c r="Q60" i="6"/>
  <c r="Q125" s="1"/>
  <c r="Q173" s="1"/>
  <c r="W40" i="27" s="1"/>
  <c r="T60" i="6"/>
  <c r="T125" s="1"/>
  <c r="T173" s="1"/>
  <c r="Z40" i="27" s="1"/>
  <c r="N60" i="6"/>
  <c r="N125" s="1"/>
  <c r="N173" s="1"/>
  <c r="T40" i="27" s="1"/>
  <c r="O60" i="6"/>
  <c r="O125" s="1"/>
  <c r="O173" s="1"/>
  <c r="U40" i="27" s="1"/>
  <c r="E60" i="6"/>
  <c r="E125" s="1"/>
  <c r="G60"/>
  <c r="G125" s="1"/>
  <c r="G173" s="1"/>
  <c r="M40" i="27" s="1"/>
  <c r="X60" i="6"/>
  <c r="X125" s="1"/>
  <c r="X173" s="1"/>
  <c r="AD40" i="27" s="1"/>
  <c r="U60" i="6"/>
  <c r="U125" s="1"/>
  <c r="U173" s="1"/>
  <c r="AA40" i="27" s="1"/>
  <c r="M60" i="6"/>
  <c r="M125" s="1"/>
  <c r="M173" s="1"/>
  <c r="S40" i="27" s="1"/>
  <c r="L60" i="6"/>
  <c r="L125" s="1"/>
  <c r="L173" s="1"/>
  <c r="R40" i="27" s="1"/>
  <c r="H60" i="6"/>
  <c r="H125" s="1"/>
  <c r="H173" s="1"/>
  <c r="N40" i="27" s="1"/>
  <c r="G39" i="6"/>
  <c r="G104" s="1"/>
  <c r="G152" s="1"/>
  <c r="M19" i="27" s="1"/>
  <c r="P39" i="6"/>
  <c r="P104" s="1"/>
  <c r="P152" s="1"/>
  <c r="V19" i="27" s="1"/>
  <c r="Z39" i="6"/>
  <c r="Y152" s="1"/>
  <c r="AE19" i="27" s="1"/>
  <c r="K39" i="6"/>
  <c r="K104" s="1"/>
  <c r="K152" s="1"/>
  <c r="Q19" i="27" s="1"/>
  <c r="U39" i="6"/>
  <c r="U104" s="1"/>
  <c r="U152" s="1"/>
  <c r="AA19" i="27" s="1"/>
  <c r="L39" i="6"/>
  <c r="L104" s="1"/>
  <c r="L152" s="1"/>
  <c r="R19" i="27" s="1"/>
  <c r="F39" i="6"/>
  <c r="F104" s="1"/>
  <c r="F152" s="1"/>
  <c r="L19" i="27" s="1"/>
  <c r="R39" i="6"/>
  <c r="R104" s="1"/>
  <c r="R152" s="1"/>
  <c r="X19" i="27" s="1"/>
  <c r="O39" i="6"/>
  <c r="O104" s="1"/>
  <c r="O152" s="1"/>
  <c r="U19" i="27" s="1"/>
  <c r="E39" i="6"/>
  <c r="E104" s="1"/>
  <c r="V39"/>
  <c r="V104" s="1"/>
  <c r="V152" s="1"/>
  <c r="AB19" i="27" s="1"/>
  <c r="X39" i="6"/>
  <c r="X104" s="1"/>
  <c r="X152" s="1"/>
  <c r="AD19" i="27" s="1"/>
  <c r="H39" i="6"/>
  <c r="H104" s="1"/>
  <c r="H152" s="1"/>
  <c r="N19" i="27" s="1"/>
  <c r="W39" i="6"/>
  <c r="W104" s="1"/>
  <c r="W152" s="1"/>
  <c r="AC19" i="27" s="1"/>
  <c r="M39" i="6"/>
  <c r="M104" s="1"/>
  <c r="M152" s="1"/>
  <c r="S19" i="27" s="1"/>
  <c r="N39" i="6"/>
  <c r="N104" s="1"/>
  <c r="N152" s="1"/>
  <c r="T19" i="27" s="1"/>
  <c r="Q39" i="6"/>
  <c r="Q104" s="1"/>
  <c r="Q152" s="1"/>
  <c r="W19" i="27" s="1"/>
  <c r="S39" i="6"/>
  <c r="S104" s="1"/>
  <c r="S152" s="1"/>
  <c r="Y19" i="27" s="1"/>
  <c r="T39" i="6"/>
  <c r="T104" s="1"/>
  <c r="T152" s="1"/>
  <c r="Z19" i="27" s="1"/>
  <c r="J39" i="6"/>
  <c r="J104" s="1"/>
  <c r="J152" s="1"/>
  <c r="P19" i="27" s="1"/>
  <c r="I39" i="6"/>
  <c r="I104" s="1"/>
  <c r="I152" s="1"/>
  <c r="O19" i="27" s="1"/>
  <c r="R45" i="6"/>
  <c r="R110" s="1"/>
  <c r="R158" s="1"/>
  <c r="X25" i="27" s="1"/>
  <c r="V45" i="6"/>
  <c r="V110" s="1"/>
  <c r="V158" s="1"/>
  <c r="AB25" i="27" s="1"/>
  <c r="O45" i="6"/>
  <c r="O110" s="1"/>
  <c r="O158" s="1"/>
  <c r="U25" i="27" s="1"/>
  <c r="E45" i="6"/>
  <c r="E110" s="1"/>
  <c r="X45"/>
  <c r="X110" s="1"/>
  <c r="X158" s="1"/>
  <c r="AD25" i="27" s="1"/>
  <c r="K45" i="6"/>
  <c r="K110" s="1"/>
  <c r="K158" s="1"/>
  <c r="Q25" i="27" s="1"/>
  <c r="L45" i="6"/>
  <c r="L110" s="1"/>
  <c r="L158" s="1"/>
  <c r="R25" i="27" s="1"/>
  <c r="Q45" i="6"/>
  <c r="Q110" s="1"/>
  <c r="Q158" s="1"/>
  <c r="W25" i="27" s="1"/>
  <c r="T45" i="6"/>
  <c r="T110" s="1"/>
  <c r="T158" s="1"/>
  <c r="Z25" i="27" s="1"/>
  <c r="H45" i="6"/>
  <c r="H110" s="1"/>
  <c r="H158" s="1"/>
  <c r="N25" i="27" s="1"/>
  <c r="F45" i="6"/>
  <c r="F110" s="1"/>
  <c r="F158" s="1"/>
  <c r="L25" i="27" s="1"/>
  <c r="N45" i="6"/>
  <c r="N110" s="1"/>
  <c r="N158" s="1"/>
  <c r="T25" i="27" s="1"/>
  <c r="G45" i="6"/>
  <c r="G110" s="1"/>
  <c r="G158" s="1"/>
  <c r="M25" i="27" s="1"/>
  <c r="P45" i="6"/>
  <c r="P110" s="1"/>
  <c r="P158" s="1"/>
  <c r="V25" i="27" s="1"/>
  <c r="W45" i="6"/>
  <c r="W110" s="1"/>
  <c r="W158" s="1"/>
  <c r="AC25" i="27" s="1"/>
  <c r="Z45" i="6"/>
  <c r="Y158" s="1"/>
  <c r="AE25" i="27" s="1"/>
  <c r="U45" i="6"/>
  <c r="U110" s="1"/>
  <c r="U158" s="1"/>
  <c r="AA25" i="27" s="1"/>
  <c r="I45" i="6"/>
  <c r="I110" s="1"/>
  <c r="I158" s="1"/>
  <c r="O25" i="27" s="1"/>
  <c r="J45" i="6"/>
  <c r="J110" s="1"/>
  <c r="J158" s="1"/>
  <c r="P25" i="27" s="1"/>
  <c r="M45" i="6"/>
  <c r="M110" s="1"/>
  <c r="M158" s="1"/>
  <c r="S25" i="27" s="1"/>
  <c r="S45" i="6"/>
  <c r="S110" s="1"/>
  <c r="S158" s="1"/>
  <c r="Y25" i="27" s="1"/>
  <c r="O35" i="6"/>
  <c r="O100" s="1"/>
  <c r="O148" s="1"/>
  <c r="U15" i="27" s="1"/>
  <c r="E35" i="6"/>
  <c r="E100" s="1"/>
  <c r="W35"/>
  <c r="W100" s="1"/>
  <c r="W148" s="1"/>
  <c r="AC15" i="27" s="1"/>
  <c r="U35" i="6"/>
  <c r="U100" s="1"/>
  <c r="U148" s="1"/>
  <c r="AA15" i="27" s="1"/>
  <c r="Q35" i="6"/>
  <c r="Q100" s="1"/>
  <c r="Q148" s="1"/>
  <c r="W15" i="27" s="1"/>
  <c r="T35" i="6"/>
  <c r="T100" s="1"/>
  <c r="T148" s="1"/>
  <c r="Z15" i="27" s="1"/>
  <c r="I35" i="6"/>
  <c r="I100" s="1"/>
  <c r="I148" s="1"/>
  <c r="O15" i="27" s="1"/>
  <c r="H35" i="6"/>
  <c r="H100" s="1"/>
  <c r="H148" s="1"/>
  <c r="N15" i="27" s="1"/>
  <c r="G35" i="6"/>
  <c r="G100" s="1"/>
  <c r="G148" s="1"/>
  <c r="M15" i="27" s="1"/>
  <c r="Z35" i="6"/>
  <c r="Y148" s="1"/>
  <c r="AE15" i="27" s="1"/>
  <c r="K35" i="6"/>
  <c r="K100" s="1"/>
  <c r="K148" s="1"/>
  <c r="Q15" i="27" s="1"/>
  <c r="L35" i="6"/>
  <c r="L100" s="1"/>
  <c r="L148" s="1"/>
  <c r="R15" i="27" s="1"/>
  <c r="S35" i="6"/>
  <c r="S100" s="1"/>
  <c r="S148" s="1"/>
  <c r="Y15" i="27" s="1"/>
  <c r="M35" i="6"/>
  <c r="M100" s="1"/>
  <c r="M148" s="1"/>
  <c r="S15" i="27" s="1"/>
  <c r="F35" i="6"/>
  <c r="F100" s="1"/>
  <c r="F148" s="1"/>
  <c r="L15" i="27" s="1"/>
  <c r="N35" i="6"/>
  <c r="N100" s="1"/>
  <c r="N148" s="1"/>
  <c r="T15" i="27" s="1"/>
  <c r="R35" i="6"/>
  <c r="R100" s="1"/>
  <c r="R148" s="1"/>
  <c r="X15" i="27" s="1"/>
  <c r="V35" i="6"/>
  <c r="V100" s="1"/>
  <c r="V148" s="1"/>
  <c r="AB15" i="27" s="1"/>
  <c r="P35" i="6"/>
  <c r="P100" s="1"/>
  <c r="P148" s="1"/>
  <c r="V15" i="27" s="1"/>
  <c r="J35" i="6"/>
  <c r="J100" s="1"/>
  <c r="J148" s="1"/>
  <c r="P15" i="27" s="1"/>
  <c r="X35" i="6"/>
  <c r="X100" s="1"/>
  <c r="X148" s="1"/>
  <c r="AD15" i="27" s="1"/>
  <c r="G31" i="6"/>
  <c r="G96" s="1"/>
  <c r="G144" s="1"/>
  <c r="M11" i="27" s="1"/>
  <c r="E31" i="6"/>
  <c r="E96" s="1"/>
  <c r="E144" s="1"/>
  <c r="W31"/>
  <c r="W96" s="1"/>
  <c r="W144" s="1"/>
  <c r="AC11" i="27" s="1"/>
  <c r="L31" i="6"/>
  <c r="L96" s="1"/>
  <c r="L144" s="1"/>
  <c r="R11" i="27" s="1"/>
  <c r="I31" i="6"/>
  <c r="I96" s="1"/>
  <c r="I144" s="1"/>
  <c r="O11" i="27" s="1"/>
  <c r="O31" i="6"/>
  <c r="O96" s="1"/>
  <c r="O144" s="1"/>
  <c r="U11" i="27" s="1"/>
  <c r="J31" i="6"/>
  <c r="J96" s="1"/>
  <c r="J144" s="1"/>
  <c r="P11" i="27" s="1"/>
  <c r="Q31" i="6"/>
  <c r="Q96" s="1"/>
  <c r="Q144" s="1"/>
  <c r="W11" i="27" s="1"/>
  <c r="S31" i="6"/>
  <c r="S96" s="1"/>
  <c r="S144" s="1"/>
  <c r="Y11" i="27" s="1"/>
  <c r="N31" i="6"/>
  <c r="N96" s="1"/>
  <c r="N144" s="1"/>
  <c r="T11" i="27" s="1"/>
  <c r="R31" i="6"/>
  <c r="R96" s="1"/>
  <c r="R144" s="1"/>
  <c r="X11" i="27" s="1"/>
  <c r="V31" i="6"/>
  <c r="V96" s="1"/>
  <c r="V144" s="1"/>
  <c r="AB11" i="27" s="1"/>
  <c r="U31" i="6"/>
  <c r="U96" s="1"/>
  <c r="U144" s="1"/>
  <c r="AA11" i="27" s="1"/>
  <c r="M31" i="6"/>
  <c r="M96" s="1"/>
  <c r="M144" s="1"/>
  <c r="S11" i="27" s="1"/>
  <c r="P31" i="6"/>
  <c r="P96" s="1"/>
  <c r="P144" s="1"/>
  <c r="V11" i="27" s="1"/>
  <c r="T31" i="6"/>
  <c r="T96" s="1"/>
  <c r="T144" s="1"/>
  <c r="Z11" i="27" s="1"/>
  <c r="H31" i="6"/>
  <c r="H96" s="1"/>
  <c r="H144" s="1"/>
  <c r="N11" i="27" s="1"/>
  <c r="Z31" i="6"/>
  <c r="Y144" s="1"/>
  <c r="AE11" i="27" s="1"/>
  <c r="X31" i="6"/>
  <c r="X96" s="1"/>
  <c r="X144" s="1"/>
  <c r="AD11" i="27" s="1"/>
  <c r="K31" i="6"/>
  <c r="K96" s="1"/>
  <c r="K144" s="1"/>
  <c r="Q11" i="27" s="1"/>
  <c r="F31" i="6"/>
  <c r="F96" s="1"/>
  <c r="F144" s="1"/>
  <c r="L11" i="27" s="1"/>
  <c r="E27" i="6"/>
  <c r="E92" s="1"/>
  <c r="P27"/>
  <c r="P92" s="1"/>
  <c r="P140" s="1"/>
  <c r="V7" i="27" s="1"/>
  <c r="J27" i="6"/>
  <c r="J92" s="1"/>
  <c r="J140" s="1"/>
  <c r="P7" i="27" s="1"/>
  <c r="S27" i="6"/>
  <c r="S92" s="1"/>
  <c r="S140" s="1"/>
  <c r="Y7" i="27" s="1"/>
  <c r="G27" i="6"/>
  <c r="G92" s="1"/>
  <c r="G140" s="1"/>
  <c r="M7" i="27" s="1"/>
  <c r="X27" i="6"/>
  <c r="X92" s="1"/>
  <c r="X140" s="1"/>
  <c r="AD7" i="27" s="1"/>
  <c r="Z27" i="6"/>
  <c r="Y140" s="1"/>
  <c r="AE7" i="27" s="1"/>
  <c r="W27" i="6"/>
  <c r="W92" s="1"/>
  <c r="W140" s="1"/>
  <c r="AC7" i="27" s="1"/>
  <c r="K27" i="6"/>
  <c r="K92" s="1"/>
  <c r="K140" s="1"/>
  <c r="Q7" i="27" s="1"/>
  <c r="N27" i="6"/>
  <c r="N92" s="1"/>
  <c r="N140" s="1"/>
  <c r="T7" i="27" s="1"/>
  <c r="O27" i="6"/>
  <c r="O92" s="1"/>
  <c r="O140" s="1"/>
  <c r="U7" i="27" s="1"/>
  <c r="L27" i="6"/>
  <c r="L92" s="1"/>
  <c r="L140" s="1"/>
  <c r="R7" i="27" s="1"/>
  <c r="F27" i="6"/>
  <c r="F92" s="1"/>
  <c r="F140" s="1"/>
  <c r="L7" i="27" s="1"/>
  <c r="V27" i="6"/>
  <c r="V92" s="1"/>
  <c r="V140" s="1"/>
  <c r="AB7" i="27" s="1"/>
  <c r="U27" i="6"/>
  <c r="U92" s="1"/>
  <c r="U140" s="1"/>
  <c r="AA7" i="27" s="1"/>
  <c r="Q27" i="6"/>
  <c r="Q92" s="1"/>
  <c r="Q140" s="1"/>
  <c r="W7" i="27" s="1"/>
  <c r="T27" i="6"/>
  <c r="T92" s="1"/>
  <c r="T140" s="1"/>
  <c r="Z7" i="27" s="1"/>
  <c r="R27" i="6"/>
  <c r="R92" s="1"/>
  <c r="R140" s="1"/>
  <c r="X7" i="27" s="1"/>
  <c r="I27" i="6"/>
  <c r="I92" s="1"/>
  <c r="I140" s="1"/>
  <c r="O7" i="27" s="1"/>
  <c r="M27" i="6"/>
  <c r="M92" s="1"/>
  <c r="M140" s="1"/>
  <c r="S7" i="27" s="1"/>
  <c r="H27" i="6"/>
  <c r="H92" s="1"/>
  <c r="H140" s="1"/>
  <c r="N7" i="27" s="1"/>
  <c r="P33" i="6"/>
  <c r="P98" s="1"/>
  <c r="P146" s="1"/>
  <c r="V13" i="27" s="1"/>
  <c r="K33" i="6"/>
  <c r="K98" s="1"/>
  <c r="K146" s="1"/>
  <c r="Q13" i="27" s="1"/>
  <c r="J33" i="6"/>
  <c r="J98" s="1"/>
  <c r="J146" s="1"/>
  <c r="P13" i="27" s="1"/>
  <c r="G33" i="6"/>
  <c r="G98" s="1"/>
  <c r="G146" s="1"/>
  <c r="M13" i="27" s="1"/>
  <c r="W33" i="6"/>
  <c r="W98" s="1"/>
  <c r="W146" s="1"/>
  <c r="AC13" i="27" s="1"/>
  <c r="U33" i="6"/>
  <c r="U98" s="1"/>
  <c r="U146" s="1"/>
  <c r="AA13" i="27" s="1"/>
  <c r="L33" i="6"/>
  <c r="L98" s="1"/>
  <c r="L146" s="1"/>
  <c r="R13" i="27" s="1"/>
  <c r="S33" i="6"/>
  <c r="S98" s="1"/>
  <c r="S146" s="1"/>
  <c r="Y13" i="27" s="1"/>
  <c r="H33" i="6"/>
  <c r="H98" s="1"/>
  <c r="H146" s="1"/>
  <c r="N13" i="27" s="1"/>
  <c r="X33" i="6"/>
  <c r="X98" s="1"/>
  <c r="X146" s="1"/>
  <c r="AD13" i="27" s="1"/>
  <c r="R33" i="6"/>
  <c r="R98" s="1"/>
  <c r="R146" s="1"/>
  <c r="X13" i="27" s="1"/>
  <c r="O33" i="6"/>
  <c r="O98" s="1"/>
  <c r="O146" s="1"/>
  <c r="U13" i="27" s="1"/>
  <c r="E33" i="6"/>
  <c r="E98" s="1"/>
  <c r="T33"/>
  <c r="T98" s="1"/>
  <c r="T146" s="1"/>
  <c r="Z13" i="27" s="1"/>
  <c r="V33" i="6"/>
  <c r="V98" s="1"/>
  <c r="V146" s="1"/>
  <c r="AB13" i="27" s="1"/>
  <c r="N33" i="6"/>
  <c r="N98" s="1"/>
  <c r="N146" s="1"/>
  <c r="T13" i="27" s="1"/>
  <c r="Z33" i="6"/>
  <c r="Y146" s="1"/>
  <c r="AE13" i="27" s="1"/>
  <c r="M33" i="6"/>
  <c r="M98" s="1"/>
  <c r="M146" s="1"/>
  <c r="S13" i="27" s="1"/>
  <c r="F33" i="6"/>
  <c r="F98" s="1"/>
  <c r="F146" s="1"/>
  <c r="L13" i="27" s="1"/>
  <c r="Q33" i="6"/>
  <c r="Q98" s="1"/>
  <c r="Q146" s="1"/>
  <c r="W13" i="27" s="1"/>
  <c r="I33" i="6"/>
  <c r="I98" s="1"/>
  <c r="I146" s="1"/>
  <c r="O13" i="27" s="1"/>
  <c r="O38" i="6"/>
  <c r="O103" s="1"/>
  <c r="O151" s="1"/>
  <c r="U18" i="27" s="1"/>
  <c r="X38" i="6"/>
  <c r="X103" s="1"/>
  <c r="X151" s="1"/>
  <c r="AD18" i="27" s="1"/>
  <c r="W38" i="6"/>
  <c r="W103" s="1"/>
  <c r="W151" s="1"/>
  <c r="AC18" i="27" s="1"/>
  <c r="J38" i="6"/>
  <c r="J103" s="1"/>
  <c r="J151" s="1"/>
  <c r="P18" i="27" s="1"/>
  <c r="P38" i="6"/>
  <c r="P103" s="1"/>
  <c r="P151" s="1"/>
  <c r="V18" i="27" s="1"/>
  <c r="L38" i="6"/>
  <c r="L103" s="1"/>
  <c r="L151" s="1"/>
  <c r="R18" i="27" s="1"/>
  <c r="H38" i="6"/>
  <c r="H103" s="1"/>
  <c r="H151" s="1"/>
  <c r="N18" i="27" s="1"/>
  <c r="N38" i="6"/>
  <c r="N103" s="1"/>
  <c r="N151" s="1"/>
  <c r="T18" i="27" s="1"/>
  <c r="V38" i="6"/>
  <c r="V103" s="1"/>
  <c r="V151" s="1"/>
  <c r="AB18" i="27" s="1"/>
  <c r="E38" i="6"/>
  <c r="E103" s="1"/>
  <c r="G38"/>
  <c r="G103" s="1"/>
  <c r="G151" s="1"/>
  <c r="M18" i="27" s="1"/>
  <c r="Q38" i="6"/>
  <c r="Q103" s="1"/>
  <c r="Q151" s="1"/>
  <c r="W18" i="27" s="1"/>
  <c r="I38" i="6"/>
  <c r="I103" s="1"/>
  <c r="I151" s="1"/>
  <c r="O18" i="27" s="1"/>
  <c r="R38" i="6"/>
  <c r="R103" s="1"/>
  <c r="R151" s="1"/>
  <c r="X18" i="27" s="1"/>
  <c r="K38" i="6"/>
  <c r="K103" s="1"/>
  <c r="K151" s="1"/>
  <c r="Q18" i="27" s="1"/>
  <c r="U38" i="6"/>
  <c r="U103" s="1"/>
  <c r="U151" s="1"/>
  <c r="AA18" i="27" s="1"/>
  <c r="S38" i="6"/>
  <c r="S103" s="1"/>
  <c r="S151" s="1"/>
  <c r="Y18" i="27" s="1"/>
  <c r="M38" i="6"/>
  <c r="M103" s="1"/>
  <c r="M151" s="1"/>
  <c r="S18" i="27" s="1"/>
  <c r="Z38" i="6"/>
  <c r="Y151" s="1"/>
  <c r="AE18" i="27" s="1"/>
  <c r="T38" i="6"/>
  <c r="T103" s="1"/>
  <c r="T151" s="1"/>
  <c r="Z18" i="27" s="1"/>
  <c r="F38" i="6"/>
  <c r="F103" s="1"/>
  <c r="F151" s="1"/>
  <c r="L18" i="27" s="1"/>
  <c r="G29" i="6"/>
  <c r="G94" s="1"/>
  <c r="G142" s="1"/>
  <c r="M9" i="27" s="1"/>
  <c r="O29" i="6"/>
  <c r="O94" s="1"/>
  <c r="O142" s="1"/>
  <c r="U9" i="27" s="1"/>
  <c r="K29" i="6"/>
  <c r="K94" s="1"/>
  <c r="K142" s="1"/>
  <c r="Q9" i="27" s="1"/>
  <c r="Q29" i="6"/>
  <c r="Q94" s="1"/>
  <c r="Q142" s="1"/>
  <c r="W9" i="27" s="1"/>
  <c r="M29" i="6"/>
  <c r="M94" s="1"/>
  <c r="M142" s="1"/>
  <c r="S9" i="27" s="1"/>
  <c r="R29" i="6"/>
  <c r="R94" s="1"/>
  <c r="R142" s="1"/>
  <c r="X9" i="27" s="1"/>
  <c r="E29" i="6"/>
  <c r="E94" s="1"/>
  <c r="X29"/>
  <c r="X94" s="1"/>
  <c r="X142" s="1"/>
  <c r="AD9" i="27" s="1"/>
  <c r="F29" i="6"/>
  <c r="F94" s="1"/>
  <c r="F142" s="1"/>
  <c r="L9" i="27" s="1"/>
  <c r="V29" i="6"/>
  <c r="V94" s="1"/>
  <c r="V142" s="1"/>
  <c r="AB9" i="27" s="1"/>
  <c r="P29" i="6"/>
  <c r="P94" s="1"/>
  <c r="P142" s="1"/>
  <c r="V9" i="27" s="1"/>
  <c r="W29" i="6"/>
  <c r="W94" s="1"/>
  <c r="W142" s="1"/>
  <c r="AC9" i="27" s="1"/>
  <c r="H29" i="6"/>
  <c r="H94" s="1"/>
  <c r="H142" s="1"/>
  <c r="N9" i="27" s="1"/>
  <c r="N29" i="6"/>
  <c r="N94" s="1"/>
  <c r="N142" s="1"/>
  <c r="T9" i="27" s="1"/>
  <c r="J29" i="6"/>
  <c r="J94" s="1"/>
  <c r="J142" s="1"/>
  <c r="P9" i="27" s="1"/>
  <c r="L29" i="6"/>
  <c r="L94" s="1"/>
  <c r="L142" s="1"/>
  <c r="R9" i="27" s="1"/>
  <c r="T29" i="6"/>
  <c r="T94" s="1"/>
  <c r="T142" s="1"/>
  <c r="Z9" i="27" s="1"/>
  <c r="I29" i="6"/>
  <c r="I94" s="1"/>
  <c r="I142" s="1"/>
  <c r="O9" i="27" s="1"/>
  <c r="S29" i="6"/>
  <c r="S94" s="1"/>
  <c r="S142" s="1"/>
  <c r="Y9" i="27" s="1"/>
  <c r="U29" i="6"/>
  <c r="U94" s="1"/>
  <c r="U142" s="1"/>
  <c r="AA9" i="27" s="1"/>
  <c r="Z29" i="6"/>
  <c r="Y142" s="1"/>
  <c r="AE9" i="27" s="1"/>
  <c r="E140" i="6" l="1"/>
  <c r="AA92"/>
  <c r="AA144"/>
  <c r="K11" i="27"/>
  <c r="E158" i="6"/>
  <c r="AA110"/>
  <c r="E150"/>
  <c r="AA102"/>
  <c r="AA119"/>
  <c r="E167"/>
  <c r="AA116"/>
  <c r="E164"/>
  <c r="AA122"/>
  <c r="E170"/>
  <c r="R12" i="27"/>
  <c r="L188" i="6"/>
  <c r="L187"/>
  <c r="L224" s="1"/>
  <c r="L12" i="27"/>
  <c r="F188" i="6"/>
  <c r="F187"/>
  <c r="F224" s="1"/>
  <c r="V12" i="27"/>
  <c r="P188" i="6"/>
  <c r="P187"/>
  <c r="P224" s="1"/>
  <c r="AC12" i="27"/>
  <c r="W188" i="6"/>
  <c r="W187"/>
  <c r="W224" s="1"/>
  <c r="P12" i="27"/>
  <c r="J187" i="6"/>
  <c r="J224" s="1"/>
  <c r="J188"/>
  <c r="Y5" i="27"/>
  <c r="S189" i="6"/>
  <c r="S190"/>
  <c r="AC5" i="27"/>
  <c r="W190" i="6"/>
  <c r="W189"/>
  <c r="L5" i="27"/>
  <c r="F189" i="6"/>
  <c r="F190"/>
  <c r="AD5" i="27"/>
  <c r="X190" i="6"/>
  <c r="X189"/>
  <c r="S5" i="27"/>
  <c r="M190" i="6"/>
  <c r="M189"/>
  <c r="X5" i="27"/>
  <c r="R190" i="6"/>
  <c r="R189"/>
  <c r="Q89"/>
  <c r="Q83"/>
  <c r="S89"/>
  <c r="S83"/>
  <c r="F89"/>
  <c r="F83"/>
  <c r="X89"/>
  <c r="X83"/>
  <c r="T89"/>
  <c r="T83"/>
  <c r="AA112"/>
  <c r="E160"/>
  <c r="AA105"/>
  <c r="E153"/>
  <c r="E142"/>
  <c r="AA94"/>
  <c r="E152"/>
  <c r="AA104"/>
  <c r="AE12" i="27"/>
  <c r="Y188" i="6"/>
  <c r="Y187"/>
  <c r="Y224" s="1"/>
  <c r="K26" i="27"/>
  <c r="AA159" i="6"/>
  <c r="T5" i="27"/>
  <c r="N190" i="6"/>
  <c r="N189"/>
  <c r="N5" i="27"/>
  <c r="H189" i="6"/>
  <c r="H190"/>
  <c r="O89"/>
  <c r="O83"/>
  <c r="U89"/>
  <c r="U83"/>
  <c r="E171"/>
  <c r="AA123"/>
  <c r="AA106"/>
  <c r="E154"/>
  <c r="Y12" i="27"/>
  <c r="S188" i="6"/>
  <c r="S187"/>
  <c r="S224" s="1"/>
  <c r="Z12" i="27"/>
  <c r="T187" i="6"/>
  <c r="T224" s="1"/>
  <c r="T188"/>
  <c r="U12" i="27"/>
  <c r="O188" i="6"/>
  <c r="O187"/>
  <c r="O224" s="1"/>
  <c r="M12" i="27"/>
  <c r="G187" i="6"/>
  <c r="G224" s="1"/>
  <c r="G188"/>
  <c r="S12" i="27"/>
  <c r="M187" i="6"/>
  <c r="M224" s="1"/>
  <c r="M188"/>
  <c r="AA97"/>
  <c r="E145"/>
  <c r="AA108"/>
  <c r="E156"/>
  <c r="E143"/>
  <c r="AA95"/>
  <c r="E141"/>
  <c r="AA93"/>
  <c r="E155"/>
  <c r="AA107"/>
  <c r="O5" i="27"/>
  <c r="I190" i="6"/>
  <c r="I189"/>
  <c r="AE5" i="27"/>
  <c r="Y190" i="6"/>
  <c r="Y189"/>
  <c r="Y226" s="1"/>
  <c r="R5" i="27"/>
  <c r="L190" i="6"/>
  <c r="L189"/>
  <c r="L226" s="1"/>
  <c r="M5" i="27"/>
  <c r="G189" i="6"/>
  <c r="G226" s="1"/>
  <c r="G190"/>
  <c r="V5" i="27"/>
  <c r="P190" i="6"/>
  <c r="P189"/>
  <c r="J89"/>
  <c r="J83"/>
  <c r="W89"/>
  <c r="W83"/>
  <c r="V89"/>
  <c r="V83"/>
  <c r="I89"/>
  <c r="I83"/>
  <c r="E89"/>
  <c r="E83"/>
  <c r="AA118"/>
  <c r="E166"/>
  <c r="AA109"/>
  <c r="E157"/>
  <c r="E139"/>
  <c r="AA91"/>
  <c r="E146"/>
  <c r="AA98"/>
  <c r="AA125"/>
  <c r="E173"/>
  <c r="E165"/>
  <c r="AA117"/>
  <c r="AA120"/>
  <c r="E168"/>
  <c r="E172"/>
  <c r="AA124"/>
  <c r="AA115"/>
  <c r="E163"/>
  <c r="AA174"/>
  <c r="K41" i="27"/>
  <c r="W12"/>
  <c r="Q188" i="6"/>
  <c r="Q187"/>
  <c r="Q224" s="1"/>
  <c r="X12" i="27"/>
  <c r="R188" i="6"/>
  <c r="R187"/>
  <c r="R224" s="1"/>
  <c r="T12" i="27"/>
  <c r="N187" i="6"/>
  <c r="N224" s="1"/>
  <c r="N188"/>
  <c r="O12" i="27"/>
  <c r="I188" i="6"/>
  <c r="I187"/>
  <c r="I224" s="1"/>
  <c r="AB5" i="27"/>
  <c r="V190" i="6"/>
  <c r="V189"/>
  <c r="AA5" i="27"/>
  <c r="U190" i="6"/>
  <c r="U189"/>
  <c r="Q5" i="27"/>
  <c r="K190" i="6"/>
  <c r="K189"/>
  <c r="G89"/>
  <c r="G83"/>
  <c r="R89"/>
  <c r="R83"/>
  <c r="H89"/>
  <c r="H83"/>
  <c r="E161"/>
  <c r="AA113"/>
  <c r="AA103"/>
  <c r="E151"/>
  <c r="AA100"/>
  <c r="E148"/>
  <c r="AA99"/>
  <c r="E147"/>
  <c r="N12" i="27"/>
  <c r="H188" i="6"/>
  <c r="H187"/>
  <c r="H224" s="1"/>
  <c r="Q12" i="27"/>
  <c r="K187" i="6"/>
  <c r="K224" s="1"/>
  <c r="K188"/>
  <c r="AB12" i="27"/>
  <c r="V187" i="6"/>
  <c r="V224" s="1"/>
  <c r="V188"/>
  <c r="AD12" i="27"/>
  <c r="X187" i="6"/>
  <c r="X224" s="1"/>
  <c r="X188"/>
  <c r="AA12" i="27"/>
  <c r="U188" i="6"/>
  <c r="U187"/>
  <c r="U224" s="1"/>
  <c r="W5" i="27"/>
  <c r="Q189" i="6"/>
  <c r="Q190"/>
  <c r="U5" i="27"/>
  <c r="O190" i="6"/>
  <c r="O189"/>
  <c r="O226" s="1"/>
  <c r="Z5" i="27"/>
  <c r="T190" i="6"/>
  <c r="T189"/>
  <c r="AA90"/>
  <c r="E138"/>
  <c r="P5" i="27"/>
  <c r="J190" i="6"/>
  <c r="J189"/>
  <c r="N89"/>
  <c r="N83"/>
  <c r="L89"/>
  <c r="L83"/>
  <c r="K89"/>
  <c r="K83"/>
  <c r="M89"/>
  <c r="M83"/>
  <c r="P89"/>
  <c r="P83"/>
  <c r="AE4" i="27"/>
  <c r="Y215" i="6"/>
  <c r="Y207"/>
  <c r="Y201"/>
  <c r="Y194"/>
  <c r="Y199"/>
  <c r="Y192"/>
  <c r="Y195"/>
  <c r="Y193"/>
  <c r="Y200"/>
  <c r="Y237" s="1"/>
  <c r="Y206"/>
  <c r="Y177"/>
  <c r="Y202"/>
  <c r="Y191"/>
  <c r="Y204"/>
  <c r="Y197"/>
  <c r="Y216"/>
  <c r="Y213"/>
  <c r="Y214"/>
  <c r="Y208"/>
  <c r="Y205"/>
  <c r="Y210"/>
  <c r="Y211"/>
  <c r="Y196"/>
  <c r="Y233" s="1"/>
  <c r="Y203"/>
  <c r="Y198"/>
  <c r="Y209"/>
  <c r="Y212"/>
  <c r="E169"/>
  <c r="AA121"/>
  <c r="Y246" l="1"/>
  <c r="Y228"/>
  <c r="Y240"/>
  <c r="Y225"/>
  <c r="U225"/>
  <c r="H225"/>
  <c r="U227"/>
  <c r="R225"/>
  <c r="P227"/>
  <c r="I227"/>
  <c r="M227"/>
  <c r="Y251"/>
  <c r="Y229"/>
  <c r="Q227"/>
  <c r="K225"/>
  <c r="N225"/>
  <c r="Y253"/>
  <c r="J227"/>
  <c r="T226"/>
  <c r="O227"/>
  <c r="I225"/>
  <c r="F226"/>
  <c r="W225"/>
  <c r="Y248"/>
  <c r="M225"/>
  <c r="Y238"/>
  <c r="P226"/>
  <c r="Y239"/>
  <c r="Y230"/>
  <c r="X225"/>
  <c r="V226"/>
  <c r="G227"/>
  <c r="L227"/>
  <c r="N226"/>
  <c r="J225"/>
  <c r="Y242"/>
  <c r="F225"/>
  <c r="Y245"/>
  <c r="M137"/>
  <c r="M128"/>
  <c r="L137"/>
  <c r="L128"/>
  <c r="K14" i="27"/>
  <c r="AA147" i="6"/>
  <c r="K18" i="27"/>
  <c r="AA151" i="6"/>
  <c r="K39" i="27"/>
  <c r="AA172" i="6"/>
  <c r="AA165"/>
  <c r="K32" i="27"/>
  <c r="K13"/>
  <c r="AA146" i="6"/>
  <c r="E137"/>
  <c r="AA89"/>
  <c r="E128"/>
  <c r="V137"/>
  <c r="V128"/>
  <c r="J137"/>
  <c r="J128"/>
  <c r="AA145"/>
  <c r="K12" i="27"/>
  <c r="E187" i="6"/>
  <c r="E224" s="1"/>
  <c r="E188"/>
  <c r="K38" i="27"/>
  <c r="AA171" i="6"/>
  <c r="O137"/>
  <c r="O128"/>
  <c r="AA153"/>
  <c r="K20" i="27"/>
  <c r="K25"/>
  <c r="AA158" i="6"/>
  <c r="AA140"/>
  <c r="K7" i="27"/>
  <c r="K28"/>
  <c r="AA161" i="6"/>
  <c r="R137"/>
  <c r="R128"/>
  <c r="K24" i="27"/>
  <c r="AA157" i="6"/>
  <c r="K8" i="27"/>
  <c r="AA141" i="6"/>
  <c r="K9" i="27"/>
  <c r="AA142" i="6"/>
  <c r="X137"/>
  <c r="X128"/>
  <c r="S137"/>
  <c r="S128"/>
  <c r="K37" i="27"/>
  <c r="AA170" i="6"/>
  <c r="K34" i="27"/>
  <c r="AA167" i="6"/>
  <c r="Y231"/>
  <c r="X226"/>
  <c r="Y235"/>
  <c r="Y247"/>
  <c r="Y250"/>
  <c r="Y236"/>
  <c r="Y252"/>
  <c r="J226"/>
  <c r="Q226"/>
  <c r="V225"/>
  <c r="K227"/>
  <c r="Y227"/>
  <c r="T225"/>
  <c r="S225"/>
  <c r="R227"/>
  <c r="F227"/>
  <c r="W227"/>
  <c r="P225"/>
  <c r="P137"/>
  <c r="P128"/>
  <c r="K137"/>
  <c r="K128"/>
  <c r="N137"/>
  <c r="N128"/>
  <c r="AA138"/>
  <c r="K5" i="27"/>
  <c r="E189" i="6"/>
  <c r="E190"/>
  <c r="AA148"/>
  <c r="K15" i="27"/>
  <c r="AA139" i="6"/>
  <c r="K6" i="27"/>
  <c r="I137" i="6"/>
  <c r="I128"/>
  <c r="W137"/>
  <c r="W128"/>
  <c r="K23" i="27"/>
  <c r="AA156" i="6"/>
  <c r="U137"/>
  <c r="U128"/>
  <c r="K27" i="27"/>
  <c r="AA160" i="6"/>
  <c r="AA150"/>
  <c r="K17" i="27"/>
  <c r="Y241" i="6"/>
  <c r="Y243"/>
  <c r="Y244"/>
  <c r="K226"/>
  <c r="H226"/>
  <c r="R226"/>
  <c r="W226"/>
  <c r="S226"/>
  <c r="AA169"/>
  <c r="K36" i="27"/>
  <c r="H137" i="6"/>
  <c r="H128"/>
  <c r="G137"/>
  <c r="G128"/>
  <c r="AA163"/>
  <c r="K30" i="27"/>
  <c r="K35"/>
  <c r="AA168" i="6"/>
  <c r="AA173"/>
  <c r="K40" i="27"/>
  <c r="K33"/>
  <c r="AA166" i="6"/>
  <c r="AA155"/>
  <c r="K22" i="27"/>
  <c r="K10"/>
  <c r="AA143" i="6"/>
  <c r="K21" i="27"/>
  <c r="AA154" i="6"/>
  <c r="K19" i="27"/>
  <c r="AA152" i="6"/>
  <c r="T137"/>
  <c r="T128"/>
  <c r="F137"/>
  <c r="F128"/>
  <c r="Q137"/>
  <c r="Q128"/>
  <c r="K31" i="27"/>
  <c r="AA164" i="6"/>
  <c r="Y249"/>
  <c r="Y234"/>
  <c r="Y232"/>
  <c r="T227"/>
  <c r="U226"/>
  <c r="V227"/>
  <c r="Q225"/>
  <c r="I226"/>
  <c r="G225"/>
  <c r="O225"/>
  <c r="H227"/>
  <c r="N227"/>
  <c r="M226"/>
  <c r="X227"/>
  <c r="S227"/>
  <c r="L225"/>
  <c r="E227" l="1"/>
  <c r="Y255"/>
  <c r="E225"/>
  <c r="L4" i="27"/>
  <c r="F197" i="6"/>
  <c r="F215"/>
  <c r="F195"/>
  <c r="F210"/>
  <c r="F201"/>
  <c r="F202"/>
  <c r="F196"/>
  <c r="F233" s="1"/>
  <c r="F207"/>
  <c r="F193"/>
  <c r="F194"/>
  <c r="F216"/>
  <c r="F203"/>
  <c r="F191"/>
  <c r="F228" s="1"/>
  <c r="F177"/>
  <c r="F205"/>
  <c r="F206"/>
  <c r="F212"/>
  <c r="F198"/>
  <c r="F204"/>
  <c r="F213"/>
  <c r="F200"/>
  <c r="F209"/>
  <c r="F214"/>
  <c r="F199"/>
  <c r="F211"/>
  <c r="F192"/>
  <c r="F208"/>
  <c r="W4" i="27"/>
  <c r="Q216" i="6"/>
  <c r="Q203"/>
  <c r="Q211"/>
  <c r="Q207"/>
  <c r="Q204"/>
  <c r="Q199"/>
  <c r="Q193"/>
  <c r="Q191"/>
  <c r="Q228" s="1"/>
  <c r="Q213"/>
  <c r="Q201"/>
  <c r="Q210"/>
  <c r="Q195"/>
  <c r="Q177"/>
  <c r="Q214"/>
  <c r="Q209"/>
  <c r="Q194"/>
  <c r="Q197"/>
  <c r="Q205"/>
  <c r="Q215"/>
  <c r="Q208"/>
  <c r="Q245" s="1"/>
  <c r="Q202"/>
  <c r="Q196"/>
  <c r="Q206"/>
  <c r="Q192"/>
  <c r="Q229" s="1"/>
  <c r="Q200"/>
  <c r="Q198"/>
  <c r="Q212"/>
  <c r="Q249" s="1"/>
  <c r="S4" i="27"/>
  <c r="M213" i="6"/>
  <c r="M202"/>
  <c r="M177"/>
  <c r="M197"/>
  <c r="M215"/>
  <c r="M192"/>
  <c r="M198"/>
  <c r="M193"/>
  <c r="M216"/>
  <c r="M210"/>
  <c r="M205"/>
  <c r="M204"/>
  <c r="M191"/>
  <c r="M228" s="1"/>
  <c r="M199"/>
  <c r="M201"/>
  <c r="M206"/>
  <c r="M195"/>
  <c r="M194"/>
  <c r="M211"/>
  <c r="M214"/>
  <c r="M203"/>
  <c r="M207"/>
  <c r="M209"/>
  <c r="M208"/>
  <c r="M200"/>
  <c r="M212"/>
  <c r="M196"/>
  <c r="AA128"/>
  <c r="M4" i="27"/>
  <c r="G203" i="6"/>
  <c r="G210"/>
  <c r="G211"/>
  <c r="G202"/>
  <c r="G192"/>
  <c r="G197"/>
  <c r="G213"/>
  <c r="G207"/>
  <c r="G198"/>
  <c r="G196"/>
  <c r="G215"/>
  <c r="G177"/>
  <c r="G204"/>
  <c r="G241" s="1"/>
  <c r="G194"/>
  <c r="G200"/>
  <c r="G191"/>
  <c r="G228" s="1"/>
  <c r="G216"/>
  <c r="G206"/>
  <c r="G195"/>
  <c r="G205"/>
  <c r="G208"/>
  <c r="G214"/>
  <c r="G193"/>
  <c r="G199"/>
  <c r="G201"/>
  <c r="G212"/>
  <c r="G209"/>
  <c r="K4" i="27"/>
  <c r="AA137" i="6"/>
  <c r="B177" s="1"/>
  <c r="E199"/>
  <c r="E206"/>
  <c r="E191"/>
  <c r="E228" s="1"/>
  <c r="E195"/>
  <c r="E177"/>
  <c r="E202"/>
  <c r="E207"/>
  <c r="E201"/>
  <c r="E211"/>
  <c r="E204"/>
  <c r="E194"/>
  <c r="E215"/>
  <c r="E214"/>
  <c r="E200"/>
  <c r="E196"/>
  <c r="E205"/>
  <c r="E209"/>
  <c r="E216"/>
  <c r="E213"/>
  <c r="E203"/>
  <c r="E197"/>
  <c r="E192"/>
  <c r="E193"/>
  <c r="E198"/>
  <c r="E210"/>
  <c r="E208"/>
  <c r="E212"/>
  <c r="Z4" i="27"/>
  <c r="T213" i="6"/>
  <c r="T216"/>
  <c r="T177"/>
  <c r="T207"/>
  <c r="T215"/>
  <c r="T208"/>
  <c r="T210"/>
  <c r="T201"/>
  <c r="T200"/>
  <c r="T198"/>
  <c r="T197"/>
  <c r="T193"/>
  <c r="T199"/>
  <c r="T202"/>
  <c r="T191"/>
  <c r="T228" s="1"/>
  <c r="T205"/>
  <c r="T192"/>
  <c r="T195"/>
  <c r="T203"/>
  <c r="T214"/>
  <c r="T194"/>
  <c r="T196"/>
  <c r="T233" s="1"/>
  <c r="T206"/>
  <c r="T211"/>
  <c r="T209"/>
  <c r="T212"/>
  <c r="T204"/>
  <c r="T241" s="1"/>
  <c r="N4" i="27"/>
  <c r="H197" i="6"/>
  <c r="H216"/>
  <c r="H208"/>
  <c r="H192"/>
  <c r="H200"/>
  <c r="H212"/>
  <c r="H202"/>
  <c r="H206"/>
  <c r="H195"/>
  <c r="H204"/>
  <c r="H205"/>
  <c r="H210"/>
  <c r="H213"/>
  <c r="H199"/>
  <c r="H211"/>
  <c r="H193"/>
  <c r="H230" s="1"/>
  <c r="H201"/>
  <c r="H238" s="1"/>
  <c r="H196"/>
  <c r="H191"/>
  <c r="H228" s="1"/>
  <c r="H203"/>
  <c r="H177"/>
  <c r="H214"/>
  <c r="H194"/>
  <c r="H209"/>
  <c r="H198"/>
  <c r="H235" s="1"/>
  <c r="H215"/>
  <c r="H252" s="1"/>
  <c r="H207"/>
  <c r="AA4" i="27"/>
  <c r="U192" i="6"/>
  <c r="U204"/>
  <c r="U194"/>
  <c r="U198"/>
  <c r="U211"/>
  <c r="U205"/>
  <c r="U242" s="1"/>
  <c r="U216"/>
  <c r="U199"/>
  <c r="U202"/>
  <c r="U206"/>
  <c r="U210"/>
  <c r="U207"/>
  <c r="U215"/>
  <c r="U203"/>
  <c r="U177"/>
  <c r="U208"/>
  <c r="U209"/>
  <c r="U196"/>
  <c r="U195"/>
  <c r="U232" s="1"/>
  <c r="U213"/>
  <c r="U201"/>
  <c r="U191"/>
  <c r="U228" s="1"/>
  <c r="U193"/>
  <c r="U200"/>
  <c r="U237" s="1"/>
  <c r="U197"/>
  <c r="U212"/>
  <c r="U214"/>
  <c r="AC4" i="27"/>
  <c r="W177" i="6"/>
  <c r="W198"/>
  <c r="W206"/>
  <c r="W194"/>
  <c r="W204"/>
  <c r="W213"/>
  <c r="W197"/>
  <c r="W212"/>
  <c r="W205"/>
  <c r="W201"/>
  <c r="W193"/>
  <c r="W191"/>
  <c r="W228" s="1"/>
  <c r="W214"/>
  <c r="W195"/>
  <c r="W215"/>
  <c r="W207"/>
  <c r="W196"/>
  <c r="W209"/>
  <c r="W200"/>
  <c r="W216"/>
  <c r="W211"/>
  <c r="W210"/>
  <c r="W208"/>
  <c r="W203"/>
  <c r="W199"/>
  <c r="W202"/>
  <c r="W239" s="1"/>
  <c r="W192"/>
  <c r="T4" i="27"/>
  <c r="N208" i="6"/>
  <c r="N199"/>
  <c r="N201"/>
  <c r="N210"/>
  <c r="N200"/>
  <c r="N213"/>
  <c r="N198"/>
  <c r="N203"/>
  <c r="N177"/>
  <c r="N193"/>
  <c r="N214"/>
  <c r="N212"/>
  <c r="N195"/>
  <c r="N192"/>
  <c r="N216"/>
  <c r="N194"/>
  <c r="N202"/>
  <c r="N211"/>
  <c r="N206"/>
  <c r="N204"/>
  <c r="N241" s="1"/>
  <c r="N215"/>
  <c r="N191"/>
  <c r="N228" s="1"/>
  <c r="N209"/>
  <c r="N207"/>
  <c r="N205"/>
  <c r="N197"/>
  <c r="N196"/>
  <c r="V4" i="27"/>
  <c r="P177" i="6"/>
  <c r="P208"/>
  <c r="P206"/>
  <c r="P193"/>
  <c r="P204"/>
  <c r="P209"/>
  <c r="P191"/>
  <c r="P228" s="1"/>
  <c r="P197"/>
  <c r="P203"/>
  <c r="P214"/>
  <c r="P212"/>
  <c r="P202"/>
  <c r="P194"/>
  <c r="P199"/>
  <c r="P205"/>
  <c r="P215"/>
  <c r="P201"/>
  <c r="P216"/>
  <c r="P211"/>
  <c r="P210"/>
  <c r="P207"/>
  <c r="P213"/>
  <c r="P200"/>
  <c r="P196"/>
  <c r="P192"/>
  <c r="P195"/>
  <c r="P198"/>
  <c r="AD4" i="27"/>
  <c r="X204" i="6"/>
  <c r="X177"/>
  <c r="X194"/>
  <c r="X207"/>
  <c r="X199"/>
  <c r="X201"/>
  <c r="X216"/>
  <c r="X214"/>
  <c r="X208"/>
  <c r="X200"/>
  <c r="X215"/>
  <c r="X198"/>
  <c r="X211"/>
  <c r="X206"/>
  <c r="X213"/>
  <c r="X205"/>
  <c r="X191"/>
  <c r="X228" s="1"/>
  <c r="X212"/>
  <c r="X203"/>
  <c r="X196"/>
  <c r="X193"/>
  <c r="X209"/>
  <c r="X197"/>
  <c r="X202"/>
  <c r="X210"/>
  <c r="X192"/>
  <c r="X195"/>
  <c r="X232" s="1"/>
  <c r="X4" i="27"/>
  <c r="R216" i="6"/>
  <c r="R196"/>
  <c r="R214"/>
  <c r="R195"/>
  <c r="R202"/>
  <c r="R199"/>
  <c r="R206"/>
  <c r="R197"/>
  <c r="R205"/>
  <c r="R207"/>
  <c r="R203"/>
  <c r="R194"/>
  <c r="R192"/>
  <c r="R213"/>
  <c r="R191"/>
  <c r="R228" s="1"/>
  <c r="R201"/>
  <c r="R200"/>
  <c r="R198"/>
  <c r="R209"/>
  <c r="R212"/>
  <c r="R193"/>
  <c r="R211"/>
  <c r="R215"/>
  <c r="R252" s="1"/>
  <c r="R177"/>
  <c r="R210"/>
  <c r="R208"/>
  <c r="R245" s="1"/>
  <c r="R204"/>
  <c r="R241" s="1"/>
  <c r="AB4" i="27"/>
  <c r="V215" i="6"/>
  <c r="V198"/>
  <c r="V216"/>
  <c r="V206"/>
  <c r="V197"/>
  <c r="V203"/>
  <c r="V191"/>
  <c r="V228" s="1"/>
  <c r="V202"/>
  <c r="V208"/>
  <c r="V200"/>
  <c r="V214"/>
  <c r="V205"/>
  <c r="V213"/>
  <c r="V193"/>
  <c r="V212"/>
  <c r="V192"/>
  <c r="V209"/>
  <c r="V246" s="1"/>
  <c r="V199"/>
  <c r="V236" s="1"/>
  <c r="V177"/>
  <c r="V196"/>
  <c r="V204"/>
  <c r="V194"/>
  <c r="V231" s="1"/>
  <c r="V195"/>
  <c r="V210"/>
  <c r="V201"/>
  <c r="V207"/>
  <c r="V211"/>
  <c r="E226"/>
  <c r="R4" i="27"/>
  <c r="L213" i="6"/>
  <c r="L192"/>
  <c r="L210"/>
  <c r="L202"/>
  <c r="L215"/>
  <c r="L204"/>
  <c r="L212"/>
  <c r="L196"/>
  <c r="L191"/>
  <c r="L228" s="1"/>
  <c r="L199"/>
  <c r="L194"/>
  <c r="L201"/>
  <c r="L216"/>
  <c r="L206"/>
  <c r="L177"/>
  <c r="L197"/>
  <c r="L234" s="1"/>
  <c r="L203"/>
  <c r="L209"/>
  <c r="L211"/>
  <c r="L248" s="1"/>
  <c r="L207"/>
  <c r="L195"/>
  <c r="L198"/>
  <c r="L214"/>
  <c r="L205"/>
  <c r="L193"/>
  <c r="L200"/>
  <c r="L237" s="1"/>
  <c r="L208"/>
  <c r="O4" i="27"/>
  <c r="I196" i="6"/>
  <c r="I211"/>
  <c r="I197"/>
  <c r="I177"/>
  <c r="I207"/>
  <c r="I191"/>
  <c r="I228" s="1"/>
  <c r="I203"/>
  <c r="I216"/>
  <c r="I212"/>
  <c r="I209"/>
  <c r="I202"/>
  <c r="I210"/>
  <c r="I193"/>
  <c r="I204"/>
  <c r="I206"/>
  <c r="I215"/>
  <c r="I214"/>
  <c r="I198"/>
  <c r="I192"/>
  <c r="I194"/>
  <c r="I200"/>
  <c r="I199"/>
  <c r="I208"/>
  <c r="I205"/>
  <c r="I201"/>
  <c r="I195"/>
  <c r="I213"/>
  <c r="Q4" i="27"/>
  <c r="K204" i="6"/>
  <c r="K203"/>
  <c r="K201"/>
  <c r="K210"/>
  <c r="K199"/>
  <c r="K212"/>
  <c r="K208"/>
  <c r="K214"/>
  <c r="K200"/>
  <c r="K196"/>
  <c r="K197"/>
  <c r="K209"/>
  <c r="K192"/>
  <c r="K211"/>
  <c r="K205"/>
  <c r="K177"/>
  <c r="K194"/>
  <c r="K191"/>
  <c r="K228" s="1"/>
  <c r="K195"/>
  <c r="K213"/>
  <c r="K206"/>
  <c r="K202"/>
  <c r="K216"/>
  <c r="K193"/>
  <c r="K207"/>
  <c r="K215"/>
  <c r="K198"/>
  <c r="K235" s="1"/>
  <c r="Y4" i="27"/>
  <c r="S200" i="6"/>
  <c r="S177"/>
  <c r="S193"/>
  <c r="S201"/>
  <c r="S205"/>
  <c r="S210"/>
  <c r="S195"/>
  <c r="S194"/>
  <c r="S209"/>
  <c r="S202"/>
  <c r="S198"/>
  <c r="S216"/>
  <c r="S211"/>
  <c r="S199"/>
  <c r="S208"/>
  <c r="S192"/>
  <c r="S206"/>
  <c r="S243" s="1"/>
  <c r="S215"/>
  <c r="S213"/>
  <c r="S207"/>
  <c r="S203"/>
  <c r="S196"/>
  <c r="S197"/>
  <c r="S191"/>
  <c r="S228" s="1"/>
  <c r="S212"/>
  <c r="S249" s="1"/>
  <c r="S204"/>
  <c r="S214"/>
  <c r="U4" i="27"/>
  <c r="O211" i="6"/>
  <c r="O215"/>
  <c r="O204"/>
  <c r="O198"/>
  <c r="O193"/>
  <c r="O203"/>
  <c r="O212"/>
  <c r="O214"/>
  <c r="O208"/>
  <c r="O205"/>
  <c r="O213"/>
  <c r="O191"/>
  <c r="O228" s="1"/>
  <c r="O202"/>
  <c r="O216"/>
  <c r="O194"/>
  <c r="O207"/>
  <c r="O210"/>
  <c r="O209"/>
  <c r="O199"/>
  <c r="O192"/>
  <c r="O229" s="1"/>
  <c r="O195"/>
  <c r="O206"/>
  <c r="O243" s="1"/>
  <c r="O201"/>
  <c r="O177"/>
  <c r="O196"/>
  <c r="O197"/>
  <c r="O200"/>
  <c r="P4" i="27"/>
  <c r="J199" i="6"/>
  <c r="J200"/>
  <c r="J196"/>
  <c r="J213"/>
  <c r="J201"/>
  <c r="J211"/>
  <c r="J197"/>
  <c r="J234" s="1"/>
  <c r="J198"/>
  <c r="J203"/>
  <c r="J209"/>
  <c r="J205"/>
  <c r="J206"/>
  <c r="J214"/>
  <c r="J204"/>
  <c r="J207"/>
  <c r="J191"/>
  <c r="J228" s="1"/>
  <c r="J208"/>
  <c r="J216"/>
  <c r="J195"/>
  <c r="J193"/>
  <c r="J194"/>
  <c r="J212"/>
  <c r="J249" s="1"/>
  <c r="J210"/>
  <c r="J215"/>
  <c r="J192"/>
  <c r="J202"/>
  <c r="J177"/>
  <c r="O253" l="1"/>
  <c r="P246"/>
  <c r="W247"/>
  <c r="O233"/>
  <c r="L253"/>
  <c r="W242"/>
  <c r="E247"/>
  <c r="K237"/>
  <c r="R230"/>
  <c r="M253"/>
  <c r="K244"/>
  <c r="I238"/>
  <c r="S251"/>
  <c r="J253"/>
  <c r="O237"/>
  <c r="O250"/>
  <c r="H246"/>
  <c r="G245"/>
  <c r="F229"/>
  <c r="F235"/>
  <c r="F231"/>
  <c r="F239"/>
  <c r="H240"/>
  <c r="T248"/>
  <c r="U233"/>
  <c r="T235"/>
  <c r="E245"/>
  <c r="E229"/>
  <c r="M251"/>
  <c r="F250"/>
  <c r="J248"/>
  <c r="O242"/>
  <c r="O252"/>
  <c r="S233"/>
  <c r="S252"/>
  <c r="S236"/>
  <c r="S239"/>
  <c r="K252"/>
  <c r="K239"/>
  <c r="K248"/>
  <c r="K233"/>
  <c r="I232"/>
  <c r="I235"/>
  <c r="I241"/>
  <c r="I246"/>
  <c r="I248"/>
  <c r="L235"/>
  <c r="L246"/>
  <c r="L243"/>
  <c r="V248"/>
  <c r="V251"/>
  <c r="V253"/>
  <c r="R240"/>
  <c r="R243"/>
  <c r="X234"/>
  <c r="X240"/>
  <c r="X252"/>
  <c r="P235"/>
  <c r="P248"/>
  <c r="N233"/>
  <c r="N246"/>
  <c r="U251"/>
  <c r="H244"/>
  <c r="H231"/>
  <c r="H248"/>
  <c r="T243"/>
  <c r="E233"/>
  <c r="G236"/>
  <c r="G242"/>
  <c r="M237"/>
  <c r="M240"/>
  <c r="M232"/>
  <c r="Q237"/>
  <c r="Q239"/>
  <c r="Q241"/>
  <c r="F253"/>
  <c r="U245"/>
  <c r="U236"/>
  <c r="J245"/>
  <c r="O232"/>
  <c r="O239"/>
  <c r="S246"/>
  <c r="K243"/>
  <c r="K236"/>
  <c r="I251"/>
  <c r="I230"/>
  <c r="I244"/>
  <c r="L232"/>
  <c r="L252"/>
  <c r="L250"/>
  <c r="V244"/>
  <c r="V230"/>
  <c r="V240"/>
  <c r="R235"/>
  <c r="R250"/>
  <c r="R233"/>
  <c r="X243"/>
  <c r="P253"/>
  <c r="N248"/>
  <c r="N250"/>
  <c r="W232"/>
  <c r="W250"/>
  <c r="H241"/>
  <c r="H249"/>
  <c r="T249"/>
  <c r="T239"/>
  <c r="T245"/>
  <c r="E253"/>
  <c r="E239"/>
  <c r="G246"/>
  <c r="G230"/>
  <c r="M245"/>
  <c r="M230"/>
  <c r="F236"/>
  <c r="F240"/>
  <c r="U230"/>
  <c r="U247"/>
  <c r="U253"/>
  <c r="H239"/>
  <c r="T247"/>
  <c r="E249"/>
  <c r="G244"/>
  <c r="Q234"/>
  <c r="Q250"/>
  <c r="Q253"/>
  <c r="X231"/>
  <c r="P242"/>
  <c r="N243"/>
  <c r="N253"/>
  <c r="N238"/>
  <c r="W237"/>
  <c r="W252"/>
  <c r="W234"/>
  <c r="W243"/>
  <c r="J244"/>
  <c r="O236"/>
  <c r="S245"/>
  <c r="S232"/>
  <c r="S230"/>
  <c r="I243"/>
  <c r="L245"/>
  <c r="V247"/>
  <c r="V242"/>
  <c r="V239"/>
  <c r="R238"/>
  <c r="R231"/>
  <c r="X242"/>
  <c r="P239"/>
  <c r="P230"/>
  <c r="N244"/>
  <c r="N240"/>
  <c r="W253"/>
  <c r="W244"/>
  <c r="W249"/>
  <c r="W231"/>
  <c r="U235"/>
  <c r="T251"/>
  <c r="T230"/>
  <c r="T238"/>
  <c r="E235"/>
  <c r="E252"/>
  <c r="G235"/>
  <c r="M249"/>
  <c r="M236"/>
  <c r="M247"/>
  <c r="M239"/>
  <c r="F246"/>
  <c r="J229"/>
  <c r="J231"/>
  <c r="J251"/>
  <c r="J240"/>
  <c r="J238"/>
  <c r="J236"/>
  <c r="O247"/>
  <c r="O245"/>
  <c r="O230"/>
  <c r="S240"/>
  <c r="S248"/>
  <c r="S242"/>
  <c r="S237"/>
  <c r="K231"/>
  <c r="K229"/>
  <c r="K241"/>
  <c r="I237"/>
  <c r="I249"/>
  <c r="I233"/>
  <c r="L230"/>
  <c r="L240"/>
  <c r="V237"/>
  <c r="V235"/>
  <c r="R248"/>
  <c r="R244"/>
  <c r="X229"/>
  <c r="X246"/>
  <c r="X249"/>
  <c r="X237"/>
  <c r="X238"/>
  <c r="P232"/>
  <c r="P250"/>
  <c r="P236"/>
  <c r="P245"/>
  <c r="N234"/>
  <c r="N230"/>
  <c r="N236"/>
  <c r="W246"/>
  <c r="W238"/>
  <c r="W235"/>
  <c r="U249"/>
  <c r="U240"/>
  <c r="H251"/>
  <c r="H233"/>
  <c r="H236"/>
  <c r="T232"/>
  <c r="T253"/>
  <c r="E237"/>
  <c r="E241"/>
  <c r="E243"/>
  <c r="G232"/>
  <c r="G237"/>
  <c r="G252"/>
  <c r="G250"/>
  <c r="G248"/>
  <c r="M243"/>
  <c r="M241"/>
  <c r="M234"/>
  <c r="Q231"/>
  <c r="Q244"/>
  <c r="F243"/>
  <c r="F247"/>
  <c r="R236"/>
  <c r="N229"/>
  <c r="J241"/>
  <c r="J237"/>
  <c r="K249"/>
  <c r="L229"/>
  <c r="V232"/>
  <c r="J247"/>
  <c r="J242"/>
  <c r="K232"/>
  <c r="K234"/>
  <c r="I250"/>
  <c r="I239"/>
  <c r="I234"/>
  <c r="L247"/>
  <c r="R249"/>
  <c r="X233"/>
  <c r="X251"/>
  <c r="P233"/>
  <c r="U250"/>
  <c r="U244"/>
  <c r="H247"/>
  <c r="H243"/>
  <c r="H229"/>
  <c r="T242"/>
  <c r="T244"/>
  <c r="E240"/>
  <c r="E242"/>
  <c r="E238"/>
  <c r="E232"/>
  <c r="G238"/>
  <c r="G253"/>
  <c r="G229"/>
  <c r="G240"/>
  <c r="M244"/>
  <c r="M231"/>
  <c r="M229"/>
  <c r="Q235"/>
  <c r="Q233"/>
  <c r="Q242"/>
  <c r="Q251"/>
  <c r="Q238"/>
  <c r="Q236"/>
  <c r="Q240"/>
  <c r="F252"/>
  <c r="C10"/>
  <c r="E179"/>
  <c r="F179" s="1"/>
  <c r="G179" s="1"/>
  <c r="H179" s="1"/>
  <c r="I179" s="1"/>
  <c r="J179" s="1"/>
  <c r="K179" s="1"/>
  <c r="L179" s="1"/>
  <c r="M179" s="1"/>
  <c r="N179" s="1"/>
  <c r="O179" s="1"/>
  <c r="P179" s="1"/>
  <c r="Q179" s="1"/>
  <c r="R179" s="1"/>
  <c r="S179" s="1"/>
  <c r="T179" s="1"/>
  <c r="U179" s="1"/>
  <c r="V179" s="1"/>
  <c r="W179" s="1"/>
  <c r="X179" s="1"/>
  <c r="AA177"/>
  <c r="U243"/>
  <c r="U241"/>
  <c r="H253"/>
  <c r="Q232"/>
  <c r="F244"/>
  <c r="O246"/>
  <c r="O240"/>
  <c r="K240"/>
  <c r="I236"/>
  <c r="L236"/>
  <c r="V249"/>
  <c r="J232"/>
  <c r="J233"/>
  <c r="O238"/>
  <c r="O231"/>
  <c r="O249"/>
  <c r="O241"/>
  <c r="S234"/>
  <c r="S250"/>
  <c r="S235"/>
  <c r="K253"/>
  <c r="K242"/>
  <c r="K245"/>
  <c r="K238"/>
  <c r="I245"/>
  <c r="I229"/>
  <c r="I240"/>
  <c r="L251"/>
  <c r="L231"/>
  <c r="L249"/>
  <c r="V233"/>
  <c r="V229"/>
  <c r="V243"/>
  <c r="R234"/>
  <c r="R232"/>
  <c r="X239"/>
  <c r="X235"/>
  <c r="X244"/>
  <c r="P247"/>
  <c r="P252"/>
  <c r="P234"/>
  <c r="N231"/>
  <c r="N249"/>
  <c r="N247"/>
  <c r="W240"/>
  <c r="J252"/>
  <c r="J230"/>
  <c r="J243"/>
  <c r="J235"/>
  <c r="J250"/>
  <c r="O244"/>
  <c r="O251"/>
  <c r="O235"/>
  <c r="S244"/>
  <c r="S229"/>
  <c r="S253"/>
  <c r="S231"/>
  <c r="S238"/>
  <c r="K230"/>
  <c r="K250"/>
  <c r="K246"/>
  <c r="K251"/>
  <c r="K247"/>
  <c r="I242"/>
  <c r="I231"/>
  <c r="I252"/>
  <c r="I247"/>
  <c r="I253"/>
  <c r="L242"/>
  <c r="L244"/>
  <c r="L238"/>
  <c r="L233"/>
  <c r="L239"/>
  <c r="V238"/>
  <c r="V241"/>
  <c r="V250"/>
  <c r="V245"/>
  <c r="V234"/>
  <c r="V252"/>
  <c r="R247"/>
  <c r="R237"/>
  <c r="R229"/>
  <c r="R242"/>
  <c r="R239"/>
  <c r="R253"/>
  <c r="X247"/>
  <c r="X230"/>
  <c r="X248"/>
  <c r="X245"/>
  <c r="X236"/>
  <c r="X241"/>
  <c r="P229"/>
  <c r="P244"/>
  <c r="P238"/>
  <c r="P231"/>
  <c r="P240"/>
  <c r="P241"/>
  <c r="N242"/>
  <c r="N252"/>
  <c r="N239"/>
  <c r="N232"/>
  <c r="N237"/>
  <c r="N245"/>
  <c r="W236"/>
  <c r="W248"/>
  <c r="W233"/>
  <c r="W251"/>
  <c r="W241"/>
  <c r="U234"/>
  <c r="U238"/>
  <c r="U246"/>
  <c r="U252"/>
  <c r="U239"/>
  <c r="U248"/>
  <c r="U229"/>
  <c r="H250"/>
  <c r="H232"/>
  <c r="H237"/>
  <c r="H234"/>
  <c r="T246"/>
  <c r="T231"/>
  <c r="T229"/>
  <c r="T236"/>
  <c r="T237"/>
  <c r="T252"/>
  <c r="T250"/>
  <c r="E234"/>
  <c r="E246"/>
  <c r="E251"/>
  <c r="E248"/>
  <c r="E236"/>
  <c r="G249"/>
  <c r="G251"/>
  <c r="G243"/>
  <c r="G231"/>
  <c r="G233"/>
  <c r="G234"/>
  <c r="G247"/>
  <c r="M233"/>
  <c r="M246"/>
  <c r="M248"/>
  <c r="M238"/>
  <c r="M242"/>
  <c r="M235"/>
  <c r="Q243"/>
  <c r="Q252"/>
  <c r="Q246"/>
  <c r="Q247"/>
  <c r="Q230"/>
  <c r="Q248"/>
  <c r="F245"/>
  <c r="F251"/>
  <c r="F241"/>
  <c r="F242"/>
  <c r="F232"/>
  <c r="O248"/>
  <c r="P251"/>
  <c r="J239"/>
  <c r="J246"/>
  <c r="O234"/>
  <c r="S241"/>
  <c r="S247"/>
  <c r="L241"/>
  <c r="R246"/>
  <c r="R251"/>
  <c r="X250"/>
  <c r="X253"/>
  <c r="P237"/>
  <c r="P249"/>
  <c r="P243"/>
  <c r="N251"/>
  <c r="N235"/>
  <c r="W229"/>
  <c r="W245"/>
  <c r="W230"/>
  <c r="U231"/>
  <c r="H242"/>
  <c r="H245"/>
  <c r="T240"/>
  <c r="T234"/>
  <c r="E230"/>
  <c r="E250"/>
  <c r="E231"/>
  <c r="E244"/>
  <c r="G239"/>
  <c r="M252"/>
  <c r="M250"/>
  <c r="F248"/>
  <c r="F237"/>
  <c r="F249"/>
  <c r="F230"/>
  <c r="F238"/>
  <c r="F234"/>
  <c r="F255" l="1"/>
  <c r="E255"/>
  <c r="E256" s="1"/>
  <c r="T255"/>
  <c r="Q255"/>
  <c r="M255"/>
  <c r="X255"/>
  <c r="J255"/>
  <c r="G255"/>
  <c r="U255"/>
  <c r="W255"/>
  <c r="N255"/>
  <c r="K255"/>
  <c r="H255"/>
  <c r="I255"/>
  <c r="R255"/>
  <c r="V255"/>
  <c r="L255"/>
  <c r="S255"/>
  <c r="O255"/>
  <c r="P255"/>
  <c r="F256" l="1"/>
  <c r="G256" s="1"/>
  <c r="H256" s="1"/>
  <c r="I256" s="1"/>
  <c r="J256" s="1"/>
  <c r="K256" s="1"/>
  <c r="L256" s="1"/>
  <c r="M256" s="1"/>
  <c r="N256" s="1"/>
  <c r="O256" s="1"/>
  <c r="P256" s="1"/>
  <c r="Q256" s="1"/>
  <c r="R256" s="1"/>
  <c r="S256" s="1"/>
  <c r="T256" s="1"/>
  <c r="U256" s="1"/>
  <c r="V256" s="1"/>
  <c r="W256" s="1"/>
  <c r="X256" s="1"/>
</calcChain>
</file>

<file path=xl/comments1.xml><?xml version="1.0" encoding="utf-8"?>
<comments xmlns="http://schemas.openxmlformats.org/spreadsheetml/2006/main">
  <authors>
    <author>Tina Jayaweera</author>
  </authors>
  <commentList>
    <comment ref="B22" authorId="0">
      <text>
        <r>
          <rPr>
            <b/>
            <sz val="9"/>
            <color indexed="81"/>
            <rFont val="Tahoma"/>
            <family val="2"/>
          </rPr>
          <t>Tina Jayaweera:</t>
        </r>
        <r>
          <rPr>
            <sz val="9"/>
            <color indexed="81"/>
            <rFont val="Tahoma"/>
            <family val="2"/>
          </rPr>
          <t xml:space="preserve">
Accounts for portion of region served by HVAC system type</t>
        </r>
      </text>
    </comment>
  </commentList>
</comments>
</file>

<file path=xl/comments2.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7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73"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73"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7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1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17"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17"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1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 xml:space="preserve"> </author>
  </authors>
  <commentList>
    <comment ref="N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5" authorId="0">
      <text>
        <r>
          <rPr>
            <b/>
            <sz val="8"/>
            <color indexed="81"/>
            <rFont val="Tahoma"/>
            <family val="2"/>
          </rPr>
          <t xml:space="preserve"> :ProCost</t>
        </r>
        <r>
          <rPr>
            <sz val="8"/>
            <color indexed="81"/>
            <rFont val="Tahoma"/>
            <family val="2"/>
          </rPr>
          <t xml:space="preserve">
Physical life of the measure in years.  Must be &gt;=1.</t>
        </r>
      </text>
    </comment>
    <comment ref="J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5" authorId="0">
      <text>
        <r>
          <rPr>
            <b/>
            <sz val="8"/>
            <color indexed="81"/>
            <rFont val="Tahoma"/>
            <family val="2"/>
          </rPr>
          <t xml:space="preserve"> :</t>
        </r>
        <r>
          <rPr>
            <sz val="8"/>
            <color indexed="81"/>
            <rFont val="Tahoma"/>
            <family val="2"/>
          </rPr>
          <t xml:space="preserve">
Annual gas savings, or increases, in therms.</t>
        </r>
      </text>
    </comment>
    <comment ref="U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3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13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13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3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3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35" authorId="0">
      <text>
        <r>
          <rPr>
            <b/>
            <sz val="8"/>
            <color indexed="81"/>
            <rFont val="Tahoma"/>
            <family val="2"/>
          </rPr>
          <t xml:space="preserve"> :ProCost</t>
        </r>
        <r>
          <rPr>
            <sz val="8"/>
            <color indexed="81"/>
            <rFont val="Tahoma"/>
            <family val="2"/>
          </rPr>
          <t xml:space="preserve">
Physical life of the measure in years.  Must be &gt;=1.</t>
        </r>
      </text>
    </comment>
    <comment ref="J13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13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13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13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13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13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13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13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13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13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135" authorId="0">
      <text>
        <r>
          <rPr>
            <b/>
            <sz val="8"/>
            <color indexed="81"/>
            <rFont val="Tahoma"/>
            <family val="2"/>
          </rPr>
          <t xml:space="preserve"> :</t>
        </r>
        <r>
          <rPr>
            <sz val="8"/>
            <color indexed="81"/>
            <rFont val="Tahoma"/>
            <family val="2"/>
          </rPr>
          <t xml:space="preserve">
Annual gas savings, or increases, in therms.</t>
        </r>
      </text>
    </comment>
    <comment ref="U13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4.xml><?xml version="1.0" encoding="utf-8"?>
<comments xmlns="http://schemas.openxmlformats.org/spreadsheetml/2006/main">
  <authors>
    <author xml:space="preserve"> </author>
  </authors>
  <commentList>
    <comment ref="J3"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3"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4" authorId="0">
      <text>
        <r>
          <rPr>
            <b/>
            <sz val="8"/>
            <color indexed="81"/>
            <rFont val="Tahoma"/>
            <family val="2"/>
          </rPr>
          <t xml:space="preserve"> :ProCost</t>
        </r>
        <r>
          <rPr>
            <sz val="8"/>
            <color indexed="81"/>
            <rFont val="Tahoma"/>
            <family val="2"/>
          </rPr>
          <t xml:space="preserve">
Physical life of the measure in years.  Must be &gt;=1.</t>
        </r>
      </text>
    </comment>
    <comment ref="F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4"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4" authorId="0">
      <text>
        <r>
          <rPr>
            <b/>
            <sz val="8"/>
            <color indexed="81"/>
            <rFont val="Tahoma"/>
            <family val="2"/>
          </rPr>
          <t xml:space="preserve"> :</t>
        </r>
        <r>
          <rPr>
            <sz val="8"/>
            <color indexed="81"/>
            <rFont val="Tahoma"/>
            <family val="2"/>
          </rPr>
          <t xml:space="preserve">
Annual gas savings, or increases, in therms.</t>
        </r>
      </text>
    </comment>
    <comment ref="Q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5.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6.xml><?xml version="1.0" encoding="utf-8"?>
<comments xmlns="http://schemas.openxmlformats.org/spreadsheetml/2006/main">
  <authors>
    <author>Tina Jayaweera</author>
  </authors>
  <commentList>
    <comment ref="G630" authorId="0">
      <text>
        <r>
          <rPr>
            <b/>
            <sz val="9"/>
            <color indexed="81"/>
            <rFont val="Tahoma"/>
            <family val="2"/>
          </rPr>
          <t>Tina Jayaweera:</t>
        </r>
        <r>
          <rPr>
            <sz val="9"/>
            <color indexed="81"/>
            <rFont val="Tahoma"/>
            <family val="2"/>
          </rPr>
          <t xml:space="preserve">
deleted, was 15180</t>
        </r>
      </text>
    </comment>
  </commentList>
</comments>
</file>

<file path=xl/comments7.xml><?xml version="1.0" encoding="utf-8"?>
<comments xmlns="http://schemas.openxmlformats.org/spreadsheetml/2006/main">
  <authors>
    <author>Adam Hadley, PE</author>
    <author>Adam Hadley</author>
  </authors>
  <commentList>
    <comment ref="K6" authorId="0">
      <text>
        <r>
          <rPr>
            <b/>
            <sz val="8"/>
            <color indexed="81"/>
            <rFont val="Tahoma"/>
            <family val="2"/>
          </rPr>
          <t>Adam Hadley, PE:</t>
        </r>
        <r>
          <rPr>
            <sz val="8"/>
            <color indexed="81"/>
            <rFont val="Tahoma"/>
            <family val="2"/>
          </rPr>
          <t xml:space="preserve">
Don't copy all the way down
</t>
        </r>
      </text>
    </comment>
    <comment ref="N6" authorId="0">
      <text>
        <r>
          <rPr>
            <b/>
            <sz val="8"/>
            <color indexed="81"/>
            <rFont val="Tahoma"/>
            <family val="2"/>
          </rPr>
          <t>Adam Hadley, PE:</t>
        </r>
        <r>
          <rPr>
            <sz val="8"/>
            <color indexed="81"/>
            <rFont val="Tahoma"/>
            <family val="2"/>
          </rPr>
          <t xml:space="preserve">
Don't copy all the way down
</t>
        </r>
      </text>
    </comment>
    <comment ref="Q6" authorId="0">
      <text>
        <r>
          <rPr>
            <b/>
            <sz val="8"/>
            <color indexed="81"/>
            <rFont val="Tahoma"/>
            <family val="2"/>
          </rPr>
          <t>Adam Hadley, PE:</t>
        </r>
        <r>
          <rPr>
            <sz val="8"/>
            <color indexed="81"/>
            <rFont val="Tahoma"/>
            <family val="2"/>
          </rPr>
          <t xml:space="preserve">
Don't copy all the way down
</t>
        </r>
      </text>
    </comment>
    <comment ref="T6" authorId="0">
      <text>
        <r>
          <rPr>
            <b/>
            <sz val="8"/>
            <color indexed="81"/>
            <rFont val="Tahoma"/>
            <family val="2"/>
          </rPr>
          <t>Adam Hadley, PE:</t>
        </r>
        <r>
          <rPr>
            <sz val="8"/>
            <color indexed="81"/>
            <rFont val="Tahoma"/>
            <family val="2"/>
          </rPr>
          <t xml:space="preserve">
Don't copy all the way down
</t>
        </r>
      </text>
    </comment>
    <comment ref="W6" authorId="0">
      <text>
        <r>
          <rPr>
            <b/>
            <sz val="8"/>
            <color indexed="81"/>
            <rFont val="Tahoma"/>
            <family val="2"/>
          </rPr>
          <t>Adam Hadley, PE:</t>
        </r>
        <r>
          <rPr>
            <sz val="8"/>
            <color indexed="81"/>
            <rFont val="Tahoma"/>
            <family val="2"/>
          </rPr>
          <t xml:space="preserve">
Don't copy all the way down
</t>
        </r>
      </text>
    </comment>
    <comment ref="Z6" authorId="0">
      <text>
        <r>
          <rPr>
            <b/>
            <sz val="8"/>
            <color indexed="81"/>
            <rFont val="Tahoma"/>
            <family val="2"/>
          </rPr>
          <t>Adam Hadley, PE:</t>
        </r>
        <r>
          <rPr>
            <sz val="8"/>
            <color indexed="81"/>
            <rFont val="Tahoma"/>
            <family val="2"/>
          </rPr>
          <t xml:space="preserve">
Don't copy all the way down
</t>
        </r>
      </text>
    </comment>
    <comment ref="AC6" authorId="0">
      <text>
        <r>
          <rPr>
            <b/>
            <sz val="8"/>
            <color indexed="81"/>
            <rFont val="Tahoma"/>
            <family val="2"/>
          </rPr>
          <t>Adam Hadley, PE:</t>
        </r>
        <r>
          <rPr>
            <sz val="8"/>
            <color indexed="81"/>
            <rFont val="Tahoma"/>
            <family val="2"/>
          </rPr>
          <t xml:space="preserve">
Don't copy all the way down
</t>
        </r>
      </text>
    </comment>
    <comment ref="AF6" authorId="0">
      <text>
        <r>
          <rPr>
            <b/>
            <sz val="8"/>
            <color indexed="81"/>
            <rFont val="Tahoma"/>
            <family val="2"/>
          </rPr>
          <t>Adam Hadley, PE:</t>
        </r>
        <r>
          <rPr>
            <sz val="8"/>
            <color indexed="81"/>
            <rFont val="Tahoma"/>
            <family val="2"/>
          </rPr>
          <t xml:space="preserve">
Don't copy all the way down
</t>
        </r>
      </text>
    </comment>
    <comment ref="AI6" authorId="0">
      <text>
        <r>
          <rPr>
            <b/>
            <sz val="8"/>
            <color indexed="81"/>
            <rFont val="Tahoma"/>
            <family val="2"/>
          </rPr>
          <t>Adam Hadley, PE:</t>
        </r>
        <r>
          <rPr>
            <sz val="8"/>
            <color indexed="81"/>
            <rFont val="Tahoma"/>
            <family val="2"/>
          </rPr>
          <t xml:space="preserve">
Don't copy all the way down
</t>
        </r>
      </text>
    </comment>
    <comment ref="AL6" authorId="0">
      <text>
        <r>
          <rPr>
            <b/>
            <sz val="8"/>
            <color indexed="81"/>
            <rFont val="Tahoma"/>
            <family val="2"/>
          </rPr>
          <t>Adam Hadley, PE:</t>
        </r>
        <r>
          <rPr>
            <sz val="8"/>
            <color indexed="81"/>
            <rFont val="Tahoma"/>
            <family val="2"/>
          </rPr>
          <t xml:space="preserve">
Don't copy all the way down
</t>
        </r>
      </text>
    </comment>
    <comment ref="AO6" authorId="0">
      <text>
        <r>
          <rPr>
            <b/>
            <sz val="8"/>
            <color indexed="81"/>
            <rFont val="Tahoma"/>
            <family val="2"/>
          </rPr>
          <t>Adam Hadley, PE:</t>
        </r>
        <r>
          <rPr>
            <sz val="8"/>
            <color indexed="81"/>
            <rFont val="Tahoma"/>
            <family val="2"/>
          </rPr>
          <t xml:space="preserve">
Don't copy all the way down
</t>
        </r>
      </text>
    </comment>
    <comment ref="AR6" authorId="0">
      <text>
        <r>
          <rPr>
            <b/>
            <sz val="8"/>
            <color indexed="81"/>
            <rFont val="Tahoma"/>
            <family val="2"/>
          </rPr>
          <t>Adam Hadley, PE:</t>
        </r>
        <r>
          <rPr>
            <sz val="8"/>
            <color indexed="81"/>
            <rFont val="Tahoma"/>
            <family val="2"/>
          </rPr>
          <t xml:space="preserve">
Don't copy all the way down
</t>
        </r>
      </text>
    </comment>
    <comment ref="AU6" authorId="0">
      <text>
        <r>
          <rPr>
            <b/>
            <sz val="8"/>
            <color indexed="81"/>
            <rFont val="Tahoma"/>
            <family val="2"/>
          </rPr>
          <t>Adam Hadley, PE:</t>
        </r>
        <r>
          <rPr>
            <sz val="8"/>
            <color indexed="81"/>
            <rFont val="Tahoma"/>
            <family val="2"/>
          </rPr>
          <t xml:space="preserve">
Don't copy all the way down
</t>
        </r>
      </text>
    </comment>
    <comment ref="AX6" authorId="0">
      <text>
        <r>
          <rPr>
            <b/>
            <sz val="8"/>
            <color indexed="81"/>
            <rFont val="Tahoma"/>
            <family val="2"/>
          </rPr>
          <t>Adam Hadley, PE:</t>
        </r>
        <r>
          <rPr>
            <sz val="8"/>
            <color indexed="81"/>
            <rFont val="Tahoma"/>
            <family val="2"/>
          </rPr>
          <t xml:space="preserve">
Don't copy all the way down
</t>
        </r>
      </text>
    </comment>
    <comment ref="BA6" authorId="0">
      <text>
        <r>
          <rPr>
            <b/>
            <sz val="8"/>
            <color indexed="81"/>
            <rFont val="Tahoma"/>
            <family val="2"/>
          </rPr>
          <t>Adam Hadley, PE:</t>
        </r>
        <r>
          <rPr>
            <sz val="8"/>
            <color indexed="81"/>
            <rFont val="Tahoma"/>
            <family val="2"/>
          </rPr>
          <t xml:space="preserve">
Don't copy all the way down
</t>
        </r>
      </text>
    </comment>
    <comment ref="BD6" authorId="0">
      <text>
        <r>
          <rPr>
            <b/>
            <sz val="8"/>
            <color indexed="81"/>
            <rFont val="Tahoma"/>
            <family val="2"/>
          </rPr>
          <t>Adam Hadley, PE:</t>
        </r>
        <r>
          <rPr>
            <sz val="8"/>
            <color indexed="81"/>
            <rFont val="Tahoma"/>
            <family val="2"/>
          </rPr>
          <t xml:space="preserve">
Don't copy all the way down
</t>
        </r>
      </text>
    </comment>
    <comment ref="BG6" authorId="0">
      <text>
        <r>
          <rPr>
            <b/>
            <sz val="8"/>
            <color indexed="81"/>
            <rFont val="Tahoma"/>
            <family val="2"/>
          </rPr>
          <t>Adam Hadley, PE:</t>
        </r>
        <r>
          <rPr>
            <sz val="8"/>
            <color indexed="81"/>
            <rFont val="Tahoma"/>
            <family val="2"/>
          </rPr>
          <t xml:space="preserve">
Don't copy all the way down
</t>
        </r>
      </text>
    </comment>
    <comment ref="BJ6" authorId="0">
      <text>
        <r>
          <rPr>
            <b/>
            <sz val="8"/>
            <color indexed="81"/>
            <rFont val="Tahoma"/>
            <family val="2"/>
          </rPr>
          <t>Adam Hadley, PE:</t>
        </r>
        <r>
          <rPr>
            <sz val="8"/>
            <color indexed="81"/>
            <rFont val="Tahoma"/>
            <family val="2"/>
          </rPr>
          <t xml:space="preserve">
Don't copy all the way down
</t>
        </r>
      </text>
    </comment>
    <comment ref="BM6" authorId="0">
      <text>
        <r>
          <rPr>
            <b/>
            <sz val="8"/>
            <color indexed="81"/>
            <rFont val="Tahoma"/>
            <family val="2"/>
          </rPr>
          <t>Adam Hadley, PE:</t>
        </r>
        <r>
          <rPr>
            <sz val="8"/>
            <color indexed="81"/>
            <rFont val="Tahoma"/>
            <family val="2"/>
          </rPr>
          <t xml:space="preserve">
Don't copy all the way down
</t>
        </r>
      </text>
    </comment>
    <comment ref="BP6" authorId="0">
      <text>
        <r>
          <rPr>
            <b/>
            <sz val="8"/>
            <color indexed="81"/>
            <rFont val="Tahoma"/>
            <family val="2"/>
          </rPr>
          <t>Adam Hadley, PE:</t>
        </r>
        <r>
          <rPr>
            <sz val="8"/>
            <color indexed="81"/>
            <rFont val="Tahoma"/>
            <family val="2"/>
          </rPr>
          <t xml:space="preserve">
Don't copy all the way down
</t>
        </r>
      </text>
    </comment>
    <comment ref="BS6" authorId="0">
      <text>
        <r>
          <rPr>
            <b/>
            <sz val="8"/>
            <color indexed="81"/>
            <rFont val="Tahoma"/>
            <family val="2"/>
          </rPr>
          <t>Adam Hadley, PE:</t>
        </r>
        <r>
          <rPr>
            <sz val="8"/>
            <color indexed="81"/>
            <rFont val="Tahoma"/>
            <family val="2"/>
          </rPr>
          <t xml:space="preserve">
Don't copy all the way down
</t>
        </r>
      </text>
    </comment>
    <comment ref="BV6" authorId="0">
      <text>
        <r>
          <rPr>
            <b/>
            <sz val="8"/>
            <color indexed="81"/>
            <rFont val="Tahoma"/>
            <family val="2"/>
          </rPr>
          <t>Adam Hadley, PE:</t>
        </r>
        <r>
          <rPr>
            <sz val="8"/>
            <color indexed="81"/>
            <rFont val="Tahoma"/>
            <family val="2"/>
          </rPr>
          <t xml:space="preserve">
Don't copy all the way down
</t>
        </r>
      </text>
    </comment>
    <comment ref="BY6" authorId="0">
      <text>
        <r>
          <rPr>
            <b/>
            <sz val="8"/>
            <color indexed="81"/>
            <rFont val="Tahoma"/>
            <family val="2"/>
          </rPr>
          <t>Adam Hadley, PE:</t>
        </r>
        <r>
          <rPr>
            <sz val="8"/>
            <color indexed="81"/>
            <rFont val="Tahoma"/>
            <family val="2"/>
          </rPr>
          <t xml:space="preserve">
Don't copy all the way down
</t>
        </r>
      </text>
    </comment>
    <comment ref="CB6" authorId="0">
      <text>
        <r>
          <rPr>
            <b/>
            <sz val="8"/>
            <color indexed="81"/>
            <rFont val="Tahoma"/>
            <family val="2"/>
          </rPr>
          <t>Adam Hadley, PE:</t>
        </r>
        <r>
          <rPr>
            <sz val="8"/>
            <color indexed="81"/>
            <rFont val="Tahoma"/>
            <family val="2"/>
          </rPr>
          <t xml:space="preserve">
Don't copy all the way down
</t>
        </r>
      </text>
    </comment>
    <comment ref="CE6" authorId="0">
      <text>
        <r>
          <rPr>
            <b/>
            <sz val="8"/>
            <color indexed="81"/>
            <rFont val="Tahoma"/>
            <family val="2"/>
          </rPr>
          <t>Adam Hadley, PE:</t>
        </r>
        <r>
          <rPr>
            <sz val="8"/>
            <color indexed="81"/>
            <rFont val="Tahoma"/>
            <family val="2"/>
          </rPr>
          <t xml:space="preserve">
Don't copy all the way down
</t>
        </r>
      </text>
    </comment>
    <comment ref="CH6" authorId="0">
      <text>
        <r>
          <rPr>
            <b/>
            <sz val="8"/>
            <color indexed="81"/>
            <rFont val="Tahoma"/>
            <family val="2"/>
          </rPr>
          <t>Adam Hadley, PE:</t>
        </r>
        <r>
          <rPr>
            <sz val="8"/>
            <color indexed="81"/>
            <rFont val="Tahoma"/>
            <family val="2"/>
          </rPr>
          <t xml:space="preserve">
Don't copy all the way down
</t>
        </r>
      </text>
    </comment>
    <comment ref="CK6" authorId="0">
      <text>
        <r>
          <rPr>
            <b/>
            <sz val="8"/>
            <color indexed="81"/>
            <rFont val="Tahoma"/>
            <family val="2"/>
          </rPr>
          <t>Adam Hadley, PE:</t>
        </r>
        <r>
          <rPr>
            <sz val="8"/>
            <color indexed="81"/>
            <rFont val="Tahoma"/>
            <family val="2"/>
          </rPr>
          <t xml:space="preserve">
Don't copy all the way down
</t>
        </r>
      </text>
    </comment>
    <comment ref="CN6" authorId="0">
      <text>
        <r>
          <rPr>
            <b/>
            <sz val="8"/>
            <color indexed="81"/>
            <rFont val="Tahoma"/>
            <family val="2"/>
          </rPr>
          <t>Adam Hadley, PE:</t>
        </r>
        <r>
          <rPr>
            <sz val="8"/>
            <color indexed="81"/>
            <rFont val="Tahoma"/>
            <family val="2"/>
          </rPr>
          <t xml:space="preserve">
Don't copy all the way down
</t>
        </r>
      </text>
    </comment>
    <comment ref="CQ6" authorId="0">
      <text>
        <r>
          <rPr>
            <b/>
            <sz val="8"/>
            <color indexed="81"/>
            <rFont val="Tahoma"/>
            <family val="2"/>
          </rPr>
          <t>Adam Hadley, PE:</t>
        </r>
        <r>
          <rPr>
            <sz val="8"/>
            <color indexed="81"/>
            <rFont val="Tahoma"/>
            <family val="2"/>
          </rPr>
          <t xml:space="preserve">
Don't copy all the way down
</t>
        </r>
      </text>
    </comment>
    <comment ref="CT6" authorId="0">
      <text>
        <r>
          <rPr>
            <b/>
            <sz val="8"/>
            <color indexed="81"/>
            <rFont val="Tahoma"/>
            <family val="2"/>
          </rPr>
          <t>Adam Hadley, PE:</t>
        </r>
        <r>
          <rPr>
            <sz val="8"/>
            <color indexed="81"/>
            <rFont val="Tahoma"/>
            <family val="2"/>
          </rPr>
          <t xml:space="preserve">
Don't copy all the way down
</t>
        </r>
      </text>
    </comment>
    <comment ref="K48" authorId="0">
      <text>
        <r>
          <rPr>
            <b/>
            <sz val="8"/>
            <color indexed="81"/>
            <rFont val="Tahoma"/>
            <family val="2"/>
          </rPr>
          <t>Adam Hadley, PE:</t>
        </r>
        <r>
          <rPr>
            <sz val="8"/>
            <color indexed="81"/>
            <rFont val="Tahoma"/>
            <family val="2"/>
          </rPr>
          <t xml:space="preserve">
=IF(K$5="pre",hpmid5bytype("Standard",VLOOKUP($F48,HPinputs,hspfMid,FALSE), VLOOKUP($F48,HPinputs,hspfLow,FALSE),VLOOKUP($F48,HPinputs,hspfHigh,FALSE),VLOOKUP(K$3&amp;K$2&amp;"hLa"&amp;$B48&amp;K$5,SEEMOutput,11,FALSE),VLOOKUP(K$3&amp;K$2&amp;"hLb"&amp;$B48&amp;K$5,SEEMOutput,11,FALSE),VLOOKUP(K$3&amp;K$2&amp;"hLc"&amp;$B48&amp;K$5,SEEMOutput,11,FALSE), VLOOKUP(K$3&amp;K$2&amp;"hLd"&amp;$B48&amp;K$5,SEEMOutput,11,FALSE), VLOOKUP(K$3&amp;K$2&amp;"hLe"&amp;$B48&amp;K$5,SEEMOutput,11,FALSE),VLOOKUP(K$3&amp;K$2&amp;"hHa"&amp;$B48&amp;K$5,SEEMOutput,11,FALSE),VLOOKUP(K$3&amp;K$2&amp;"hHb"&amp;$B48&amp;K$5,SEEMOutput,11,FALSE),VLOOKUP(K$3&amp;K$2&amp;"hHc"&amp;$B48&amp;K$5,SEEMOutput,11,FALSE), VLOOKUP(K$3&amp;K$2&amp;"hHd"&amp;$B48&amp;K$5,SEEMOutput,11,FALSE), VLOOKUP(K$3&amp;K$2&amp;"hHe"&amp;$B48&amp;K$5,SEEMOutput,11,FALSE)),IF(K$5="pst",hpmid5bytype("Standard",VLOOKUP($G48,HPinputs,hspfMid,FALSE), VLOOKUP($G48,HPinputs,hspfLow,FALSE),VLOOKUP($G48,HPinputs,hspfHigh,FALSE),VLOOKUP(K$3&amp;K$2&amp;"hLa"&amp;$B48&amp;K$5,SEEMOutput,11,FALSE),VLOOKUP(K$3&amp;K$2&amp;"hLb"&amp;$B48&amp;K$5,SEEMOutput,11,FALSE),VLOOKUP(K$3&amp;K$2&amp;"hLc"&amp;$B48&amp;K$5,SEEMOutput,11,FALSE), VLOOKUP(K$3&amp;K$2&amp;"hLd"&amp;$B48&amp;K$5,SEEMOutput,11,FALSE), VLOOKUP(K$3&amp;K$2&amp;"hLe"&amp;$B48&amp;K$5,SEEMOutput,11,FALSE),VLOOKUP(K$3&amp;K$2&amp;"hHa"&amp;$B48&amp;K$5,SEEMOutput,11,FALSE),VLOOKUP(K$3&amp;K$2&amp;"hHb"&amp;$B48&amp;K$5,SEEMOutput,11,FALSE),VLOOKUP(K$3&amp;K$2&amp;"hHc"&amp;$B48&amp;K$5,SEEMOutput,11,FALSE), VLOOKUP(K$3&amp;K$2&amp;"hHd"&amp;$B48&amp;K$5,SEEMOutput,11,FALSE), VLOOKUP(K$3&amp;K$2&amp;"hHe"&amp;$B48&amp;K$5,SEEMOutput,11,FALSE)),"error"))</t>
        </r>
      </text>
    </comment>
    <comment ref="CU48" authorId="0">
      <text>
        <r>
          <rPr>
            <b/>
            <sz val="8"/>
            <color indexed="81"/>
            <rFont val="Tahoma"/>
            <family val="2"/>
          </rPr>
          <t>Adam Hadley, PE:</t>
        </r>
        <r>
          <rPr>
            <sz val="8"/>
            <color indexed="81"/>
            <rFont val="Tahoma"/>
            <family val="2"/>
          </rPr>
          <t xml:space="preserve">
=IF(CU$5="pre",IF($F48="7.7/13",VLOOKUP(CU$3&amp;CU$2&amp;"hHa"&amp;$B48&amp;CU$5,SEEMOutput,17,FALSE),IF(OR($F48="8.5/13",$F48="8.2/13"),VLOOKUP(CU$3&amp;CU$2&amp;"hLa"&amp;$B48&amp;CU$5,SEEMOutput,17,FALSE),IF($F48="9.0/14",VLOOKUP(CU$3&amp;CU$2&amp;"hHa"&amp;$B48&amp;CU$5,SEEMOutput,17,FALSE)*Constants!$I$168,"error"))),IF(CU$5="pst",IF($G48="7.7/13",VLOOKUP(CU$3&amp;CU$2&amp;"hHa"&amp;$B48&amp;CU$5,SEEMOutput,17,FALSE),IF(OR($G48="8.5/13",$G48="8.2/13"),VLOOKUP(CU$3&amp;CU$2&amp;"hLa"&amp;$B48&amp;CU$5,SEEMOutput,17,FALSE),IF($G48="9.0/14",VLOOKUP(CU$3&amp;CU$2&amp;"hHa"&amp;$B48&amp;CU$5,SEEMOutput,17,FALSE)*Constants!$I$168,"error"))),"error2"))</t>
        </r>
      </text>
    </comment>
    <comment ref="K51" authorId="0">
      <text>
        <r>
          <rPr>
            <b/>
            <sz val="8"/>
            <color indexed="81"/>
            <rFont val="Tahoma"/>
            <family val="2"/>
          </rPr>
          <t>Adam Hadley, PE:</t>
        </r>
        <r>
          <rPr>
            <sz val="8"/>
            <color indexed="81"/>
            <rFont val="Tahoma"/>
            <family val="2"/>
          </rPr>
          <t xml:space="preserve">
=IF(K$5="pre",N48,IF(K$5="pst",hpmid5bytype($G51,VLOOKUP(HSPFseer,HPinputs,hspfMid,FALSE), VLOOKUP(HSPFseer,HPinputs,hspfLow,FALSE),VLOOKUP(HSPFseer,HPinputs,hspfHigh,FALSE),VLOOKUP(K$3&amp;K$2&amp;"hLaCEcase",SEEMOutput,11,FALSE),VLOOKUP(K$3&amp;K$2&amp;"hLbCEcase",SEEMOutput,11,FALSE),VLOOKUP(K$3&amp;K$2&amp;"hLcCEcase",SEEMOutput,11,FALSE), VLOOKUP(K$3&amp;K$2&amp;"hLdCEcase",SEEMOutput,11,FALSE), VLOOKUP(K$3&amp;K$2&amp;"hLeCEcase",SEEMOutput,11,FALSE),VLOOKUP(K$3&amp;K$2&amp;"hHaCEcase",SEEMOutput,11,FALSE),VLOOKUP(K$3&amp;K$2&amp;"hHbCEcase",SEEMOutput,11,FALSE),VLOOKUP(K$3&amp;K$2&amp;"hHcCEcase",SEEMOutput,11,FALSE), VLOOKUP(K$3&amp;K$2&amp;"hHdCEcase",SEEMOutput,11,FALSE), VLOOKUP(K$3&amp;K$2&amp;"hHeCEcase",SEEMOutput,11,FALSE)),"error"))</t>
        </r>
      </text>
    </comment>
    <comment ref="CV51" authorId="1">
      <text>
        <r>
          <rPr>
            <b/>
            <sz val="8"/>
            <color indexed="81"/>
            <rFont val="Tahoma"/>
            <family val="2"/>
          </rPr>
          <t>Adam Hadley:</t>
        </r>
        <r>
          <rPr>
            <sz val="8"/>
            <color indexed="81"/>
            <rFont val="Tahoma"/>
            <family val="2"/>
          </rPr>
          <t xml:space="preserve">
=IF(HSPFseer="7.7/13",VLOOKUP(CV$3&amp;CV$2&amp;"hHaCEcase",SEEMOutput,17,FALSE),IF(HSPFseer="8.5/13",VLOOKUP(CV$3&amp;CV$2&amp;"hLaCEcase",SEEMOutput,17,FALSE),IF(HSPFseer="9.0/14",VLOOKUP(CV$3&amp;CV$2&amp;"hHaCEcase",SEEMOutput,17,FALSE)*Constants!J212,"error")))</t>
        </r>
      </text>
    </comment>
  </commentList>
</comments>
</file>

<file path=xl/comments8.xml><?xml version="1.0" encoding="utf-8"?>
<comments xmlns="http://schemas.openxmlformats.org/spreadsheetml/2006/main">
  <authors>
    <author>Tina Jayaweera</author>
  </authors>
  <commentList>
    <comment ref="C2" authorId="0">
      <text>
        <r>
          <rPr>
            <b/>
            <sz val="9"/>
            <color indexed="81"/>
            <rFont val="Tahoma"/>
            <family val="2"/>
          </rPr>
          <t>Tina Jayaweera:</t>
        </r>
        <r>
          <rPr>
            <sz val="9"/>
            <color indexed="81"/>
            <rFont val="Tahoma"/>
            <family val="2"/>
          </rPr>
          <t xml:space="preserve">
% of homes fitting in prototype</t>
        </r>
      </text>
    </comment>
  </commentList>
</comments>
</file>

<file path=xl/sharedStrings.xml><?xml version="1.0" encoding="utf-8"?>
<sst xmlns="http://schemas.openxmlformats.org/spreadsheetml/2006/main" count="14787" uniqueCount="1778">
  <si>
    <t>Data Set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</si>
  <si>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</si>
  <si>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</si>
  <si>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</si>
  <si>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</si>
  <si>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</si>
  <si>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</si>
  <si>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</si>
  <si>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</si>
  <si>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</si>
  <si>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</si>
  <si>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</si>
  <si>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</si>
  <si>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</si>
  <si>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</si>
  <si>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</si>
  <si>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</si>
  <si>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</si>
  <si>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</si>
  <si>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</si>
  <si>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Concatenate</t>
  </si>
  <si>
    <t>Measure  Index</t>
  </si>
  <si>
    <t>ResWX</t>
  </si>
  <si>
    <t>Segment</t>
  </si>
  <si>
    <t>Vintage</t>
  </si>
  <si>
    <t>Single Family</t>
  </si>
  <si>
    <t>FloorSqft</t>
  </si>
  <si>
    <t>WindowSqft</t>
  </si>
  <si>
    <t>AtticSqft</t>
  </si>
  <si>
    <t>Measure Index Name</t>
  </si>
  <si>
    <t>Shaped Savings Results; By Category and sorted by TRC BC ratio</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</si>
  <si>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</si>
  <si>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</si>
  <si>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</si>
  <si>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</si>
  <si>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</si>
  <si>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</si>
  <si>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</si>
  <si>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</si>
  <si>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</si>
  <si>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</si>
  <si>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</si>
  <si>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</si>
  <si>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</si>
  <si>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</si>
  <si>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</si>
  <si>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</si>
  <si>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</si>
  <si>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</si>
  <si>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</si>
  <si>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</si>
  <si>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</si>
  <si>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</si>
  <si>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</si>
  <si>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</si>
  <si>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</si>
  <si>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Floor</t>
  </si>
  <si>
    <t>Attic</t>
  </si>
  <si>
    <t>Infiltration</t>
  </si>
  <si>
    <t>HZ1</t>
  </si>
  <si>
    <t>HZ2</t>
  </si>
  <si>
    <t>HZ3</t>
  </si>
  <si>
    <t>Wall</t>
  </si>
  <si>
    <t>Wallsqft</t>
  </si>
  <si>
    <t/>
  </si>
  <si>
    <t>ATTIC R0 - R38</t>
  </si>
  <si>
    <t>ATTIC R0 - R49</t>
  </si>
  <si>
    <t>ATTIC R19 - R38</t>
  </si>
  <si>
    <t>ATTIC R19 - R49</t>
  </si>
  <si>
    <t>WALL R0 - R11</t>
  </si>
  <si>
    <t>FLOOR R0 - R19</t>
  </si>
  <si>
    <t>FLOOR R0 - R30</t>
  </si>
  <si>
    <t>WINDOW CL30 Prime Window Replacement of Single Pane Base</t>
  </si>
  <si>
    <t>WINDOW CL30 Prime Window Replacement of Double Pane Base</t>
  </si>
  <si>
    <t>WINDOW CL22 Prime Window Replacement of Single Pane Base</t>
  </si>
  <si>
    <t>WINDOW CL22 Prime Window Replacement of Double Pane Base</t>
  </si>
  <si>
    <t>Electric FAF</t>
  </si>
  <si>
    <t>Electric Zonal</t>
  </si>
  <si>
    <t>Heat Pump</t>
  </si>
  <si>
    <t>Apply per Home saturations to adjust savings &amp; cost</t>
  </si>
  <si>
    <t>Methodology</t>
  </si>
  <si>
    <t>Retrofit</t>
  </si>
  <si>
    <t>Retro</t>
  </si>
  <si>
    <t>Measure Bundle</t>
  </si>
  <si>
    <t>Report Year</t>
  </si>
  <si>
    <t>Multifamily - Low Rise</t>
  </si>
  <si>
    <t>Multifamily - High Rise</t>
  </si>
  <si>
    <t>Manufactured</t>
  </si>
  <si>
    <t>REG_TOTAL_STOCK_# HOMES</t>
  </si>
  <si>
    <t>Total Regional Stock</t>
  </si>
  <si>
    <t>Applicability</t>
  </si>
  <si>
    <t>Achievability =&gt;</t>
  </si>
  <si>
    <t>Homes Treated Max</t>
  </si>
  <si>
    <t>SUPPLY CURVE SAVINGS BY BUNDLE</t>
  </si>
  <si>
    <t>kWh per home</t>
  </si>
  <si>
    <t>lvlcost</t>
  </si>
  <si>
    <t>segment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</si>
  <si>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</si>
  <si>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</si>
  <si>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</si>
  <si>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</si>
  <si>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</si>
  <si>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</si>
  <si>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</si>
  <si>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</si>
  <si>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</si>
  <si>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</si>
  <si>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</si>
  <si>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</si>
  <si>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</si>
  <si>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</si>
  <si>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</si>
  <si>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</si>
  <si>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</si>
  <si>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</si>
  <si>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</si>
  <si>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</si>
  <si>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</si>
  <si>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</si>
  <si>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</si>
  <si>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</si>
  <si>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</si>
  <si>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</si>
  <si>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</si>
  <si>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</si>
  <si>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</si>
  <si>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</si>
  <si>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</si>
  <si>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</si>
  <si>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</si>
  <si>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</si>
  <si>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</si>
  <si>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</si>
  <si>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</si>
  <si>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</si>
  <si>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</si>
  <si>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</si>
  <si>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</si>
  <si>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</si>
  <si>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</si>
  <si>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</si>
  <si>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</si>
  <si>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</si>
  <si>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</si>
  <si>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</si>
  <si>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</si>
  <si>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</si>
  <si>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</si>
  <si>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</si>
  <si>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</si>
  <si>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</si>
  <si>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</si>
  <si>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</si>
  <si>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</si>
  <si>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</si>
  <si>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</si>
  <si>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</si>
  <si>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</si>
  <si>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</si>
  <si>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</si>
  <si>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</si>
  <si>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</si>
  <si>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&gt; 200 mills/kWh</t>
  </si>
  <si>
    <t>&gt;200</t>
  </si>
  <si>
    <t>&lt;=9999</t>
  </si>
  <si>
    <t>RECOMBINE MEASURE BUNDLES INTO SUPPLY CURVE INCREMENTAL</t>
  </si>
  <si>
    <t>siteid</t>
  </si>
  <si>
    <t>WA</t>
  </si>
  <si>
    <t>OR</t>
  </si>
  <si>
    <t>ID</t>
  </si>
  <si>
    <t>MT</t>
  </si>
  <si>
    <t>R0</t>
  </si>
  <si>
    <t>R19</t>
  </si>
  <si>
    <t>R30</t>
  </si>
  <si>
    <t>Windows</t>
  </si>
  <si>
    <t>Double</t>
  </si>
  <si>
    <t>PTCS</t>
  </si>
  <si>
    <t>0.35 ACHn</t>
  </si>
  <si>
    <t>Htg System</t>
  </si>
  <si>
    <t>FAF</t>
  </si>
  <si>
    <t>DHP</t>
  </si>
  <si>
    <t>Zonal</t>
  </si>
  <si>
    <t>Single</t>
  </si>
  <si>
    <t>Weighting</t>
  </si>
  <si>
    <t>Slab</t>
  </si>
  <si>
    <t>Crawlspace</t>
  </si>
  <si>
    <t>Prototype</t>
  </si>
  <si>
    <t>AtticInsLvl</t>
  </si>
  <si>
    <t>AtticInsCond</t>
  </si>
  <si>
    <t>AtticArea</t>
  </si>
  <si>
    <t>AtticEstImprovement</t>
  </si>
  <si>
    <t>AtticInsType</t>
  </si>
  <si>
    <t>Blown Cellulose</t>
  </si>
  <si>
    <t>Blown Rock Wool</t>
  </si>
  <si>
    <t>Batt Fiberglass</t>
  </si>
  <si>
    <t>R11-R15</t>
  </si>
  <si>
    <t>Mixed</t>
  </si>
  <si>
    <t>R16-R20</t>
  </si>
  <si>
    <t>Other</t>
  </si>
  <si>
    <t>Blown FB</t>
  </si>
  <si>
    <t>R21-25</t>
  </si>
  <si>
    <t>R26-R30</t>
  </si>
  <si>
    <t>R31-R40</t>
  </si>
  <si>
    <t>R41-R50</t>
  </si>
  <si>
    <t>R50+</t>
  </si>
  <si>
    <t>2x8</t>
  </si>
  <si>
    <t>Batt (other)</t>
  </si>
  <si>
    <t>Row Labels</t>
  </si>
  <si>
    <t>Grand Total</t>
  </si>
  <si>
    <t>Column Labels</t>
  </si>
  <si>
    <t>(blank)</t>
  </si>
  <si>
    <t>u_window</t>
  </si>
  <si>
    <t>Average of u_window</t>
  </si>
  <si>
    <t>HVAC</t>
  </si>
  <si>
    <t>Apply Weighting by heating zone</t>
  </si>
  <si>
    <t>Region</t>
  </si>
  <si>
    <t>R0 - R19</t>
  </si>
  <si>
    <t>ATTIC R0 - R38_Electric FAF</t>
  </si>
  <si>
    <t>ATTIC R0 - R49_Electric FAF</t>
  </si>
  <si>
    <t>ATTIC R19 - R38_Electric FAF</t>
  </si>
  <si>
    <t>ATTIC R19 - R49_Electric FAF</t>
  </si>
  <si>
    <t>WALL R0 - R11_Electric FAF</t>
  </si>
  <si>
    <t>FLOOR R0 - R19_Electric FAF</t>
  </si>
  <si>
    <t>FLOOR R0 - R30_Electric FAF</t>
  </si>
  <si>
    <t>WINDOW CL30 Prime Window Replacement of Single Pane Base_Electric FAF</t>
  </si>
  <si>
    <t>WINDOW CL30 Prime Window Replacement of Double Pane Base_Electric FAF</t>
  </si>
  <si>
    <t>WINDOW CL22 Prime Window Replacement of Single Pane Base_Electric FAF</t>
  </si>
  <si>
    <t>WINDOW CL22 Prime Window Replacement of Double Pane Base_Electric FAF</t>
  </si>
  <si>
    <t>ATTIC R0 - R38_Electric Zonal</t>
  </si>
  <si>
    <t>ATTIC R0 - R49_Electric Zonal</t>
  </si>
  <si>
    <t>ATTIC R19 - R38_Electric Zonal</t>
  </si>
  <si>
    <t>ATTIC R19 - R49_Electric Zonal</t>
  </si>
  <si>
    <t>WALL R0 - R11_Electric Zonal</t>
  </si>
  <si>
    <t>FLOOR R0 - R19_Electric Zonal</t>
  </si>
  <si>
    <t>FLOOR R0 - R30_Electric Zonal</t>
  </si>
  <si>
    <t>WINDOW CL30 Prime Window Replacement of Single Pane Base_Electric Zonal</t>
  </si>
  <si>
    <t>WINDOW CL30 Prime Window Replacement of Double Pane Base_Electric Zonal</t>
  </si>
  <si>
    <t>WINDOW CL22 Prime Window Replacement of Single Pane Base_Electric Zonal</t>
  </si>
  <si>
    <t>WINDOW CL22 Prime Window Replacement of Double Pane Base_Electric Zonal</t>
  </si>
  <si>
    <t>ATTIC R0 - R38_Heat Pump</t>
  </si>
  <si>
    <t>ATTIC R0 - R49_Heat Pump</t>
  </si>
  <si>
    <t>ATTIC R19 - R38_Heat Pump</t>
  </si>
  <si>
    <t>ATTIC R19 - R49_Heat Pump</t>
  </si>
  <si>
    <t>WALL R0 - R11_Heat Pump</t>
  </si>
  <si>
    <t>FLOOR R0 - R19_Heat Pump</t>
  </si>
  <si>
    <t>FLOOR R0 - R30_Heat Pump</t>
  </si>
  <si>
    <t>WINDOW CL30 Prime Window Replacement of Single Pane Base_Heat Pump</t>
  </si>
  <si>
    <t>WINDOW CL30 Prime Window Replacement of Double Pane Base_Heat Pump</t>
  </si>
  <si>
    <t>WINDOW CL22 Prime Window Replacement of Single Pane Base_Heat Pump</t>
  </si>
  <si>
    <t>WINDOW CL22 Prime Window Replacement of Double Pane Base_Heat Pump</t>
  </si>
  <si>
    <t>R38max</t>
  </si>
  <si>
    <t>R49max</t>
  </si>
  <si>
    <t>Values</t>
  </si>
  <si>
    <t>CL22</t>
  </si>
  <si>
    <t>CL35</t>
  </si>
  <si>
    <t>Metal</t>
  </si>
  <si>
    <t>Wood-Vinyl-Fiberglass</t>
  </si>
  <si>
    <t>StdFloorInsulation</t>
  </si>
  <si>
    <t>StdFloorInsulationCondition</t>
  </si>
  <si>
    <t>CrawlWallInsulated</t>
  </si>
  <si>
    <t>CrawlWallInsLevel</t>
  </si>
  <si>
    <t>CrawlVentsPresent</t>
  </si>
  <si>
    <t>CrawlVentsBlocked</t>
  </si>
  <si>
    <t>CrawlArea</t>
  </si>
  <si>
    <t>CrawlFraming</t>
  </si>
  <si>
    <t>CrawlJoistSize</t>
  </si>
  <si>
    <t>CrawlMoreInsulation</t>
  </si>
  <si>
    <t>Post and beam</t>
  </si>
  <si>
    <t>False</t>
  </si>
  <si>
    <t>R12-R20</t>
  </si>
  <si>
    <t>2x6</t>
  </si>
  <si>
    <t>True</t>
  </si>
  <si>
    <t>Joist</t>
  </si>
  <si>
    <t>2x10</t>
  </si>
  <si>
    <t>R16-R22</t>
  </si>
  <si>
    <t>R23-R27</t>
  </si>
  <si>
    <t>2x12</t>
  </si>
  <si>
    <t>R28-R35</t>
  </si>
  <si>
    <t>R4-R10</t>
  </si>
  <si>
    <t>None</t>
  </si>
  <si>
    <t>R3-R11</t>
  </si>
  <si>
    <t>2x10 Total</t>
  </si>
  <si>
    <t>2x12 Total</t>
  </si>
  <si>
    <t>2x6 Total</t>
  </si>
  <si>
    <t>2x8 Total</t>
  </si>
  <si>
    <t>at least 2x8, false to R30</t>
  </si>
  <si>
    <t>at least 2x10 True to R30</t>
  </si>
  <si>
    <t>='[7P Forecasts D1.xlsx]Res Forecast (Base Case)'!$D$5</t>
  </si>
  <si>
    <t># HOMES</t>
  </si>
  <si>
    <t>Portion of region</t>
  </si>
  <si>
    <t>Space</t>
  </si>
  <si>
    <t>HZ</t>
  </si>
  <si>
    <t>CONCATENATE</t>
  </si>
  <si>
    <t>Item</t>
  </si>
  <si>
    <t>Methods &amp; Sources</t>
  </si>
  <si>
    <t>Note</t>
  </si>
  <si>
    <t>Measures Described</t>
  </si>
  <si>
    <t>Energy Savings Calculation Basis</t>
  </si>
  <si>
    <t>Applicable Stock</t>
  </si>
  <si>
    <t>Baseline Saturation</t>
  </si>
  <si>
    <t>Permutations</t>
  </si>
  <si>
    <t>Costs</t>
  </si>
  <si>
    <t>Measure Life</t>
  </si>
  <si>
    <t>Savings Shape</t>
  </si>
  <si>
    <t>savingsYear</t>
  </si>
  <si>
    <t>Sector</t>
  </si>
  <si>
    <t>Residential</t>
  </si>
  <si>
    <t>From 6 going on 7 workbook</t>
  </si>
  <si>
    <t>Prototype (house size)</t>
  </si>
  <si>
    <t>Wx, etc.</t>
  </si>
  <si>
    <t>Heating System Type</t>
  </si>
  <si>
    <t>Heating Zone 1</t>
  </si>
  <si>
    <t>Heating Zone 2</t>
  </si>
  <si>
    <t>Heating Zone 3</t>
  </si>
  <si>
    <t>Measure:</t>
  </si>
  <si>
    <t>7P Updates</t>
  </si>
  <si>
    <t>Baseline HVAC Loads</t>
  </si>
  <si>
    <t>Achievability Ramp Rate</t>
  </si>
  <si>
    <t>Attic, floor, wall Insulation, window, and infiltration improvements</t>
  </si>
  <si>
    <t>SEEM models</t>
  </si>
  <si>
    <t>RBSA based on existing levels of insulation (grouped)</t>
  </si>
  <si>
    <t>ETO database</t>
  </si>
  <si>
    <t>RTF assumptions</t>
  </si>
  <si>
    <t>Wx programs have had long duration</t>
  </si>
  <si>
    <t>6P used 15yr retro</t>
  </si>
  <si>
    <t>Somewhat new increments based on RTF work</t>
  </si>
  <si>
    <t>Retro or LO</t>
  </si>
  <si>
    <t>Early Retrofit Parameters</t>
  </si>
  <si>
    <t>R or L</t>
  </si>
  <si>
    <t>Savings 2
(kWh)</t>
  </si>
  <si>
    <t>Remaining
Life (yrs)</t>
  </si>
  <si>
    <t>Salvage Value ($)</t>
  </si>
  <si>
    <t>R</t>
  </si>
  <si>
    <t>PROGRAMCODE</t>
  </si>
  <si>
    <t>MEASURECODE</t>
  </si>
  <si>
    <t>MEASUREDESC</t>
  </si>
  <si>
    <t>MEASUREID</t>
  </si>
  <si>
    <t>RECOGNIZEDT</t>
  </si>
  <si>
    <t>KWHANNUAL</t>
  </si>
  <si>
    <t>THERMANNUAL</t>
  </si>
  <si>
    <t>ETOINCENTIVE</t>
  </si>
  <si>
    <t>COSTINSTALL</t>
  </si>
  <si>
    <t>SQ_FT</t>
  </si>
  <si>
    <t>Cost/Sq Ft</t>
  </si>
  <si>
    <t>BEGIN_R</t>
  </si>
  <si>
    <t>END_R</t>
  </si>
  <si>
    <t>Cost/SF/R</t>
  </si>
  <si>
    <t>MHS</t>
  </si>
  <si>
    <t>MFINSCEILE</t>
  </si>
  <si>
    <t>MF Ceiling/Attic Insulation, R-0 to R-18 existing to R-38, Ele H</t>
  </si>
  <si>
    <t>M00000267999</t>
  </si>
  <si>
    <t>M00000268008</t>
  </si>
  <si>
    <t>M00000272198</t>
  </si>
  <si>
    <t>M00000282970</t>
  </si>
  <si>
    <t>M00000291043</t>
  </si>
  <si>
    <t>M00000300596</t>
  </si>
  <si>
    <t>M00000300610</t>
  </si>
  <si>
    <t>M00000301611</t>
  </si>
  <si>
    <t>M00000301995</t>
  </si>
  <si>
    <t>M00000303827</t>
  </si>
  <si>
    <t>M00000303833</t>
  </si>
  <si>
    <t>M00000309425</t>
  </si>
  <si>
    <t>M00000310232</t>
  </si>
  <si>
    <t>M00000314637</t>
  </si>
  <si>
    <t>M00000314813</t>
  </si>
  <si>
    <t>M00000321029</t>
  </si>
  <si>
    <t>M00000321084</t>
  </si>
  <si>
    <t>M00000321869</t>
  </si>
  <si>
    <t>M00000324240</t>
  </si>
  <si>
    <t>M00000325997</t>
  </si>
  <si>
    <t>M00000326010</t>
  </si>
  <si>
    <t>M00000326022</t>
  </si>
  <si>
    <t>M00000327809</t>
  </si>
  <si>
    <t>M00000328112</t>
  </si>
  <si>
    <t>M00000328114</t>
  </si>
  <si>
    <t>M00000328118</t>
  </si>
  <si>
    <t>M00000328122</t>
  </si>
  <si>
    <t>M00000328126</t>
  </si>
  <si>
    <t>M00000328130</t>
  </si>
  <si>
    <t>M00000328134</t>
  </si>
  <si>
    <t>M00000330691</t>
  </si>
  <si>
    <t>M00000331430</t>
  </si>
  <si>
    <t>M00000331478</t>
  </si>
  <si>
    <t>M00000331551</t>
  </si>
  <si>
    <t>M00000331574</t>
  </si>
  <si>
    <t>M00000331715</t>
  </si>
  <si>
    <t>M00000333357</t>
  </si>
  <si>
    <t>M00000339674</t>
  </si>
  <si>
    <t>M00000349919</t>
  </si>
  <si>
    <t>M00000350112</t>
  </si>
  <si>
    <t>M00000350246</t>
  </si>
  <si>
    <t>M00000356991</t>
  </si>
  <si>
    <t>M00000364710</t>
  </si>
  <si>
    <t>M00000371573</t>
  </si>
  <si>
    <t>M00000375608</t>
  </si>
  <si>
    <t>MFINSCEILG</t>
  </si>
  <si>
    <t>MF Ceiling/Attic Insulation, R-0 to R-18 existing to R-38, Gas H</t>
  </si>
  <si>
    <t>M00000277131</t>
  </si>
  <si>
    <t>M00000307682</t>
  </si>
  <si>
    <t>M00000308314</t>
  </si>
  <si>
    <t>M00000327730</t>
  </si>
  <si>
    <t>M00000328106</t>
  </si>
  <si>
    <t>M00000354989</t>
  </si>
  <si>
    <t>M00000356026</t>
  </si>
  <si>
    <t>M00000356036</t>
  </si>
  <si>
    <t>M00000358013</t>
  </si>
  <si>
    <t>M00000363790</t>
  </si>
  <si>
    <t>M00000365376</t>
  </si>
  <si>
    <t>MFINSFLOORE</t>
  </si>
  <si>
    <t>MF Floor Insulation, R-0 to R-11 existing to R-25, Ele Heat</t>
  </si>
  <si>
    <t>M00000276113</t>
  </si>
  <si>
    <t>M00000282961</t>
  </si>
  <si>
    <t>M00000282969</t>
  </si>
  <si>
    <t>M00000291046</t>
  </si>
  <si>
    <t>M00000299124</t>
  </si>
  <si>
    <t>M00000300597</t>
  </si>
  <si>
    <t>M00000300601</t>
  </si>
  <si>
    <t>M00000300611</t>
  </si>
  <si>
    <t>M00000301612</t>
  </si>
  <si>
    <t>M00000301996</t>
  </si>
  <si>
    <t>M00000303825</t>
  </si>
  <si>
    <t>M00000308187</t>
  </si>
  <si>
    <t>M00000309424</t>
  </si>
  <si>
    <t>M00000314814</t>
  </si>
  <si>
    <t>M00000315713</t>
  </si>
  <si>
    <t>M00000321030</t>
  </si>
  <si>
    <t>M00000321085</t>
  </si>
  <si>
    <t>M00000321874</t>
  </si>
  <si>
    <t>M00000323121</t>
  </si>
  <si>
    <t>M00000324241</t>
  </si>
  <si>
    <t>M00000325998</t>
  </si>
  <si>
    <t>M00000326013</t>
  </si>
  <si>
    <t>M00000328111</t>
  </si>
  <si>
    <t>M00000328115</t>
  </si>
  <si>
    <t>M00000328119</t>
  </si>
  <si>
    <t>M00000328123</t>
  </si>
  <si>
    <t>M00000328127</t>
  </si>
  <si>
    <t>M00000328131</t>
  </si>
  <si>
    <t>M00000328135</t>
  </si>
  <si>
    <t>M00000328143</t>
  </si>
  <si>
    <t>M00000328144</t>
  </si>
  <si>
    <t>M00000328146</t>
  </si>
  <si>
    <t>M00000330692</t>
  </si>
  <si>
    <t>M00000331431</t>
  </si>
  <si>
    <t>M00000331550</t>
  </si>
  <si>
    <t>M00000331714</t>
  </si>
  <si>
    <t>M00000333356</t>
  </si>
  <si>
    <t>M00000349581</t>
  </si>
  <si>
    <t>M00000349921</t>
  </si>
  <si>
    <t>M00000350113</t>
  </si>
  <si>
    <t>M00000350247</t>
  </si>
  <si>
    <t>M00000364711</t>
  </si>
  <si>
    <t>MFINSFLOORG</t>
  </si>
  <si>
    <t>MF Floor Insulation, R-0 to R-11 existing to R-25, Gas Heat</t>
  </si>
  <si>
    <t>M00000274213</t>
  </si>
  <si>
    <t>M00000308243</t>
  </si>
  <si>
    <t>M00000308315</t>
  </si>
  <si>
    <t>M00000327731</t>
  </si>
  <si>
    <t>M00000328105</t>
  </si>
  <si>
    <t>MFINSWALLE</t>
  </si>
  <si>
    <t>MF Wall Insulation, R-0 to R-4 existing to R-21, Ele Heat</t>
  </si>
  <si>
    <t>M00000291044</t>
  </si>
  <si>
    <t>M00000300598</t>
  </si>
  <si>
    <t>M00000328152</t>
  </si>
  <si>
    <t>M00000331432</t>
  </si>
  <si>
    <t>M00000331575</t>
  </si>
  <si>
    <t>Cost/SF</t>
  </si>
  <si>
    <t>Mean</t>
  </si>
  <si>
    <t>Median</t>
  </si>
  <si>
    <t>GDP Deflator</t>
  </si>
  <si>
    <t>Incremental R</t>
  </si>
  <si>
    <t>2007$ Cost/SF</t>
  </si>
  <si>
    <t>R19 - R30</t>
  </si>
  <si>
    <t>R30 - R38</t>
  </si>
  <si>
    <t>R38 - R49 Std</t>
  </si>
  <si>
    <t>???</t>
  </si>
  <si>
    <t>R-15</t>
  </si>
  <si>
    <t>2012$ Cost/SF</t>
  </si>
  <si>
    <t>Multi Family Weatherization - Insulate Walls - R-0 to R-11</t>
  </si>
  <si>
    <t>Multi Family Weatherization - Insulate Floors - R-0 to R-19</t>
  </si>
  <si>
    <t>Multi Family Weatherization - Insulate Floors - R-0 to R-30</t>
  </si>
  <si>
    <t>Multi Family Weatherization - Insulate Floors - R-19 to R-30</t>
  </si>
  <si>
    <t>Multi Family Weatherization - Insulate Attic - R-0 to R-19</t>
  </si>
  <si>
    <t>Multi Family Weatherization - Insulate Attic - R-0 to R-38</t>
  </si>
  <si>
    <t>Multi Family Weatherization - Insulate Attic - R-0 to R-49</t>
  </si>
  <si>
    <t>Multi Family Weatherization - Insulate Attic - R-30 to R-38</t>
  </si>
  <si>
    <t>Multi Family Weatherization - Insulate Attic - R-30 to R-49</t>
  </si>
  <si>
    <t>Multi Family Weatherization - Insulate Attic - R-38 to R-49</t>
  </si>
  <si>
    <t>Multi Family Weatherization - Insulate Attic - R-19 to R-30</t>
  </si>
  <si>
    <t>Multi Family Weatherization - Insulate Attic - R-19 to R-38</t>
  </si>
  <si>
    <t>Multi Family Weatherization - Insulate Attic - R-19 to R-49</t>
  </si>
  <si>
    <t>Windows - Single Pane to Class 22</t>
  </si>
  <si>
    <t>Windows - Double Pane to Class 22</t>
  </si>
  <si>
    <t>Windows - Single Pane to Class 30</t>
  </si>
  <si>
    <t>Windows - Double Pane to Class 30</t>
  </si>
  <si>
    <t>Windows - Class 35 to Class 30</t>
  </si>
  <si>
    <t>Windows - Class 35 to Class 22</t>
  </si>
  <si>
    <t>Savings Per Sq. Ft. by Heating Zone</t>
  </si>
  <si>
    <t>Multi Family Weatherization - Insulate Walls - R-0 to R-11 (Cost and Savings per square foot of component) - Average Heating System - Heating Zone 1</t>
  </si>
  <si>
    <t xml:space="preserve">  Weighted to Avg House Size</t>
  </si>
  <si>
    <t>Multi Family Weatherization - Insulate Walls - R-0 to R-11 - Heating Zone 1</t>
  </si>
  <si>
    <t>Infiltration Reduction - 0.1 ACHn reduction - Heating Zone 1 (Average Heating System)</t>
  </si>
  <si>
    <t>SAVINGS (kWh/yr/unit)</t>
  </si>
  <si>
    <t>measure ID</t>
  </si>
  <si>
    <t>Measure Type</t>
  </si>
  <si>
    <t>MeasureTypeNumber</t>
  </si>
  <si>
    <t>Pre</t>
  </si>
  <si>
    <t>Post</t>
  </si>
  <si>
    <t>Climate</t>
  </si>
  <si>
    <t>Heating</t>
  </si>
  <si>
    <t>Cooling</t>
  </si>
  <si>
    <t>Multi Family Weatherization - Insulate Walls - R-0 to R-11 - Heating Zone 1 (Average Heating System)</t>
  </si>
  <si>
    <t>Walls10</t>
  </si>
  <si>
    <t>Walls</t>
  </si>
  <si>
    <t>R-0</t>
  </si>
  <si>
    <t>R-11</t>
  </si>
  <si>
    <t>Average Heating System</t>
  </si>
  <si>
    <t>Multi Family Weatherization - Insulate BGWalls - R-0 to R-11 - Heating Zone 1 (Average Heating System)</t>
  </si>
  <si>
    <t>BGWal10</t>
  </si>
  <si>
    <t>BGWalls10</t>
  </si>
  <si>
    <t>BGWalls</t>
  </si>
  <si>
    <t>Multi Family Weatherization - Insulate Floors - R-0 to R-19 - Heating Zone 1 (Average Heating System)</t>
  </si>
  <si>
    <t>Floor10</t>
  </si>
  <si>
    <t>Floors10</t>
  </si>
  <si>
    <t>Floors</t>
  </si>
  <si>
    <t>R-19</t>
  </si>
  <si>
    <t>Areas (units)</t>
  </si>
  <si>
    <t>Ceiling</t>
  </si>
  <si>
    <t>DuctTightness</t>
  </si>
  <si>
    <t>DuctInsulation</t>
  </si>
  <si>
    <t>HeatPump</t>
  </si>
  <si>
    <t>HPCntrls</t>
  </si>
  <si>
    <t>Multi Family Weatherization - Insulate Floors - R-0 to R-25 - Heating Zone 1 (Average Heating System)</t>
  </si>
  <si>
    <t>Floor11</t>
  </si>
  <si>
    <t>Floors11</t>
  </si>
  <si>
    <t>R-25</t>
  </si>
  <si>
    <t>Multi Family Weatherization - Insulate Floors - R-0 to R-30 - Heating Zone 1 (Average Heating System)</t>
  </si>
  <si>
    <t>Floor12</t>
  </si>
  <si>
    <t>Floors12</t>
  </si>
  <si>
    <t>R-30</t>
  </si>
  <si>
    <t>Multi Family Weatherization - Insulate Floors - R-0 to R-38 - Heating Zone 1 (Average Heating System)</t>
  </si>
  <si>
    <t>Floor13</t>
  </si>
  <si>
    <t>Floors13</t>
  </si>
  <si>
    <t>R-38</t>
  </si>
  <si>
    <t>Multi Family Weatherization - Insulate Floors - R-19 to R-25 - Heating Zone 1 (Average Heating System)</t>
  </si>
  <si>
    <t>Floor14</t>
  </si>
  <si>
    <t>Floors14</t>
  </si>
  <si>
    <t>Average</t>
  </si>
  <si>
    <t>Multi Family Weatherization - Insulate Floors - R-19 to R-30 - Heating Zone 1 (Average Heating System)</t>
  </si>
  <si>
    <t>Floor15</t>
  </si>
  <si>
    <t>Floors15</t>
  </si>
  <si>
    <t>Multi Family Weatherization - Insulate Floors - R-19 to R-38 - Heating Zone 1 (Average Heating System)</t>
  </si>
  <si>
    <t>Floor16</t>
  </si>
  <si>
    <t>Floors16</t>
  </si>
  <si>
    <t>Multi Family Weatherization - Insulate Floors - R-11 to R-30 - Heating Zone 1 (Average Heating System)</t>
  </si>
  <si>
    <t>Floor17</t>
  </si>
  <si>
    <t>Floors17</t>
  </si>
  <si>
    <t>Floor18</t>
  </si>
  <si>
    <t>Floors18</t>
  </si>
  <si>
    <t>Multi Family Weatherization - Insulate Attic - R-0 to R-19 - Heating Zone 1 (Average Heating System)</t>
  </si>
  <si>
    <t>Ceili10</t>
  </si>
  <si>
    <t>Ceiling10</t>
  </si>
  <si>
    <t>Multi Family Weatherization - Insulate Attic - R-0 to R-38 - Heating Zone 1 (Average Heating System)</t>
  </si>
  <si>
    <t>Ceili11</t>
  </si>
  <si>
    <t>Ceiling11</t>
  </si>
  <si>
    <t>Multi Family Weatherization - Insulate Attic - R-0 to R-49 - Heating Zone 1 (Average Heating System)</t>
  </si>
  <si>
    <t>Ceili12</t>
  </si>
  <si>
    <t>Ceiling12</t>
  </si>
  <si>
    <t>R-49</t>
  </si>
  <si>
    <t>Multi Family Weatherization - Insulate Attic - R-30 to R-38 - Heating Zone 1 (Average Heating System)</t>
  </si>
  <si>
    <t>Ceili13</t>
  </si>
  <si>
    <t>Ceiling13</t>
  </si>
  <si>
    <t>Multi Family Weatherization - Insulate Attic - R-30 to R-49 - Heating Zone 1 (Average Heating System)</t>
  </si>
  <si>
    <t>Ceili14</t>
  </si>
  <si>
    <t>Ceiling14</t>
  </si>
  <si>
    <t>Multi Family Weatherization - Insulate Attic - R-19 to R-30 - Heating Zone 1 (Average Heating System)</t>
  </si>
  <si>
    <t>Ceili15</t>
  </si>
  <si>
    <t>Ceiling15</t>
  </si>
  <si>
    <t>Multi Family Weatherization - Insulate Attic - R-19 to R-38 - Heating Zone 1 (Average Heating System)</t>
  </si>
  <si>
    <t>Ceili16</t>
  </si>
  <si>
    <t>Ceiling16</t>
  </si>
  <si>
    <t>Multi Family Weatherization - Insulate Attic - R-19 to R-49 - Heating Zone 1 (Average Heating System)</t>
  </si>
  <si>
    <t>Ceili17</t>
  </si>
  <si>
    <t>Ceiling17</t>
  </si>
  <si>
    <t>Multi Family Weatherization - Insulate Attic - R-38 to R-49 - Heating Zone 1 (Average Heating System)</t>
  </si>
  <si>
    <t>Ceili18</t>
  </si>
  <si>
    <t>Ceiling18</t>
  </si>
  <si>
    <t>Windo10</t>
  </si>
  <si>
    <t>Windows10</t>
  </si>
  <si>
    <t>Class 85</t>
  </si>
  <si>
    <t>Class 35</t>
  </si>
  <si>
    <t>Windo11</t>
  </si>
  <si>
    <t>Windows11</t>
  </si>
  <si>
    <t>Class 30</t>
  </si>
  <si>
    <t>Windo12</t>
  </si>
  <si>
    <t>Windows12</t>
  </si>
  <si>
    <t>Class 25</t>
  </si>
  <si>
    <t>Windo13</t>
  </si>
  <si>
    <t>Windows13</t>
  </si>
  <si>
    <t>Class 20</t>
  </si>
  <si>
    <t>Windo14</t>
  </si>
  <si>
    <t>Windows14</t>
  </si>
  <si>
    <t>Class 15</t>
  </si>
  <si>
    <t>Windo15</t>
  </si>
  <si>
    <t>Windows15</t>
  </si>
  <si>
    <t>Class 50</t>
  </si>
  <si>
    <t>Windo16</t>
  </si>
  <si>
    <t>Windows16</t>
  </si>
  <si>
    <t>Windo17</t>
  </si>
  <si>
    <t>Windows17</t>
  </si>
  <si>
    <t>Windo18</t>
  </si>
  <si>
    <t>Windows18</t>
  </si>
  <si>
    <t>Windows - Class 35 to Class 22 - Heating Zone 1 (Average Heating System)</t>
  </si>
  <si>
    <t>Windo19</t>
  </si>
  <si>
    <t>Windows19</t>
  </si>
  <si>
    <t>Class 22</t>
  </si>
  <si>
    <t>Windows - Single Pane to Class 22 - Heating Zone 1 (Average Heating System)</t>
  </si>
  <si>
    <t>Windo20</t>
  </si>
  <si>
    <t>Windows20</t>
  </si>
  <si>
    <t>Single Pane</t>
  </si>
  <si>
    <t>Windows - Double Pane to Class 22 - Heating Zone 1 (Average Heating System)</t>
  </si>
  <si>
    <t>Windo21</t>
  </si>
  <si>
    <t>Windows21</t>
  </si>
  <si>
    <t>Double Pane</t>
  </si>
  <si>
    <t>Windows - Single Pane to Class 30 - Heating Zone 1 (Average Heating System)</t>
  </si>
  <si>
    <t>Windo22</t>
  </si>
  <si>
    <t>Windows22</t>
  </si>
  <si>
    <t>Windows - Double Pane to Class 30 - Heating Zone 1 (Average Heating System)</t>
  </si>
  <si>
    <t>Windo23</t>
  </si>
  <si>
    <t>Windows23</t>
  </si>
  <si>
    <t>Windows - Class 35 to Class 30 - Heating Zone 1 (Average Heating System)</t>
  </si>
  <si>
    <t>Windo24</t>
  </si>
  <si>
    <t>Windows24</t>
  </si>
  <si>
    <t>Infil10</t>
  </si>
  <si>
    <t>Infiltration10</t>
  </si>
  <si>
    <t>0.45 ACHn</t>
  </si>
  <si>
    <t>Infiltration Reduction - 0.45 ACHn to 0.20 ACHn - Heating Zone 1 (Average Heating System)</t>
  </si>
  <si>
    <t>Infil11</t>
  </si>
  <si>
    <t>Infiltration11</t>
  </si>
  <si>
    <t>0.20 ACHn</t>
  </si>
  <si>
    <t>Infiltration Reduction - 0.35 ACHn to 0.20 ACHn - Heating Zone 1 (Average Heating System)</t>
  </si>
  <si>
    <t>Infil12</t>
  </si>
  <si>
    <t>Infiltration12</t>
  </si>
  <si>
    <t>DuctTightness - Std-crawl to PTCS-crawl - Heating Zone 1 (Average Heating System)</t>
  </si>
  <si>
    <t>DuctT10</t>
  </si>
  <si>
    <t>DuctTightness10</t>
  </si>
  <si>
    <t>Std-crawl</t>
  </si>
  <si>
    <t>PTCS-crawl</t>
  </si>
  <si>
    <t>DuctInsulation - R-0 to R-4.2 - Heating Zone 1 (Average Heating System)</t>
  </si>
  <si>
    <t>DuctI10</t>
  </si>
  <si>
    <t>DuctInsulation10</t>
  </si>
  <si>
    <t>R-4.2</t>
  </si>
  <si>
    <t>DuctInsulation - R-0 to R-11 - Heating Zone 1 (Average Heating System)</t>
  </si>
  <si>
    <t>DuctI11</t>
  </si>
  <si>
    <t>DuctInsulation11</t>
  </si>
  <si>
    <t>DuctInsulation - R-4.2 to R-11 - Heating Zone 1 (Average Heating System)</t>
  </si>
  <si>
    <t>DuctI12</t>
  </si>
  <si>
    <t>DuctInsulation12</t>
  </si>
  <si>
    <t>HeatPump Upgrade - 7.7/13 to 8.5/13 - Heating Zone 1 (Average Heating System)</t>
  </si>
  <si>
    <t>HeatP10</t>
  </si>
  <si>
    <t>HeatPump10</t>
  </si>
  <si>
    <t>7.7/13</t>
  </si>
  <si>
    <t>8.5/13</t>
  </si>
  <si>
    <t>HeatPump Upgrade - 7.7/13 to 9.0/14 - Heating Zone 1 (Average Heating System)</t>
  </si>
  <si>
    <t>HeatP11</t>
  </si>
  <si>
    <t>HeatPump11</t>
  </si>
  <si>
    <t>9.0/14</t>
  </si>
  <si>
    <t>HeatPump Upgrade - 7.7/13 to 8.2/13 - Heating Zone 1 (Average Heating System)</t>
  </si>
  <si>
    <t>HeatP12</t>
  </si>
  <si>
    <t>HeatPump12</t>
  </si>
  <si>
    <t>8.2/13</t>
  </si>
  <si>
    <t>HPCntrls Upgrade - Standard to PTCS - Heating Zone 1 (Average Heating System)</t>
  </si>
  <si>
    <t>HPCnt10</t>
  </si>
  <si>
    <t>HPCntrls10</t>
  </si>
  <si>
    <t>Standard</t>
  </si>
  <si>
    <t>Multi Family Weatherization - Insulate Walls - R-0 to R-11 - Heating Zone 2 (Average Heating System)</t>
  </si>
  <si>
    <t>Multi Family Weatherization - Insulate BGWalls - R-0 to R-11 - Heating Zone 2 (Average Heating System)</t>
  </si>
  <si>
    <t>Multi Family Weatherization - Insulate Floors - R-0 to R-19 - Heating Zone 2 (Average Heating System)</t>
  </si>
  <si>
    <t>Multi Family Weatherization - Insulate Floors - R-0 to R-25 - Heating Zone 2 (Average Heating System)</t>
  </si>
  <si>
    <t>Multi Family Weatherization - Insulate Floors - R-0 to R-30 - Heating Zone 2 (Average Heating System)</t>
  </si>
  <si>
    <t>Multi Family Weatherization - Insulate Floors - R-0 to R-38 - Heating Zone 2 (Average Heating System)</t>
  </si>
  <si>
    <t>Multi Family Weatherization - Insulate Floors - R-19 to R-25 - Heating Zone 2 (Average Heating System)</t>
  </si>
  <si>
    <t>Multi Family Weatherization - Insulate Floors - R-19 to R-30 - Heating Zone 2 (Average Heating System)</t>
  </si>
  <si>
    <t>Multi Family Weatherization - Insulate Floors - R-19 to R-38 - Heating Zone 2 (Average Heating System)</t>
  </si>
  <si>
    <t>Multi Family Weatherization - Insulate Floors - R-11 to R-30 - Heating Zone 2 (Average Heating System)</t>
  </si>
  <si>
    <t>Multi Family Weatherization - Insulate Attic - R-0 to R-19 - Heating Zone 2 (Average Heating System)</t>
  </si>
  <si>
    <t>Multi Family Weatherization - Insulate Attic - R-0 to R-38 - Heating Zone 2 (Average Heating System)</t>
  </si>
  <si>
    <t>Multi Family Weatherization - Insulate Attic - R-0 to R-49 - Heating Zone 2 (Average Heating System)</t>
  </si>
  <si>
    <t>Multi Family Weatherization - Insulate Attic - R-30 to R-38 - Heating Zone 2 (Average Heating System)</t>
  </si>
  <si>
    <t>Multi Family Weatherization - Insulate Attic - R-30 to R-49 - Heating Zone 2 (Average Heating System)</t>
  </si>
  <si>
    <t>Multi Family Weatherization - Insulate Attic - R-19 to R-30 - Heating Zone 2 (Average Heating System)</t>
  </si>
  <si>
    <t>Multi Family Weatherization - Insulate Attic - R-19 to R-38 - Heating Zone 2 (Average Heating System)</t>
  </si>
  <si>
    <t>Multi Family Weatherization - Insulate Attic - R-19 to R-49 - Heating Zone 2 (Average Heating System)</t>
  </si>
  <si>
    <t>Multi Family Weatherization - Insulate Attic - R-38 to R-49 - Heating Zone 2 (Average Heating System)</t>
  </si>
  <si>
    <t>Windows - Class 35 to Class 22 - Heating Zone 2 (Average Heating System)</t>
  </si>
  <si>
    <t>Windows - Single Pane to Class 22 - Heating Zone 2 (Average Heating System)</t>
  </si>
  <si>
    <t>Windows - Double Pane to Class 22 - Heating Zone 2 (Average Heating System)</t>
  </si>
  <si>
    <t>Windows - Single Pane to Class 30 - Heating Zone 2 (Average Heating System)</t>
  </si>
  <si>
    <t>Windows - Double Pane to Class 30 - Heating Zone 2 (Average Heating System)</t>
  </si>
  <si>
    <t>Windows - Class 35 to Class 30 - Heating Zone 2 (Average Heating System)</t>
  </si>
  <si>
    <t>Infiltration Reduction - 0.1 ACHn reduction - Heating Zone 2 (Average Heating System)</t>
  </si>
  <si>
    <t>Infiltration Reduction - 0.45 ACHn to 0.20 ACHn - Heating Zone 2 (Average Heating System)</t>
  </si>
  <si>
    <t>Infiltration Reduction - 0.35 ACHn to 0.20 ACHn - Heating Zone 2 (Average Heating System)</t>
  </si>
  <si>
    <t>DuctTightness - Std-crawl to PTCS-crawl - Heating Zone 2 (Average Heating System)</t>
  </si>
  <si>
    <t>DuctInsulation - R-0 to R-4.2 - Heating Zone 2 (Average Heating System)</t>
  </si>
  <si>
    <t>DuctInsulation - R-0 to R-11 - Heating Zone 2 (Average Heating System)</t>
  </si>
  <si>
    <t>DuctInsulation - R-4.2 to R-11 - Heating Zone 2 (Average Heating System)</t>
  </si>
  <si>
    <t>HeatPump Upgrade - 7.7/13 to 8.5/13 - Heating Zone 2 (Average Heating System)</t>
  </si>
  <si>
    <t>HeatPump Upgrade - 7.7/13 to 9.0/14 - Heating Zone 2 (Average Heating System)</t>
  </si>
  <si>
    <t>HeatPump Upgrade - 7.7/13 to 8.2/13 - Heating Zone 2 (Average Heating System)</t>
  </si>
  <si>
    <t>HPCntrls Upgrade - Standard to PTCS - Heating Zone 2 (Average Heating System)</t>
  </si>
  <si>
    <t>Multi Family Weatherization - Insulate Walls - R-0 to R-11 - Heating Zone 3 (Average Heating System)</t>
  </si>
  <si>
    <t>Multi Family Weatherization - Insulate BGWalls - R-0 to R-11 - Heating Zone 3 (Average Heating System)</t>
  </si>
  <si>
    <t>Multi Family Weatherization - Insulate Floors - R-0 to R-19 - Heating Zone 3 (Average Heating System)</t>
  </si>
  <si>
    <t>Multi Family Weatherization - Insulate Floors - R-0 to R-25 - Heating Zone 3 (Average Heating System)</t>
  </si>
  <si>
    <t>Multi Family Weatherization - Insulate Floors - R-0 to R-30 - Heating Zone 3 (Average Heating System)</t>
  </si>
  <si>
    <t>Multi Family Weatherization - Insulate Floors - R-0 to R-38 - Heating Zone 3 (Average Heating System)</t>
  </si>
  <si>
    <t>Multi Family Weatherization - Insulate Floors - R-19 to R-25 - Heating Zone 3 (Average Heating System)</t>
  </si>
  <si>
    <t>Multi Family Weatherization - Insulate Floors - R-19 to R-30 - Heating Zone 3 (Average Heating System)</t>
  </si>
  <si>
    <t>Multi Family Weatherization - Insulate Floors - R-19 to R-38 - Heating Zone 3 (Average Heating System)</t>
  </si>
  <si>
    <t>Multi Family Weatherization - Insulate Floors - R-11 to R-30 - Heating Zone 3 (Average Heating System)</t>
  </si>
  <si>
    <t>Multi Family Weatherization - Insulate Attic - R-0 to R-19 - Heating Zone 3 (Average Heating System)</t>
  </si>
  <si>
    <t>Multi Family Weatherization - Insulate Attic - R-0 to R-38 - Heating Zone 3 (Average Heating System)</t>
  </si>
  <si>
    <t>Multi Family Weatherization - Insulate Attic - R-0 to R-49 - Heating Zone 3 (Average Heating System)</t>
  </si>
  <si>
    <t>Multi Family Weatherization - Insulate Attic - R-30 to R-38 - Heating Zone 3 (Average Heating System)</t>
  </si>
  <si>
    <t>Multi Family Weatherization - Insulate Attic - R-30 to R-49 - Heating Zone 3 (Average Heating System)</t>
  </si>
  <si>
    <t>Multi Family Weatherization - Insulate Attic - R-19 to R-30 - Heating Zone 3 (Average Heating System)</t>
  </si>
  <si>
    <t>Multi Family Weatherization - Insulate Attic - R-19 to R-38 - Heating Zone 3 (Average Heating System)</t>
  </si>
  <si>
    <t>Multi Family Weatherization - Insulate Attic - R-19 to R-49 - Heating Zone 3 (Average Heating System)</t>
  </si>
  <si>
    <t>Multi Family Weatherization - Insulate Attic - R-38 to R-49 - Heating Zone 3 (Average Heating System)</t>
  </si>
  <si>
    <t>Windows - Class 35 to Class 22 - Heating Zone 3 (Average Heating System)</t>
  </si>
  <si>
    <t>Windows - Single Pane to Class 22 - Heating Zone 3 (Average Heating System)</t>
  </si>
  <si>
    <t>Windows - Double Pane to Class 22 - Heating Zone 3 (Average Heating System)</t>
  </si>
  <si>
    <t>Windows - Single Pane to Class 30 - Heating Zone 3 (Average Heating System)</t>
  </si>
  <si>
    <t>Windows - Double Pane to Class 30 - Heating Zone 3 (Average Heating System)</t>
  </si>
  <si>
    <t>Windows - Class 35 to Class 30 - Heating Zone 3 (Average Heating System)</t>
  </si>
  <si>
    <t>Infiltration Reduction - 0.1 ACHn reduction - Heating Zone 3 (Average Heating System)</t>
  </si>
  <si>
    <t>Infiltration Reduction - 0.45 ACHn to 0.20 ACHn - Heating Zone 3 (Average Heating System)</t>
  </si>
  <si>
    <t>Infiltration Reduction - 0.35 ACHn to 0.20 ACHn - Heating Zone 3 (Average Heating System)</t>
  </si>
  <si>
    <t>DuctTightness - Std-crawl to PTCS-crawl - Heating Zone 3 (Average Heating System)</t>
  </si>
  <si>
    <t>DuctInsulation - R-0 to R-4.2 - Heating Zone 3 (Average Heating System)</t>
  </si>
  <si>
    <t>DuctInsulation - R-0 to R-11 - Heating Zone 3 (Average Heating System)</t>
  </si>
  <si>
    <t>DuctInsulation - R-4.2 to R-11 - Heating Zone 3 (Average Heating System)</t>
  </si>
  <si>
    <t>HeatPump Upgrade - 7.7/13 to 8.5/13 - Heating Zone 3 (Average Heating System)</t>
  </si>
  <si>
    <t>HeatPump Upgrade - 7.7/13 to 9.0/14 - Heating Zone 3 (Average Heating System)</t>
  </si>
  <si>
    <t>HeatPump Upgrade - 7.7/13 to 8.2/13 - Heating Zone 3 (Average Heating System)</t>
  </si>
  <si>
    <t>HPCntrls Upgrade - Standard to PTCS - Heating Zone 3 (Average Heating System)</t>
  </si>
  <si>
    <t>Multi Family Weatherization - Insulate Walls - R-0 to R-11 - Heating Zone 1 (Zonal Heating System)</t>
  </si>
  <si>
    <t>Zonal Heating System</t>
  </si>
  <si>
    <t>Multi Family Weatherization - Insulate BGWalls - R-0 to R-11 - Heating Zone 1 (Zonal Heating System)</t>
  </si>
  <si>
    <t>Multi Family Weatherization - Insulate Floors - R-0 to R-19 - Heating Zone 1 (Zonal Heating System)</t>
  </si>
  <si>
    <t>Multi Family Weatherization - Insulate Floors - R-0 to R-25 - Heating Zone 1 (Zonal Heating System)</t>
  </si>
  <si>
    <t>Multi Family Weatherization - Insulate Floors - R-0 to R-30 - Heating Zone 1 (Zonal Heating System)</t>
  </si>
  <si>
    <t>Multi Family Weatherization - Insulate Floors - R-0 to R-38 - Heating Zone 1 (Zonal Heating System)</t>
  </si>
  <si>
    <t>Multi Family Weatherization - Insulate Floors - R-19 to R-25 - Heating Zone 1 (Zonal Heating System)</t>
  </si>
  <si>
    <t>Multi Family Weatherization - Insulate Floors - R-19 to R-30 - Heating Zone 1 (Zonal Heating System)</t>
  </si>
  <si>
    <t>Multi Family Weatherization - Insulate Floors - R-19 to R-38 - Heating Zone 1 (Zonal Heating System)</t>
  </si>
  <si>
    <t>Multi Family Weatherization - Insulate Floors - R-11 to R-30 - Heating Zone 1 (Zonal Heating System)</t>
  </si>
  <si>
    <t>Multi Family Weatherization - Insulate Attic - R-0 to R-19 - Heating Zone 1 (Zonal Heating System)</t>
  </si>
  <si>
    <t>Multi Family Weatherization - Insulate Attic - R-0 to R-38 - Heating Zone 1 (Zonal Heating System)</t>
  </si>
  <si>
    <t>Multi Family Weatherization - Insulate Attic - R-0 to R-49 - Heating Zone 1 (Zonal Heating System)</t>
  </si>
  <si>
    <t>Multi Family Weatherization - Insulate Attic - R-30 to R-38 - Heating Zone 1 (Zonal Heating System)</t>
  </si>
  <si>
    <t>Multi Family Weatherization - Insulate Attic - R-30 to R-49 - Heating Zone 1 (Zonal Heating System)</t>
  </si>
  <si>
    <t>Multi Family Weatherization - Insulate Attic - R-19 to R-30 - Heating Zone 1 (Zonal Heating System)</t>
  </si>
  <si>
    <t>Multi Family Weatherization - Insulate Attic - R-19 to R-38 - Heating Zone 1 (Zonal Heating System)</t>
  </si>
  <si>
    <t>Multi Family Weatherization - Insulate Attic - R-19 to R-49 - Heating Zone 1 (Zonal Heating System)</t>
  </si>
  <si>
    <t>Multi Family Weatherization - Insulate Attic - R-38 to R-49 - Heating Zone 1 (Zonal Heating System)</t>
  </si>
  <si>
    <t>Windows - Class 35 to Class 22 - Heating Zone 1 (Zonal Heating System)</t>
  </si>
  <si>
    <t>Windows - Single Pane to Class 22 - Heating Zone 1 (Zonal Heating System)</t>
  </si>
  <si>
    <t>Windows - Double Pane to Class 22 - Heating Zone 1 (Zonal Heating System)</t>
  </si>
  <si>
    <t>Windows - Single Pane to Class 30 - Heating Zone 1 (Zonal Heating System)</t>
  </si>
  <si>
    <t>Windows - Double Pane to Class 30 - Heating Zone 1 (Zonal Heating System)</t>
  </si>
  <si>
    <t>Windows - Class 35 to Class 30 - Heating Zone 1 (Zonal Heating System)</t>
  </si>
  <si>
    <t>Infiltration Reduction - 0.1 ACHn reduction - Heating Zone 1 (Zonal Heating System)</t>
  </si>
  <si>
    <t>Infiltration Reduction - 0.45 ACHn to 0.20 ACHn - Heating Zone 1 (Zonal Heating System)</t>
  </si>
  <si>
    <t>Infiltration Reduction - 0.35 ACHn to 0.20 ACHn - Heating Zone 1 (Zonal Heating System)</t>
  </si>
  <si>
    <t>DuctTightness - Std-crawl to PTCS-crawl - Heating Zone 1 (Zonal Heating System)</t>
  </si>
  <si>
    <t>DuctInsulation - R-0 to R-4.2 - Heating Zone 1 (Zonal Heating System)</t>
  </si>
  <si>
    <t>DuctInsulation - R-0 to R-11 - Heating Zone 1 (Zonal Heating System)</t>
  </si>
  <si>
    <t>DuctInsulation - R-4.2 to R-11 - Heating Zone 1 (Zonal Heating System)</t>
  </si>
  <si>
    <t>HeatPump Upgrade - 7.7/13 to 8.5/13 - Heating Zone 1 (Zonal Heating System)</t>
  </si>
  <si>
    <t>HeatPump Upgrade - 7.7/13 to 9.0/14 - Heating Zone 1 (Zonal Heating System)</t>
  </si>
  <si>
    <t>HeatPump Upgrade - 7.7/13 to 8.2/13 - Heating Zone 1 (Zonal Heating System)</t>
  </si>
  <si>
    <t>HPCntrls Upgrade - Standard to PTCS - Heating Zone 1 (Zonal Heating System)</t>
  </si>
  <si>
    <t>Multi Family Weatherization - Insulate Walls - R-0 to R-11 - Heating Zone 2 (Zonal Heating System)</t>
  </si>
  <si>
    <t>Multi Family Weatherization - Insulate BGWalls - R-0 to R-11 - Heating Zone 2 (Zonal Heating System)</t>
  </si>
  <si>
    <t>Multi Family Weatherization - Insulate Floors - R-0 to R-19 - Heating Zone 2 (Zonal Heating System)</t>
  </si>
  <si>
    <t>Multi Family Weatherization - Insulate Floors - R-0 to R-25 - Heating Zone 2 (Zonal Heating System)</t>
  </si>
  <si>
    <t>Multi Family Weatherization - Insulate Floors - R-0 to R-30 - Heating Zone 2 (Zonal Heating System)</t>
  </si>
  <si>
    <t>Multi Family Weatherization - Insulate Floors - R-0 to R-38 - Heating Zone 2 (Zonal Heating System)</t>
  </si>
  <si>
    <t>Multi Family Weatherization - Insulate Floors - R-19 to R-25 - Heating Zone 2 (Zonal Heating System)</t>
  </si>
  <si>
    <t>Multi Family Weatherization - Insulate Floors - R-19 to R-30 - Heating Zone 2 (Zonal Heating System)</t>
  </si>
  <si>
    <t>Multi Family Weatherization - Insulate Floors - R-19 to R-38 - Heating Zone 2 (Zonal Heating System)</t>
  </si>
  <si>
    <t>Multi Family Weatherization - Insulate Floors - R-11 to R-30 - Heating Zone 2 (Zonal Heating System)</t>
  </si>
  <si>
    <t>Multi Family Weatherization - Insulate Attic - R-0 to R-19 - Heating Zone 2 (Zonal Heating System)</t>
  </si>
  <si>
    <t>Multi Family Weatherization - Insulate Attic - R-0 to R-38 - Heating Zone 2 (Zonal Heating System)</t>
  </si>
  <si>
    <t>Multi Family Weatherization - Insulate Attic - R-0 to R-49 - Heating Zone 2 (Zonal Heating System)</t>
  </si>
  <si>
    <t>Multi Family Weatherization - Insulate Attic - R-30 to R-38 - Heating Zone 2 (Zonal Heating System)</t>
  </si>
  <si>
    <t>Multi Family Weatherization - Insulate Attic - R-30 to R-49 - Heating Zone 2 (Zonal Heating System)</t>
  </si>
  <si>
    <t>Multi Family Weatherization - Insulate Attic - R-19 to R-30 - Heating Zone 2 (Zonal Heating System)</t>
  </si>
  <si>
    <t>Multi Family Weatherization - Insulate Attic - R-19 to R-38 - Heating Zone 2 (Zonal Heating System)</t>
  </si>
  <si>
    <t>Multi Family Weatherization - Insulate Attic - R-19 to R-49 - Heating Zone 2 (Zonal Heating System)</t>
  </si>
  <si>
    <t>Multi Family Weatherization - Insulate Attic - R-38 to R-49 - Heating Zone 2 (Zonal Heating System)</t>
  </si>
  <si>
    <t>Windows - Class 35 to Class 22 - Heating Zone 2 (Zonal Heating System)</t>
  </si>
  <si>
    <t>Windows - Single Pane to Class 22 - Heating Zone 2 (Zonal Heating System)</t>
  </si>
  <si>
    <t>Windows - Double Pane to Class 22 - Heating Zone 2 (Zonal Heating System)</t>
  </si>
  <si>
    <t>Windows - Single Pane to Class 30 - Heating Zone 2 (Zonal Heating System)</t>
  </si>
  <si>
    <t>Windows - Double Pane to Class 30 - Heating Zone 2 (Zonal Heating System)</t>
  </si>
  <si>
    <t>Windows - Class 35 to Class 30 - Heating Zone 2 (Zonal Heating System)</t>
  </si>
  <si>
    <t>Infiltration Reduction - 0.1 ACHn reduction - Heating Zone 2 (Zonal Heating System)</t>
  </si>
  <si>
    <t>Infiltration Reduction - 0.45 ACHn to 0.20 ACHn - Heating Zone 2 (Zonal Heating System)</t>
  </si>
  <si>
    <t>Infiltration Reduction - 0.35 ACHn to 0.20 ACHn - Heating Zone 2 (Zonal Heating System)</t>
  </si>
  <si>
    <t>DuctTightness - Std-crawl to PTCS-crawl - Heating Zone 2 (Zonal Heating System)</t>
  </si>
  <si>
    <t>DuctInsulation - R-0 to R-4.2 - Heating Zone 2 (Zonal Heating System)</t>
  </si>
  <si>
    <t>DuctInsulation - R-0 to R-11 - Heating Zone 2 (Zonal Heating System)</t>
  </si>
  <si>
    <t>DuctInsulation - R-4.2 to R-11 - Heating Zone 2 (Zonal Heating System)</t>
  </si>
  <si>
    <t>HeatPump Upgrade - 7.7/13 to 8.5/13 - Heating Zone 2 (Zonal Heating System)</t>
  </si>
  <si>
    <t>HeatPump Upgrade - 7.7/13 to 9.0/14 - Heating Zone 2 (Zonal Heating System)</t>
  </si>
  <si>
    <t>HeatPump Upgrade - 7.7/13 to 8.2/13 - Heating Zone 2 (Zonal Heating System)</t>
  </si>
  <si>
    <t>HPCntrls Upgrade - Standard to PTCS - Heating Zone 2 (Zonal Heating System)</t>
  </si>
  <si>
    <t>Multi Family Weatherization - Insulate Walls - R-0 to R-11 - Heating Zone 3 (Zonal Heating System)</t>
  </si>
  <si>
    <t>Multi Family Weatherization - Insulate BGWalls - R-0 to R-11 - Heating Zone 3 (Zonal Heating System)</t>
  </si>
  <si>
    <t>Multi Family Weatherization - Insulate Floors - R-0 to R-19 - Heating Zone 3 (Zonal Heating System)</t>
  </si>
  <si>
    <t>Multi Family Weatherization - Insulate Floors - R-0 to R-25 - Heating Zone 3 (Zonal Heating System)</t>
  </si>
  <si>
    <t>Multi Family Weatherization - Insulate Floors - R-0 to R-30 - Heating Zone 3 (Zonal Heating System)</t>
  </si>
  <si>
    <t>Multi Family Weatherization - Insulate Floors - R-0 to R-38 - Heating Zone 3 (Zonal Heating System)</t>
  </si>
  <si>
    <t>Multi Family Weatherization - Insulate Floors - R-19 to R-25 - Heating Zone 3 (Zonal Heating System)</t>
  </si>
  <si>
    <t>Multi Family Weatherization - Insulate Floors - R-19 to R-30 - Heating Zone 3 (Zonal Heating System)</t>
  </si>
  <si>
    <t>Multi Family Weatherization - Insulate Floors - R-19 to R-38 - Heating Zone 3 (Zonal Heating System)</t>
  </si>
  <si>
    <t>Multi Family Weatherization - Insulate Floors - R-11 to R-30 - Heating Zone 3 (Zonal Heating System)</t>
  </si>
  <si>
    <t>Multi Family Weatherization - Insulate Attic - R-0 to R-19 - Heating Zone 3 (Zonal Heating System)</t>
  </si>
  <si>
    <t>Multi Family Weatherization - Insulate Attic - R-0 to R-38 - Heating Zone 3 (Zonal Heating System)</t>
  </si>
  <si>
    <t>Multi Family Weatherization - Insulate Attic - R-0 to R-49 - Heating Zone 3 (Zonal Heating System)</t>
  </si>
  <si>
    <t>Multi Family Weatherization - Insulate Attic - R-30 to R-38 - Heating Zone 3 (Zonal Heating System)</t>
  </si>
  <si>
    <t>Multi Family Weatherization - Insulate Attic - R-30 to R-49 - Heating Zone 3 (Zonal Heating System)</t>
  </si>
  <si>
    <t>Multi Family Weatherization - Insulate Attic - R-19 to R-30 - Heating Zone 3 (Zonal Heating System)</t>
  </si>
  <si>
    <t>Multi Family Weatherization - Insulate Attic - R-19 to R-38 - Heating Zone 3 (Zonal Heating System)</t>
  </si>
  <si>
    <t>Multi Family Weatherization - Insulate Attic - R-19 to R-49 - Heating Zone 3 (Zonal Heating System)</t>
  </si>
  <si>
    <t>Multi Family Weatherization - Insulate Attic - R-38 to R-49 - Heating Zone 3 (Zonal Heating System)</t>
  </si>
  <si>
    <t>Windows - Class 35 to Class 22 - Heating Zone 3 (Zonal Heating System)</t>
  </si>
  <si>
    <t>Windows - Single Pane to Class 22 - Heating Zone 3 (Zonal Heating System)</t>
  </si>
  <si>
    <t>Windows - Double Pane to Class 22 - Heating Zone 3 (Zonal Heating System)</t>
  </si>
  <si>
    <t>Windows - Single Pane to Class 30 - Heating Zone 3 (Zonal Heating System)</t>
  </si>
  <si>
    <t>Windows - Double Pane to Class 30 - Heating Zone 3 (Zonal Heating System)</t>
  </si>
  <si>
    <t>Windows - Class 35 to Class 30 - Heating Zone 3 (Zonal Heating System)</t>
  </si>
  <si>
    <t>Infiltration Reduction - 0.1 ACHn reduction - Heating Zone 3 (Zonal Heating System)</t>
  </si>
  <si>
    <t>Infiltration Reduction - 0.45 ACHn to 0.20 ACHn - Heating Zone 3 (Zonal Heating System)</t>
  </si>
  <si>
    <t>Infiltration Reduction - 0.35 ACHn to 0.20 ACHn - Heating Zone 3 (Zonal Heating System)</t>
  </si>
  <si>
    <t>DuctTightness - Std-crawl to PTCS-crawl - Heating Zone 3 (Zonal Heating System)</t>
  </si>
  <si>
    <t>DuctInsulation - R-0 to R-4.2 - Heating Zone 3 (Zonal Heating System)</t>
  </si>
  <si>
    <t>DuctInsulation - R-0 to R-11 - Heating Zone 3 (Zonal Heating System)</t>
  </si>
  <si>
    <t>DuctInsulation - R-4.2 to R-11 - Heating Zone 3 (Zonal Heating System)</t>
  </si>
  <si>
    <t>HeatPump Upgrade - 7.7/13 to 8.5/13 - Heating Zone 3 (Zonal Heating System)</t>
  </si>
  <si>
    <t>HeatPump Upgrade - 7.7/13 to 9.0/14 - Heating Zone 3 (Zonal Heating System)</t>
  </si>
  <si>
    <t>HeatPump Upgrade - 7.7/13 to 8.2/13 - Heating Zone 3 (Zonal Heating System)</t>
  </si>
  <si>
    <t>HPCntrls Upgrade - Standard to PTCS - Heating Zone 3 (Zonal Heating System)</t>
  </si>
  <si>
    <t>Multi Family Weatherization - Insulate Walls - R-0 to R-11 - Heating Zone 1 (Electric FAF Heating System)</t>
  </si>
  <si>
    <t>Electric FAF Heating System</t>
  </si>
  <si>
    <t>Multi Family Weatherization - Insulate BGWalls - R-0 to R-11 - Heating Zone 1 (Electric FAF Heating System)</t>
  </si>
  <si>
    <t>Multi Family Weatherization - Insulate Floors - R-0 to R-19 - Heating Zone 1 (Electric FAF Heating System)</t>
  </si>
  <si>
    <t>Multi Family Weatherization - Insulate Floors - R-0 to R-25 - Heating Zone 1 (Electric FAF Heating System)</t>
  </si>
  <si>
    <t>Multi Family Weatherization - Insulate Floors - R-0 to R-30 - Heating Zone 1 (Electric FAF Heating System)</t>
  </si>
  <si>
    <t>Multi Family Weatherization - Insulate Floors - R-0 to R-38 - Heating Zone 1 (Electric FAF Heating System)</t>
  </si>
  <si>
    <t>Multi Family Weatherization - Insulate Floors - R-19 to R-25 - Heating Zone 1 (Electric FAF Heating System)</t>
  </si>
  <si>
    <t>Multi Family Weatherization - Insulate Floors - R-19 to R-30 - Heating Zone 1 (Electric FAF Heating System)</t>
  </si>
  <si>
    <t>Multi Family Weatherization - Insulate Floors - R-19 to R-38 - Heating Zone 1 (Electric FAF Heating System)</t>
  </si>
  <si>
    <t>Multi Family Weatherization - Insulate Floors - R-11 to R-30 - Heating Zone 1 (Electric FAF Heating System)</t>
  </si>
  <si>
    <t>Multi Family Weatherization - Insulate Attic - R-0 to R-19 - Heating Zone 1 (Electric FAF Heating System)</t>
  </si>
  <si>
    <t>Multi Family Weatherization - Insulate Attic - R-0 to R-38 - Heating Zone 1 (Electric FAF Heating System)</t>
  </si>
  <si>
    <t>Multi Family Weatherization - Insulate Attic - R-0 to R-49 - Heating Zone 1 (Electric FAF Heating System)</t>
  </si>
  <si>
    <t>Multi Family Weatherization - Insulate Attic - R-30 to R-38 - Heating Zone 1 (Electric FAF Heating System)</t>
  </si>
  <si>
    <t>Multi Family Weatherization - Insulate Attic - R-30 to R-49 - Heating Zone 1 (Electric FAF Heating System)</t>
  </si>
  <si>
    <t>Multi Family Weatherization - Insulate Attic - R-19 to R-30 - Heating Zone 1 (Electric FAF Heating System)</t>
  </si>
  <si>
    <t>Multi Family Weatherization - Insulate Attic - R-19 to R-38 - Heating Zone 1 (Electric FAF Heating System)</t>
  </si>
  <si>
    <t>Multi Family Weatherization - Insulate Attic - R-19 to R-49 - Heating Zone 1 (Electric FAF Heating System)</t>
  </si>
  <si>
    <t>Multi Family Weatherization - Insulate Attic - R-38 to R-49 - Heating Zone 1 (Electric FAF Heating System)</t>
  </si>
  <si>
    <t>Windows - Class 35 to Class 22 - Heating Zone 1 (Electric FAF Heating System)</t>
  </si>
  <si>
    <t>Windows - Single Pane to Class 22 - Heating Zone 1 (Electric FAF Heating System)</t>
  </si>
  <si>
    <t>Windows - Double Pane to Class 22 - Heating Zone 1 (Electric FAF Heating System)</t>
  </si>
  <si>
    <t>Windows - Single Pane to Class 30 - Heating Zone 1 (Electric FAF Heating System)</t>
  </si>
  <si>
    <t>Windows - Double Pane to Class 30 - Heating Zone 1 (Electric FAF Heating System)</t>
  </si>
  <si>
    <t>Windows - Class 35 to Class 30 - Heating Zone 1 (Electric FAF Heating System)</t>
  </si>
  <si>
    <t>Infiltration Reduction - 0.1 ACHn reduction - Heating Zone 1 (Electric FAF Heating System)</t>
  </si>
  <si>
    <t>Infiltration Reduction - 0.45 ACHn to 0.20 ACHn - Heating Zone 1 (Electric FAF Heating System)</t>
  </si>
  <si>
    <t>Infiltration Reduction - 0.35 ACHn to 0.20 ACHn - Heating Zone 1 (Electric FAF Heating System)</t>
  </si>
  <si>
    <t>DuctTightness - Std-crawl to PTCS-crawl - Heating Zone 1 (Electric FAF Heating System)</t>
  </si>
  <si>
    <t>DuctInsulation - R-0 to R-4.2 - Heating Zone 1 (Electric FAF Heating System)</t>
  </si>
  <si>
    <t>DuctInsulation - R-0 to R-11 - Heating Zone 1 (Electric FAF Heating System)</t>
  </si>
  <si>
    <t>DuctInsulation - R-4.2 to R-11 - Heating Zone 1 (Electric FAF Heating System)</t>
  </si>
  <si>
    <t>HeatPump Upgrade - 7.7/13 to 8.5/13 - Heating Zone 1 (Electric FAF Heating System)</t>
  </si>
  <si>
    <t>HeatPump Upgrade - 7.7/13 to 9.0/14 - Heating Zone 1 (Electric FAF Heating System)</t>
  </si>
  <si>
    <t>HeatPump Upgrade - 7.7/13 to 8.2/13 - Heating Zone 1 (Electric FAF Heating System)</t>
  </si>
  <si>
    <t>HPCntrls Upgrade - Standard to PTCS - Heating Zone 1 (Electric FAF Heating System)</t>
  </si>
  <si>
    <t>Multi Family Weatherization - Insulate Walls - R-0 to R-11 - Heating Zone 2 (Electric FAF Heating System)</t>
  </si>
  <si>
    <t>Multi Family Weatherization - Insulate BGWalls - R-0 to R-11 - Heating Zone 2 (Electric FAF Heating System)</t>
  </si>
  <si>
    <t>Multi Family Weatherization - Insulate Floors - R-0 to R-19 - Heating Zone 2 (Electric FAF Heating System)</t>
  </si>
  <si>
    <t>Multi Family Weatherization - Insulate Floors - R-0 to R-25 - Heating Zone 2 (Electric FAF Heating System)</t>
  </si>
  <si>
    <t>Multi Family Weatherization - Insulate Floors - R-0 to R-30 - Heating Zone 2 (Electric FAF Heating System)</t>
  </si>
  <si>
    <t>Multi Family Weatherization - Insulate Floors - R-0 to R-38 - Heating Zone 2 (Electric FAF Heating System)</t>
  </si>
  <si>
    <t>Multi Family Weatherization - Insulate Floors - R-19 to R-25 - Heating Zone 2 (Electric FAF Heating System)</t>
  </si>
  <si>
    <t>Multi Family Weatherization - Insulate Floors - R-19 to R-30 - Heating Zone 2 (Electric FAF Heating System)</t>
  </si>
  <si>
    <t>Multi Family Weatherization - Insulate Floors - R-19 to R-38 - Heating Zone 2 (Electric FAF Heating System)</t>
  </si>
  <si>
    <t>Multi Family Weatherization - Insulate Floors - R-11 to R-30 - Heating Zone 2 (Electric FAF Heating System)</t>
  </si>
  <si>
    <t>Multi Family Weatherization - Insulate Attic - R-0 to R-19 - Heating Zone 2 (Electric FAF Heating System)</t>
  </si>
  <si>
    <t>Multi Family Weatherization - Insulate Attic - R-0 to R-38 - Heating Zone 2 (Electric FAF Heating System)</t>
  </si>
  <si>
    <t>Multi Family Weatherization - Insulate Attic - R-0 to R-49 - Heating Zone 2 (Electric FAF Heating System)</t>
  </si>
  <si>
    <t>Multi Family Weatherization - Insulate Attic - R-30 to R-38 - Heating Zone 2 (Electric FAF Heating System)</t>
  </si>
  <si>
    <t>Multi Family Weatherization - Insulate Attic - R-30 to R-49 - Heating Zone 2 (Electric FAF Heating System)</t>
  </si>
  <si>
    <t>Multi Family Weatherization - Insulate Attic - R-19 to R-30 - Heating Zone 2 (Electric FAF Heating System)</t>
  </si>
  <si>
    <t>Multi Family Weatherization - Insulate Attic - R-19 to R-38 - Heating Zone 2 (Electric FAF Heating System)</t>
  </si>
  <si>
    <t>Multi Family Weatherization - Insulate Attic - R-19 to R-49 - Heating Zone 2 (Electric FAF Heating System)</t>
  </si>
  <si>
    <t>Multi Family Weatherization - Insulate Attic - R-38 to R-49 - Heating Zone 2 (Electric FAF Heating System)</t>
  </si>
  <si>
    <t>Windows - Class 35 to Class 22 - Heating Zone 2 (Electric FAF Heating System)</t>
  </si>
  <si>
    <t>Windows - Single Pane to Class 22 - Heating Zone 2 (Electric FAF Heating System)</t>
  </si>
  <si>
    <t>Windows - Double Pane to Class 22 - Heating Zone 2 (Electric FAF Heating System)</t>
  </si>
  <si>
    <t>Windows - Single Pane to Class 30 - Heating Zone 2 (Electric FAF Heating System)</t>
  </si>
  <si>
    <t>Windows - Double Pane to Class 30 - Heating Zone 2 (Electric FAF Heating System)</t>
  </si>
  <si>
    <t>Windows - Class 35 to Class 30 - Heating Zone 2 (Electric FAF Heating System)</t>
  </si>
  <si>
    <t>Infiltration Reduction - 0.1 ACHn reduction - Heating Zone 2 (Electric FAF Heating System)</t>
  </si>
  <si>
    <t>Infiltration Reduction - 0.45 ACHn to 0.20 ACHn - Heating Zone 2 (Electric FAF Heating System)</t>
  </si>
  <si>
    <t>Infiltration Reduction - 0.35 ACHn to 0.20 ACHn - Heating Zone 2 (Electric FAF Heating System)</t>
  </si>
  <si>
    <t>DuctTightness - Std-crawl to PTCS-crawl - Heating Zone 2 (Electric FAF Heating System)</t>
  </si>
  <si>
    <t>DuctInsulation - R-0 to R-4.2 - Heating Zone 2 (Electric FAF Heating System)</t>
  </si>
  <si>
    <t>DuctInsulation - R-0 to R-11 - Heating Zone 2 (Electric FAF Heating System)</t>
  </si>
  <si>
    <t>DuctInsulation - R-4.2 to R-11 - Heating Zone 2 (Electric FAF Heating System)</t>
  </si>
  <si>
    <t>HeatPump Upgrade - 7.7/13 to 8.5/13 - Heating Zone 2 (Electric FAF Heating System)</t>
  </si>
  <si>
    <t>HeatPump Upgrade - 7.7/13 to 9.0/14 - Heating Zone 2 (Electric FAF Heating System)</t>
  </si>
  <si>
    <t>HeatPump Upgrade - 7.7/13 to 8.2/13 - Heating Zone 2 (Electric FAF Heating System)</t>
  </si>
  <si>
    <t>HPCntrls Upgrade - Standard to PTCS - Heating Zone 2 (Electric FAF Heating System)</t>
  </si>
  <si>
    <t>Multi Family Weatherization - Insulate Walls - R-0 to R-11 - Heating Zone 3 (Electric FAF Heating System)</t>
  </si>
  <si>
    <t>Multi Family Weatherization - Insulate BGWalls - R-0 to R-11 - Heating Zone 3 (Electric FAF Heating System)</t>
  </si>
  <si>
    <t>Multi Family Weatherization - Insulate Floors - R-0 to R-19 - Heating Zone 3 (Electric FAF Heating System)</t>
  </si>
  <si>
    <t>Multi Family Weatherization - Insulate Floors - R-0 to R-25 - Heating Zone 3 (Electric FAF Heating System)</t>
  </si>
  <si>
    <t>Multi Family Weatherization - Insulate Floors - R-0 to R-30 - Heating Zone 3 (Electric FAF Heating System)</t>
  </si>
  <si>
    <t>Multi Family Weatherization - Insulate Floors - R-0 to R-38 - Heating Zone 3 (Electric FAF Heating System)</t>
  </si>
  <si>
    <t>Multi Family Weatherization - Insulate Floors - R-19 to R-25 - Heating Zone 3 (Electric FAF Heating System)</t>
  </si>
  <si>
    <t>Multi Family Weatherization - Insulate Floors - R-19 to R-30 - Heating Zone 3 (Electric FAF Heating System)</t>
  </si>
  <si>
    <t>Multi Family Weatherization - Insulate Floors - R-19 to R-38 - Heating Zone 3 (Electric FAF Heating System)</t>
  </si>
  <si>
    <t>Multi Family Weatherization - Insulate Floors - R-11 to R-30 - Heating Zone 3 (Electric FAF Heating System)</t>
  </si>
  <si>
    <t>Multi Family Weatherization - Insulate Attic - R-0 to R-19 - Heating Zone 3 (Electric FAF Heating System)</t>
  </si>
  <si>
    <t>Multi Family Weatherization - Insulate Attic - R-0 to R-38 - Heating Zone 3 (Electric FAF Heating System)</t>
  </si>
  <si>
    <t>Multi Family Weatherization - Insulate Attic - R-0 to R-49 - Heating Zone 3 (Electric FAF Heating System)</t>
  </si>
  <si>
    <t>Multi Family Weatherization - Insulate Attic - R-30 to R-38 - Heating Zone 3 (Electric FAF Heating System)</t>
  </si>
  <si>
    <t>Multi Family Weatherization - Insulate Attic - R-30 to R-49 - Heating Zone 3 (Electric FAF Heating System)</t>
  </si>
  <si>
    <t>Multi Family Weatherization - Insulate Attic - R-19 to R-30 - Heating Zone 3 (Electric FAF Heating System)</t>
  </si>
  <si>
    <t>Multi Family Weatherization - Insulate Attic - R-19 to R-38 - Heating Zone 3 (Electric FAF Heating System)</t>
  </si>
  <si>
    <t>Multi Family Weatherization - Insulate Attic - R-19 to R-49 - Heating Zone 3 (Electric FAF Heating System)</t>
  </si>
  <si>
    <t>Multi Family Weatherization - Insulate Attic - R-38 to R-49 - Heating Zone 3 (Electric FAF Heating System)</t>
  </si>
  <si>
    <t>Windows - Class 35 to Class 22 - Heating Zone 3 (Electric FAF Heating System)</t>
  </si>
  <si>
    <t>Windows - Single Pane to Class 22 - Heating Zone 3 (Electric FAF Heating System)</t>
  </si>
  <si>
    <t>Windows - Double Pane to Class 22 - Heating Zone 3 (Electric FAF Heating System)</t>
  </si>
  <si>
    <t>Windows - Single Pane to Class 30 - Heating Zone 3 (Electric FAF Heating System)</t>
  </si>
  <si>
    <t>Windows - Double Pane to Class 30 - Heating Zone 3 (Electric FAF Heating System)</t>
  </si>
  <si>
    <t>Windows - Class 35 to Class 30 - Heating Zone 3 (Electric FAF Heating System)</t>
  </si>
  <si>
    <t>Infiltration Reduction - 0.1 ACHn reduction - Heating Zone 3 (Electric FAF Heating System)</t>
  </si>
  <si>
    <t>Infiltration Reduction - 0.45 ACHn to 0.20 ACHn - Heating Zone 3 (Electric FAF Heating System)</t>
  </si>
  <si>
    <t>Infiltration Reduction - 0.35 ACHn to 0.20 ACHn - Heating Zone 3 (Electric FAF Heating System)</t>
  </si>
  <si>
    <t>DuctTightness - Std-crawl to PTCS-crawl - Heating Zone 3 (Electric FAF Heating System)</t>
  </si>
  <si>
    <t>DuctInsulation - R-0 to R-4.2 - Heating Zone 3 (Electric FAF Heating System)</t>
  </si>
  <si>
    <t>DuctInsulation - R-0 to R-11 - Heating Zone 3 (Electric FAF Heating System)</t>
  </si>
  <si>
    <t>DuctInsulation - R-4.2 to R-11 - Heating Zone 3 (Electric FAF Heating System)</t>
  </si>
  <si>
    <t>HeatPump Upgrade - 7.7/13 to 8.5/13 - Heating Zone 3 (Electric FAF Heating System)</t>
  </si>
  <si>
    <t>HeatPump Upgrade - 7.7/13 to 9.0/14 - Heating Zone 3 (Electric FAF Heating System)</t>
  </si>
  <si>
    <t>HeatPump Upgrade - 7.7/13 to 8.2/13 - Heating Zone 3 (Electric FAF Heating System)</t>
  </si>
  <si>
    <t>HPCntrls Upgrade - Standard to PTCS - Heating Zone 3 (Electric FAF Heating System)</t>
  </si>
  <si>
    <t>Multi Family Weatherization - Insulate Walls - R-0 to R-11 - Heating Zone 1 (Heat Pump Heating System)</t>
  </si>
  <si>
    <t>Heat Pump Heating System</t>
  </si>
  <si>
    <t>Multi Family Weatherization - Insulate BGWalls - R-0 to R-11 - Heating Zone 1 (Heat Pump Heating System)</t>
  </si>
  <si>
    <t>Multi Family Weatherization - Insulate Floors - R-0 to R-19 - Heating Zone 1 (Heat Pump Heating System)</t>
  </si>
  <si>
    <t>Multi Family Weatherization - Insulate Floors - R-0 to R-25 - Heating Zone 1 (Heat Pump Heating System)</t>
  </si>
  <si>
    <t>Multi Family Weatherization - Insulate Floors - R-0 to R-30 - Heating Zone 1 (Heat Pump Heating System)</t>
  </si>
  <si>
    <t>Multi Family Weatherization - Insulate Floors - R-0 to R-38 - Heating Zone 1 (Heat Pump Heating System)</t>
  </si>
  <si>
    <t>Multi Family Weatherization - Insulate Floors - R-19 to R-25 - Heating Zone 1 (Heat Pump Heating System)</t>
  </si>
  <si>
    <t>Multi Family Weatherization - Insulate Floors - R-19 to R-30 - Heating Zone 1 (Heat Pump Heating System)</t>
  </si>
  <si>
    <t>Multi Family Weatherization - Insulate Floors - R-19 to R-38 - Heating Zone 1 (Heat Pump Heating System)</t>
  </si>
  <si>
    <t>Multi Family Weatherization - Insulate Floors - R-11 to R-30 - Heating Zone 1 (Heat Pump Heating System)</t>
  </si>
  <si>
    <t>Multi Family Weatherization - Insulate Attic - R-0 to R-19 - Heating Zone 1 (Heat Pump Heating System)</t>
  </si>
  <si>
    <t>Multi Family Weatherization - Insulate Attic - R-0 to R-38 - Heating Zone 1 (Heat Pump Heating System)</t>
  </si>
  <si>
    <t>Multi Family Weatherization - Insulate Attic - R-0 to R-49 - Heating Zone 1 (Heat Pump Heating System)</t>
  </si>
  <si>
    <t>Multi Family Weatherization - Insulate Attic - R-30 to R-38 - Heating Zone 1 (Heat Pump Heating System)</t>
  </si>
  <si>
    <t>Multi Family Weatherization - Insulate Attic - R-30 to R-49 - Heating Zone 1 (Heat Pump Heating System)</t>
  </si>
  <si>
    <t>Multi Family Weatherization - Insulate Attic - R-19 to R-30 - Heating Zone 1 (Heat Pump Heating System)</t>
  </si>
  <si>
    <t>Multi Family Weatherization - Insulate Attic - R-19 to R-38 - Heating Zone 1 (Heat Pump Heating System)</t>
  </si>
  <si>
    <t>Multi Family Weatherization - Insulate Attic - R-19 to R-49 - Heating Zone 1 (Heat Pump Heating System)</t>
  </si>
  <si>
    <t>Multi Family Weatherization - Insulate Attic - R-38 to R-49 - Heating Zone 1 (Heat Pump Heating System)</t>
  </si>
  <si>
    <t>Windows - Class 35 to Class 22 - Heating Zone 1 (Heat Pump Heating System)</t>
  </si>
  <si>
    <t>Windows - Single Pane to Class 22 - Heating Zone 1 (Heat Pump Heating System)</t>
  </si>
  <si>
    <t>Windows - Double Pane to Class 22 - Heating Zone 1 (Heat Pump Heating System)</t>
  </si>
  <si>
    <t>Windows - Single Pane to Class 30 - Heating Zone 1 (Heat Pump Heating System)</t>
  </si>
  <si>
    <t>Windows - Double Pane to Class 30 - Heating Zone 1 (Heat Pump Heating System)</t>
  </si>
  <si>
    <t>Windows - Class 35 to Class 30 - Heating Zone 1 (Heat Pump Heating System)</t>
  </si>
  <si>
    <t>Infiltration Reduction - 0.1 ACHn reduction - Heating Zone 1 (Heat Pump Heating System)</t>
  </si>
  <si>
    <t>Infiltration Reduction - 0.45 ACHn to 0.20 ACHn - Heating Zone 1 (Heat Pump Heating System)</t>
  </si>
  <si>
    <t>Infiltration Reduction - 0.35 ACHn to 0.20 ACHn - Heating Zone 1 (Heat Pump Heating System)</t>
  </si>
  <si>
    <t>DuctTightness - Std-crawl to PTCS-crawl - Heating Zone 1 (Heat Pump Heating System)</t>
  </si>
  <si>
    <t>DuctInsulation - R-0 to R-4.2 - Heating Zone 1 (Heat Pump Heating System)</t>
  </si>
  <si>
    <t>DuctInsulation - R-0 to R-11 - Heating Zone 1 (Heat Pump Heating System)</t>
  </si>
  <si>
    <t>DuctInsulation - R-4.2 to R-11 - Heating Zone 1 (Heat Pump Heating System)</t>
  </si>
  <si>
    <t>HeatPump Upgrade - 7.7/13 to 8.5/13 - Heating Zone 1 (Heat Pump Heating System)</t>
  </si>
  <si>
    <t>HeatPump Upgrade - 7.7/13 to 9.0/14 - Heating Zone 1 (Heat Pump Heating System)</t>
  </si>
  <si>
    <t>HeatPump Upgrade - 7.7/13 to 8.2/13 - Heating Zone 1 (Heat Pump Heating System)</t>
  </si>
  <si>
    <t>HPCntrls Upgrade - Standard to PTCS - Heating Zone 1 (Heat Pump Heating System)</t>
  </si>
  <si>
    <t>Multi Family Weatherization - Insulate Walls - R-0 to R-11 - Heating Zone 2 (Heat Pump Heating System)</t>
  </si>
  <si>
    <t>Multi Family Weatherization - Insulate BGWalls - R-0 to R-11 - Heating Zone 2 (Heat Pump Heating System)</t>
  </si>
  <si>
    <t>Multi Family Weatherization - Insulate Floors - R-0 to R-19 - Heating Zone 2 (Heat Pump Heating System)</t>
  </si>
  <si>
    <t>Multi Family Weatherization - Insulate Floors - R-0 to R-25 - Heating Zone 2 (Heat Pump Heating System)</t>
  </si>
  <si>
    <t>Multi Family Weatherization - Insulate Floors - R-0 to R-30 - Heating Zone 2 (Heat Pump Heating System)</t>
  </si>
  <si>
    <t>Multi Family Weatherization - Insulate Floors - R-0 to R-38 - Heating Zone 2 (Heat Pump Heating System)</t>
  </si>
  <si>
    <t>Multi Family Weatherization - Insulate Floors - R-19 to R-25 - Heating Zone 2 (Heat Pump Heating System)</t>
  </si>
  <si>
    <t>Multi Family Weatherization - Insulate Floors - R-19 to R-30 - Heating Zone 2 (Heat Pump Heating System)</t>
  </si>
  <si>
    <t>Multi Family Weatherization - Insulate Floors - R-19 to R-38 - Heating Zone 2 (Heat Pump Heating System)</t>
  </si>
  <si>
    <t>Multi Family Weatherization - Insulate Floors - R-11 to R-30 - Heating Zone 2 (Heat Pump Heating System)</t>
  </si>
  <si>
    <t>Multi Family Weatherization - Insulate Attic - R-0 to R-19 - Heating Zone 2 (Heat Pump Heating System)</t>
  </si>
  <si>
    <t>Multi Family Weatherization - Insulate Attic - R-0 to R-38 - Heating Zone 2 (Heat Pump Heating System)</t>
  </si>
  <si>
    <t>Multi Family Weatherization - Insulate Attic - R-0 to R-49 - Heating Zone 2 (Heat Pump Heating System)</t>
  </si>
  <si>
    <t>Multi Family Weatherization - Insulate Attic - R-30 to R-38 - Heating Zone 2 (Heat Pump Heating System)</t>
  </si>
  <si>
    <t>Multi Family Weatherization - Insulate Attic - R-30 to R-49 - Heating Zone 2 (Heat Pump Heating System)</t>
  </si>
  <si>
    <t>Multi Family Weatherization - Insulate Attic - R-19 to R-30 - Heating Zone 2 (Heat Pump Heating System)</t>
  </si>
  <si>
    <t>Multi Family Weatherization - Insulate Attic - R-19 to R-38 - Heating Zone 2 (Heat Pump Heating System)</t>
  </si>
  <si>
    <t>Multi Family Weatherization - Insulate Attic - R-19 to R-49 - Heating Zone 2 (Heat Pump Heating System)</t>
  </si>
  <si>
    <t>Multi Family Weatherization - Insulate Attic - R-38 to R-49 - Heating Zone 2 (Heat Pump Heating System)</t>
  </si>
  <si>
    <t>Windows - Class 35 to Class 22 - Heating Zone 2 (Heat Pump Heating System)</t>
  </si>
  <si>
    <t>Windows - Single Pane to Class 22 - Heating Zone 2 (Heat Pump Heating System)</t>
  </si>
  <si>
    <t>Windows - Double Pane to Class 22 - Heating Zone 2 (Heat Pump Heating System)</t>
  </si>
  <si>
    <t>Windows - Single Pane to Class 30 - Heating Zone 2 (Heat Pump Heating System)</t>
  </si>
  <si>
    <t>Windows - Double Pane to Class 30 - Heating Zone 2 (Heat Pump Heating System)</t>
  </si>
  <si>
    <t>Windows - Class 35 to Class 30 - Heating Zone 2 (Heat Pump Heating System)</t>
  </si>
  <si>
    <t>Infiltration Reduction - 0.1 ACHn reduction - Heating Zone 2 (Heat Pump Heating System)</t>
  </si>
  <si>
    <t>Infiltration Reduction - 0.45 ACHn to 0.20 ACHn - Heating Zone 2 (Heat Pump Heating System)</t>
  </si>
  <si>
    <t>Infiltration Reduction - 0.35 ACHn to 0.20 ACHn - Heating Zone 2 (Heat Pump Heating System)</t>
  </si>
  <si>
    <t>DuctTightness - Std-crawl to PTCS-crawl - Heating Zone 2 (Heat Pump Heating System)</t>
  </si>
  <si>
    <t>DuctInsulation - R-0 to R-4.2 - Heating Zone 2 (Heat Pump Heating System)</t>
  </si>
  <si>
    <t>DuctInsulation - R-0 to R-11 - Heating Zone 2 (Heat Pump Heating System)</t>
  </si>
  <si>
    <t>DuctInsulation - R-4.2 to R-11 - Heating Zone 2 (Heat Pump Heating System)</t>
  </si>
  <si>
    <t>HeatPump Upgrade - 7.7/13 to 8.5/13 - Heating Zone 2 (Heat Pump Heating System)</t>
  </si>
  <si>
    <t>HeatPump Upgrade - 7.7/13 to 9.0/14 - Heating Zone 2 (Heat Pump Heating System)</t>
  </si>
  <si>
    <t>HeatPump Upgrade - 7.7/13 to 8.2/13 - Heating Zone 2 (Heat Pump Heating System)</t>
  </si>
  <si>
    <t>HPCntrls Upgrade - Standard to PTCS - Heating Zone 2 (Heat Pump Heating System)</t>
  </si>
  <si>
    <t>Multi Family Weatherization - Insulate Walls - R-0 to R-11 - Heating Zone 3 (Heat Pump Heating System)</t>
  </si>
  <si>
    <t>Multi Family Weatherization - Insulate BGWalls - R-0 to R-11 - Heating Zone 3 (Heat Pump Heating System)</t>
  </si>
  <si>
    <t>Multi Family Weatherization - Insulate Floors - R-0 to R-19 - Heating Zone 3 (Heat Pump Heating System)</t>
  </si>
  <si>
    <t>Multi Family Weatherization - Insulate Floors - R-0 to R-25 - Heating Zone 3 (Heat Pump Heating System)</t>
  </si>
  <si>
    <t>Multi Family Weatherization - Insulate Floors - R-0 to R-30 - Heating Zone 3 (Heat Pump Heating System)</t>
  </si>
  <si>
    <t>Multi Family Weatherization - Insulate Floors - R-0 to R-38 - Heating Zone 3 (Heat Pump Heating System)</t>
  </si>
  <si>
    <t>Multi Family Weatherization - Insulate Floors - R-19 to R-25 - Heating Zone 3 (Heat Pump Heating System)</t>
  </si>
  <si>
    <t>Multi Family Weatherization - Insulate Floors - R-19 to R-30 - Heating Zone 3 (Heat Pump Heating System)</t>
  </si>
  <si>
    <t>Multi Family Weatherization - Insulate Floors - R-19 to R-38 - Heating Zone 3 (Heat Pump Heating System)</t>
  </si>
  <si>
    <t>Multi Family Weatherization - Insulate Floors - R-11 to R-30 - Heating Zone 3 (Heat Pump Heating System)</t>
  </si>
  <si>
    <t>Multi Family Weatherization - Insulate Attic - R-0 to R-19 - Heating Zone 3 (Heat Pump Heating System)</t>
  </si>
  <si>
    <t>Multi Family Weatherization - Insulate Attic - R-0 to R-38 - Heating Zone 3 (Heat Pump Heating System)</t>
  </si>
  <si>
    <t>Multi Family Weatherization - Insulate Attic - R-0 to R-49 - Heating Zone 3 (Heat Pump Heating System)</t>
  </si>
  <si>
    <t>Multi Family Weatherization - Insulate Attic - R-30 to R-38 - Heating Zone 3 (Heat Pump Heating System)</t>
  </si>
  <si>
    <t>Multi Family Weatherization - Insulate Attic - R-30 to R-49 - Heating Zone 3 (Heat Pump Heating System)</t>
  </si>
  <si>
    <t>Multi Family Weatherization - Insulate Attic - R-19 to R-30 - Heating Zone 3 (Heat Pump Heating System)</t>
  </si>
  <si>
    <t>Multi Family Weatherization - Insulate Attic - R-19 to R-38 - Heating Zone 3 (Heat Pump Heating System)</t>
  </si>
  <si>
    <t>Multi Family Weatherization - Insulate Attic - R-19 to R-49 - Heating Zone 3 (Heat Pump Heating System)</t>
  </si>
  <si>
    <t>Multi Family Weatherization - Insulate Attic - R-38 to R-49 - Heating Zone 3 (Heat Pump Heating System)</t>
  </si>
  <si>
    <t>Windows - Class 35 to Class 22 - Heating Zone 3 (Heat Pump Heating System)</t>
  </si>
  <si>
    <t>Windows - Single Pane to Class 22 - Heating Zone 3 (Heat Pump Heating System)</t>
  </si>
  <si>
    <t>Windows - Double Pane to Class 22 - Heating Zone 3 (Heat Pump Heating System)</t>
  </si>
  <si>
    <t>Windows - Single Pane to Class 30 - Heating Zone 3 (Heat Pump Heating System)</t>
  </si>
  <si>
    <t>Windows - Double Pane to Class 30 - Heating Zone 3 (Heat Pump Heating System)</t>
  </si>
  <si>
    <t>Windows - Class 35 to Class 30 - Heating Zone 3 (Heat Pump Heating System)</t>
  </si>
  <si>
    <t>Infiltration Reduction - 0.1 ACHn reduction - Heating Zone 3 (Heat Pump Heating System)</t>
  </si>
  <si>
    <t>Infiltration Reduction - 0.45 ACHn to 0.20 ACHn - Heating Zone 3 (Heat Pump Heating System)</t>
  </si>
  <si>
    <t>Infiltration Reduction - 0.35 ACHn to 0.20 ACHn - Heating Zone 3 (Heat Pump Heating System)</t>
  </si>
  <si>
    <t>DuctTightness - Std-crawl to PTCS-crawl - Heating Zone 3 (Heat Pump Heating System)</t>
  </si>
  <si>
    <t>DuctInsulation - R-0 to R-4.2 - Heating Zone 3 (Heat Pump Heating System)</t>
  </si>
  <si>
    <t>DuctInsulation - R-0 to R-11 - Heating Zone 3 (Heat Pump Heating System)</t>
  </si>
  <si>
    <t>DuctInsulation - R-4.2 to R-11 - Heating Zone 3 (Heat Pump Heating System)</t>
  </si>
  <si>
    <t>HeatPump Upgrade - 7.7/13 to 8.5/13 - Heating Zone 3 (Heat Pump Heating System)</t>
  </si>
  <si>
    <t>HeatPump Upgrade - 7.7/13 to 9.0/14 - Heating Zone 3 (Heat Pump Heating System)</t>
  </si>
  <si>
    <t>HeatPump Upgrade - 7.7/13 to 8.2/13 - Heating Zone 3 (Heat Pump Heating System)</t>
  </si>
  <si>
    <t>HPCntrls Upgrade - Standard to PTCS - Heating Zone 3 (Heat Pump Heating System)</t>
  </si>
  <si>
    <t>ResWXMF_v2_2.xls</t>
  </si>
  <si>
    <t>Changed to 2012$</t>
  </si>
  <si>
    <t>Source: ExistingResidentialMultiFamily_SEEMRuns.xlsm</t>
  </si>
  <si>
    <t>ResSHWX</t>
  </si>
  <si>
    <t>ResMFWx_v2.2</t>
  </si>
  <si>
    <t>Residential Weatherization - Multi Family</t>
  </si>
  <si>
    <t>ATTIC R0 - R19</t>
  </si>
  <si>
    <t>ATTIC R19 - R30</t>
  </si>
  <si>
    <t>Duct Tightness &amp; Insulation</t>
  </si>
  <si>
    <t>BGWall Insulation</t>
  </si>
  <si>
    <t>HP upgrade &amp; controls</t>
  </si>
  <si>
    <t>Cooling Systems</t>
  </si>
  <si>
    <t>With</t>
  </si>
  <si>
    <t>Without</t>
  </si>
  <si>
    <t>Location Climate Data</t>
  </si>
  <si>
    <t>Portland</t>
  </si>
  <si>
    <t>Seattle</t>
  </si>
  <si>
    <t xml:space="preserve">Spokane </t>
  </si>
  <si>
    <t>Boise</t>
  </si>
  <si>
    <t>Kalispell</t>
  </si>
  <si>
    <t>Heating Zone Weight Data</t>
  </si>
  <si>
    <t>PNW Region</t>
  </si>
  <si>
    <t>Spokane</t>
  </si>
  <si>
    <t>Heating Degree Days*</t>
  </si>
  <si>
    <t>Cooling Zone Weights</t>
  </si>
  <si>
    <t>Cooling Zone 1</t>
  </si>
  <si>
    <t>Cooling Zone 2</t>
  </si>
  <si>
    <t>Cooling Zone 3</t>
  </si>
  <si>
    <t>Cooling Degree Hours*</t>
  </si>
  <si>
    <t>pdx1500cznlWalls10Pre</t>
  </si>
  <si>
    <t>heating</t>
  </si>
  <si>
    <t>(CntrlType As String, hspfMid As Double, hspfLow As Double, hspfHigh As Double, hpLowA As Long, hpLowB As Long, hpLowC As Long, hpLowD As Long, hpLowE As Long, hpHighA As Long, hpHighB As Long, hpHighC As Long, hpHighD As Long, hpHighE As Long)</t>
  </si>
  <si>
    <t>pdx1500cWalls10pre</t>
  </si>
  <si>
    <t>pdx1500cznlWalls10pre</t>
  </si>
  <si>
    <t>1500c</t>
  </si>
  <si>
    <t>1500s</t>
  </si>
  <si>
    <t>pdx</t>
  </si>
  <si>
    <t>sea</t>
  </si>
  <si>
    <t>spk</t>
  </si>
  <si>
    <t>bos</t>
  </si>
  <si>
    <t>kal</t>
  </si>
  <si>
    <t>Measure Inputs</t>
  </si>
  <si>
    <t>znl</t>
  </si>
  <si>
    <t>faf</t>
  </si>
  <si>
    <t>hp</t>
  </si>
  <si>
    <t>pre</t>
  </si>
  <si>
    <t>pst</t>
  </si>
  <si>
    <t>Savings Per House</t>
  </si>
  <si>
    <t>1500cpdxznl</t>
  </si>
  <si>
    <t>1500cpdxfaf</t>
  </si>
  <si>
    <t>1500cpdxhp</t>
  </si>
  <si>
    <t>1500cseaznl</t>
  </si>
  <si>
    <t>1500cseafaf</t>
  </si>
  <si>
    <t>1500cseahp</t>
  </si>
  <si>
    <t>1500cspkznl</t>
  </si>
  <si>
    <t>1500cspkfaf</t>
  </si>
  <si>
    <t>1500cspkhp</t>
  </si>
  <si>
    <t>1500cbosznl</t>
  </si>
  <si>
    <t>1500cbosfaf</t>
  </si>
  <si>
    <t>1500cboshp</t>
  </si>
  <si>
    <t>1500ckalznl</t>
  </si>
  <si>
    <t>1500ckalfaf</t>
  </si>
  <si>
    <t>1500ckalhp</t>
  </si>
  <si>
    <t>1500spdxznl</t>
  </si>
  <si>
    <t>1500spdxfaf</t>
  </si>
  <si>
    <t>1500spdxhp</t>
  </si>
  <si>
    <t>1500sseaznl</t>
  </si>
  <si>
    <t>1500sseafaf</t>
  </si>
  <si>
    <t>1500sseahp</t>
  </si>
  <si>
    <t>1500sspkznl</t>
  </si>
  <si>
    <t>1500sspkfaf</t>
  </si>
  <si>
    <t>1500sspkhp</t>
  </si>
  <si>
    <t>1500sbosznl</t>
  </si>
  <si>
    <t>1500sbosfaf</t>
  </si>
  <si>
    <t>1500sboshp</t>
  </si>
  <si>
    <t>1500skalznl</t>
  </si>
  <si>
    <t>1500skalfaf</t>
  </si>
  <si>
    <t>1500skalhp</t>
  </si>
  <si>
    <t>1000pdxznl</t>
  </si>
  <si>
    <t>1000pdxfaf</t>
  </si>
  <si>
    <t>1000pdxhp</t>
  </si>
  <si>
    <t>1000seaznl</t>
  </si>
  <si>
    <t>1000seafaf</t>
  </si>
  <si>
    <t>1000seahp</t>
  </si>
  <si>
    <t>1000spkznl</t>
  </si>
  <si>
    <t>1000spkfaf</t>
  </si>
  <si>
    <t>1000spkhp</t>
  </si>
  <si>
    <t>1000bosznl</t>
  </si>
  <si>
    <t>1000bosfaf</t>
  </si>
  <si>
    <t>1000boshp</t>
  </si>
  <si>
    <t>1000kalznl</t>
  </si>
  <si>
    <t>1000kalfaf</t>
  </si>
  <si>
    <t>1000kalhp</t>
  </si>
  <si>
    <t>1500cpdx</t>
  </si>
  <si>
    <t>1500csea</t>
  </si>
  <si>
    <t>1500cspk</t>
  </si>
  <si>
    <t>1500cbos</t>
  </si>
  <si>
    <t>1500ckal</t>
  </si>
  <si>
    <t>1500spdx</t>
  </si>
  <si>
    <t>1500ssea</t>
  </si>
  <si>
    <t>1500sspk</t>
  </si>
  <si>
    <t>1500sbos</t>
  </si>
  <si>
    <t>1500skal</t>
  </si>
  <si>
    <t>1000pdx</t>
  </si>
  <si>
    <t>1000sea</t>
  </si>
  <si>
    <t>1000spk</t>
  </si>
  <si>
    <t>1000bos</t>
  </si>
  <si>
    <t>1000kal</t>
  </si>
  <si>
    <t>Savings Per unit (sqft, house, etc.)</t>
  </si>
  <si>
    <t>Weighted to Avg House Size</t>
  </si>
  <si>
    <t>ac</t>
  </si>
  <si>
    <t>pdxznl</t>
  </si>
  <si>
    <t>pdxfaf</t>
  </si>
  <si>
    <t>pdxhp</t>
  </si>
  <si>
    <t>seaznl</t>
  </si>
  <si>
    <t>seafaf</t>
  </si>
  <si>
    <t>seahp</t>
  </si>
  <si>
    <t>spkznl</t>
  </si>
  <si>
    <t>spkfaf</t>
  </si>
  <si>
    <t>spkhp</t>
  </si>
  <si>
    <t>bosznl</t>
  </si>
  <si>
    <t>bosfaf</t>
  </si>
  <si>
    <t>boshp</t>
  </si>
  <si>
    <t>kalznl</t>
  </si>
  <si>
    <t>kalfaf</t>
  </si>
  <si>
    <t>kalhp</t>
  </si>
  <si>
    <t>Savings Per Sq. Ft.</t>
  </si>
  <si>
    <t>&amp; Weighted to Avg Heating System (&amp; cooling system)</t>
  </si>
  <si>
    <t>Avg Htg &amp; Clg System</t>
  </si>
  <si>
    <t>CAC</t>
  </si>
  <si>
    <t>COPIED FROM:</t>
  </si>
  <si>
    <t>ATTIC R0 - R19_Electric Zonal</t>
  </si>
  <si>
    <t>ATTIC R19 - R30_Electric Zonal</t>
  </si>
  <si>
    <t>ATTIC R0 - R19_Electric FAF</t>
  </si>
  <si>
    <t>ATTIC R19 - R30_Electric FAF</t>
  </si>
  <si>
    <t>ATTIC R0 - R19_Heat Pump</t>
  </si>
  <si>
    <t>ATTIC R19 - R30_Heat Pump</t>
  </si>
  <si>
    <t>Existing</t>
  </si>
  <si>
    <t>Mfshell_atticceiling Table from RBSA</t>
  </si>
  <si>
    <t>component_it</t>
  </si>
  <si>
    <t>atticceil_it</t>
  </si>
  <si>
    <t>u_ceil</t>
  </si>
  <si>
    <t>ceiling_1</t>
  </si>
  <si>
    <t>ceiling_2</t>
  </si>
  <si>
    <t>R0-R10</t>
  </si>
  <si>
    <t>Site_BldgSizeClass</t>
  </si>
  <si>
    <t>Site_Pweight</t>
  </si>
  <si>
    <t>Site_BldgVintage</t>
  </si>
  <si>
    <t>Site_BldgYearConstructed</t>
  </si>
  <si>
    <t>Site_City</t>
  </si>
  <si>
    <t>Site_State</t>
  </si>
  <si>
    <t>Site_PostCode</t>
  </si>
  <si>
    <t>Site_ElectricityUtility</t>
  </si>
  <si>
    <t>Site_NaturalGasUtility</t>
  </si>
  <si>
    <t>Config_ResidenceType</t>
  </si>
  <si>
    <t>Config_TotalUnits</t>
  </si>
  <si>
    <t>Config_ResFloors</t>
  </si>
  <si>
    <t>Config_NonResFloors</t>
  </si>
  <si>
    <t>Config_AboveGrndFloors</t>
  </si>
  <si>
    <t>Config_StorageMechFloors</t>
  </si>
  <si>
    <t>Config_TotalFloorArea</t>
  </si>
  <si>
    <t>Config_ResidentialFloorArea</t>
  </si>
  <si>
    <t>Config_ResCommonFloorArea</t>
  </si>
  <si>
    <t>Config_Total4Bed</t>
  </si>
  <si>
    <t>Config_Total3Bed</t>
  </si>
  <si>
    <t>Config_Total2Bed</t>
  </si>
  <si>
    <t>Config_Total1Bed</t>
  </si>
  <si>
    <t>Config_TotalStudio</t>
  </si>
  <si>
    <t>Config_Vacancy</t>
  </si>
  <si>
    <t>Config_CommercialAreaPresent</t>
  </si>
  <si>
    <t>Config_CommonAreaPresent</t>
  </si>
  <si>
    <t>Config_AvgCeilingHeight</t>
  </si>
  <si>
    <t>Energy_kWhAnnBldg</t>
  </si>
  <si>
    <t>Energy_kWhAnnUnit</t>
  </si>
  <si>
    <t>Energy_kWhAnnTot</t>
  </si>
  <si>
    <t>Energy_thmAnnBldg</t>
  </si>
  <si>
    <t>Energy_thmAnnUnit</t>
  </si>
  <si>
    <t>Energy_thmAnnTot</t>
  </si>
  <si>
    <t>Energy_kBtuAnnTot</t>
  </si>
  <si>
    <t>Shell_ExposedIntSlabsPresent</t>
  </si>
  <si>
    <t>Shell_CommercialAreaInResShell</t>
  </si>
  <si>
    <t>Shell_WindowsEastPct</t>
  </si>
  <si>
    <t>Shell_WindowsNEpct</t>
  </si>
  <si>
    <t>Shell_WindowsNorthPct</t>
  </si>
  <si>
    <t>Shell_WindowsNWpct</t>
  </si>
  <si>
    <t>Shell_WindowsSouthPct</t>
  </si>
  <si>
    <t>Shell_WindowsSEpct</t>
  </si>
  <si>
    <t>Shell_WindowsSWpct</t>
  </si>
  <si>
    <t>Shell_WindowsWestPct</t>
  </si>
  <si>
    <t>Shell_BalconiesPresent</t>
  </si>
  <si>
    <t>Equip_WasherCount</t>
  </si>
  <si>
    <t>Equip_DryerCount</t>
  </si>
  <si>
    <t>Equip_ElevatorCount</t>
  </si>
  <si>
    <t>Equip_CentralHVACpresent</t>
  </si>
  <si>
    <t>Equip_CentralVentilationPresent</t>
  </si>
  <si>
    <t>Equip_CommonHVACpresent</t>
  </si>
  <si>
    <t>Equip_CommonVentilationPresent</t>
  </si>
  <si>
    <t>Equip_WaterPboosterPumpPresent</t>
  </si>
  <si>
    <t>Equip_GarageVentilationPresent</t>
  </si>
  <si>
    <t>Equip_PoolHeaterPresent</t>
  </si>
  <si>
    <t>Equip_PrimaryHeatingSystem</t>
  </si>
  <si>
    <t>Equip_PrimaryHeatingFuel</t>
  </si>
  <si>
    <t>Equip_UnitOrCentralHeat</t>
  </si>
  <si>
    <t>Equip_CoolingSystem</t>
  </si>
  <si>
    <t>Equip_DHWSystemCategory</t>
  </si>
  <si>
    <t>Fuel_GasSvcPresent</t>
  </si>
  <si>
    <t>Fuel_ElectricityUsed</t>
  </si>
  <si>
    <t>Fuel_GasUsed</t>
  </si>
  <si>
    <t>Fuel_OilUsed</t>
  </si>
  <si>
    <t>Fuel_OtherFuelUsed</t>
  </si>
  <si>
    <t>Fuel_PropaneUsed</t>
  </si>
  <si>
    <t>Fuel_ElecMeterLocCount</t>
  </si>
  <si>
    <t>Fuel_ElecMeterCount</t>
  </si>
  <si>
    <t>Fuel_GasMeterLocCount</t>
  </si>
  <si>
    <t>Fuel_GasMeterCount</t>
  </si>
  <si>
    <t>Park_ParkingProvided</t>
  </si>
  <si>
    <t>Park_TotalNonResPercent</t>
  </si>
  <si>
    <t>Park_TotalStalls</t>
  </si>
  <si>
    <t>Park_TotalArea</t>
  </si>
  <si>
    <t>Park_Floors</t>
  </si>
  <si>
    <t>Park_EnclosedGarage</t>
  </si>
  <si>
    <t>Park_OpenGarage</t>
  </si>
  <si>
    <t>Park_CoveredLot</t>
  </si>
  <si>
    <t>Park_OpenLot</t>
  </si>
  <si>
    <t>Struct_StructureType</t>
  </si>
  <si>
    <t>Struct_ConstructionType</t>
  </si>
  <si>
    <t>Struct_FoundationType</t>
  </si>
  <si>
    <t>Struct_FrameMaterial</t>
  </si>
  <si>
    <t>1-3 stories</t>
  </si>
  <si>
    <t>1981-1990</t>
  </si>
  <si>
    <t>LAKEWOOD</t>
  </si>
  <si>
    <t>Tacoma Public Utilities</t>
  </si>
  <si>
    <t>Flats/Apartments</t>
  </si>
  <si>
    <t>Zonal Electric</t>
  </si>
  <si>
    <t>Electric</t>
  </si>
  <si>
    <t>in-unit system</t>
  </si>
  <si>
    <t>No Cooling</t>
  </si>
  <si>
    <t>Unit Water Heaters Only</t>
  </si>
  <si>
    <t>Frame over Concrete Slab</t>
  </si>
  <si>
    <t>Wood Framing</t>
  </si>
  <si>
    <t>&gt;90% slab</t>
  </si>
  <si>
    <t>Wood</t>
  </si>
  <si>
    <t>KIRKLAND</t>
  </si>
  <si>
    <t>Puget Sound Energy</t>
  </si>
  <si>
    <t>SILVERDALE</t>
  </si>
  <si>
    <t>Frame</t>
  </si>
  <si>
    <t>SEATTLE</t>
  </si>
  <si>
    <t>Seattle City Light</t>
  </si>
  <si>
    <t>Unit Water Heaters and Common Area System</t>
  </si>
  <si>
    <t>Parking/open</t>
  </si>
  <si>
    <t>1955-1970</t>
  </si>
  <si>
    <t>EUGENE</t>
  </si>
  <si>
    <t>Eugene Water &amp; Electric Board</t>
  </si>
  <si>
    <t>&gt;90% crawl</t>
  </si>
  <si>
    <t>LYNNWOOD</t>
  </si>
  <si>
    <t>Snohomish County PUD 1</t>
  </si>
  <si>
    <t>Mixed crawl and slab</t>
  </si>
  <si>
    <t>4-6 stories</t>
  </si>
  <si>
    <t>Frame over PT</t>
  </si>
  <si>
    <t>Parking/enclosed garage</t>
  </si>
  <si>
    <t>1971-1980</t>
  </si>
  <si>
    <t>BELLEVUE</t>
  </si>
  <si>
    <t>Unit Systems</t>
  </si>
  <si>
    <t>MUKILTEO</t>
  </si>
  <si>
    <t>&gt; 2000</t>
  </si>
  <si>
    <t>KENT</t>
  </si>
  <si>
    <t>1991-2000</t>
  </si>
  <si>
    <t>Forced Air</t>
  </si>
  <si>
    <t>Natural Gas</t>
  </si>
  <si>
    <t>Forced Air AC/HP</t>
  </si>
  <si>
    <t>Central Water Heater for Units and Common Areas</t>
  </si>
  <si>
    <t>Central Hydronic/Steam</t>
  </si>
  <si>
    <t>central system</t>
  </si>
  <si>
    <t>&gt;90% unheated basement</t>
  </si>
  <si>
    <t>BELLINGHAM</t>
  </si>
  <si>
    <t>EVERETT</t>
  </si>
  <si>
    <t>MARYSVILLE</t>
  </si>
  <si>
    <t>Townhouse or Rowhouse</t>
  </si>
  <si>
    <t>MOUNTLAKE TERRACE</t>
  </si>
  <si>
    <t>PTHP,DHP</t>
  </si>
  <si>
    <t>&lt;1955</t>
  </si>
  <si>
    <t>Oil</t>
  </si>
  <si>
    <t>heated daylight basement</t>
  </si>
  <si>
    <t>mixed basement &amp; slab</t>
  </si>
  <si>
    <t>NW Natural</t>
  </si>
  <si>
    <t>Stove</t>
  </si>
  <si>
    <t>Steel Framing</t>
  </si>
  <si>
    <t>Steel</t>
  </si>
  <si>
    <t>AUBURN</t>
  </si>
  <si>
    <t>REDMOND</t>
  </si>
  <si>
    <t>BREMERTON</t>
  </si>
  <si>
    <t>CNG - Cascade Natural Gas</t>
  </si>
  <si>
    <t>EDMONDS</t>
  </si>
  <si>
    <t>DES MOINES</t>
  </si>
  <si>
    <t>RENTON</t>
  </si>
  <si>
    <t>BURIEN</t>
  </si>
  <si>
    <t>TUMWATER</t>
  </si>
  <si>
    <t>7+ stories</t>
  </si>
  <si>
    <t>Solid Masonry</t>
  </si>
  <si>
    <t>Concrete Rigid Frame</t>
  </si>
  <si>
    <t>Concrete</t>
  </si>
  <si>
    <t>OLYMPIA</t>
  </si>
  <si>
    <t>MILL CREEK</t>
  </si>
  <si>
    <t>SNOHOMISH</t>
  </si>
  <si>
    <t>KENMORE</t>
  </si>
  <si>
    <t>Central Water Heater Units and Separate Common Area System</t>
  </si>
  <si>
    <t>Central Water Heater Units Only</t>
  </si>
  <si>
    <t>SNOQUALMIE</t>
  </si>
  <si>
    <t>LACEY</t>
  </si>
  <si>
    <t>NORTH SEATTLE</t>
  </si>
  <si>
    <t>FEDERAL WAY</t>
  </si>
  <si>
    <t>PORTLAND</t>
  </si>
  <si>
    <t>Portland General Electric</t>
  </si>
  <si>
    <t>Rigid Frame (concrete or steel)</t>
  </si>
  <si>
    <t>NEWPORT</t>
  </si>
  <si>
    <t>Central Lincoln PUD</t>
  </si>
  <si>
    <t>VANCOUVER</t>
  </si>
  <si>
    <t>Clark PUD</t>
  </si>
  <si>
    <t>MEDICAL LAKE</t>
  </si>
  <si>
    <t>Avista Energy</t>
  </si>
  <si>
    <t>TIGARD</t>
  </si>
  <si>
    <t>SALEM</t>
  </si>
  <si>
    <t>Salem Electric</t>
  </si>
  <si>
    <t>&gt;90% heated basement</t>
  </si>
  <si>
    <t>KALAMA</t>
  </si>
  <si>
    <t>Cowlitz County PUD</t>
  </si>
  <si>
    <t>METALINE FALLS</t>
  </si>
  <si>
    <t>Pend Oreille County PUD</t>
  </si>
  <si>
    <t>WENATCHEE</t>
  </si>
  <si>
    <t>Chelan County PUD 1</t>
  </si>
  <si>
    <t>BEAVERTON</t>
  </si>
  <si>
    <t>FLORENCE</t>
  </si>
  <si>
    <t>YAKIMA</t>
  </si>
  <si>
    <t>Pacific Power &amp; Light</t>
  </si>
  <si>
    <t>ELLENSBURG</t>
  </si>
  <si>
    <t>Ellensburg, City of</t>
  </si>
  <si>
    <t>HELENA</t>
  </si>
  <si>
    <t>Northwestern Energy</t>
  </si>
  <si>
    <t>MEDFORD</t>
  </si>
  <si>
    <t>TACOMA</t>
  </si>
  <si>
    <t>KENNEWICK</t>
  </si>
  <si>
    <t>Benton County PUD No. 1</t>
  </si>
  <si>
    <t>BOISE</t>
  </si>
  <si>
    <t>Idaho Power Co</t>
  </si>
  <si>
    <t>Intermountain Gas</t>
  </si>
  <si>
    <t>WHITE SULPHUR SPRINGS</t>
  </si>
  <si>
    <t>BEND</t>
  </si>
  <si>
    <t>MILWAUKIE</t>
  </si>
  <si>
    <t>TUALATIN</t>
  </si>
  <si>
    <t>MISSOULA</t>
  </si>
  <si>
    <t>SPOKANE</t>
  </si>
  <si>
    <t>TENSED</t>
  </si>
  <si>
    <t>Clearwater Power Company</t>
  </si>
  <si>
    <t>SPRINGFIELD</t>
  </si>
  <si>
    <t>Springfield Utility Board</t>
  </si>
  <si>
    <t>Central HP Loop/ VRF</t>
  </si>
  <si>
    <t>Central WSHP/VRF</t>
  </si>
  <si>
    <t>SPOKANE VALLEY</t>
  </si>
  <si>
    <t>Heat Pump (Forced Air)</t>
  </si>
  <si>
    <t>LINCOLN CITY</t>
  </si>
  <si>
    <t>Central Fan Coils/Chiller</t>
  </si>
  <si>
    <t>Masonry</t>
  </si>
  <si>
    <t>BAKER CITY</t>
  </si>
  <si>
    <t>Oregon Trail Electric</t>
  </si>
  <si>
    <t>Central Air/Ventilation</t>
  </si>
  <si>
    <t>CORVALLIS</t>
  </si>
  <si>
    <t>NEWCASTLE</t>
  </si>
  <si>
    <t>TUKWILA</t>
  </si>
  <si>
    <t>SHORELINE</t>
  </si>
  <si>
    <t>LAKE FOREST PARK</t>
  </si>
  <si>
    <t>Purchased Steam</t>
  </si>
  <si>
    <t>Steel Rigid Frame</t>
  </si>
  <si>
    <t>From Mfbuilding_master</t>
  </si>
  <si>
    <t># floors</t>
  </si>
  <si>
    <t>LowRiseWght</t>
  </si>
  <si>
    <t>Sum of LowRiseWght</t>
  </si>
  <si>
    <t>R19 max</t>
  </si>
  <si>
    <t>R30 max</t>
  </si>
  <si>
    <t>u_floor</t>
  </si>
  <si>
    <t>u_crawl_wall</t>
  </si>
  <si>
    <t>floor_1</t>
  </si>
  <si>
    <t>floor_2</t>
  </si>
  <si>
    <t>(blank) Total</t>
  </si>
  <si>
    <t>TRUE</t>
  </si>
  <si>
    <t>FALSE</t>
  </si>
  <si>
    <t>window_it</t>
  </si>
  <si>
    <t>WindowFrameType</t>
  </si>
  <si>
    <t>WindowGlazingType</t>
  </si>
  <si>
    <t>WindowSpaceWidth</t>
  </si>
  <si>
    <t>WindowPercentOperable</t>
  </si>
  <si>
    <t>WindowArea</t>
  </si>
  <si>
    <t>WindowStormsPresent</t>
  </si>
  <si>
    <t>WindowLowE</t>
  </si>
  <si>
    <t>wall_4</t>
  </si>
  <si>
    <t>Wood, Vinyl, or Fiberglass</t>
  </si>
  <si>
    <t>&gt;=1/2"</t>
  </si>
  <si>
    <t>wall_3</t>
  </si>
  <si>
    <t>&lt;1/2"</t>
  </si>
  <si>
    <t>wall_5</t>
  </si>
  <si>
    <t>wall_6</t>
  </si>
  <si>
    <t>wall_7</t>
  </si>
  <si>
    <t>wall_8</t>
  </si>
  <si>
    <t>wall_9</t>
  </si>
  <si>
    <t>wall_10</t>
  </si>
  <si>
    <t>wall_12</t>
  </si>
  <si>
    <t>R-All-HVAC-ER-All-All-E</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</si>
  <si>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</si>
  <si>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</si>
  <si>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</si>
  <si>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</si>
  <si>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</si>
  <si>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</si>
  <si>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</si>
  <si>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</si>
  <si>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</si>
  <si>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</si>
  <si>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</si>
  <si>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</si>
  <si>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</si>
  <si>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</si>
  <si>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</si>
  <si>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</si>
  <si>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</si>
  <si>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</si>
  <si>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</si>
  <si>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</si>
  <si>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</si>
  <si>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</si>
  <si>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</si>
  <si>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</si>
  <si>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</si>
  <si>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</si>
  <si>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</si>
  <si>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</si>
  <si>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</si>
  <si>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</si>
  <si>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</si>
  <si>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</si>
  <si>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</si>
  <si>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</si>
  <si>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</si>
  <si>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</si>
  <si>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</si>
  <si>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</si>
  <si>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</si>
  <si>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</si>
  <si>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</si>
  <si>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</si>
  <si>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</si>
  <si>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</si>
  <si>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</si>
  <si>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</si>
  <si>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</si>
  <si>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</si>
  <si>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</si>
  <si>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</si>
  <si>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</si>
  <si>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</si>
  <si>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</si>
  <si>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</si>
  <si>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</si>
  <si>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</si>
  <si>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</si>
  <si>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</si>
  <si>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</si>
  <si>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</si>
  <si>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</si>
  <si>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</si>
  <si>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</si>
  <si>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</si>
  <si>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</si>
  <si>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</si>
  <si>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</si>
  <si>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</si>
  <si>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</si>
  <si>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</si>
  <si>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</si>
  <si>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</si>
  <si>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</si>
  <si>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</si>
  <si>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</si>
  <si>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</si>
  <si>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</si>
  <si>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</si>
  <si>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</si>
  <si>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</si>
  <si>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</si>
  <si>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</si>
  <si>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</si>
  <si>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</si>
  <si>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</si>
  <si>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</si>
  <si>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</si>
  <si>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</si>
  <si>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</si>
  <si>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</si>
  <si>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</si>
  <si>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</si>
  <si>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</si>
  <si>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</si>
  <si>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</si>
  <si>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</si>
  <si>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</si>
  <si>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</si>
  <si>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</si>
  <si>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</si>
  <si>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</si>
  <si>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</si>
  <si>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</si>
  <si>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</si>
  <si>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</si>
  <si>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</si>
  <si>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</si>
  <si>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</si>
  <si>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</si>
  <si>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</si>
  <si>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</si>
  <si>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</si>
  <si>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</si>
  <si>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</si>
  <si>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</si>
  <si>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</si>
  <si>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</si>
  <si>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</si>
  <si>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</si>
  <si>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</si>
  <si>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</si>
  <si>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</si>
  <si>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</si>
  <si>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</si>
  <si>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</si>
  <si>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</si>
  <si>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</si>
  <si>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</si>
  <si>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</si>
  <si>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</si>
  <si>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</si>
  <si>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</si>
  <si>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</si>
  <si>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</si>
  <si>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</si>
  <si>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</si>
  <si>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</si>
  <si>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</si>
  <si>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</si>
  <si>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</si>
  <si>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</si>
  <si>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</si>
  <si>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</si>
  <si>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</si>
  <si>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</si>
  <si>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</si>
  <si>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</si>
  <si>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</si>
  <si>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</si>
  <si>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</si>
  <si>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</si>
  <si>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</si>
  <si>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</si>
  <si>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</si>
  <si>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</si>
  <si>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</si>
  <si>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</si>
  <si>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</si>
  <si>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</si>
  <si>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</si>
  <si>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</si>
  <si>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</si>
  <si>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</si>
  <si>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</si>
  <si>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</si>
  <si>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</si>
  <si>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</si>
  <si>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</si>
  <si>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</si>
  <si>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</si>
  <si>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</si>
  <si>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</si>
  <si>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Totals Basis</t>
  </si>
  <si>
    <t>Busbar Electric Savings in kWh</t>
  </si>
  <si>
    <t>Measures with B/C &gt; 1.00</t>
  </si>
  <si>
    <t>Categories with B/C &gt; 1.00</t>
  </si>
  <si>
    <t>Supply Curve Results:  By TRC Net Levelized Cost - Net of Benefits</t>
  </si>
  <si>
    <t>LowRise Weights</t>
  </si>
  <si>
    <t>Low Rise Floor Area</t>
  </si>
  <si>
    <t>Low Rise # of floors</t>
  </si>
  <si>
    <t>Floor area * weight</t>
  </si>
  <si>
    <t>Average floor area</t>
  </si>
  <si>
    <t># floors * weight</t>
  </si>
  <si>
    <t>Average # of stories</t>
  </si>
  <si>
    <t>MAX</t>
  </si>
  <si>
    <t>% of homes that are program eligible</t>
  </si>
  <si>
    <t>Group Zonal &amp; DHP for region</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</si>
  <si>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</si>
  <si>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</si>
  <si>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</si>
  <si>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</si>
  <si>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</si>
  <si>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</si>
  <si>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</si>
  <si>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</si>
  <si>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</si>
  <si>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</si>
  <si>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</si>
  <si>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</si>
  <si>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</si>
  <si>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</si>
  <si>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</si>
  <si>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</si>
  <si>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</si>
  <si>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</si>
  <si>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</si>
  <si>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</si>
  <si>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</si>
  <si>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</si>
  <si>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</si>
  <si>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</si>
  <si>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</si>
  <si>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</si>
  <si>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</si>
  <si>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</si>
  <si>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</si>
  <si>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</si>
  <si>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</si>
  <si>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Savings Allocation by Cost Bin and Month for Segments 1</t>
  </si>
  <si>
    <t>Savings Allocation by Cost Bin and Month for Segments 2</t>
  </si>
  <si>
    <t>Savings Allocation by Category and Month for Segments 1</t>
  </si>
  <si>
    <t>Savings Allocation by Category and Month for Segments 2</t>
  </si>
  <si>
    <t>Wholesale KW</t>
  </si>
  <si>
    <t>aMW</t>
  </si>
  <si>
    <t>Total per Year (aMW)</t>
  </si>
  <si>
    <t>Total Cumulative (aMW)</t>
  </si>
  <si>
    <t>SEEM models, RTF workbook</t>
  </si>
  <si>
    <t>existing low-rise multifamily homes, electric heating</t>
  </si>
  <si>
    <t>MultiFamily Weatherization</t>
  </si>
  <si>
    <t>Various pre/post R/U/CFM50 values</t>
  </si>
  <si>
    <t>HVAC Elec Resistance space heat - ELCAP</t>
  </si>
  <si>
    <t>new GLS shape, need to review against 6P</t>
  </si>
  <si>
    <t>Block 2: 0-10 mills/kWh</t>
  </si>
  <si>
    <t>Remove R30+ baseline from Attic, Remove R19-&gt; R30 for floor, Truncate Measure Name, Remove Average, Remove Window CL35 -&gt; XX option</t>
  </si>
  <si>
    <t>Ramp Rate</t>
  </si>
  <si>
    <t>Resource Type</t>
  </si>
  <si>
    <t>Measure Category</t>
  </si>
  <si>
    <t>End Use</t>
  </si>
  <si>
    <t>kW per unit</t>
  </si>
  <si>
    <t>kWh per unit</t>
  </si>
  <si>
    <t>TRC Net Levelized Cost (Net of All Benefits)</t>
  </si>
  <si>
    <t>Retro12Med</t>
  </si>
  <si>
    <t>End Use:</t>
  </si>
  <si>
    <t>ExistingResidentialMultiFamily_SEEM96_v2.xlsm</t>
  </si>
  <si>
    <t>BPA Sector</t>
  </si>
  <si>
    <t>BPA EndUse</t>
  </si>
  <si>
    <t>BPA Category</t>
  </si>
  <si>
    <t>BPA TAP</t>
  </si>
  <si>
    <t>SumOfkWhBusbar</t>
  </si>
  <si>
    <t>SumOfaMWBusbar</t>
  </si>
  <si>
    <t>Envelope</t>
  </si>
  <si>
    <t>Air Sealing</t>
  </si>
  <si>
    <t>Insulation</t>
  </si>
  <si>
    <t>Unknown</t>
  </si>
  <si>
    <t>Per Year</t>
  </si>
  <si>
    <t>Unclear what segment these savings apply to (mostly SF probably?)</t>
  </si>
  <si>
    <t>SAVINGS (kWh/yr/sqft)</t>
  </si>
  <si>
    <t>Savings (kwh/yr/sqft)</t>
  </si>
  <si>
    <t>Results:</t>
  </si>
  <si>
    <t>$/SF</t>
  </si>
  <si>
    <t>Attic R-15 To R-38</t>
  </si>
  <si>
    <t>Attic R-11 To R-38</t>
  </si>
  <si>
    <t>Attic R-19 To R-38</t>
  </si>
  <si>
    <t>Attic R-0 To R-25</t>
  </si>
  <si>
    <t>Attic R-0 To R-38</t>
  </si>
  <si>
    <t>Attic R-0 To R-42</t>
  </si>
  <si>
    <t>Attic R-11 To R-49</t>
  </si>
  <si>
    <t>Attic R-11 To R-22</t>
  </si>
  <si>
    <t>Attic R-0 To R-13</t>
  </si>
  <si>
    <t>Attic R-19 To R-49</t>
  </si>
  <si>
    <t>Floor R-0 To R-30</t>
  </si>
  <si>
    <t>Floor R-0 To R-25</t>
  </si>
  <si>
    <t>Floor R-0 To R-21</t>
  </si>
  <si>
    <t>Floor R-11 To R-30</t>
  </si>
  <si>
    <t>Floor R-0 To R-19</t>
  </si>
  <si>
    <t>Wall R-0 To R-13</t>
  </si>
  <si>
    <t>Wall R-0 To R-11</t>
  </si>
  <si>
    <t>Wall R-0 To R-15</t>
  </si>
  <si>
    <t>(In 2012 Dollars)</t>
  </si>
  <si>
    <t>From RTF workbook : ResWXMF_v2_2</t>
  </si>
  <si>
    <t>Using Costs from SIW, or ETO MF Insulation Costs (per original RTF work)</t>
  </si>
  <si>
    <t>Adjusted</t>
  </si>
  <si>
    <t>Cost ($)/sf</t>
  </si>
  <si>
    <t>Windows - Upgrade to Class 22</t>
  </si>
  <si>
    <t>Windows - Upgrade to Class 30</t>
  </si>
  <si>
    <t>MF Window</t>
  </si>
  <si>
    <t>Highlighted cells are using old ETO Insulation Costs. However, these measures don't make it to final SC input, so are not adjusted</t>
  </si>
  <si>
    <t>From RTF workbook : ResWXMF_v2_2, circa 2010</t>
  </si>
  <si>
    <t>If no cost data for insulation level, using RTF methodology of applying factor to SF costs</t>
  </si>
  <si>
    <t>Factor:</t>
  </si>
  <si>
    <t>(from MF Insulation in SIW, cell P73)</t>
  </si>
  <si>
    <t>These data are from the Standard Information Workbook v2_2</t>
  </si>
  <si>
    <t>MF Insulation</t>
  </si>
  <si>
    <t>SF Insulation</t>
  </si>
  <si>
    <t>Total Max Potential (aMW)</t>
  </si>
  <si>
    <t>New savings based on updated SEEM from v92 to v96; Savings have not been through RBSA-based calibration</t>
  </si>
  <si>
    <t>Wednesday, 25 March , 2015 at 5:14 PM</t>
  </si>
  <si>
    <t>Q:\SeventhPlan\Conservation Analysis\Global EE Inputs\MC Files\MC_AND_LOADSHAPE_v3.0_24segment-7P-D9 - NewSegValues.xlsx</t>
  </si>
</sst>
</file>

<file path=xl/styles.xml><?xml version="1.0" encoding="utf-8"?>
<styleSheet xmlns="http://schemas.openxmlformats.org/spreadsheetml/2006/main">
  <numFmts count="20">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0.0%"/>
    <numFmt numFmtId="169" formatCode="_(* #,##0.0_);_(* \(#,##0.0\);_(* &quot;-&quot;?_);_(@_)"/>
    <numFmt numFmtId="170" formatCode="m/d/\ h:mm"/>
    <numFmt numFmtId="171" formatCode="_(* #,##0_);_(* \(#,##0\);_(* &quot;-&quot;??_);_(@_)"/>
    <numFmt numFmtId="172" formatCode="mmm\-yyyy"/>
    <numFmt numFmtId="173" formatCode="#,##0.0"/>
    <numFmt numFmtId="174" formatCode="_(&quot;$&quot;* #,##0.000_);_(&quot;$&quot;* \(#,##0.000\);_(&quot;$&quot;* &quot;-&quot;??_);_(@_)"/>
    <numFmt numFmtId="175" formatCode="_(&quot;$&quot;* #,##0_);_(&quot;$&quot;* \(#,##0\);_(&quot;$&quot;* &quot;-&quot;??_);_(@_)"/>
    <numFmt numFmtId="176" formatCode="dd\-mmm\-yy"/>
    <numFmt numFmtId="177" formatCode="0.000"/>
    <numFmt numFmtId="178" formatCode="0.0;[Red]\-0.0"/>
    <numFmt numFmtId="179" formatCode="\ "/>
  </numFmts>
  <fonts count="76">
    <font>
      <sz val="10"/>
      <color theme="1"/>
      <name val="Arial"/>
      <family val="2"/>
    </font>
    <font>
      <sz val="11"/>
      <color theme="1"/>
      <name val="Calibri"/>
      <family val="2"/>
      <scheme val="minor"/>
    </font>
    <font>
      <sz val="12"/>
      <name val="Arial"/>
      <family val="2"/>
    </font>
    <font>
      <b/>
      <i/>
      <sz val="10"/>
      <name val="Arial"/>
      <family val="2"/>
    </font>
    <font>
      <sz val="1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0"/>
      <color rgb="FFFF0000"/>
      <name val="Arial"/>
      <family val="2"/>
    </font>
    <font>
      <sz val="10"/>
      <color indexed="9"/>
      <name val="Arial"/>
      <family val="2"/>
    </font>
    <font>
      <sz val="10"/>
      <color indexed="10"/>
      <name val="Arial"/>
      <family val="2"/>
    </font>
    <font>
      <sz val="10"/>
      <color theme="1"/>
      <name val="Arial"/>
      <family val="2"/>
    </font>
    <font>
      <sz val="12"/>
      <name val="Times New Roman"/>
      <family val="1"/>
    </font>
    <font>
      <b/>
      <sz val="12"/>
      <name val="Times New Roman"/>
      <family val="1"/>
    </font>
    <font>
      <sz val="11"/>
      <color theme="1"/>
      <name val="Calibri"/>
      <family val="2"/>
      <scheme val="minor"/>
    </font>
    <font>
      <b/>
      <sz val="11"/>
      <color theme="1"/>
      <name val="Calibri"/>
      <family val="2"/>
      <scheme val="minor"/>
    </font>
    <font>
      <sz val="11"/>
      <color indexed="8"/>
      <name val="Calibri"/>
      <family val="2"/>
    </font>
    <font>
      <sz val="11"/>
      <color rgb="FFFF0000"/>
      <name val="Calibri"/>
      <family val="2"/>
      <scheme val="minor"/>
    </font>
    <font>
      <sz val="9"/>
      <color theme="1"/>
      <name val="Consolas"/>
      <family val="3"/>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u/>
      <sz val="11"/>
      <color theme="10"/>
      <name val="Calibri"/>
      <family val="2"/>
    </font>
    <font>
      <sz val="11"/>
      <color indexed="62"/>
      <name val="Calibri"/>
      <family val="2"/>
    </font>
    <font>
      <sz val="9"/>
      <name val="Consolas"/>
      <family val="3"/>
    </font>
    <font>
      <sz val="11"/>
      <color indexed="52"/>
      <name val="Calibri"/>
      <family val="2"/>
    </font>
    <font>
      <sz val="11"/>
      <color indexed="60"/>
      <name val="Calibri"/>
      <family val="2"/>
    </font>
    <font>
      <sz val="9"/>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b/>
      <sz val="10"/>
      <color indexed="8"/>
      <name val="Arial"/>
      <family val="2"/>
    </font>
    <font>
      <b/>
      <sz val="15"/>
      <color indexed="62"/>
      <name val="Calibri"/>
      <family val="2"/>
    </font>
    <font>
      <b/>
      <sz val="13"/>
      <color indexed="62"/>
      <name val="Calibri"/>
      <family val="2"/>
    </font>
    <font>
      <b/>
      <sz val="11"/>
      <color indexed="62"/>
      <name val="Calibri"/>
      <family val="2"/>
    </font>
    <font>
      <u/>
      <sz val="7"/>
      <color indexed="12"/>
      <name val="Arial"/>
      <family val="2"/>
    </font>
    <font>
      <u/>
      <sz val="10"/>
      <color indexed="12"/>
      <name val="Times New Roman"/>
      <family val="1"/>
    </font>
    <font>
      <u/>
      <sz val="10"/>
      <color theme="10"/>
      <name val="Arial"/>
      <family val="2"/>
    </font>
    <font>
      <u/>
      <sz val="11"/>
      <color theme="10"/>
      <name val="Calibri"/>
      <family val="2"/>
      <scheme val="minor"/>
    </font>
    <font>
      <sz val="9"/>
      <name val="Arial"/>
      <family val="2"/>
    </font>
    <font>
      <sz val="12"/>
      <name val="Helv"/>
    </font>
    <font>
      <sz val="10"/>
      <name val="Helv"/>
    </font>
    <font>
      <sz val="10"/>
      <name val="Helv"/>
      <charset val="204"/>
    </font>
    <font>
      <b/>
      <sz val="18"/>
      <color indexed="62"/>
      <name val="Cambria"/>
      <family val="2"/>
    </font>
    <font>
      <sz val="10"/>
      <name val="굴림"/>
      <family val="3"/>
      <charset val="129"/>
    </font>
    <font>
      <sz val="10"/>
      <name val="Arial"/>
      <family val="2"/>
    </font>
    <font>
      <u/>
      <sz val="10"/>
      <color indexed="12"/>
      <name val="Arial"/>
      <family val="2"/>
    </font>
    <font>
      <b/>
      <sz val="14"/>
      <color theme="1"/>
      <name val="Calibri"/>
      <family val="2"/>
      <scheme val="minor"/>
    </font>
    <font>
      <b/>
      <sz val="11"/>
      <name val="Calibri"/>
      <family val="2"/>
      <scheme val="minor"/>
    </font>
    <font>
      <sz val="11"/>
      <name val="Calibri"/>
      <family val="2"/>
      <scheme val="minor"/>
    </font>
    <font>
      <sz val="10"/>
      <name val="Arial"/>
      <family val="2"/>
    </font>
    <font>
      <b/>
      <sz val="14"/>
      <color rgb="FFFF0000"/>
      <name val="Calibri"/>
      <family val="2"/>
      <scheme val="minor"/>
    </font>
    <font>
      <sz val="14"/>
      <color theme="1"/>
      <name val="Calibri"/>
      <family val="2"/>
      <scheme val="minor"/>
    </font>
    <font>
      <b/>
      <sz val="11"/>
      <color rgb="FF0070C0"/>
      <name val="Calibri"/>
      <family val="2"/>
      <scheme val="minor"/>
    </font>
    <font>
      <sz val="11"/>
      <color rgb="FF0070C0"/>
      <name val="Calibri"/>
      <family val="2"/>
      <scheme val="minor"/>
    </font>
    <font>
      <sz val="11"/>
      <name val="Arial"/>
      <family val="2"/>
    </font>
    <font>
      <sz val="11"/>
      <color rgb="FF00B050"/>
      <name val="Calibri"/>
      <family val="2"/>
      <scheme val="minor"/>
    </font>
    <font>
      <b/>
      <sz val="36"/>
      <color rgb="FFFF0000"/>
      <name val="Calibri"/>
      <family val="2"/>
      <scheme val="minor"/>
    </font>
    <font>
      <b/>
      <sz val="14"/>
      <color rgb="FF0070C0"/>
      <name val="Calibri"/>
      <family val="2"/>
      <scheme val="minor"/>
    </font>
    <font>
      <b/>
      <sz val="10"/>
      <color theme="0"/>
      <name val="Calibri"/>
      <family val="2"/>
      <scheme val="minor"/>
    </font>
    <font>
      <sz val="10"/>
      <color theme="1"/>
      <name val="Calibri"/>
      <family val="2"/>
      <scheme val="minor"/>
    </font>
    <font>
      <b/>
      <sz val="10"/>
      <color theme="1"/>
      <name val="Arial"/>
      <family val="2"/>
    </font>
  </fonts>
  <fills count="96">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rgb="FFFFFF00"/>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theme="6"/>
        <bgColor indexed="64"/>
      </patternFill>
    </fill>
    <fill>
      <patternFill patternType="solid">
        <fgColor indexed="43"/>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4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6"/>
      </patternFill>
    </fill>
    <fill>
      <patternFill patternType="solid">
        <fgColor theme="4"/>
        <bgColor theme="4"/>
      </patternFill>
    </fill>
    <fill>
      <patternFill patternType="solid">
        <fgColor theme="4" tint="0.79998168889431442"/>
        <bgColor theme="4" tint="0.79998168889431442"/>
      </patternFill>
    </fill>
    <fill>
      <patternFill patternType="solid">
        <fgColor theme="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indexed="42"/>
        <bgColor indexed="64"/>
      </patternFill>
    </fill>
    <fill>
      <patternFill patternType="solid">
        <fgColor theme="5" tint="0.39997558519241921"/>
        <bgColor indexed="64"/>
      </patternFill>
    </fill>
    <fill>
      <patternFill patternType="solid">
        <fgColor rgb="FFFF00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indexed="60"/>
        <bgColor indexed="64"/>
      </patternFill>
    </fill>
    <fill>
      <patternFill patternType="solid">
        <fgColor indexed="31"/>
        <bgColor indexed="64"/>
      </patternFill>
    </fill>
  </fills>
  <borders count="101">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style="thin">
        <color theme="0"/>
      </left>
      <right style="thin">
        <color theme="0"/>
      </right>
      <top style="thin">
        <color theme="0"/>
      </top>
      <bottom style="thin">
        <color theme="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right style="medium">
        <color indexed="64"/>
      </right>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style="thin">
        <color indexed="64"/>
      </bottom>
      <diagonal/>
    </border>
  </borders>
  <cellStyleXfs count="538">
    <xf numFmtId="0" fontId="0" fillId="0" borderId="0"/>
    <xf numFmtId="0" fontId="2" fillId="0" borderId="0"/>
    <xf numFmtId="0" fontId="4" fillId="0" borderId="0"/>
    <xf numFmtId="0" fontId="4" fillId="0" borderId="0"/>
    <xf numFmtId="9"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alignment readingOrder="1"/>
    </xf>
    <xf numFmtId="9"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170" fontId="16" fillId="0" borderId="0"/>
    <xf numFmtId="0" fontId="17" fillId="0" borderId="0">
      <alignment horizontal="center" wrapText="1"/>
    </xf>
    <xf numFmtId="0" fontId="18" fillId="0" borderId="0"/>
    <xf numFmtId="0" fontId="22" fillId="0" borderId="0" applyAlignment="0"/>
    <xf numFmtId="9" fontId="22" fillId="0" borderId="0" applyFont="0" applyFill="0" applyBorder="0" applyAlignment="0" applyProtection="0"/>
    <xf numFmtId="43" fontId="22" fillId="0" borderId="0" applyFont="0" applyFill="0" applyBorder="0" applyAlignment="0" applyProtection="0"/>
    <xf numFmtId="0" fontId="20" fillId="26" borderId="0" applyNumberFormat="0" applyBorder="0" applyAlignment="0" applyProtection="0"/>
    <xf numFmtId="0" fontId="18" fillId="13" borderId="0" applyNumberFormat="0" applyBorder="0" applyAlignment="0" applyProtection="0"/>
    <xf numFmtId="0" fontId="20" fillId="27" borderId="0" applyNumberFormat="0" applyBorder="0" applyAlignment="0" applyProtection="0"/>
    <xf numFmtId="0" fontId="18" fillId="15" borderId="0" applyNumberFormat="0" applyBorder="0" applyAlignment="0" applyProtection="0"/>
    <xf numFmtId="0" fontId="20" fillId="28" borderId="0" applyNumberFormat="0" applyBorder="0" applyAlignment="0" applyProtection="0"/>
    <xf numFmtId="0" fontId="18" fillId="17" borderId="0" applyNumberFormat="0" applyBorder="0" applyAlignment="0" applyProtection="0"/>
    <xf numFmtId="0" fontId="20" fillId="29" borderId="0" applyNumberFormat="0" applyBorder="0" applyAlignment="0" applyProtection="0"/>
    <xf numFmtId="0" fontId="18" fillId="19" borderId="0" applyNumberFormat="0" applyBorder="0" applyAlignment="0" applyProtection="0"/>
    <xf numFmtId="0" fontId="20" fillId="30" borderId="0" applyNumberFormat="0" applyBorder="0" applyAlignment="0" applyProtection="0"/>
    <xf numFmtId="0" fontId="18" fillId="21" borderId="0" applyNumberFormat="0" applyBorder="0" applyAlignment="0" applyProtection="0"/>
    <xf numFmtId="0" fontId="20" fillId="31" borderId="0" applyNumberFormat="0" applyBorder="0" applyAlignment="0" applyProtection="0"/>
    <xf numFmtId="0" fontId="18" fillId="23" borderId="0" applyNumberFormat="0" applyBorder="0" applyAlignment="0" applyProtection="0"/>
    <xf numFmtId="0" fontId="20" fillId="32" borderId="0" applyNumberFormat="0" applyBorder="0" applyAlignment="0" applyProtection="0"/>
    <xf numFmtId="0" fontId="18" fillId="14" borderId="0" applyNumberFormat="0" applyBorder="0" applyAlignment="0" applyProtection="0"/>
    <xf numFmtId="0" fontId="20" fillId="33" borderId="0" applyNumberFormat="0" applyBorder="0" applyAlignment="0" applyProtection="0"/>
    <xf numFmtId="0" fontId="18" fillId="16" borderId="0" applyNumberFormat="0" applyBorder="0" applyAlignment="0" applyProtection="0"/>
    <xf numFmtId="0" fontId="20" fillId="34" borderId="0" applyNumberFormat="0" applyBorder="0" applyAlignment="0" applyProtection="0"/>
    <xf numFmtId="0" fontId="18" fillId="18" borderId="0" applyNumberFormat="0" applyBorder="0" applyAlignment="0" applyProtection="0"/>
    <xf numFmtId="0" fontId="20" fillId="29" borderId="0" applyNumberFormat="0" applyBorder="0" applyAlignment="0" applyProtection="0"/>
    <xf numFmtId="0" fontId="18" fillId="20" borderId="0" applyNumberFormat="0" applyBorder="0" applyAlignment="0" applyProtection="0"/>
    <xf numFmtId="0" fontId="20" fillId="32" borderId="0" applyNumberFormat="0" applyBorder="0" applyAlignment="0" applyProtection="0"/>
    <xf numFmtId="0" fontId="18" fillId="22" borderId="0" applyNumberFormat="0" applyBorder="0" applyAlignment="0" applyProtection="0"/>
    <xf numFmtId="0" fontId="20" fillId="35" borderId="0" applyNumberFormat="0" applyBorder="0" applyAlignment="0" applyProtection="0"/>
    <xf numFmtId="0" fontId="18" fillId="24" borderId="0" applyNumberFormat="0" applyBorder="0" applyAlignment="0" applyProtection="0"/>
    <xf numFmtId="0" fontId="25" fillId="36"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6" fillId="27" borderId="0" applyNumberFormat="0" applyBorder="0" applyAlignment="0" applyProtection="0"/>
    <xf numFmtId="0" fontId="27" fillId="44" borderId="30" applyNumberFormat="0" applyAlignment="0" applyProtection="0"/>
    <xf numFmtId="0" fontId="28" fillId="45" borderId="31"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4" fillId="0" borderId="0" applyFont="0" applyFill="0" applyBorder="0" applyAlignment="0" applyProtection="0"/>
    <xf numFmtId="0" fontId="29" fillId="0" borderId="0" applyNumberFormat="0" applyFill="0" applyBorder="0" applyAlignment="0" applyProtection="0"/>
    <xf numFmtId="0" fontId="30" fillId="28" borderId="0" applyNumberFormat="0" applyBorder="0" applyAlignment="0" applyProtection="0"/>
    <xf numFmtId="0" fontId="31" fillId="0" borderId="32" applyNumberFormat="0" applyFill="0" applyAlignment="0" applyProtection="0"/>
    <xf numFmtId="0" fontId="5" fillId="46" borderId="5">
      <alignment horizontal="left"/>
    </xf>
    <xf numFmtId="0" fontId="32" fillId="0" borderId="3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31" borderId="30" applyNumberFormat="0" applyAlignment="0" applyProtection="0"/>
    <xf numFmtId="0" fontId="35" fillId="47" borderId="34" applyNumberFormat="0" applyProtection="0">
      <alignment horizontal="center"/>
    </xf>
    <xf numFmtId="0" fontId="36" fillId="0" borderId="35" applyNumberFormat="0" applyFill="0" applyAlignment="0" applyProtection="0"/>
    <xf numFmtId="0" fontId="37" fillId="48" borderId="0" applyNumberFormat="0" applyBorder="0" applyAlignment="0" applyProtection="0"/>
    <xf numFmtId="0" fontId="18" fillId="0" borderId="0"/>
    <xf numFmtId="0" fontId="4" fillId="0" borderId="0"/>
    <xf numFmtId="0" fontId="38" fillId="0" borderId="0"/>
    <xf numFmtId="0" fontId="38" fillId="0" borderId="0"/>
    <xf numFmtId="0" fontId="38" fillId="0" borderId="0"/>
    <xf numFmtId="0" fontId="18" fillId="0" borderId="0"/>
    <xf numFmtId="0" fontId="18" fillId="0" borderId="0"/>
    <xf numFmtId="0" fontId="18"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12" borderId="15" applyNumberFormat="0" applyFont="0" applyAlignment="0" applyProtection="0"/>
    <xf numFmtId="0" fontId="18" fillId="12" borderId="15" applyNumberFormat="0" applyFont="0" applyAlignment="0" applyProtection="0"/>
    <xf numFmtId="0" fontId="39" fillId="44" borderId="36" applyNumberFormat="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41" fillId="0" borderId="37" applyNumberFormat="0" applyFill="0" applyAlignment="0" applyProtection="0"/>
    <xf numFmtId="0" fontId="42" fillId="0" borderId="0" applyNumberFormat="0" applyFill="0" applyBorder="0" applyAlignment="0" applyProtection="0"/>
    <xf numFmtId="0" fontId="4" fillId="0" borderId="0"/>
    <xf numFmtId="0" fontId="4" fillId="0" borderId="0"/>
    <xf numFmtId="0" fontId="43" fillId="0" borderId="0"/>
    <xf numFmtId="0" fontId="4" fillId="0" borderId="0">
      <alignment readingOrder="1"/>
    </xf>
    <xf numFmtId="0" fontId="4" fillId="0" borderId="0">
      <alignment readingOrder="1"/>
    </xf>
    <xf numFmtId="0" fontId="20" fillId="56" borderId="0" applyNumberFormat="0" applyBorder="0" applyAlignment="0" applyProtection="0"/>
    <xf numFmtId="0" fontId="20" fillId="27" borderId="0" applyNumberFormat="0" applyBorder="0" applyAlignment="0" applyProtection="0"/>
    <xf numFmtId="0" fontId="20" fillId="56" borderId="0" applyNumberFormat="0" applyBorder="0" applyAlignment="0" applyProtection="0"/>
    <xf numFmtId="0" fontId="20" fillId="44"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44" borderId="0" applyNumberFormat="0" applyBorder="0" applyAlignment="0" applyProtection="0"/>
    <xf numFmtId="0" fontId="20" fillId="31"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27" borderId="0" applyNumberFormat="0" applyBorder="0" applyAlignment="0" applyProtection="0"/>
    <xf numFmtId="0" fontId="25" fillId="33" borderId="0" applyNumberFormat="0" applyBorder="0" applyAlignment="0" applyProtection="0"/>
    <xf numFmtId="0" fontId="25" fillId="27" borderId="0" applyNumberFormat="0" applyBorder="0" applyAlignment="0" applyProtection="0"/>
    <xf numFmtId="0" fontId="25" fillId="48"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3" fillId="5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3" fillId="61" borderId="0" applyNumberFormat="0" applyBorder="0" applyAlignment="0" applyProtection="0"/>
    <xf numFmtId="0" fontId="25" fillId="4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3" fillId="63" borderId="0" applyNumberFormat="0" applyBorder="0" applyAlignment="0" applyProtection="0"/>
    <xf numFmtId="0" fontId="25" fillId="27" borderId="0" applyNumberFormat="0" applyBorder="0" applyAlignment="0" applyProtection="0"/>
    <xf numFmtId="0" fontId="25" fillId="42"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13" fillId="65"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8" fillId="67" borderId="0" applyNumberFormat="0" applyBorder="0" applyAlignment="0" applyProtection="0"/>
    <xf numFmtId="0" fontId="8" fillId="58" borderId="0" applyNumberFormat="0" applyBorder="0" applyAlignment="0" applyProtection="0"/>
    <xf numFmtId="0" fontId="13" fillId="68" borderId="0" applyNumberFormat="0" applyBorder="0" applyAlignment="0" applyProtection="0"/>
    <xf numFmtId="0" fontId="25" fillId="3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3" fillId="71" borderId="0" applyNumberFormat="0" applyBorder="0" applyAlignment="0" applyProtection="0"/>
    <xf numFmtId="0" fontId="25" fillId="43" borderId="0" applyNumberFormat="0" applyBorder="0" applyAlignment="0" applyProtection="0"/>
    <xf numFmtId="0" fontId="26" fillId="29" borderId="0" applyNumberFormat="0" applyBorder="0" applyAlignment="0" applyProtection="0"/>
    <xf numFmtId="0" fontId="26" fillId="27" borderId="0" applyNumberFormat="0" applyBorder="0" applyAlignment="0" applyProtection="0"/>
    <xf numFmtId="0" fontId="27" fillId="56" borderId="30" applyNumberFormat="0" applyAlignment="0" applyProtection="0"/>
    <xf numFmtId="0" fontId="27" fillId="56" borderId="30" applyNumberFormat="0" applyAlignment="0" applyProtection="0"/>
    <xf numFmtId="0" fontId="28" fillId="45" borderId="31" applyNumberFormat="0" applyAlignment="0" applyProtection="0"/>
    <xf numFmtId="41"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5" fillId="72"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29" fillId="0" borderId="0" applyNumberFormat="0" applyFill="0" applyBorder="0" applyAlignment="0" applyProtection="0"/>
    <xf numFmtId="0" fontId="30" fillId="28" borderId="0" applyNumberFormat="0" applyBorder="0" applyAlignment="0" applyProtection="0"/>
    <xf numFmtId="0" fontId="46" fillId="0" borderId="38" applyNumberFormat="0" applyFill="0" applyAlignment="0" applyProtection="0"/>
    <xf numFmtId="0" fontId="46" fillId="0" borderId="38" applyNumberFormat="0" applyFill="0" applyAlignment="0" applyProtection="0"/>
    <xf numFmtId="0" fontId="47" fillId="0" borderId="39" applyNumberFormat="0" applyFill="0" applyAlignment="0" applyProtection="0"/>
    <xf numFmtId="0" fontId="48" fillId="0" borderId="40" applyNumberFormat="0" applyFill="0" applyAlignment="0" applyProtection="0"/>
    <xf numFmtId="0" fontId="48" fillId="0" borderId="40"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6" fillId="0" borderId="35" applyNumberFormat="0" applyFill="0" applyAlignment="0" applyProtection="0"/>
    <xf numFmtId="0" fontId="37" fillId="48" borderId="0" applyNumberFormat="0" applyBorder="0" applyAlignment="0" applyProtection="0"/>
    <xf numFmtId="0" fontId="20" fillId="0" borderId="0"/>
    <xf numFmtId="0" fontId="4" fillId="0" borderId="0"/>
    <xf numFmtId="0" fontId="20" fillId="0" borderId="0"/>
    <xf numFmtId="0" fontId="20" fillId="0" borderId="0"/>
    <xf numFmtId="0" fontId="4" fillId="0" borderId="0"/>
    <xf numFmtId="0" fontId="4" fillId="0" borderId="0">
      <alignment readingOrder="1"/>
    </xf>
    <xf numFmtId="0" fontId="18" fillId="0" borderId="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alignment readingOrder="1"/>
    </xf>
    <xf numFmtId="0" fontId="18" fillId="0" borderId="0"/>
    <xf numFmtId="0" fontId="4" fillId="0" borderId="0"/>
    <xf numFmtId="0" fontId="4" fillId="0" borderId="0"/>
    <xf numFmtId="0" fontId="4" fillId="0" borderId="0"/>
    <xf numFmtId="0" fontId="4" fillId="0" borderId="0">
      <alignment readingOrder="1"/>
    </xf>
    <xf numFmtId="0" fontId="18" fillId="0" borderId="0"/>
    <xf numFmtId="0" fontId="18" fillId="0" borderId="0"/>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53" fillId="0" borderId="0"/>
    <xf numFmtId="0" fontId="54" fillId="0" borderId="0"/>
    <xf numFmtId="0" fontId="54" fillId="0" borderId="0"/>
    <xf numFmtId="0" fontId="54" fillId="0" borderId="0"/>
    <xf numFmtId="0" fontId="4" fillId="0" borderId="0"/>
    <xf numFmtId="0" fontId="4" fillId="0" borderId="0"/>
    <xf numFmtId="0" fontId="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2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 fillId="0" borderId="0"/>
    <xf numFmtId="0" fontId="4" fillId="0" borderId="0" applyNumberFormat="0" applyFill="0" applyBorder="0" applyAlignment="0" applyProtection="0"/>
    <xf numFmtId="0" fontId="18" fillId="0" borderId="0"/>
    <xf numFmtId="0" fontId="18" fillId="0" borderId="0"/>
    <xf numFmtId="0" fontId="44" fillId="0" borderId="0"/>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18" fillId="0" borderId="0"/>
    <xf numFmtId="0" fontId="18" fillId="0" borderId="0"/>
    <xf numFmtId="0" fontId="4" fillId="0" borderId="0"/>
    <xf numFmtId="0" fontId="20" fillId="0" borderId="0"/>
    <xf numFmtId="0" fontId="18" fillId="0" borderId="0"/>
    <xf numFmtId="0" fontId="20" fillId="0" borderId="0"/>
    <xf numFmtId="0" fontId="20" fillId="0" borderId="0"/>
    <xf numFmtId="0" fontId="20" fillId="0" borderId="0"/>
    <xf numFmtId="0" fontId="4" fillId="0" borderId="0">
      <alignment readingOrder="1"/>
    </xf>
    <xf numFmtId="0" fontId="4" fillId="0" borderId="0">
      <alignment readingOrder="1"/>
    </xf>
    <xf numFmtId="0" fontId="4" fillId="0" borderId="0">
      <alignment readingOrder="1"/>
    </xf>
    <xf numFmtId="0" fontId="20" fillId="75" borderId="41" applyNumberFormat="0" applyFont="0" applyAlignment="0" applyProtection="0"/>
    <xf numFmtId="0" fontId="39" fillId="56" borderId="36" applyNumberFormat="0" applyAlignment="0" applyProtection="0"/>
    <xf numFmtId="0" fontId="39" fillId="56" borderId="3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55" fillId="0" borderId="0"/>
    <xf numFmtId="0" fontId="56" fillId="0" borderId="0"/>
    <xf numFmtId="172" fontId="4" fillId="0" borderId="0" applyFill="0" applyBorder="0" applyAlignment="0" applyProtection="0">
      <alignment wrapText="1"/>
    </xf>
    <xf numFmtId="0" fontId="57" fillId="0" borderId="0" applyNumberFormat="0" applyFill="0" applyBorder="0" applyAlignment="0" applyProtection="0"/>
    <xf numFmtId="0" fontId="57" fillId="0" borderId="0" applyNumberFormat="0" applyFill="0" applyBorder="0" applyAlignment="0" applyProtection="0"/>
    <xf numFmtId="0" fontId="41" fillId="0" borderId="42" applyNumberFormat="0" applyFill="0" applyAlignment="0" applyProtection="0"/>
    <xf numFmtId="0" fontId="39" fillId="0" borderId="42" applyNumberFormat="0" applyFill="0" applyAlignment="0" applyProtection="0"/>
    <xf numFmtId="0" fontId="42" fillId="0" borderId="0" applyNumberFormat="0" applyFill="0" applyBorder="0" applyAlignment="0" applyProtection="0"/>
    <xf numFmtId="0" fontId="58" fillId="0" borderId="0">
      <alignment vertical="center"/>
    </xf>
    <xf numFmtId="0" fontId="59" fillId="0" borderId="0">
      <alignment readingOrder="1"/>
    </xf>
    <xf numFmtId="43" fontId="4" fillId="0" borderId="0" applyFont="0" applyFill="0" applyBorder="0" applyAlignment="0" applyProtection="0"/>
    <xf numFmtId="0" fontId="60" fillId="0" borderId="0" applyNumberFormat="0" applyFill="0" applyBorder="0" applyAlignment="0" applyProtection="0">
      <alignment vertical="top"/>
      <protection locked="0"/>
    </xf>
    <xf numFmtId="9" fontId="20" fillId="0" borderId="0" applyFont="0" applyFill="0" applyBorder="0" applyAlignment="0" applyProtection="0"/>
    <xf numFmtId="0" fontId="1" fillId="0" borderId="0"/>
    <xf numFmtId="0" fontId="20" fillId="0" borderId="0"/>
    <xf numFmtId="0" fontId="20" fillId="0" borderId="0"/>
    <xf numFmtId="0" fontId="20" fillId="0" borderId="0"/>
    <xf numFmtId="0" fontId="20" fillId="0" borderId="0"/>
    <xf numFmtId="43" fontId="4" fillId="0" borderId="0" applyFont="0" applyFill="0" applyBorder="0" applyAlignment="0" applyProtection="0"/>
    <xf numFmtId="0" fontId="43" fillId="0" borderId="0"/>
    <xf numFmtId="43" fontId="4" fillId="0" borderId="0" applyFont="0" applyFill="0" applyBorder="0" applyAlignment="0" applyProtection="0"/>
    <xf numFmtId="0" fontId="1" fillId="0" borderId="0"/>
    <xf numFmtId="0" fontId="20" fillId="75" borderId="41"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2" fillId="0" borderId="0"/>
    <xf numFmtId="43" fontId="15" fillId="0" borderId="0" applyFont="0" applyFill="0" applyBorder="0" applyAlignment="0" applyProtection="0"/>
    <xf numFmtId="0" fontId="8" fillId="0" borderId="0"/>
    <xf numFmtId="0" fontId="64" fillId="0" borderId="0"/>
    <xf numFmtId="0" fontId="2" fillId="0" borderId="0"/>
    <xf numFmtId="0" fontId="2" fillId="0" borderId="0"/>
    <xf numFmtId="0" fontId="2"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0" fontId="4" fillId="9" borderId="0" applyNumberFormat="0" applyAlignment="0"/>
    <xf numFmtId="0" fontId="4" fillId="9" borderId="0" applyNumberFormat="0" applyAlignment="0"/>
    <xf numFmtId="0" fontId="4" fillId="9" borderId="0" applyNumberFormat="0" applyAlignment="0"/>
    <xf numFmtId="0" fontId="20" fillId="0" borderId="0"/>
    <xf numFmtId="0" fontId="20" fillId="0" borderId="0"/>
    <xf numFmtId="0" fontId="15" fillId="0" borderId="0"/>
    <xf numFmtId="0" fontId="15" fillId="0" borderId="0"/>
    <xf numFmtId="0" fontId="1" fillId="0" borderId="0"/>
    <xf numFmtId="0" fontId="4" fillId="0" borderId="0">
      <alignment readingOrder="1"/>
    </xf>
    <xf numFmtId="0" fontId="1" fillId="0" borderId="0"/>
    <xf numFmtId="0" fontId="4" fillId="0" borderId="0"/>
    <xf numFmtId="0" fontId="1" fillId="0" borderId="0"/>
    <xf numFmtId="0" fontId="1" fillId="0" borderId="0"/>
    <xf numFmtId="0" fontId="4" fillId="0" borderId="0"/>
    <xf numFmtId="0" fontId="4" fillId="0" borderId="0"/>
    <xf numFmtId="0" fontId="20" fillId="0" borderId="0"/>
    <xf numFmtId="0" fontId="4"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4" fillId="0" borderId="0"/>
  </cellStyleXfs>
  <cellXfs count="652">
    <xf numFmtId="0" fontId="0" fillId="0" borderId="0" xfId="0"/>
    <xf numFmtId="0" fontId="3" fillId="0" borderId="0" xfId="1" applyFont="1"/>
    <xf numFmtId="0" fontId="4" fillId="0" borderId="0" xfId="1" applyFont="1"/>
    <xf numFmtId="5" fontId="4" fillId="0" borderId="0" xfId="1" applyNumberFormat="1" applyFont="1"/>
    <xf numFmtId="164" fontId="4" fillId="0" borderId="0" xfId="1" applyNumberFormat="1" applyFont="1"/>
    <xf numFmtId="0" fontId="4" fillId="0" borderId="0" xfId="1" applyFont="1" applyFill="1"/>
    <xf numFmtId="165" fontId="4" fillId="0" borderId="0" xfId="1" applyNumberFormat="1" applyFont="1"/>
    <xf numFmtId="0" fontId="4" fillId="0" borderId="0" xfId="2"/>
    <xf numFmtId="0" fontId="3" fillId="0" borderId="0" xfId="1" applyFont="1" applyAlignment="1">
      <alignment horizontal="left"/>
    </xf>
    <xf numFmtId="166" fontId="4" fillId="0" borderId="0" xfId="2" applyNumberFormat="1" applyAlignment="1">
      <alignment horizontal="center" readingOrder="1"/>
    </xf>
    <xf numFmtId="167" fontId="4" fillId="0" borderId="0" xfId="2" applyNumberFormat="1" applyAlignment="1">
      <alignment horizontal="center" readingOrder="1"/>
    </xf>
    <xf numFmtId="0" fontId="4" fillId="0" borderId="0" xfId="1" applyFont="1" applyAlignment="1">
      <alignment horizontal="center"/>
    </xf>
    <xf numFmtId="0" fontId="5" fillId="2" borderId="1" xfId="1" applyFont="1" applyFill="1" applyBorder="1" applyAlignment="1">
      <alignment horizontal="centerContinuous"/>
    </xf>
    <xf numFmtId="0" fontId="6" fillId="2" borderId="1" xfId="1" applyFont="1" applyFill="1" applyBorder="1" applyAlignment="1">
      <alignment horizontal="centerContinuous"/>
    </xf>
    <xf numFmtId="0" fontId="6" fillId="2" borderId="2" xfId="1" applyFont="1" applyFill="1" applyBorder="1" applyAlignment="1">
      <alignment horizontal="centerContinuous"/>
    </xf>
    <xf numFmtId="0" fontId="7" fillId="2" borderId="3" xfId="1" applyFont="1" applyFill="1" applyBorder="1" applyAlignment="1">
      <alignment horizontal="centerContinuous"/>
    </xf>
    <xf numFmtId="0" fontId="5" fillId="0" borderId="0" xfId="1" applyFont="1" applyFill="1" applyBorder="1" applyAlignment="1">
      <alignment horizontal="centerContinuous"/>
    </xf>
    <xf numFmtId="0" fontId="6" fillId="0" borderId="0" xfId="1" applyFont="1" applyFill="1" applyBorder="1" applyAlignment="1">
      <alignment horizontal="centerContinuous"/>
    </xf>
    <xf numFmtId="0" fontId="7" fillId="0" borderId="0" xfId="1" applyFont="1" applyFill="1" applyBorder="1" applyAlignment="1">
      <alignment horizontal="centerContinuous"/>
    </xf>
    <xf numFmtId="0" fontId="8" fillId="0" borderId="0" xfId="1" applyFont="1" applyFill="1" applyBorder="1" applyAlignment="1">
      <alignment horizontal="centerContinuous"/>
    </xf>
    <xf numFmtId="0" fontId="4" fillId="0" borderId="0" xfId="1" applyFont="1" applyFill="1" applyBorder="1"/>
    <xf numFmtId="0" fontId="8" fillId="5" borderId="7" xfId="1" applyFont="1" applyFill="1" applyBorder="1" applyAlignment="1">
      <alignment horizontal="center" wrapText="1"/>
    </xf>
    <xf numFmtId="0" fontId="8" fillId="5" borderId="8" xfId="1" applyFont="1" applyFill="1" applyBorder="1" applyAlignment="1">
      <alignment horizontal="center" wrapText="1"/>
    </xf>
    <xf numFmtId="0" fontId="8" fillId="5" borderId="9" xfId="1" applyFont="1" applyFill="1" applyBorder="1" applyAlignment="1">
      <alignment horizontal="center" wrapText="1"/>
    </xf>
    <xf numFmtId="0" fontId="8" fillId="5" borderId="9" xfId="2" applyFont="1" applyFill="1" applyBorder="1" applyAlignment="1">
      <alignment horizontal="center" wrapText="1"/>
    </xf>
    <xf numFmtId="0" fontId="8" fillId="0" borderId="0" xfId="1" applyFont="1" applyFill="1" applyBorder="1" applyAlignment="1">
      <alignment horizontal="center" wrapText="1"/>
    </xf>
    <xf numFmtId="0" fontId="0" fillId="6" borderId="0" xfId="0" applyFill="1"/>
    <xf numFmtId="0" fontId="0" fillId="0" borderId="0" xfId="0">
      <alignment readingOrder="1"/>
    </xf>
    <xf numFmtId="0" fontId="7" fillId="2" borderId="10" xfId="1" applyFont="1" applyFill="1" applyBorder="1" applyAlignment="1">
      <alignment horizontal="centerContinuous"/>
    </xf>
    <xf numFmtId="0" fontId="8" fillId="5" borderId="6" xfId="1" applyFont="1" applyFill="1" applyBorder="1" applyAlignment="1">
      <alignment horizontal="center" wrapText="1"/>
    </xf>
    <xf numFmtId="0" fontId="8" fillId="5" borderId="6" xfId="0" applyFont="1" applyFill="1" applyBorder="1" applyAlignment="1">
      <alignment horizontal="center" wrapText="1"/>
    </xf>
    <xf numFmtId="1" fontId="0" fillId="0" borderId="0" xfId="0" applyNumberFormat="1"/>
    <xf numFmtId="0" fontId="12" fillId="0" borderId="0" xfId="3" applyFont="1"/>
    <xf numFmtId="164" fontId="12" fillId="0" borderId="0" xfId="1" applyNumberFormat="1" applyFont="1"/>
    <xf numFmtId="166" fontId="0" fillId="0" borderId="0" xfId="0" applyNumberFormat="1" applyAlignment="1">
      <alignment horizontal="center" readingOrder="1"/>
    </xf>
    <xf numFmtId="167" fontId="0" fillId="0" borderId="0" xfId="0" applyNumberFormat="1" applyAlignment="1">
      <alignment horizontal="center" readingOrder="1"/>
    </xf>
    <xf numFmtId="0" fontId="13" fillId="7" borderId="4" xfId="0" applyFont="1" applyFill="1" applyBorder="1" applyAlignment="1">
      <alignment horizontal="left" readingOrder="1"/>
    </xf>
    <xf numFmtId="0" fontId="13" fillId="7" borderId="3" xfId="0" applyFont="1" applyFill="1" applyBorder="1" applyAlignment="1">
      <alignment horizontal="center" wrapText="1" readingOrder="1"/>
    </xf>
    <xf numFmtId="164" fontId="0" fillId="0" borderId="0" xfId="0" applyNumberFormat="1">
      <alignment readingOrder="1"/>
    </xf>
    <xf numFmtId="0" fontId="8" fillId="8" borderId="6" xfId="0" applyFont="1" applyFill="1" applyBorder="1" applyAlignment="1">
      <alignment horizontal="center" wrapText="1" readingOrder="1"/>
    </xf>
    <xf numFmtId="0" fontId="8" fillId="8" borderId="3" xfId="0" applyFont="1" applyFill="1" applyBorder="1" applyAlignment="1">
      <alignment horizontal="center" wrapText="1" readingOrder="1"/>
    </xf>
    <xf numFmtId="164" fontId="8" fillId="8" borderId="3" xfId="0" applyNumberFormat="1" applyFont="1" applyFill="1" applyBorder="1" applyAlignment="1">
      <alignment horizontal="center" wrapText="1" readingOrder="1"/>
    </xf>
    <xf numFmtId="164" fontId="8" fillId="8" borderId="12" xfId="0" applyNumberFormat="1" applyFont="1" applyFill="1" applyBorder="1" applyAlignment="1">
      <alignment horizontal="centerContinuous" wrapText="1" readingOrder="1"/>
    </xf>
    <xf numFmtId="164" fontId="8" fillId="8" borderId="13" xfId="0" applyNumberFormat="1" applyFont="1" applyFill="1" applyBorder="1" applyAlignment="1">
      <alignment horizontal="centerContinuous" wrapText="1" readingOrder="1"/>
    </xf>
    <xf numFmtId="164" fontId="8" fillId="8" borderId="14" xfId="0" applyNumberFormat="1" applyFont="1" applyFill="1" applyBorder="1" applyAlignment="1">
      <alignment horizontal="centerContinuous" wrapText="1" readingOrder="1"/>
    </xf>
    <xf numFmtId="0" fontId="8" fillId="9" borderId="6" xfId="0" applyFont="1" applyFill="1" applyBorder="1" applyAlignment="1">
      <alignment horizontal="center" wrapText="1" readingOrder="1"/>
    </xf>
    <xf numFmtId="0" fontId="8" fillId="9" borderId="3" xfId="0" applyFont="1" applyFill="1" applyBorder="1" applyAlignment="1">
      <alignment horizontal="center" wrapText="1" readingOrder="1"/>
    </xf>
    <xf numFmtId="164" fontId="8" fillId="9" borderId="3" xfId="0" applyNumberFormat="1" applyFont="1" applyFill="1" applyBorder="1" applyAlignment="1">
      <alignment horizontal="center" wrapText="1" readingOrder="1"/>
    </xf>
    <xf numFmtId="1" fontId="0" fillId="0" borderId="0" xfId="0" applyNumberFormat="1">
      <alignment readingOrder="1"/>
    </xf>
    <xf numFmtId="164" fontId="7" fillId="0" borderId="0" xfId="0" applyNumberFormat="1" applyFont="1">
      <alignment readingOrder="1"/>
    </xf>
    <xf numFmtId="164" fontId="14" fillId="0" borderId="0" xfId="0" applyNumberFormat="1" applyFont="1">
      <alignment readingOrder="1"/>
    </xf>
    <xf numFmtId="9" fontId="0" fillId="0" borderId="0" xfId="0" applyNumberFormat="1"/>
    <xf numFmtId="164" fontId="0" fillId="0" borderId="0" xfId="0" applyNumberFormat="1"/>
    <xf numFmtId="9" fontId="0" fillId="0" borderId="0" xfId="4" applyFont="1"/>
    <xf numFmtId="1" fontId="4" fillId="0" borderId="0" xfId="6" applyNumberFormat="1" applyFont="1" applyBorder="1" applyAlignment="1">
      <alignment wrapText="1"/>
    </xf>
    <xf numFmtId="1" fontId="4" fillId="0" borderId="0" xfId="6" applyNumberFormat="1" applyFont="1" applyFill="1" applyBorder="1" applyAlignment="1">
      <alignment wrapText="1"/>
    </xf>
    <xf numFmtId="0" fontId="9" fillId="0" borderId="0" xfId="7" applyFont="1">
      <alignment readingOrder="1"/>
    </xf>
    <xf numFmtId="0" fontId="4" fillId="0" borderId="0" xfId="7">
      <alignment readingOrder="1"/>
    </xf>
    <xf numFmtId="49" fontId="4" fillId="0" borderId="0" xfId="7" applyNumberFormat="1">
      <alignment readingOrder="1"/>
    </xf>
    <xf numFmtId="0" fontId="4" fillId="0" borderId="0" xfId="7"/>
    <xf numFmtId="1" fontId="4" fillId="0" borderId="0" xfId="7" applyNumberFormat="1">
      <alignment readingOrder="1"/>
    </xf>
    <xf numFmtId="164" fontId="4" fillId="0" borderId="0" xfId="7" applyNumberFormat="1">
      <alignment readingOrder="1"/>
    </xf>
    <xf numFmtId="164" fontId="4" fillId="0" borderId="0" xfId="7" applyNumberFormat="1" applyAlignment="1">
      <alignment horizontal="center" readingOrder="1"/>
    </xf>
    <xf numFmtId="0" fontId="4" fillId="0" borderId="0" xfId="7" applyAlignment="1">
      <alignment horizontal="center" readingOrder="1"/>
    </xf>
    <xf numFmtId="0" fontId="4" fillId="0" borderId="0" xfId="7" applyFill="1" applyAlignment="1">
      <alignment horizontal="center" readingOrder="1"/>
    </xf>
    <xf numFmtId="169" fontId="4" fillId="0" borderId="0" xfId="7" applyNumberFormat="1">
      <alignment readingOrder="1"/>
    </xf>
    <xf numFmtId="0" fontId="0" fillId="0" borderId="0" xfId="0" applyFont="1"/>
    <xf numFmtId="0" fontId="4" fillId="0" borderId="0" xfId="74"/>
    <xf numFmtId="0" fontId="4" fillId="6" borderId="0" xfId="74" applyFill="1"/>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9" fontId="4" fillId="0" borderId="0" xfId="4" applyFont="1"/>
    <xf numFmtId="9" fontId="4" fillId="0" borderId="0" xfId="74" applyNumberFormat="1"/>
    <xf numFmtId="0" fontId="0" fillId="50" borderId="0" xfId="0" applyFill="1">
      <alignment readingOrder="1"/>
    </xf>
    <xf numFmtId="0" fontId="0" fillId="0" borderId="0" xfId="0" quotePrefix="1" applyFill="1">
      <alignment readingOrder="1"/>
    </xf>
    <xf numFmtId="0" fontId="19" fillId="51" borderId="6" xfId="0" applyFont="1" applyFill="1" applyBorder="1"/>
    <xf numFmtId="0" fontId="19" fillId="52" borderId="1" xfId="0" applyFont="1" applyFill="1" applyBorder="1"/>
    <xf numFmtId="0" fontId="19" fillId="52" borderId="11" xfId="0" applyFont="1" applyFill="1" applyBorder="1"/>
    <xf numFmtId="0" fontId="19" fillId="52" borderId="10" xfId="0" applyFont="1" applyFill="1" applyBorder="1"/>
    <xf numFmtId="0" fontId="19" fillId="52" borderId="26" xfId="0" applyFont="1" applyFill="1" applyBorder="1"/>
    <xf numFmtId="0" fontId="19" fillId="52" borderId="27" xfId="0" applyFont="1" applyFill="1" applyBorder="1"/>
    <xf numFmtId="0" fontId="19" fillId="52" borderId="28" xfId="0" applyFont="1" applyFill="1" applyBorder="1"/>
    <xf numFmtId="0" fontId="19" fillId="52" borderId="6" xfId="0" applyFont="1" applyFill="1" applyBorder="1"/>
    <xf numFmtId="9" fontId="19" fillId="52" borderId="6" xfId="8" applyFont="1" applyFill="1" applyBorder="1"/>
    <xf numFmtId="1" fontId="0" fillId="53" borderId="0" xfId="0" applyNumberFormat="1" applyFill="1" applyAlignment="1">
      <alignment horizontal="center" readingOrder="1"/>
    </xf>
    <xf numFmtId="9" fontId="4" fillId="53" borderId="0" xfId="8" applyFill="1" applyAlignment="1">
      <alignment horizontal="center" readingOrder="1"/>
    </xf>
    <xf numFmtId="164" fontId="0" fillId="54" borderId="0" xfId="0" applyNumberFormat="1" applyFill="1" applyAlignment="1">
      <alignment horizontal="center" readingOrder="1"/>
    </xf>
    <xf numFmtId="0" fontId="19" fillId="53" borderId="6" xfId="0" applyFont="1" applyFill="1" applyBorder="1"/>
    <xf numFmtId="164" fontId="19" fillId="53" borderId="6" xfId="0" applyNumberFormat="1" applyFont="1" applyFill="1" applyBorder="1"/>
    <xf numFmtId="168" fontId="4" fillId="53" borderId="0" xfId="8" applyNumberFormat="1" applyFill="1" applyAlignment="1">
      <alignment horizontal="center" readingOrder="1"/>
    </xf>
    <xf numFmtId="173" fontId="0" fillId="0" borderId="0" xfId="0" applyNumberFormat="1"/>
    <xf numFmtId="0" fontId="59" fillId="0" borderId="0" xfId="369" applyFill="1">
      <alignment readingOrder="1"/>
    </xf>
    <xf numFmtId="0" fontId="59" fillId="0" borderId="0" xfId="369">
      <alignment readingOrder="1"/>
    </xf>
    <xf numFmtId="0" fontId="4" fillId="0" borderId="0" xfId="369" applyFont="1" applyBorder="1">
      <alignment readingOrder="1"/>
    </xf>
    <xf numFmtId="1" fontId="59" fillId="0" borderId="0" xfId="369" applyNumberFormat="1">
      <alignment readingOrder="1"/>
    </xf>
    <xf numFmtId="0" fontId="4" fillId="0" borderId="0" xfId="369" applyFont="1" applyAlignment="1">
      <alignment horizontal="center" readingOrder="1"/>
    </xf>
    <xf numFmtId="44" fontId="59" fillId="0" borderId="0" xfId="61" applyFont="1">
      <alignment readingOrder="1"/>
    </xf>
    <xf numFmtId="1" fontId="4" fillId="0" borderId="0" xfId="6" applyNumberFormat="1" applyFont="1" applyBorder="1" applyAlignment="1">
      <alignment wrapText="1"/>
    </xf>
    <xf numFmtId="2" fontId="4" fillId="0" borderId="0" xfId="6" applyNumberFormat="1" applyFont="1" applyBorder="1" applyAlignment="1">
      <alignment wrapText="1"/>
    </xf>
    <xf numFmtId="0" fontId="1" fillId="0" borderId="0" xfId="256" applyFont="1"/>
    <xf numFmtId="0" fontId="61" fillId="49" borderId="50" xfId="256" applyFont="1" applyFill="1" applyBorder="1"/>
    <xf numFmtId="0" fontId="61" fillId="49" borderId="51" xfId="256" applyFont="1" applyFill="1" applyBorder="1"/>
    <xf numFmtId="0" fontId="61" fillId="49" borderId="14" xfId="256" applyFont="1" applyFill="1" applyBorder="1"/>
    <xf numFmtId="0" fontId="62" fillId="52" borderId="9" xfId="105" applyFont="1" applyFill="1" applyBorder="1" applyAlignment="1">
      <alignment horizontal="left" vertical="center" wrapText="1"/>
    </xf>
    <xf numFmtId="0" fontId="62" fillId="52" borderId="6" xfId="105" applyFont="1" applyFill="1" applyBorder="1" applyAlignment="1">
      <alignment horizontal="left" vertical="center" wrapText="1"/>
    </xf>
    <xf numFmtId="0" fontId="63" fillId="0" borderId="6" xfId="105" applyNumberFormat="1" applyFont="1" applyFill="1" applyBorder="1" applyAlignment="1">
      <alignment horizontal="left" vertical="center" wrapText="1"/>
    </xf>
    <xf numFmtId="0" fontId="63" fillId="0" borderId="6" xfId="105" applyFont="1" applyFill="1" applyBorder="1" applyAlignment="1">
      <alignment horizontal="left" vertical="center" wrapText="1"/>
    </xf>
    <xf numFmtId="0" fontId="1" fillId="0" borderId="6" xfId="105" applyFont="1" applyFill="1" applyBorder="1" applyAlignment="1">
      <alignment horizontal="left" vertical="center" wrapText="1"/>
    </xf>
    <xf numFmtId="0" fontId="63" fillId="0" borderId="6" xfId="105" applyFont="1" applyBorder="1" applyAlignment="1">
      <alignment horizontal="left" vertical="center" wrapText="1" readingOrder="1"/>
    </xf>
    <xf numFmtId="0" fontId="21" fillId="0" borderId="6" xfId="105" applyFont="1" applyFill="1" applyBorder="1" applyAlignment="1">
      <alignment horizontal="left" vertical="center" wrapText="1"/>
    </xf>
    <xf numFmtId="0" fontId="63" fillId="0" borderId="6" xfId="105" applyFont="1" applyBorder="1" applyAlignment="1">
      <alignment vertical="center" wrapText="1" readingOrder="1"/>
    </xf>
    <xf numFmtId="0" fontId="63" fillId="0" borderId="6" xfId="105" applyFont="1" applyBorder="1" applyAlignment="1">
      <alignment wrapText="1" readingOrder="1"/>
    </xf>
    <xf numFmtId="0" fontId="63" fillId="0" borderId="6" xfId="105" applyNumberFormat="1" applyFont="1" applyBorder="1" applyAlignment="1">
      <alignment vertical="center" wrapText="1" readingOrder="1"/>
    </xf>
    <xf numFmtId="2" fontId="4" fillId="0" borderId="0" xfId="388" applyNumberFormat="1" applyFont="1"/>
    <xf numFmtId="0" fontId="6" fillId="78" borderId="3" xfId="1" applyFont="1" applyFill="1" applyBorder="1" applyAlignment="1">
      <alignment horizontal="center"/>
    </xf>
    <xf numFmtId="0" fontId="8" fillId="80" borderId="3" xfId="1" applyFont="1" applyFill="1" applyBorder="1" applyAlignment="1">
      <alignment horizontal="center" wrapText="1"/>
    </xf>
    <xf numFmtId="0" fontId="8" fillId="80" borderId="6" xfId="1" applyFont="1" applyFill="1" applyBorder="1" applyAlignment="1">
      <alignment horizontal="center" wrapText="1"/>
    </xf>
    <xf numFmtId="0" fontId="45" fillId="25" borderId="48" xfId="390" applyFont="1" applyFill="1" applyBorder="1" applyAlignment="1">
      <alignment horizontal="center"/>
    </xf>
    <xf numFmtId="0" fontId="45" fillId="25" borderId="14" xfId="390" applyFont="1" applyFill="1" applyBorder="1" applyAlignment="1">
      <alignment horizontal="center"/>
    </xf>
    <xf numFmtId="0" fontId="45" fillId="25" borderId="51" xfId="390" applyFont="1" applyFill="1" applyBorder="1" applyAlignment="1">
      <alignment horizontal="center"/>
    </xf>
    <xf numFmtId="175" fontId="45" fillId="25" borderId="48" xfId="5" applyNumberFormat="1" applyFont="1" applyFill="1" applyBorder="1" applyAlignment="1">
      <alignment horizontal="center"/>
    </xf>
    <xf numFmtId="43" fontId="45" fillId="25" borderId="48" xfId="389" applyFont="1" applyFill="1" applyBorder="1" applyAlignment="1">
      <alignment horizontal="center"/>
    </xf>
    <xf numFmtId="0" fontId="64" fillId="0" borderId="0" xfId="391"/>
    <xf numFmtId="0" fontId="8" fillId="0" borderId="52" xfId="390" applyFont="1" applyFill="1" applyBorder="1" applyAlignment="1">
      <alignment horizontal="center" wrapText="1"/>
    </xf>
    <xf numFmtId="0" fontId="8" fillId="0" borderId="53" xfId="390" applyFont="1" applyFill="1" applyBorder="1" applyAlignment="1">
      <alignment horizontal="center" wrapText="1"/>
    </xf>
    <xf numFmtId="176" fontId="8" fillId="0" borderId="53" xfId="390" applyNumberFormat="1" applyFont="1" applyFill="1" applyBorder="1" applyAlignment="1">
      <alignment horizontal="center" wrapText="1"/>
    </xf>
    <xf numFmtId="175" fontId="8" fillId="0" borderId="53" xfId="5" applyNumberFormat="1" applyFont="1" applyFill="1" applyBorder="1" applyAlignment="1">
      <alignment horizontal="center" wrapText="1"/>
    </xf>
    <xf numFmtId="43" fontId="8" fillId="0" borderId="53" xfId="389" applyFont="1" applyFill="1" applyBorder="1" applyAlignment="1">
      <alignment horizontal="center" wrapText="1"/>
    </xf>
    <xf numFmtId="44" fontId="8" fillId="0" borderId="0" xfId="5" applyFont="1" applyFill="1" applyBorder="1" applyAlignment="1">
      <alignment horizontal="center" wrapText="1"/>
    </xf>
    <xf numFmtId="0" fontId="64" fillId="0" borderId="0" xfId="391" applyBorder="1" applyAlignment="1">
      <alignment horizontal="center"/>
    </xf>
    <xf numFmtId="0" fontId="64" fillId="0" borderId="54" xfId="391" applyBorder="1" applyAlignment="1">
      <alignment horizontal="center"/>
    </xf>
    <xf numFmtId="44" fontId="64" fillId="0" borderId="0" xfId="5" applyFont="1"/>
    <xf numFmtId="0" fontId="8" fillId="0" borderId="55" xfId="390" applyFont="1" applyFill="1" applyBorder="1" applyAlignment="1">
      <alignment horizontal="center" wrapText="1"/>
    </xf>
    <xf numFmtId="0" fontId="8" fillId="0" borderId="41" xfId="390" applyFont="1" applyFill="1" applyBorder="1" applyAlignment="1">
      <alignment horizontal="center" wrapText="1"/>
    </xf>
    <xf numFmtId="176" fontId="8" fillId="0" borderId="41" xfId="390" applyNumberFormat="1" applyFont="1" applyFill="1" applyBorder="1" applyAlignment="1">
      <alignment horizontal="center" wrapText="1"/>
    </xf>
    <xf numFmtId="175" fontId="8" fillId="0" borderId="41" xfId="5" applyNumberFormat="1" applyFont="1" applyFill="1" applyBorder="1" applyAlignment="1">
      <alignment horizontal="center" wrapText="1"/>
    </xf>
    <xf numFmtId="43" fontId="8" fillId="0" borderId="41" xfId="389" applyFont="1" applyFill="1" applyBorder="1" applyAlignment="1">
      <alignment horizontal="center" wrapText="1"/>
    </xf>
    <xf numFmtId="0" fontId="8" fillId="0" borderId="56" xfId="390" applyFont="1" applyFill="1" applyBorder="1" applyAlignment="1">
      <alignment horizontal="center" wrapText="1"/>
    </xf>
    <xf numFmtId="0" fontId="8" fillId="0" borderId="57" xfId="390" applyFont="1" applyFill="1" applyBorder="1" applyAlignment="1">
      <alignment horizontal="center" wrapText="1"/>
    </xf>
    <xf numFmtId="176" fontId="8" fillId="0" borderId="57" xfId="390" applyNumberFormat="1" applyFont="1" applyFill="1" applyBorder="1" applyAlignment="1">
      <alignment horizontal="center" wrapText="1"/>
    </xf>
    <xf numFmtId="175" fontId="8" fillId="0" borderId="57" xfId="5" applyNumberFormat="1" applyFont="1" applyFill="1" applyBorder="1" applyAlignment="1">
      <alignment horizontal="center" wrapText="1"/>
    </xf>
    <xf numFmtId="43" fontId="8" fillId="0" borderId="57" xfId="389" applyFont="1" applyFill="1" applyBorder="1" applyAlignment="1">
      <alignment horizontal="center" wrapText="1"/>
    </xf>
    <xf numFmtId="44" fontId="8" fillId="0" borderId="58" xfId="5" applyFont="1" applyFill="1" applyBorder="1" applyAlignment="1">
      <alignment horizontal="center" wrapText="1"/>
    </xf>
    <xf numFmtId="0" fontId="64" fillId="0" borderId="58" xfId="391" applyBorder="1" applyAlignment="1">
      <alignment horizontal="center"/>
    </xf>
    <xf numFmtId="0" fontId="64" fillId="0" borderId="59" xfId="391" applyBorder="1" applyAlignment="1">
      <alignment horizontal="center"/>
    </xf>
    <xf numFmtId="175" fontId="64" fillId="0" borderId="0" xfId="5" applyNumberFormat="1" applyFont="1"/>
    <xf numFmtId="43" fontId="64" fillId="0" borderId="0" xfId="389" applyFont="1"/>
    <xf numFmtId="171" fontId="64" fillId="0" borderId="0" xfId="389" applyNumberFormat="1" applyFont="1"/>
    <xf numFmtId="0" fontId="64" fillId="0" borderId="6" xfId="391" applyFont="1" applyBorder="1"/>
    <xf numFmtId="175" fontId="64" fillId="0" borderId="6" xfId="5" applyNumberFormat="1" applyFont="1" applyBorder="1"/>
    <xf numFmtId="43" fontId="64" fillId="0" borderId="6" xfId="389" applyFont="1" applyBorder="1"/>
    <xf numFmtId="0" fontId="64" fillId="0" borderId="6" xfId="391" applyBorder="1"/>
    <xf numFmtId="0" fontId="64" fillId="0" borderId="6" xfId="391" applyFont="1" applyBorder="1" applyAlignment="1">
      <alignment horizontal="right"/>
    </xf>
    <xf numFmtId="44" fontId="64" fillId="0" borderId="6" xfId="5" applyFont="1" applyBorder="1"/>
    <xf numFmtId="174" fontId="64" fillId="6" borderId="6" xfId="5" applyNumberFormat="1" applyFont="1" applyFill="1" applyBorder="1"/>
    <xf numFmtId="0" fontId="8" fillId="0" borderId="6" xfId="390" applyFont="1" applyFill="1" applyBorder="1" applyAlignment="1">
      <alignment horizontal="center" wrapText="1"/>
    </xf>
    <xf numFmtId="174" fontId="64" fillId="0" borderId="6" xfId="5" applyNumberFormat="1" applyFont="1" applyFill="1" applyBorder="1"/>
    <xf numFmtId="0" fontId="64" fillId="81" borderId="18" xfId="391" applyFill="1" applyBorder="1"/>
    <xf numFmtId="0" fontId="64" fillId="81" borderId="19" xfId="391" applyFill="1" applyBorder="1"/>
    <xf numFmtId="175" fontId="64" fillId="81" borderId="19" xfId="5" applyNumberFormat="1" applyFont="1" applyFill="1" applyBorder="1"/>
    <xf numFmtId="43" fontId="64" fillId="81" borderId="19" xfId="389" applyFont="1" applyFill="1" applyBorder="1"/>
    <xf numFmtId="43" fontId="64" fillId="81" borderId="20" xfId="389" applyFont="1" applyFill="1" applyBorder="1"/>
    <xf numFmtId="0" fontId="64" fillId="81" borderId="21" xfId="391" applyFont="1" applyFill="1" applyBorder="1"/>
    <xf numFmtId="0" fontId="64" fillId="81" borderId="6" xfId="391" applyFill="1" applyBorder="1"/>
    <xf numFmtId="175" fontId="64" fillId="81" borderId="6" xfId="5" applyNumberFormat="1" applyFont="1" applyFill="1" applyBorder="1"/>
    <xf numFmtId="43" fontId="64" fillId="81" borderId="6" xfId="389" applyFont="1" applyFill="1" applyBorder="1"/>
    <xf numFmtId="43" fontId="64" fillId="81" borderId="22" xfId="389" applyFont="1" applyFill="1" applyBorder="1"/>
    <xf numFmtId="0" fontId="64" fillId="0" borderId="21" xfId="391" applyFont="1" applyBorder="1"/>
    <xf numFmtId="0" fontId="64" fillId="0" borderId="6" xfId="391" applyBorder="1" applyAlignment="1">
      <alignment horizontal="center"/>
    </xf>
    <xf numFmtId="43" fontId="64" fillId="0" borderId="22" xfId="391" applyNumberFormat="1" applyBorder="1"/>
    <xf numFmtId="0" fontId="64" fillId="0" borderId="22" xfId="391" applyBorder="1"/>
    <xf numFmtId="0" fontId="64" fillId="0" borderId="0" xfId="391" applyFont="1"/>
    <xf numFmtId="0" fontId="64" fillId="0" borderId="23" xfId="391" applyFont="1" applyBorder="1"/>
    <xf numFmtId="0" fontId="64" fillId="0" borderId="24" xfId="391" applyBorder="1"/>
    <xf numFmtId="0" fontId="64" fillId="0" borderId="24" xfId="391" applyBorder="1" applyAlignment="1">
      <alignment horizontal="center"/>
    </xf>
    <xf numFmtId="44" fontId="64" fillId="0" borderId="24" xfId="5" applyFont="1" applyBorder="1"/>
    <xf numFmtId="43" fontId="64" fillId="0" borderId="25" xfId="391" applyNumberFormat="1" applyBorder="1"/>
    <xf numFmtId="0" fontId="4" fillId="0" borderId="4" xfId="0" applyFont="1" applyBorder="1">
      <alignment readingOrder="1"/>
    </xf>
    <xf numFmtId="44" fontId="0" fillId="0" borderId="5" xfId="5" applyFont="1" applyBorder="1">
      <alignment readingOrder="1"/>
    </xf>
    <xf numFmtId="0" fontId="0" fillId="0" borderId="5" xfId="0" applyBorder="1">
      <alignment readingOrder="1"/>
    </xf>
    <xf numFmtId="0" fontId="0" fillId="0" borderId="3" xfId="0" applyBorder="1">
      <alignment readingOrder="1"/>
    </xf>
    <xf numFmtId="0" fontId="4" fillId="0" borderId="1" xfId="0" applyFont="1" applyBorder="1">
      <alignment readingOrder="1"/>
    </xf>
    <xf numFmtId="44" fontId="0" fillId="0" borderId="11" xfId="0" applyNumberFormat="1" applyBorder="1">
      <alignment readingOrder="1"/>
    </xf>
    <xf numFmtId="0" fontId="0" fillId="0" borderId="11" xfId="0" applyBorder="1">
      <alignment readingOrder="1"/>
    </xf>
    <xf numFmtId="0" fontId="0" fillId="0" borderId="10" xfId="0" applyBorder="1">
      <alignment readingOrder="1"/>
    </xf>
    <xf numFmtId="0" fontId="4" fillId="0" borderId="7" xfId="0" applyFont="1" applyBorder="1">
      <alignment readingOrder="1"/>
    </xf>
    <xf numFmtId="44" fontId="0" fillId="0" borderId="0" xfId="0" applyNumberFormat="1" applyBorder="1">
      <alignment readingOrder="1"/>
    </xf>
    <xf numFmtId="0" fontId="0" fillId="0" borderId="0" xfId="0" applyBorder="1">
      <alignment readingOrder="1"/>
    </xf>
    <xf numFmtId="0" fontId="0" fillId="0" borderId="29" xfId="0" applyBorder="1">
      <alignment readingOrder="1"/>
    </xf>
    <xf numFmtId="0" fontId="4" fillId="0" borderId="26" xfId="0" applyFont="1" applyBorder="1">
      <alignment readingOrder="1"/>
    </xf>
    <xf numFmtId="44" fontId="0" fillId="0" borderId="27" xfId="0" applyNumberFormat="1" applyBorder="1">
      <alignment readingOrder="1"/>
    </xf>
    <xf numFmtId="0" fontId="0" fillId="0" borderId="27" xfId="0" applyBorder="1">
      <alignment readingOrder="1"/>
    </xf>
    <xf numFmtId="0" fontId="0" fillId="0" borderId="28" xfId="0" applyBorder="1">
      <alignment readingOrder="1"/>
    </xf>
    <xf numFmtId="0" fontId="0" fillId="0" borderId="0" xfId="0" applyFill="1" applyBorder="1">
      <alignment readingOrder="1"/>
    </xf>
    <xf numFmtId="44" fontId="0" fillId="0" borderId="10" xfId="0" applyNumberFormat="1" applyBorder="1">
      <alignment readingOrder="1"/>
    </xf>
    <xf numFmtId="44" fontId="0" fillId="0" borderId="29" xfId="0" applyNumberFormat="1" applyBorder="1">
      <alignment readingOrder="1"/>
    </xf>
    <xf numFmtId="44" fontId="0" fillId="0" borderId="28" xfId="0" applyNumberFormat="1" applyBorder="1">
      <alignment readingOrder="1"/>
    </xf>
    <xf numFmtId="0" fontId="65" fillId="0" borderId="0" xfId="0" applyFont="1"/>
    <xf numFmtId="0" fontId="66" fillId="0" borderId="0" xfId="0" applyFont="1"/>
    <xf numFmtId="0" fontId="66" fillId="0" borderId="0" xfId="0" applyFont="1" applyAlignment="1">
      <alignment horizontal="center"/>
    </xf>
    <xf numFmtId="0" fontId="0" fillId="0" borderId="0" xfId="0" applyAlignment="1">
      <alignment horizontal="center"/>
    </xf>
    <xf numFmtId="0" fontId="0" fillId="11" borderId="18" xfId="0" applyFill="1" applyBorder="1"/>
    <xf numFmtId="0" fontId="0" fillId="11" borderId="20" xfId="0" applyFill="1" applyBorder="1" applyAlignment="1">
      <alignment horizontal="center"/>
    </xf>
    <xf numFmtId="0" fontId="0" fillId="0" borderId="21" xfId="0" applyBorder="1" applyAlignment="1">
      <alignment horizontal="center"/>
    </xf>
    <xf numFmtId="9" fontId="0" fillId="0" borderId="22" xfId="0" applyNumberFormat="1" applyBorder="1" applyAlignment="1">
      <alignment horizontal="center"/>
    </xf>
    <xf numFmtId="0" fontId="0" fillId="11" borderId="12" xfId="0" applyFill="1" applyBorder="1"/>
    <xf numFmtId="0" fontId="0" fillId="11" borderId="60" xfId="0" applyFill="1" applyBorder="1"/>
    <xf numFmtId="0" fontId="0" fillId="11" borderId="60" xfId="0" applyFill="1" applyBorder="1" applyAlignment="1">
      <alignment horizontal="center"/>
    </xf>
    <xf numFmtId="0" fontId="0" fillId="11" borderId="61" xfId="0" applyFill="1" applyBorder="1"/>
    <xf numFmtId="0" fontId="0" fillId="11" borderId="62" xfId="0" applyFill="1" applyBorder="1"/>
    <xf numFmtId="0" fontId="4" fillId="11" borderId="58" xfId="0" applyFont="1" applyFill="1" applyBorder="1"/>
    <xf numFmtId="0" fontId="0" fillId="83" borderId="63" xfId="0" applyFill="1" applyBorder="1" applyAlignment="1">
      <alignment horizontal="center"/>
    </xf>
    <xf numFmtId="0" fontId="0" fillId="84" borderId="64" xfId="0" applyFill="1" applyBorder="1" applyAlignment="1">
      <alignment horizontal="center"/>
    </xf>
    <xf numFmtId="0" fontId="62" fillId="0" borderId="65" xfId="0" applyFont="1" applyBorder="1"/>
    <xf numFmtId="0" fontId="62" fillId="0" borderId="66" xfId="0" applyFont="1" applyBorder="1"/>
    <xf numFmtId="0" fontId="62" fillId="79" borderId="66" xfId="0" applyFont="1" applyFill="1" applyBorder="1"/>
    <xf numFmtId="2" fontId="62" fillId="0" borderId="65" xfId="0" applyNumberFormat="1" applyFont="1" applyBorder="1" applyAlignment="1">
      <alignment horizontal="center"/>
    </xf>
    <xf numFmtId="2" fontId="62" fillId="0" borderId="67" xfId="0" applyNumberFormat="1" applyFont="1" applyBorder="1" applyAlignment="1">
      <alignment horizontal="center"/>
    </xf>
    <xf numFmtId="0" fontId="0" fillId="0" borderId="23" xfId="0" applyBorder="1" applyAlignment="1">
      <alignment horizontal="center"/>
    </xf>
    <xf numFmtId="9" fontId="0" fillId="0" borderId="25" xfId="0" applyNumberFormat="1" applyBorder="1" applyAlignment="1">
      <alignment horizontal="center"/>
    </xf>
    <xf numFmtId="0" fontId="63" fillId="0" borderId="68" xfId="0" applyFont="1" applyFill="1" applyBorder="1"/>
    <xf numFmtId="0" fontId="63" fillId="0" borderId="5" xfId="0" applyFont="1" applyFill="1" applyBorder="1"/>
    <xf numFmtId="0" fontId="63" fillId="79" borderId="5" xfId="0" applyFont="1" applyFill="1" applyBorder="1"/>
    <xf numFmtId="2" fontId="63" fillId="0" borderId="68" xfId="0" applyNumberFormat="1" applyFont="1" applyFill="1" applyBorder="1" applyAlignment="1">
      <alignment horizontal="center"/>
    </xf>
    <xf numFmtId="2" fontId="63" fillId="0" borderId="69" xfId="0" applyNumberFormat="1" applyFont="1" applyFill="1" applyBorder="1" applyAlignment="1">
      <alignment horizontal="center"/>
    </xf>
    <xf numFmtId="0" fontId="62" fillId="0" borderId="47" xfId="0" applyFont="1" applyBorder="1"/>
    <xf numFmtId="0" fontId="62" fillId="0" borderId="0" xfId="0" applyFont="1" applyBorder="1"/>
    <xf numFmtId="0" fontId="62" fillId="79" borderId="0" xfId="0" applyFont="1" applyFill="1" applyBorder="1"/>
    <xf numFmtId="2" fontId="62" fillId="0" borderId="47" xfId="0" applyNumberFormat="1" applyFont="1" applyBorder="1" applyAlignment="1">
      <alignment horizontal="center"/>
    </xf>
    <xf numFmtId="2" fontId="62" fillId="0" borderId="54" xfId="0" applyNumberFormat="1" applyFont="1" applyBorder="1" applyAlignment="1">
      <alignment horizontal="center"/>
    </xf>
    <xf numFmtId="0" fontId="9" fillId="11" borderId="70" xfId="0" applyFont="1" applyFill="1" applyBorder="1"/>
    <xf numFmtId="0" fontId="9" fillId="11" borderId="71" xfId="0" applyFont="1" applyFill="1" applyBorder="1"/>
    <xf numFmtId="0" fontId="9" fillId="11" borderId="72" xfId="0" applyFont="1" applyFill="1" applyBorder="1"/>
    <xf numFmtId="0" fontId="9" fillId="11" borderId="73" xfId="0" applyFont="1" applyFill="1" applyBorder="1"/>
    <xf numFmtId="0" fontId="63" fillId="0" borderId="47" xfId="0" applyFont="1" applyBorder="1"/>
    <xf numFmtId="0" fontId="63" fillId="0" borderId="0" xfId="0" applyFont="1" applyBorder="1"/>
    <xf numFmtId="0" fontId="63" fillId="79" borderId="0" xfId="0" applyFont="1" applyFill="1" applyBorder="1"/>
    <xf numFmtId="2" fontId="63" fillId="0" borderId="47" xfId="0" applyNumberFormat="1" applyFont="1" applyBorder="1" applyAlignment="1">
      <alignment horizontal="center"/>
    </xf>
    <xf numFmtId="2" fontId="63" fillId="0" borderId="54" xfId="0" applyNumberFormat="1" applyFont="1" applyBorder="1" applyAlignment="1">
      <alignment horizontal="center"/>
    </xf>
    <xf numFmtId="0" fontId="0" fillId="11" borderId="74" xfId="0" applyFill="1" applyBorder="1"/>
    <xf numFmtId="1" fontId="0" fillId="0" borderId="75" xfId="0" applyNumberFormat="1" applyBorder="1"/>
    <xf numFmtId="0" fontId="0" fillId="0" borderId="19" xfId="0" applyBorder="1"/>
    <xf numFmtId="1" fontId="0" fillId="0" borderId="19" xfId="0" applyNumberFormat="1" applyBorder="1" applyAlignment="1">
      <alignment horizontal="center"/>
    </xf>
    <xf numFmtId="1" fontId="0" fillId="0" borderId="19" xfId="0" applyNumberFormat="1" applyBorder="1"/>
    <xf numFmtId="0" fontId="0" fillId="0" borderId="20" xfId="0" applyBorder="1"/>
    <xf numFmtId="0" fontId="0" fillId="11" borderId="76" xfId="0" applyFill="1" applyBorder="1"/>
    <xf numFmtId="1" fontId="0" fillId="0" borderId="3" xfId="0" applyNumberFormat="1" applyBorder="1"/>
    <xf numFmtId="0" fontId="0" fillId="0" borderId="6" xfId="0" applyBorder="1"/>
    <xf numFmtId="1" fontId="0" fillId="0" borderId="6" xfId="0" applyNumberFormat="1" applyBorder="1" applyAlignment="1">
      <alignment horizontal="center"/>
    </xf>
    <xf numFmtId="1" fontId="0" fillId="0" borderId="6" xfId="0" applyNumberFormat="1" applyBorder="1"/>
    <xf numFmtId="0" fontId="0" fillId="0" borderId="22" xfId="0" applyBorder="1"/>
    <xf numFmtId="0" fontId="0" fillId="11" borderId="77" xfId="0" applyFill="1" applyBorder="1"/>
    <xf numFmtId="1" fontId="0" fillId="0" borderId="78" xfId="0" applyNumberFormat="1" applyBorder="1"/>
    <xf numFmtId="0" fontId="0" fillId="0" borderId="24" xfId="0" applyBorder="1"/>
    <xf numFmtId="1" fontId="0" fillId="0" borderId="24" xfId="0" applyNumberFormat="1" applyBorder="1" applyAlignment="1">
      <alignment horizontal="center"/>
    </xf>
    <xf numFmtId="1" fontId="0" fillId="0" borderId="24" xfId="0" applyNumberFormat="1" applyBorder="1"/>
    <xf numFmtId="0" fontId="0" fillId="0" borderId="25" xfId="0" applyBorder="1"/>
    <xf numFmtId="0" fontId="9" fillId="85" borderId="64" xfId="0" applyFont="1" applyFill="1" applyBorder="1" applyAlignment="1">
      <alignment horizontal="right"/>
    </xf>
    <xf numFmtId="171" fontId="9" fillId="0" borderId="79" xfId="389" applyNumberFormat="1" applyFont="1" applyBorder="1"/>
    <xf numFmtId="171" fontId="9" fillId="0" borderId="80" xfId="389" applyNumberFormat="1" applyFont="1" applyBorder="1"/>
    <xf numFmtId="171" fontId="9" fillId="0" borderId="81" xfId="389" applyNumberFormat="1" applyFont="1" applyBorder="1"/>
    <xf numFmtId="0" fontId="62" fillId="0" borderId="82" xfId="0" applyFont="1" applyBorder="1"/>
    <xf numFmtId="0" fontId="62" fillId="0" borderId="11" xfId="0" applyFont="1" applyBorder="1"/>
    <xf numFmtId="0" fontId="62" fillId="79" borderId="11" xfId="0" applyFont="1" applyFill="1" applyBorder="1"/>
    <xf numFmtId="2" fontId="62" fillId="0" borderId="82" xfId="0" applyNumberFormat="1" applyFont="1" applyBorder="1" applyAlignment="1">
      <alignment horizontal="center"/>
    </xf>
    <xf numFmtId="2" fontId="62" fillId="0" borderId="83" xfId="0" applyNumberFormat="1" applyFont="1" applyBorder="1" applyAlignment="1">
      <alignment horizontal="center"/>
    </xf>
    <xf numFmtId="0" fontId="62" fillId="0" borderId="84" xfId="0" applyFont="1" applyBorder="1"/>
    <xf numFmtId="0" fontId="62" fillId="0" borderId="27" xfId="0" applyFont="1" applyBorder="1"/>
    <xf numFmtId="0" fontId="62" fillId="79" borderId="27" xfId="0" applyFont="1" applyFill="1" applyBorder="1"/>
    <xf numFmtId="2" fontId="62" fillId="0" borderId="84" xfId="0" applyNumberFormat="1" applyFont="1" applyBorder="1" applyAlignment="1">
      <alignment horizontal="center"/>
    </xf>
    <xf numFmtId="2" fontId="62" fillId="0" borderId="85" xfId="0" applyNumberFormat="1" applyFont="1" applyBorder="1" applyAlignment="1">
      <alignment horizontal="center"/>
    </xf>
    <xf numFmtId="0" fontId="63" fillId="0" borderId="84" xfId="0" applyFont="1" applyBorder="1"/>
    <xf numFmtId="0" fontId="63" fillId="0" borderId="27" xfId="0" applyFont="1" applyBorder="1"/>
    <xf numFmtId="0" fontId="63" fillId="79" borderId="27" xfId="0" applyFont="1" applyFill="1" applyBorder="1"/>
    <xf numFmtId="2" fontId="63" fillId="0" borderId="84" xfId="0" applyNumberFormat="1" applyFont="1" applyBorder="1" applyAlignment="1">
      <alignment horizontal="center"/>
    </xf>
    <xf numFmtId="2" fontId="63" fillId="0" borderId="85" xfId="0" applyNumberFormat="1" applyFont="1" applyBorder="1" applyAlignment="1">
      <alignment horizontal="center"/>
    </xf>
    <xf numFmtId="1" fontId="62" fillId="0" borderId="47" xfId="0" applyNumberFormat="1" applyFont="1" applyBorder="1" applyAlignment="1">
      <alignment horizontal="center"/>
    </xf>
    <xf numFmtId="1" fontId="62" fillId="0" borderId="54" xfId="0" applyNumberFormat="1" applyFont="1" applyBorder="1" applyAlignment="1">
      <alignment horizontal="center"/>
    </xf>
    <xf numFmtId="0" fontId="63" fillId="0" borderId="82" xfId="0" applyFont="1" applyBorder="1"/>
    <xf numFmtId="0" fontId="63" fillId="0" borderId="11" xfId="0" applyFont="1" applyBorder="1"/>
    <xf numFmtId="1" fontId="63" fillId="0" borderId="82" xfId="0" applyNumberFormat="1" applyFont="1" applyBorder="1" applyAlignment="1">
      <alignment horizontal="center"/>
    </xf>
    <xf numFmtId="1" fontId="63" fillId="0" borderId="83" xfId="0" applyNumberFormat="1" applyFont="1" applyBorder="1" applyAlignment="1">
      <alignment horizontal="center"/>
    </xf>
    <xf numFmtId="1" fontId="63" fillId="0" borderId="47" xfId="0" applyNumberFormat="1" applyFont="1" applyBorder="1" applyAlignment="1">
      <alignment horizontal="center"/>
    </xf>
    <xf numFmtId="1" fontId="63" fillId="0" borderId="54" xfId="0" applyNumberFormat="1" applyFont="1" applyBorder="1" applyAlignment="1">
      <alignment horizontal="center"/>
    </xf>
    <xf numFmtId="1" fontId="63" fillId="0" borderId="84" xfId="0" applyNumberFormat="1" applyFont="1" applyBorder="1" applyAlignment="1">
      <alignment horizontal="center"/>
    </xf>
    <xf numFmtId="1" fontId="63" fillId="0" borderId="85" xfId="0" applyNumberFormat="1" applyFont="1" applyBorder="1" applyAlignment="1">
      <alignment horizontal="center"/>
    </xf>
    <xf numFmtId="0" fontId="63" fillId="0" borderId="63" xfId="0" applyFont="1" applyBorder="1"/>
    <xf numFmtId="0" fontId="63" fillId="0" borderId="58" xfId="0" applyFont="1" applyBorder="1"/>
    <xf numFmtId="1" fontId="63" fillId="0" borderId="63" xfId="0" applyNumberFormat="1" applyFont="1" applyBorder="1" applyAlignment="1">
      <alignment horizontal="center"/>
    </xf>
    <xf numFmtId="1" fontId="63" fillId="0" borderId="59" xfId="0" applyNumberFormat="1" applyFont="1" applyBorder="1" applyAlignment="1">
      <alignment horizontal="center"/>
    </xf>
    <xf numFmtId="0" fontId="63" fillId="0" borderId="65" xfId="0" applyFont="1" applyBorder="1"/>
    <xf numFmtId="0" fontId="63" fillId="0" borderId="66" xfId="0" applyFont="1" applyBorder="1"/>
    <xf numFmtId="0" fontId="63" fillId="86" borderId="66" xfId="0" applyFont="1" applyFill="1" applyBorder="1"/>
    <xf numFmtId="0" fontId="63" fillId="86" borderId="5" xfId="0" applyFont="1" applyFill="1" applyBorder="1"/>
    <xf numFmtId="0" fontId="63" fillId="86" borderId="0" xfId="0" applyFont="1" applyFill="1" applyBorder="1"/>
    <xf numFmtId="0" fontId="63" fillId="86" borderId="11" xfId="0" applyFont="1" applyFill="1" applyBorder="1"/>
    <xf numFmtId="0" fontId="63" fillId="86" borderId="27" xfId="0" applyFont="1" applyFill="1" applyBorder="1"/>
    <xf numFmtId="0" fontId="63" fillId="0" borderId="86" xfId="0" applyFont="1" applyBorder="1"/>
    <xf numFmtId="0" fontId="63" fillId="0" borderId="87" xfId="0" applyFont="1" applyBorder="1"/>
    <xf numFmtId="1" fontId="63" fillId="0" borderId="86" xfId="0" applyNumberFormat="1" applyFont="1" applyBorder="1" applyAlignment="1">
      <alignment horizontal="center"/>
    </xf>
    <xf numFmtId="1" fontId="63" fillId="0" borderId="88" xfId="0" applyNumberFormat="1" applyFont="1" applyBorder="1" applyAlignment="1">
      <alignment horizontal="center"/>
    </xf>
    <xf numFmtId="0" fontId="63" fillId="87" borderId="66" xfId="0" applyFont="1" applyFill="1" applyBorder="1"/>
    <xf numFmtId="0" fontId="63" fillId="87" borderId="5" xfId="0" applyFont="1" applyFill="1" applyBorder="1"/>
    <xf numFmtId="0" fontId="63" fillId="87" borderId="0" xfId="0" applyFont="1" applyFill="1" applyBorder="1"/>
    <xf numFmtId="0" fontId="63" fillId="87" borderId="11" xfId="0" applyFont="1" applyFill="1" applyBorder="1"/>
    <xf numFmtId="0" fontId="63" fillId="87" borderId="27" xfId="0" applyFont="1" applyFill="1" applyBorder="1"/>
    <xf numFmtId="0" fontId="62" fillId="0" borderId="47" xfId="0" applyFont="1" applyFill="1" applyBorder="1">
      <alignment readingOrder="1"/>
    </xf>
    <xf numFmtId="2" fontId="19" fillId="0" borderId="70" xfId="0" applyNumberFormat="1" applyFont="1" applyBorder="1" applyAlignment="1">
      <alignment horizontal="center"/>
    </xf>
    <xf numFmtId="2" fontId="67" fillId="0" borderId="67" xfId="0" applyNumberFormat="1" applyFont="1" applyBorder="1" applyAlignment="1">
      <alignment horizontal="center"/>
    </xf>
    <xf numFmtId="2" fontId="63" fillId="0" borderId="76" xfId="0" applyNumberFormat="1" applyFont="1" applyFill="1" applyBorder="1" applyAlignment="1">
      <alignment horizontal="center"/>
    </xf>
    <xf numFmtId="2" fontId="68" fillId="0" borderId="69" xfId="0" applyNumberFormat="1" applyFont="1" applyFill="1" applyBorder="1" applyAlignment="1">
      <alignment horizontal="center"/>
    </xf>
    <xf numFmtId="2" fontId="19" fillId="0" borderId="89" xfId="0" applyNumberFormat="1" applyFont="1" applyBorder="1" applyAlignment="1">
      <alignment horizontal="center"/>
    </xf>
    <xf numFmtId="2" fontId="67" fillId="0" borderId="54" xfId="0" applyNumberFormat="1" applyFont="1" applyBorder="1" applyAlignment="1">
      <alignment horizontal="center"/>
    </xf>
    <xf numFmtId="2" fontId="0" fillId="0" borderId="89" xfId="0" applyNumberFormat="1" applyBorder="1" applyAlignment="1">
      <alignment horizontal="center"/>
    </xf>
    <xf numFmtId="2" fontId="68" fillId="0" borderId="54" xfId="0" applyNumberFormat="1" applyFont="1" applyBorder="1" applyAlignment="1">
      <alignment horizontal="center"/>
    </xf>
    <xf numFmtId="2" fontId="19" fillId="0" borderId="90" xfId="0" applyNumberFormat="1" applyFont="1" applyBorder="1" applyAlignment="1">
      <alignment horizontal="center"/>
    </xf>
    <xf numFmtId="2" fontId="67" fillId="0" borderId="83" xfId="0" applyNumberFormat="1" applyFont="1" applyBorder="1" applyAlignment="1">
      <alignment horizontal="center"/>
    </xf>
    <xf numFmtId="2" fontId="9" fillId="0" borderId="89" xfId="0" applyNumberFormat="1" applyFont="1" applyBorder="1" applyAlignment="1">
      <alignment horizontal="center"/>
    </xf>
    <xf numFmtId="2" fontId="19" fillId="0" borderId="91" xfId="0" applyNumberFormat="1" applyFont="1" applyBorder="1" applyAlignment="1">
      <alignment horizontal="center"/>
    </xf>
    <xf numFmtId="2" fontId="67" fillId="0" borderId="85" xfId="0" applyNumberFormat="1" applyFont="1" applyBorder="1" applyAlignment="1">
      <alignment horizontal="center"/>
    </xf>
    <xf numFmtId="2" fontId="0" fillId="0" borderId="91" xfId="0" applyNumberFormat="1" applyBorder="1" applyAlignment="1">
      <alignment horizontal="center"/>
    </xf>
    <xf numFmtId="2" fontId="68" fillId="0" borderId="85" xfId="0" applyNumberFormat="1" applyFont="1" applyBorder="1" applyAlignment="1">
      <alignment horizontal="center"/>
    </xf>
    <xf numFmtId="1" fontId="62" fillId="0" borderId="89" xfId="0" applyNumberFormat="1" applyFont="1" applyBorder="1" applyAlignment="1">
      <alignment horizontal="center"/>
    </xf>
    <xf numFmtId="1" fontId="67" fillId="0" borderId="54" xfId="0" applyNumberFormat="1" applyFont="1" applyBorder="1" applyAlignment="1">
      <alignment horizontal="center"/>
    </xf>
    <xf numFmtId="1" fontId="63" fillId="0" borderId="90" xfId="0" applyNumberFormat="1" applyFont="1" applyBorder="1" applyAlignment="1">
      <alignment horizontal="center"/>
    </xf>
    <xf numFmtId="1" fontId="68" fillId="0" borderId="83" xfId="0" applyNumberFormat="1" applyFont="1" applyBorder="1" applyAlignment="1">
      <alignment horizontal="center"/>
    </xf>
    <xf numFmtId="1" fontId="63" fillId="0" borderId="89" xfId="0" applyNumberFormat="1" applyFont="1" applyBorder="1" applyAlignment="1">
      <alignment horizontal="center"/>
    </xf>
    <xf numFmtId="1" fontId="68" fillId="0" borderId="54" xfId="0" applyNumberFormat="1" applyFont="1" applyBorder="1" applyAlignment="1">
      <alignment horizontal="center"/>
    </xf>
    <xf numFmtId="1" fontId="63" fillId="0" borderId="91" xfId="0" applyNumberFormat="1" applyFont="1" applyBorder="1" applyAlignment="1">
      <alignment horizontal="center"/>
    </xf>
    <xf numFmtId="1" fontId="68" fillId="0" borderId="85" xfId="0" applyNumberFormat="1" applyFont="1" applyBorder="1" applyAlignment="1">
      <alignment horizontal="center"/>
    </xf>
    <xf numFmtId="1" fontId="63" fillId="0" borderId="64" xfId="0" applyNumberFormat="1" applyFont="1" applyBorder="1" applyAlignment="1">
      <alignment horizontal="center"/>
    </xf>
    <xf numFmtId="1" fontId="68" fillId="0" borderId="59" xfId="0" applyNumberFormat="1" applyFont="1" applyBorder="1" applyAlignment="1">
      <alignment horizontal="center"/>
    </xf>
    <xf numFmtId="1" fontId="63" fillId="0" borderId="77" xfId="0" applyNumberFormat="1" applyFont="1" applyBorder="1" applyAlignment="1">
      <alignment horizontal="center"/>
    </xf>
    <xf numFmtId="1" fontId="68" fillId="0" borderId="88" xfId="0" applyNumberFormat="1" applyFont="1" applyBorder="1" applyAlignment="1">
      <alignment horizontal="center"/>
    </xf>
    <xf numFmtId="2" fontId="4" fillId="0" borderId="0" xfId="6" applyNumberFormat="1" applyFont="1" applyFill="1" applyBorder="1" applyAlignment="1">
      <alignment wrapText="1"/>
    </xf>
    <xf numFmtId="1" fontId="59" fillId="0" borderId="0" xfId="369" applyNumberFormat="1" applyFill="1">
      <alignment readingOrder="1"/>
    </xf>
    <xf numFmtId="44" fontId="59" fillId="0" borderId="0" xfId="61" applyFont="1" applyFill="1">
      <alignment readingOrder="1"/>
    </xf>
    <xf numFmtId="0" fontId="4" fillId="0" borderId="0" xfId="369" applyFont="1" applyFill="1" applyBorder="1">
      <alignment readingOrder="1"/>
    </xf>
    <xf numFmtId="0" fontId="0" fillId="11" borderId="6" xfId="0" applyFill="1" applyBorder="1" applyAlignment="1">
      <alignment horizontal="center"/>
    </xf>
    <xf numFmtId="0" fontId="0" fillId="0" borderId="6" xfId="0" applyBorder="1" applyAlignment="1">
      <alignment horizontal="left"/>
    </xf>
    <xf numFmtId="9" fontId="0" fillId="0" borderId="6" xfId="0" applyNumberFormat="1" applyBorder="1" applyAlignment="1">
      <alignment horizontal="center"/>
    </xf>
    <xf numFmtId="9" fontId="0" fillId="0" borderId="6" xfId="372" applyFont="1" applyBorder="1" applyAlignment="1">
      <alignment horizontal="center"/>
    </xf>
    <xf numFmtId="9" fontId="0" fillId="0" borderId="6" xfId="372" applyFont="1" applyBorder="1"/>
    <xf numFmtId="0" fontId="0" fillId="0" borderId="0" xfId="0" applyAlignment="1">
      <alignment horizontal="right"/>
    </xf>
    <xf numFmtId="1" fontId="0" fillId="0" borderId="0" xfId="0" applyNumberFormat="1" applyAlignment="1">
      <alignment horizontal="center"/>
    </xf>
    <xf numFmtId="0" fontId="0" fillId="11" borderId="6" xfId="0" applyFill="1" applyBorder="1"/>
    <xf numFmtId="9" fontId="0" fillId="0" borderId="6" xfId="0" applyNumberFormat="1" applyBorder="1"/>
    <xf numFmtId="0" fontId="0" fillId="11" borderId="4" xfId="0" applyFill="1" applyBorder="1"/>
    <xf numFmtId="0" fontId="0" fillId="11" borderId="3" xfId="0" applyFill="1" applyBorder="1"/>
    <xf numFmtId="0" fontId="9" fillId="88" borderId="18" xfId="392" applyFont="1" applyFill="1" applyBorder="1"/>
    <xf numFmtId="0" fontId="9" fillId="55" borderId="72" xfId="392" applyFont="1" applyFill="1" applyBorder="1"/>
    <xf numFmtId="0" fontId="9" fillId="55" borderId="73" xfId="2" applyFont="1" applyFill="1" applyBorder="1"/>
    <xf numFmtId="0" fontId="9" fillId="55" borderId="92" xfId="393" applyFont="1" applyFill="1" applyBorder="1" applyAlignment="1">
      <alignment horizontal="left"/>
    </xf>
    <xf numFmtId="9" fontId="9" fillId="55" borderId="9" xfId="8" applyFont="1" applyFill="1" applyBorder="1"/>
    <xf numFmtId="9" fontId="9" fillId="55" borderId="93" xfId="8" applyFont="1" applyFill="1" applyBorder="1"/>
    <xf numFmtId="0" fontId="9" fillId="55" borderId="21" xfId="393" applyFont="1" applyFill="1" applyBorder="1" applyAlignment="1">
      <alignment horizontal="right"/>
    </xf>
    <xf numFmtId="9" fontId="9" fillId="55" borderId="6" xfId="8" applyFont="1" applyFill="1" applyBorder="1"/>
    <xf numFmtId="9" fontId="9" fillId="55" borderId="22" xfId="8" applyFont="1" applyFill="1" applyBorder="1"/>
    <xf numFmtId="0" fontId="9" fillId="55" borderId="21" xfId="2" applyFont="1" applyFill="1" applyBorder="1" applyAlignment="1">
      <alignment horizontal="right"/>
    </xf>
    <xf numFmtId="0" fontId="9" fillId="55" borderId="16" xfId="2" applyFont="1" applyFill="1" applyBorder="1" applyAlignment="1">
      <alignment horizontal="right"/>
    </xf>
    <xf numFmtId="9" fontId="9" fillId="55" borderId="2" xfId="8" applyFont="1" applyFill="1" applyBorder="1"/>
    <xf numFmtId="9" fontId="9" fillId="55" borderId="17" xfId="8" applyFont="1" applyFill="1" applyBorder="1"/>
    <xf numFmtId="171" fontId="4" fillId="89" borderId="12" xfId="56" applyNumberFormat="1" applyFont="1" applyFill="1" applyBorder="1"/>
    <xf numFmtId="171" fontId="4" fillId="89" borderId="60" xfId="56" applyNumberFormat="1" applyFill="1" applyBorder="1"/>
    <xf numFmtId="171" fontId="4" fillId="89" borderId="60" xfId="56" applyNumberFormat="1" applyFont="1" applyFill="1" applyBorder="1"/>
    <xf numFmtId="171" fontId="4" fillId="89" borderId="61" xfId="56" applyNumberFormat="1" applyFill="1" applyBorder="1"/>
    <xf numFmtId="0" fontId="69" fillId="0" borderId="0" xfId="394" applyFont="1"/>
    <xf numFmtId="0" fontId="4" fillId="55" borderId="73" xfId="2" applyFont="1" applyFill="1" applyBorder="1"/>
    <xf numFmtId="171" fontId="4" fillId="89" borderId="12" xfId="56" applyNumberFormat="1" applyFill="1" applyBorder="1"/>
    <xf numFmtId="0" fontId="0" fillId="83" borderId="0" xfId="0" applyFill="1"/>
    <xf numFmtId="0" fontId="0" fillId="10" borderId="0" xfId="0" applyFill="1"/>
    <xf numFmtId="0" fontId="0" fillId="90" borderId="65" xfId="0" applyFill="1" applyBorder="1"/>
    <xf numFmtId="0" fontId="0" fillId="90" borderId="66" xfId="0" applyFill="1" applyBorder="1"/>
    <xf numFmtId="0" fontId="0" fillId="90" borderId="71" xfId="0" applyFill="1" applyBorder="1"/>
    <xf numFmtId="0" fontId="0" fillId="90" borderId="67" xfId="0" applyFill="1" applyBorder="1"/>
    <xf numFmtId="0" fontId="0" fillId="91" borderId="65" xfId="0" applyFill="1" applyBorder="1"/>
    <xf numFmtId="0" fontId="0" fillId="91" borderId="66" xfId="0" applyFill="1" applyBorder="1"/>
    <xf numFmtId="0" fontId="0" fillId="91" borderId="71" xfId="0" applyFill="1" applyBorder="1"/>
    <xf numFmtId="0" fontId="0" fillId="91" borderId="67" xfId="0" applyFill="1" applyBorder="1"/>
    <xf numFmtId="0" fontId="0" fillId="49" borderId="65" xfId="0" applyFill="1" applyBorder="1"/>
    <xf numFmtId="0" fontId="0" fillId="49" borderId="66" xfId="0" applyFill="1" applyBorder="1"/>
    <xf numFmtId="0" fontId="0" fillId="49" borderId="71" xfId="0" applyFill="1" applyBorder="1"/>
    <xf numFmtId="0" fontId="0" fillId="49" borderId="67" xfId="0" applyFill="1" applyBorder="1"/>
    <xf numFmtId="0" fontId="0" fillId="92" borderId="65" xfId="0" applyFill="1" applyBorder="1"/>
    <xf numFmtId="0" fontId="0" fillId="92" borderId="66" xfId="0" applyFill="1" applyBorder="1"/>
    <xf numFmtId="0" fontId="0" fillId="92" borderId="71" xfId="0" applyFill="1" applyBorder="1"/>
    <xf numFmtId="0" fontId="0" fillId="92" borderId="67" xfId="0" applyFill="1" applyBorder="1"/>
    <xf numFmtId="0" fontId="0" fillId="93" borderId="65" xfId="0" applyFill="1" applyBorder="1"/>
    <xf numFmtId="0" fontId="0" fillId="93" borderId="66" xfId="0" applyFill="1" applyBorder="1"/>
    <xf numFmtId="0" fontId="0" fillId="93" borderId="71" xfId="0" applyFill="1" applyBorder="1"/>
    <xf numFmtId="0" fontId="0" fillId="93" borderId="67" xfId="0" applyFill="1" applyBorder="1"/>
    <xf numFmtId="0" fontId="0" fillId="90" borderId="49" xfId="0" applyFill="1" applyBorder="1"/>
    <xf numFmtId="0" fontId="0" fillId="49" borderId="73" xfId="0" applyFill="1" applyBorder="1"/>
    <xf numFmtId="0" fontId="0" fillId="92" borderId="49" xfId="0" applyFill="1" applyBorder="1"/>
    <xf numFmtId="0" fontId="0" fillId="93" borderId="73" xfId="0" applyFill="1" applyBorder="1"/>
    <xf numFmtId="0" fontId="0" fillId="0" borderId="47" xfId="0" applyBorder="1"/>
    <xf numFmtId="0" fontId="0" fillId="0" borderId="0" xfId="0" applyBorder="1"/>
    <xf numFmtId="0" fontId="0" fillId="0" borderId="29" xfId="0" applyBorder="1"/>
    <xf numFmtId="0" fontId="0" fillId="0" borderId="54" xfId="0" applyBorder="1"/>
    <xf numFmtId="0" fontId="0" fillId="0" borderId="94" xfId="0" applyBorder="1"/>
    <xf numFmtId="0" fontId="0" fillId="0" borderId="54" xfId="0" applyFill="1" applyBorder="1"/>
    <xf numFmtId="0" fontId="0" fillId="0" borderId="0" xfId="0" applyFill="1" applyBorder="1"/>
    <xf numFmtId="0" fontId="0" fillId="0" borderId="95" xfId="0" applyFill="1" applyBorder="1"/>
    <xf numFmtId="0" fontId="0" fillId="11" borderId="63" xfId="0" applyFill="1" applyBorder="1"/>
    <xf numFmtId="0" fontId="0" fillId="11" borderId="58" xfId="0" applyFill="1" applyBorder="1"/>
    <xf numFmtId="0" fontId="0" fillId="11" borderId="79" xfId="0" applyFill="1" applyBorder="1"/>
    <xf numFmtId="0" fontId="0" fillId="11" borderId="59" xfId="0" applyFill="1" applyBorder="1"/>
    <xf numFmtId="0" fontId="0" fillId="11" borderId="96" xfId="0" applyFill="1" applyBorder="1"/>
    <xf numFmtId="0" fontId="0" fillId="0" borderId="8" xfId="0" applyBorder="1"/>
    <xf numFmtId="0" fontId="0" fillId="0" borderId="8" xfId="0" applyBorder="1" applyAlignment="1">
      <alignment horizontal="center"/>
    </xf>
    <xf numFmtId="0" fontId="19" fillId="0" borderId="8" xfId="0" applyFont="1" applyBorder="1"/>
    <xf numFmtId="0" fontId="19" fillId="0" borderId="95" xfId="0" applyFont="1" applyBorder="1"/>
    <xf numFmtId="1" fontId="21" fillId="0" borderId="0" xfId="0" applyNumberFormat="1" applyFont="1"/>
    <xf numFmtId="1" fontId="70" fillId="0" borderId="0" xfId="0" applyNumberFormat="1" applyFont="1"/>
    <xf numFmtId="0" fontId="0" fillId="0" borderId="12" xfId="0" applyBorder="1"/>
    <xf numFmtId="0" fontId="0" fillId="0" borderId="60" xfId="0" applyBorder="1"/>
    <xf numFmtId="0" fontId="0" fillId="0" borderId="60" xfId="0" applyBorder="1" applyAlignment="1">
      <alignment horizontal="center"/>
    </xf>
    <xf numFmtId="0" fontId="0" fillId="0" borderId="61" xfId="0" applyBorder="1"/>
    <xf numFmtId="0" fontId="0" fillId="0" borderId="92" xfId="0" applyBorder="1"/>
    <xf numFmtId="0" fontId="0" fillId="0" borderId="9" xfId="0" applyBorder="1"/>
    <xf numFmtId="0" fontId="0" fillId="0" borderId="9" xfId="0" applyBorder="1" applyAlignment="1">
      <alignment horizontal="center"/>
    </xf>
    <xf numFmtId="0" fontId="19" fillId="0" borderId="9" xfId="0" applyFont="1" applyBorder="1"/>
    <xf numFmtId="0" fontId="19" fillId="0" borderId="93" xfId="0" applyFont="1" applyBorder="1"/>
    <xf numFmtId="0" fontId="0" fillId="0" borderId="21" xfId="0" applyBorder="1"/>
    <xf numFmtId="0" fontId="0" fillId="0" borderId="6" xfId="0" applyBorder="1" applyAlignment="1">
      <alignment horizontal="center"/>
    </xf>
    <xf numFmtId="0" fontId="19" fillId="0" borderId="6" xfId="0" applyFont="1" applyBorder="1"/>
    <xf numFmtId="0" fontId="19" fillId="0" borderId="22" xfId="0" applyFont="1" applyBorder="1"/>
    <xf numFmtId="0" fontId="0" fillId="0" borderId="18" xfId="0" applyBorder="1"/>
    <xf numFmtId="0" fontId="0" fillId="0" borderId="19" xfId="0" applyBorder="1" applyAlignment="1">
      <alignment horizontal="center"/>
    </xf>
    <xf numFmtId="0" fontId="19" fillId="0" borderId="19" xfId="0" applyFont="1" applyBorder="1"/>
    <xf numFmtId="0" fontId="19" fillId="0" borderId="20" xfId="0" applyFont="1" applyBorder="1"/>
    <xf numFmtId="0" fontId="0" fillId="0" borderId="6" xfId="0" applyFont="1" applyBorder="1"/>
    <xf numFmtId="0" fontId="0" fillId="0" borderId="22" xfId="0" applyFont="1" applyBorder="1"/>
    <xf numFmtId="0" fontId="0" fillId="0" borderId="23" xfId="0" applyBorder="1"/>
    <xf numFmtId="0" fontId="0" fillId="0" borderId="24" xfId="0" applyBorder="1" applyAlignment="1">
      <alignment horizontal="center"/>
    </xf>
    <xf numFmtId="0" fontId="19" fillId="0" borderId="24" xfId="0" applyFont="1" applyBorder="1"/>
    <xf numFmtId="0" fontId="19" fillId="0" borderId="25" xfId="0" applyFont="1" applyBorder="1"/>
    <xf numFmtId="0" fontId="0" fillId="0" borderId="93" xfId="0" applyBorder="1"/>
    <xf numFmtId="0" fontId="0" fillId="0" borderId="16" xfId="0" applyBorder="1"/>
    <xf numFmtId="0" fontId="0" fillId="0" borderId="2" xfId="0" applyBorder="1"/>
    <xf numFmtId="0" fontId="0" fillId="0" borderId="2" xfId="0" applyBorder="1" applyAlignment="1">
      <alignment horizontal="center"/>
    </xf>
    <xf numFmtId="0" fontId="19" fillId="0" borderId="2" xfId="0" applyFont="1" applyBorder="1"/>
    <xf numFmtId="0" fontId="19" fillId="0" borderId="17" xfId="0" applyFont="1" applyBorder="1"/>
    <xf numFmtId="1" fontId="63" fillId="0" borderId="0" xfId="0" applyNumberFormat="1" applyFont="1"/>
    <xf numFmtId="0" fontId="0" fillId="0" borderId="21" xfId="0" applyFill="1" applyBorder="1"/>
    <xf numFmtId="0" fontId="0" fillId="0" borderId="6" xfId="0" applyFill="1" applyBorder="1"/>
    <xf numFmtId="0" fontId="0" fillId="0" borderId="6" xfId="0" applyFill="1" applyBorder="1" applyAlignment="1">
      <alignment horizontal="center"/>
    </xf>
    <xf numFmtId="0" fontId="19" fillId="0" borderId="6" xfId="0" applyFont="1" applyFill="1" applyBorder="1"/>
    <xf numFmtId="0" fontId="0" fillId="0" borderId="23" xfId="0" applyFill="1" applyBorder="1"/>
    <xf numFmtId="0" fontId="0" fillId="0" borderId="24" xfId="0" applyFill="1" applyBorder="1"/>
    <xf numFmtId="0" fontId="0" fillId="0" borderId="24" xfId="0" applyFill="1" applyBorder="1" applyAlignment="1">
      <alignment horizontal="center"/>
    </xf>
    <xf numFmtId="0" fontId="19" fillId="0" borderId="24" xfId="0" applyFont="1" applyFill="1" applyBorder="1"/>
    <xf numFmtId="1" fontId="0" fillId="0" borderId="0" xfId="0" applyNumberFormat="1" applyBorder="1"/>
    <xf numFmtId="1" fontId="70" fillId="0" borderId="0" xfId="0" applyNumberFormat="1" applyFont="1" applyBorder="1"/>
    <xf numFmtId="0" fontId="0" fillId="0" borderId="12" xfId="0" applyFill="1" applyBorder="1"/>
    <xf numFmtId="0" fontId="0" fillId="0" borderId="60" xfId="0" applyFill="1" applyBorder="1"/>
    <xf numFmtId="0" fontId="0" fillId="0" borderId="51" xfId="0" applyFill="1" applyBorder="1" applyAlignment="1">
      <alignment horizontal="center"/>
    </xf>
    <xf numFmtId="0" fontId="0" fillId="0" borderId="61" xfId="0" applyFill="1" applyBorder="1"/>
    <xf numFmtId="0" fontId="0" fillId="0" borderId="63" xfId="0" applyBorder="1"/>
    <xf numFmtId="1" fontId="0" fillId="0" borderId="58" xfId="0" applyNumberFormat="1" applyBorder="1"/>
    <xf numFmtId="1" fontId="68" fillId="0" borderId="58" xfId="0" applyNumberFormat="1" applyFont="1" applyBorder="1"/>
    <xf numFmtId="1" fontId="68" fillId="0" borderId="0" xfId="0" applyNumberFormat="1" applyFont="1"/>
    <xf numFmtId="0" fontId="0" fillId="0" borderId="0" xfId="0" applyFill="1" applyBorder="1" applyAlignment="1">
      <alignment horizontal="center"/>
    </xf>
    <xf numFmtId="0" fontId="0" fillId="83" borderId="65" xfId="0" applyFill="1" applyBorder="1"/>
    <xf numFmtId="0" fontId="0" fillId="83" borderId="66" xfId="0" applyFill="1" applyBorder="1"/>
    <xf numFmtId="0" fontId="0" fillId="83" borderId="67" xfId="0" applyFill="1" applyBorder="1"/>
    <xf numFmtId="0" fontId="0" fillId="84" borderId="65" xfId="0" applyFill="1" applyBorder="1"/>
    <xf numFmtId="0" fontId="0" fillId="84" borderId="66" xfId="0" applyFill="1" applyBorder="1"/>
    <xf numFmtId="0" fontId="0" fillId="84" borderId="67" xfId="0" applyFill="1" applyBorder="1"/>
    <xf numFmtId="0" fontId="71" fillId="0" borderId="0" xfId="0" applyFont="1"/>
    <xf numFmtId="0" fontId="0" fillId="0" borderId="65" xfId="0" applyBorder="1"/>
    <xf numFmtId="0" fontId="0" fillId="0" borderId="66" xfId="0" applyBorder="1"/>
    <xf numFmtId="0" fontId="0" fillId="0" borderId="67" xfId="0" applyBorder="1"/>
    <xf numFmtId="0" fontId="0" fillId="93" borderId="70" xfId="0" applyFill="1" applyBorder="1"/>
    <xf numFmtId="0" fontId="0" fillId="0" borderId="58" xfId="0" applyBorder="1"/>
    <xf numFmtId="0" fontId="0" fillId="0" borderId="59" xfId="0" applyBorder="1"/>
    <xf numFmtId="0" fontId="0" fillId="0" borderId="79" xfId="0" applyBorder="1"/>
    <xf numFmtId="0" fontId="0" fillId="0" borderId="96" xfId="0" applyBorder="1"/>
    <xf numFmtId="0" fontId="0" fillId="0" borderId="64" xfId="0" applyBorder="1"/>
    <xf numFmtId="0" fontId="0" fillId="0" borderId="50" xfId="0" applyBorder="1"/>
    <xf numFmtId="1" fontId="0" fillId="0" borderId="47" xfId="0" applyNumberFormat="1" applyBorder="1"/>
    <xf numFmtId="1" fontId="0" fillId="0" borderId="54" xfId="0" applyNumberFormat="1" applyBorder="1"/>
    <xf numFmtId="1" fontId="0" fillId="0" borderId="63" xfId="0" applyNumberFormat="1" applyBorder="1"/>
    <xf numFmtId="1" fontId="0" fillId="0" borderId="59" xfId="0" applyNumberFormat="1" applyBorder="1"/>
    <xf numFmtId="1" fontId="21" fillId="0" borderId="6" xfId="0" applyNumberFormat="1" applyFont="1" applyBorder="1" applyAlignment="1">
      <alignment horizontal="center"/>
    </xf>
    <xf numFmtId="0" fontId="0" fillId="84" borderId="50" xfId="0" applyFill="1" applyBorder="1"/>
    <xf numFmtId="0" fontId="0" fillId="84" borderId="51" xfId="0" applyFill="1" applyBorder="1"/>
    <xf numFmtId="0" fontId="0" fillId="84" borderId="14" xfId="0" applyFill="1" applyBorder="1"/>
    <xf numFmtId="0" fontId="0" fillId="49" borderId="70" xfId="0" applyFill="1" applyBorder="1"/>
    <xf numFmtId="0" fontId="0" fillId="0" borderId="63" xfId="0" applyFill="1" applyBorder="1"/>
    <xf numFmtId="0" fontId="0" fillId="0" borderId="64" xfId="0" applyFill="1" applyBorder="1"/>
    <xf numFmtId="0" fontId="0" fillId="0" borderId="59" xfId="0" applyFill="1" applyBorder="1"/>
    <xf numFmtId="0" fontId="0" fillId="0" borderId="48" xfId="0" applyBorder="1"/>
    <xf numFmtId="0" fontId="0" fillId="0" borderId="51" xfId="0" applyBorder="1"/>
    <xf numFmtId="0" fontId="0" fillId="0" borderId="14" xfId="0" applyBorder="1"/>
    <xf numFmtId="164" fontId="68" fillId="0" borderId="0" xfId="0" applyNumberFormat="1" applyFont="1"/>
    <xf numFmtId="0" fontId="68" fillId="0" borderId="0" xfId="0" applyFont="1"/>
    <xf numFmtId="2" fontId="70" fillId="0" borderId="0" xfId="0" applyNumberFormat="1" applyFont="1"/>
    <xf numFmtId="0" fontId="70" fillId="0" borderId="0" xfId="0" applyFont="1"/>
    <xf numFmtId="164" fontId="70" fillId="0" borderId="0" xfId="0" applyNumberFormat="1" applyFont="1"/>
    <xf numFmtId="177" fontId="0" fillId="0" borderId="0" xfId="0" applyNumberFormat="1"/>
    <xf numFmtId="2" fontId="0" fillId="0" borderId="0" xfId="0" applyNumberFormat="1" applyFont="1"/>
    <xf numFmtId="0" fontId="63" fillId="0" borderId="0" xfId="0" applyFont="1"/>
    <xf numFmtId="1" fontId="70" fillId="0" borderId="0" xfId="0" applyNumberFormat="1" applyFont="1" applyFill="1"/>
    <xf numFmtId="177" fontId="70" fillId="0" borderId="0" xfId="0" applyNumberFormat="1" applyFont="1"/>
    <xf numFmtId="0" fontId="65" fillId="0" borderId="12" xfId="0" applyFont="1" applyBorder="1" applyAlignment="1">
      <alignment horizontal="center"/>
    </xf>
    <xf numFmtId="0" fontId="65" fillId="0" borderId="50" xfId="0" applyFont="1" applyBorder="1" applyAlignment="1">
      <alignment horizontal="center"/>
    </xf>
    <xf numFmtId="0" fontId="65" fillId="0" borderId="48" xfId="0" applyFont="1" applyBorder="1" applyAlignment="1">
      <alignment horizontal="center"/>
    </xf>
    <xf numFmtId="0" fontId="72" fillId="0" borderId="14" xfId="0" applyFont="1" applyBorder="1" applyAlignment="1">
      <alignment horizontal="center"/>
    </xf>
    <xf numFmtId="0" fontId="0" fillId="83" borderId="64" xfId="0" applyFill="1" applyBorder="1" applyAlignment="1">
      <alignment horizontal="center"/>
    </xf>
    <xf numFmtId="0" fontId="0" fillId="84" borderId="59" xfId="0" applyFill="1" applyBorder="1" applyAlignment="1">
      <alignment horizontal="center"/>
    </xf>
    <xf numFmtId="0" fontId="63" fillId="79" borderId="11" xfId="0" applyFont="1" applyFill="1" applyBorder="1"/>
    <xf numFmtId="2" fontId="63" fillId="0" borderId="82" xfId="0" applyNumberFormat="1" applyFont="1" applyBorder="1" applyAlignment="1">
      <alignment horizontal="center"/>
    </xf>
    <xf numFmtId="2" fontId="63" fillId="0" borderId="83" xfId="0" applyNumberFormat="1" applyFont="1" applyBorder="1" applyAlignment="1">
      <alignment horizontal="center"/>
    </xf>
    <xf numFmtId="2" fontId="0" fillId="0" borderId="90" xfId="0" applyNumberFormat="1" applyFont="1" applyBorder="1" applyAlignment="1">
      <alignment horizontal="center"/>
    </xf>
    <xf numFmtId="2" fontId="68" fillId="0" borderId="83" xfId="0" applyNumberFormat="1" applyFont="1" applyBorder="1" applyAlignment="1">
      <alignment horizontal="center"/>
    </xf>
    <xf numFmtId="2" fontId="0" fillId="0" borderId="89" xfId="0" applyNumberFormat="1" applyFont="1" applyBorder="1" applyAlignment="1">
      <alignment horizontal="center"/>
    </xf>
    <xf numFmtId="2" fontId="0" fillId="0" borderId="91" xfId="0" applyNumberFormat="1" applyFont="1" applyBorder="1" applyAlignment="1">
      <alignment horizontal="center"/>
    </xf>
    <xf numFmtId="0" fontId="13" fillId="94" borderId="4" xfId="0" applyFont="1" applyFill="1" applyBorder="1" applyAlignment="1">
      <alignment horizontal="left" wrapText="1" readingOrder="1"/>
    </xf>
    <xf numFmtId="0" fontId="13" fillId="94" borderId="3" xfId="0" applyFont="1" applyFill="1" applyBorder="1" applyAlignment="1">
      <alignment horizontal="center" wrapText="1" readingOrder="1"/>
    </xf>
    <xf numFmtId="0" fontId="13" fillId="7" borderId="5" xfId="0" applyFont="1" applyFill="1" applyBorder="1" applyAlignment="1">
      <alignment horizontal="center" wrapText="1" readingOrder="1"/>
    </xf>
    <xf numFmtId="0" fontId="0" fillId="0" borderId="65" xfId="0" applyBorder="1">
      <alignment readingOrder="1"/>
    </xf>
    <xf numFmtId="0" fontId="0" fillId="0" borderId="66" xfId="0" applyBorder="1">
      <alignment readingOrder="1"/>
    </xf>
    <xf numFmtId="0" fontId="0" fillId="0" borderId="67" xfId="0" applyBorder="1">
      <alignment readingOrder="1"/>
    </xf>
    <xf numFmtId="0" fontId="0" fillId="0" borderId="47" xfId="0" applyBorder="1">
      <alignment readingOrder="1"/>
    </xf>
    <xf numFmtId="0" fontId="0" fillId="0" borderId="54" xfId="0" applyBorder="1">
      <alignment readingOrder="1"/>
    </xf>
    <xf numFmtId="0" fontId="0" fillId="0" borderId="63" xfId="0" applyBorder="1">
      <alignment readingOrder="1"/>
    </xf>
    <xf numFmtId="0" fontId="0" fillId="0" borderId="58" xfId="0" applyBorder="1">
      <alignment readingOrder="1"/>
    </xf>
    <xf numFmtId="0" fontId="0" fillId="0" borderId="59" xfId="0" applyBorder="1">
      <alignment readingOrder="1"/>
    </xf>
    <xf numFmtId="0" fontId="8" fillId="95" borderId="50" xfId="0" applyFont="1" applyFill="1" applyBorder="1" applyAlignment="1">
      <alignment horizontal="centerContinuous" wrapText="1" readingOrder="1"/>
    </xf>
    <xf numFmtId="0" fontId="8" fillId="95" borderId="14" xfId="0" applyFont="1" applyFill="1" applyBorder="1" applyAlignment="1">
      <alignment horizontal="centerContinuous" wrapText="1" readingOrder="1"/>
    </xf>
    <xf numFmtId="164" fontId="8" fillId="95" borderId="50" xfId="0" applyNumberFormat="1" applyFont="1" applyFill="1" applyBorder="1" applyAlignment="1">
      <alignment horizontal="centerContinuous" wrapText="1" readingOrder="1"/>
    </xf>
    <xf numFmtId="164" fontId="8" fillId="95" borderId="51" xfId="0" applyNumberFormat="1" applyFont="1" applyFill="1" applyBorder="1" applyAlignment="1">
      <alignment horizontal="centerContinuous" wrapText="1" readingOrder="1"/>
    </xf>
    <xf numFmtId="164" fontId="8" fillId="95" borderId="14" xfId="0" applyNumberFormat="1" applyFont="1" applyFill="1" applyBorder="1" applyAlignment="1">
      <alignment horizontal="centerContinuous" wrapText="1" readingOrder="1"/>
    </xf>
    <xf numFmtId="164" fontId="8" fillId="95" borderId="5" xfId="0" applyNumberFormat="1" applyFont="1" applyFill="1" applyBorder="1" applyAlignment="1">
      <alignment horizontal="center" wrapText="1" readingOrder="1"/>
    </xf>
    <xf numFmtId="178" fontId="8" fillId="9" borderId="3" xfId="0" applyNumberFormat="1" applyFont="1" applyFill="1" applyBorder="1" applyAlignment="1">
      <alignment horizontal="center" wrapText="1" readingOrder="1"/>
    </xf>
    <xf numFmtId="0" fontId="8" fillId="8" borderId="50" xfId="0" applyFont="1" applyFill="1" applyBorder="1" applyAlignment="1">
      <alignment horizontal="centerContinuous" wrapText="1" readingOrder="1"/>
    </xf>
    <xf numFmtId="0" fontId="8" fillId="8" borderId="51" xfId="0" applyFont="1" applyFill="1" applyBorder="1" applyAlignment="1">
      <alignment horizontal="centerContinuous" wrapText="1" readingOrder="1"/>
    </xf>
    <xf numFmtId="164" fontId="8" fillId="8" borderId="51" xfId="0" applyNumberFormat="1" applyFont="1" applyFill="1" applyBorder="1" applyAlignment="1">
      <alignment horizontal="centerContinuous" wrapText="1" readingOrder="1"/>
    </xf>
    <xf numFmtId="164" fontId="8" fillId="8" borderId="5" xfId="0" applyNumberFormat="1" applyFont="1" applyFill="1" applyBorder="1" applyAlignment="1">
      <alignment horizontal="center" wrapText="1" readingOrder="1"/>
    </xf>
    <xf numFmtId="164" fontId="8" fillId="8" borderId="50" xfId="0" applyNumberFormat="1" applyFont="1" applyFill="1" applyBorder="1" applyAlignment="1">
      <alignment horizontal="centerContinuous" wrapText="1" readingOrder="1"/>
    </xf>
    <xf numFmtId="0" fontId="9" fillId="0" borderId="0" xfId="0" applyFont="1">
      <alignment readingOrder="1"/>
    </xf>
    <xf numFmtId="164" fontId="9" fillId="0" borderId="0" xfId="0" applyNumberFormat="1" applyFont="1">
      <alignment readingOrder="1"/>
    </xf>
    <xf numFmtId="179" fontId="9" fillId="0" borderId="0" xfId="0" applyNumberFormat="1" applyFont="1">
      <alignment readingOrder="1"/>
    </xf>
    <xf numFmtId="179" fontId="0" fillId="0" borderId="0" xfId="0" applyNumberFormat="1">
      <alignment readingOrder="1"/>
    </xf>
    <xf numFmtId="179" fontId="14" fillId="0" borderId="0" xfId="0" applyNumberFormat="1" applyFont="1">
      <alignment readingOrder="1"/>
    </xf>
    <xf numFmtId="9" fontId="9" fillId="0" borderId="0" xfId="0" applyNumberFormat="1" applyFont="1">
      <alignment readingOrder="1"/>
    </xf>
    <xf numFmtId="1" fontId="9" fillId="0" borderId="0" xfId="0" applyNumberFormat="1" applyFont="1">
      <alignment readingOrder="1"/>
    </xf>
    <xf numFmtId="0" fontId="0" fillId="0" borderId="0" xfId="0" applyFill="1"/>
    <xf numFmtId="9" fontId="0" fillId="0" borderId="1" xfId="0" applyNumberFormat="1" applyBorder="1"/>
    <xf numFmtId="9" fontId="0" fillId="0" borderId="11" xfId="0" applyNumberFormat="1" applyBorder="1"/>
    <xf numFmtId="0" fontId="0" fillId="0" borderId="11" xfId="0" applyBorder="1"/>
    <xf numFmtId="0" fontId="0" fillId="0" borderId="10" xfId="0" applyBorder="1"/>
    <xf numFmtId="9" fontId="0" fillId="0" borderId="7" xfId="0" applyNumberFormat="1" applyBorder="1"/>
    <xf numFmtId="9" fontId="0" fillId="0" borderId="0" xfId="0" applyNumberFormat="1" applyBorder="1"/>
    <xf numFmtId="9" fontId="0" fillId="0" borderId="0" xfId="4" applyFont="1" applyBorder="1"/>
    <xf numFmtId="9" fontId="0" fillId="0" borderId="29" xfId="4" applyFont="1" applyBorder="1"/>
    <xf numFmtId="0" fontId="0" fillId="0" borderId="7" xfId="0" applyBorder="1"/>
    <xf numFmtId="9" fontId="0" fillId="0" borderId="26" xfId="0" applyNumberFormat="1" applyBorder="1"/>
    <xf numFmtId="9" fontId="0" fillId="0" borderId="27" xfId="0" applyNumberFormat="1" applyBorder="1"/>
    <xf numFmtId="9" fontId="0" fillId="0" borderId="27" xfId="4" applyFont="1" applyBorder="1"/>
    <xf numFmtId="9" fontId="0" fillId="0" borderId="28" xfId="4" applyFont="1" applyBorder="1"/>
    <xf numFmtId="9" fontId="0" fillId="0" borderId="29" xfId="0" applyNumberFormat="1" applyBorder="1"/>
    <xf numFmtId="9" fontId="0" fillId="0" borderId="28" xfId="0" applyNumberFormat="1" applyBorder="1"/>
    <xf numFmtId="0" fontId="0" fillId="0" borderId="0" xfId="0" applyFill="1" applyAlignment="1">
      <alignment horizontal="center" readingOrder="1"/>
    </xf>
    <xf numFmtId="0" fontId="19" fillId="52" borderId="6" xfId="106" applyFont="1" applyFill="1" applyBorder="1"/>
    <xf numFmtId="0" fontId="19" fillId="52" borderId="1" xfId="106" applyFont="1" applyFill="1" applyBorder="1"/>
    <xf numFmtId="0" fontId="19" fillId="52" borderId="11" xfId="106" applyFont="1" applyFill="1" applyBorder="1"/>
    <xf numFmtId="0" fontId="19" fillId="52" borderId="10" xfId="106" applyFont="1" applyFill="1" applyBorder="1"/>
    <xf numFmtId="164" fontId="8" fillId="8" borderId="12" xfId="106" applyNumberFormat="1" applyFont="1" applyFill="1" applyBorder="1" applyAlignment="1">
      <alignment horizontal="centerContinuous" wrapText="1" readingOrder="1"/>
    </xf>
    <xf numFmtId="164" fontId="8" fillId="8" borderId="13" xfId="106" applyNumberFormat="1" applyFont="1" applyFill="1" applyBorder="1" applyAlignment="1">
      <alignment horizontal="centerContinuous" wrapText="1" readingOrder="1"/>
    </xf>
    <xf numFmtId="164" fontId="8" fillId="8" borderId="14" xfId="106" applyNumberFormat="1" applyFont="1" applyFill="1" applyBorder="1" applyAlignment="1">
      <alignment horizontal="centerContinuous" wrapText="1" readingOrder="1"/>
    </xf>
    <xf numFmtId="164" fontId="8" fillId="8" borderId="3" xfId="106" applyNumberFormat="1" applyFont="1" applyFill="1" applyBorder="1" applyAlignment="1">
      <alignment horizontal="center" wrapText="1" readingOrder="1"/>
    </xf>
    <xf numFmtId="0" fontId="4" fillId="0" borderId="0" xfId="106"/>
    <xf numFmtId="0" fontId="19" fillId="52" borderId="26" xfId="106" applyFont="1" applyFill="1" applyBorder="1"/>
    <xf numFmtId="0" fontId="19" fillId="52" borderId="27" xfId="106" applyFont="1" applyFill="1" applyBorder="1"/>
    <xf numFmtId="0" fontId="19" fillId="52" borderId="28" xfId="106" applyFont="1" applyFill="1" applyBorder="1"/>
    <xf numFmtId="164" fontId="8" fillId="9" borderId="3" xfId="106" applyNumberFormat="1" applyFont="1" applyFill="1" applyBorder="1" applyAlignment="1">
      <alignment horizontal="center" wrapText="1" readingOrder="1"/>
    </xf>
    <xf numFmtId="0" fontId="19" fillId="51" borderId="6" xfId="106" applyFont="1" applyFill="1" applyBorder="1"/>
    <xf numFmtId="2" fontId="4" fillId="80" borderId="0" xfId="106" applyNumberFormat="1" applyFill="1" applyAlignment="1">
      <alignment horizontal="center" readingOrder="1"/>
    </xf>
    <xf numFmtId="1" fontId="4" fillId="80" borderId="0" xfId="106" applyNumberFormat="1" applyFill="1" applyAlignment="1">
      <alignment horizontal="center" readingOrder="1"/>
    </xf>
    <xf numFmtId="0" fontId="4" fillId="0" borderId="0" xfId="106">
      <alignment readingOrder="1"/>
    </xf>
    <xf numFmtId="164" fontId="4" fillId="0" borderId="0" xfId="106" applyNumberFormat="1">
      <alignment readingOrder="1"/>
    </xf>
    <xf numFmtId="43" fontId="0" fillId="80" borderId="0" xfId="384" applyFont="1" applyFill="1" applyAlignment="1">
      <alignment horizontal="center" readingOrder="1"/>
    </xf>
    <xf numFmtId="1" fontId="4" fillId="0" borderId="0" xfId="106" applyNumberFormat="1">
      <alignment readingOrder="1"/>
    </xf>
    <xf numFmtId="0" fontId="0" fillId="52" borderId="0" xfId="0" applyFill="1">
      <alignment readingOrder="1"/>
    </xf>
    <xf numFmtId="0" fontId="0" fillId="52" borderId="0" xfId="0" applyFill="1" applyAlignment="1">
      <alignment vertical="center" wrapText="1" readingOrder="1"/>
    </xf>
    <xf numFmtId="0" fontId="73" fillId="76" borderId="43" xfId="0" applyFont="1" applyFill="1" applyBorder="1"/>
    <xf numFmtId="0" fontId="73" fillId="76" borderId="44" xfId="0" applyFont="1" applyFill="1" applyBorder="1"/>
    <xf numFmtId="0" fontId="73" fillId="76" borderId="98" xfId="0" applyFont="1" applyFill="1" applyBorder="1"/>
    <xf numFmtId="0" fontId="74" fillId="77" borderId="43" xfId="0" applyFont="1" applyFill="1" applyBorder="1"/>
    <xf numFmtId="0" fontId="74" fillId="77" borderId="44" xfId="0" applyFont="1" applyFill="1" applyBorder="1"/>
    <xf numFmtId="3" fontId="74" fillId="77" borderId="44" xfId="0" applyNumberFormat="1" applyFont="1" applyFill="1" applyBorder="1"/>
    <xf numFmtId="177" fontId="74" fillId="77" borderId="98" xfId="0" applyNumberFormat="1" applyFont="1" applyFill="1" applyBorder="1"/>
    <xf numFmtId="0" fontId="74" fillId="0" borderId="45" xfId="0" applyFont="1" applyBorder="1"/>
    <xf numFmtId="0" fontId="74" fillId="0" borderId="46" xfId="0" applyFont="1" applyBorder="1"/>
    <xf numFmtId="3" fontId="74" fillId="0" borderId="46" xfId="0" applyNumberFormat="1" applyFont="1" applyBorder="1"/>
    <xf numFmtId="177" fontId="74" fillId="0" borderId="99" xfId="0" applyNumberFormat="1" applyFont="1" applyBorder="1"/>
    <xf numFmtId="0" fontId="74" fillId="77" borderId="45" xfId="0" applyFont="1" applyFill="1" applyBorder="1"/>
    <xf numFmtId="0" fontId="74" fillId="77" borderId="46" xfId="0" applyFont="1" applyFill="1" applyBorder="1"/>
    <xf numFmtId="3" fontId="74" fillId="77" borderId="46" xfId="0" applyNumberFormat="1" applyFont="1" applyFill="1" applyBorder="1"/>
    <xf numFmtId="177" fontId="74" fillId="77" borderId="99" xfId="0" applyNumberFormat="1" applyFont="1" applyFill="1" applyBorder="1"/>
    <xf numFmtId="0" fontId="19" fillId="51" borderId="0" xfId="0" applyFont="1" applyFill="1"/>
    <xf numFmtId="0" fontId="0" fillId="51" borderId="0" xfId="0" applyFill="1"/>
    <xf numFmtId="0" fontId="62" fillId="52" borderId="65" xfId="537" applyFont="1" applyFill="1" applyBorder="1"/>
    <xf numFmtId="0" fontId="62" fillId="52" borderId="70" xfId="537" applyFont="1" applyFill="1" applyBorder="1" applyAlignment="1">
      <alignment horizontal="center"/>
    </xf>
    <xf numFmtId="0" fontId="63" fillId="0" borderId="100" xfId="0" applyFont="1" applyBorder="1">
      <alignment readingOrder="1"/>
    </xf>
    <xf numFmtId="44" fontId="19" fillId="53" borderId="74" xfId="61" applyNumberFormat="1" applyFont="1" applyFill="1" applyBorder="1">
      <alignment readingOrder="1"/>
    </xf>
    <xf numFmtId="0" fontId="63" fillId="0" borderId="68" xfId="0" applyFont="1" applyBorder="1">
      <alignment readingOrder="1"/>
    </xf>
    <xf numFmtId="44" fontId="19" fillId="53" borderId="76" xfId="61" applyNumberFormat="1" applyFont="1" applyFill="1" applyBorder="1">
      <alignment readingOrder="1"/>
    </xf>
    <xf numFmtId="0" fontId="63" fillId="0" borderId="86" xfId="0" applyFont="1" applyBorder="1">
      <alignment readingOrder="1"/>
    </xf>
    <xf numFmtId="44" fontId="19" fillId="53" borderId="77" xfId="61" applyNumberFormat="1" applyFont="1" applyFill="1" applyBorder="1">
      <alignment readingOrder="1"/>
    </xf>
    <xf numFmtId="0" fontId="63" fillId="0" borderId="84" xfId="0" applyFont="1" applyBorder="1">
      <alignment readingOrder="1"/>
    </xf>
    <xf numFmtId="44" fontId="19" fillId="53" borderId="91" xfId="61" applyNumberFormat="1" applyFont="1" applyFill="1" applyBorder="1">
      <alignment readingOrder="1"/>
    </xf>
    <xf numFmtId="44" fontId="0" fillId="6" borderId="27" xfId="0" applyNumberFormat="1" applyFill="1" applyBorder="1">
      <alignment readingOrder="1"/>
    </xf>
    <xf numFmtId="44" fontId="0" fillId="6" borderId="0" xfId="0" applyNumberFormat="1" applyFill="1" applyBorder="1">
      <alignment readingOrder="1"/>
    </xf>
    <xf numFmtId="44" fontId="0" fillId="0" borderId="0" xfId="0" applyNumberFormat="1" applyFill="1" applyBorder="1">
      <alignment readingOrder="1"/>
    </xf>
    <xf numFmtId="44" fontId="0" fillId="0" borderId="11" xfId="0" applyNumberFormat="1" applyFill="1" applyBorder="1">
      <alignment readingOrder="1"/>
    </xf>
    <xf numFmtId="0" fontId="9" fillId="52" borderId="50" xfId="391" applyFont="1" applyFill="1" applyBorder="1" applyAlignment="1">
      <alignment horizontal="center"/>
    </xf>
    <xf numFmtId="0" fontId="9" fillId="52" borderId="48" xfId="537" applyFont="1" applyFill="1" applyBorder="1" applyAlignment="1">
      <alignment horizontal="center"/>
    </xf>
    <xf numFmtId="0" fontId="4" fillId="0" borderId="84" xfId="537" applyFont="1" applyBorder="1"/>
    <xf numFmtId="44" fontId="9" fillId="53" borderId="91" xfId="537" applyNumberFormat="1" applyFont="1" applyFill="1" applyBorder="1"/>
    <xf numFmtId="0" fontId="4" fillId="0" borderId="68" xfId="537" applyFont="1" applyBorder="1"/>
    <xf numFmtId="44" fontId="9" fillId="53" borderId="76" xfId="537" applyNumberFormat="1" applyFont="1" applyFill="1" applyBorder="1"/>
    <xf numFmtId="0" fontId="4" fillId="0" borderId="86" xfId="537" applyFont="1" applyBorder="1"/>
    <xf numFmtId="44" fontId="9" fillId="53" borderId="77" xfId="537" applyNumberFormat="1" applyFont="1" applyFill="1" applyBorder="1"/>
    <xf numFmtId="0" fontId="75" fillId="0" borderId="27" xfId="0" applyFont="1" applyBorder="1">
      <alignment readingOrder="1"/>
    </xf>
    <xf numFmtId="164" fontId="0" fillId="50" borderId="0" xfId="0" applyNumberFormat="1" applyFill="1">
      <alignment readingOrder="1"/>
    </xf>
    <xf numFmtId="0" fontId="0" fillId="49" borderId="0" xfId="0" applyFill="1" applyAlignment="1">
      <alignment horizontal="left" vertical="center" readingOrder="1"/>
    </xf>
    <xf numFmtId="0" fontId="8" fillId="3" borderId="1" xfId="1" applyFont="1" applyFill="1" applyBorder="1" applyAlignment="1">
      <alignment horizontal="center"/>
    </xf>
    <xf numFmtId="0" fontId="8" fillId="3" borderId="11" xfId="1" applyFont="1" applyFill="1" applyBorder="1" applyAlignment="1">
      <alignment horizontal="center"/>
    </xf>
    <xf numFmtId="0" fontId="8" fillId="3" borderId="10" xfId="1" applyFont="1" applyFill="1" applyBorder="1" applyAlignment="1">
      <alignment horizontal="center"/>
    </xf>
    <xf numFmtId="0" fontId="5" fillId="4" borderId="2" xfId="0" applyFont="1" applyFill="1" applyBorder="1" applyAlignment="1">
      <alignment horizontal="center"/>
    </xf>
    <xf numFmtId="0" fontId="9" fillId="0" borderId="2" xfId="0" applyFont="1" applyBorder="1" applyAlignment="1">
      <alignment horizontal="center"/>
    </xf>
    <xf numFmtId="0" fontId="9" fillId="79" borderId="6" xfId="1" applyFont="1" applyFill="1" applyBorder="1" applyAlignment="1">
      <alignment horizontal="center"/>
    </xf>
    <xf numFmtId="0" fontId="8" fillId="3" borderId="4" xfId="1" applyFont="1" applyFill="1" applyBorder="1" applyAlignment="1">
      <alignment horizontal="center"/>
    </xf>
    <xf numFmtId="0" fontId="8" fillId="3" borderId="5" xfId="1" applyFont="1" applyFill="1" applyBorder="1" applyAlignment="1">
      <alignment horizontal="center"/>
    </xf>
    <xf numFmtId="0" fontId="8" fillId="3" borderId="3" xfId="1" applyFont="1" applyFill="1" applyBorder="1" applyAlignment="1">
      <alignment horizontal="center"/>
    </xf>
    <xf numFmtId="0" fontId="5" fillId="4" borderId="6" xfId="2" applyFont="1" applyFill="1" applyBorder="1" applyAlignment="1">
      <alignment horizontal="center"/>
    </xf>
    <xf numFmtId="0" fontId="9" fillId="0" borderId="6" xfId="2" applyFont="1" applyBorder="1" applyAlignment="1">
      <alignment horizontal="center"/>
    </xf>
    <xf numFmtId="0" fontId="19" fillId="82" borderId="50" xfId="0" applyFont="1" applyFill="1" applyBorder="1" applyAlignment="1">
      <alignment horizontal="center"/>
    </xf>
    <xf numFmtId="0" fontId="19" fillId="82" borderId="51" xfId="0" applyFont="1" applyFill="1" applyBorder="1" applyAlignment="1">
      <alignment horizontal="center"/>
    </xf>
    <xf numFmtId="0" fontId="19" fillId="82" borderId="12" xfId="0" applyFont="1" applyFill="1" applyBorder="1" applyAlignment="1">
      <alignment horizontal="center"/>
    </xf>
    <xf numFmtId="0" fontId="19" fillId="82" borderId="60" xfId="0" applyFont="1" applyFill="1" applyBorder="1" applyAlignment="1">
      <alignment horizontal="center"/>
    </xf>
    <xf numFmtId="0" fontId="19" fillId="82" borderId="61" xfId="0" applyFont="1" applyFill="1" applyBorder="1" applyAlignment="1">
      <alignment horizontal="center"/>
    </xf>
    <xf numFmtId="0" fontId="65" fillId="0" borderId="96" xfId="0" applyFont="1" applyBorder="1" applyAlignment="1">
      <alignment horizontal="center"/>
    </xf>
    <xf numFmtId="0" fontId="65" fillId="0" borderId="97" xfId="0" applyFont="1" applyBorder="1" applyAlignment="1">
      <alignment horizontal="center"/>
    </xf>
    <xf numFmtId="0" fontId="0" fillId="11" borderId="58" xfId="0" applyFill="1" applyBorder="1" applyAlignment="1">
      <alignment horizontal="center"/>
    </xf>
    <xf numFmtId="0" fontId="0" fillId="11" borderId="4" xfId="0" applyFill="1" applyBorder="1" applyAlignment="1">
      <alignment horizontal="center"/>
    </xf>
    <xf numFmtId="0" fontId="0" fillId="11" borderId="3" xfId="0" applyFill="1" applyBorder="1" applyAlignment="1">
      <alignment horizontal="center"/>
    </xf>
  </cellXfs>
  <cellStyles count="538">
    <cellStyle name="20% - Accent1 2" xfId="17"/>
    <cellStyle name="20% - Accent1 2 2" xfId="107"/>
    <cellStyle name="20% - Accent1 3" xfId="18"/>
    <cellStyle name="20% - Accent1 3 2" xfId="395"/>
    <cellStyle name="20% - Accent1 4" xfId="396"/>
    <cellStyle name="20% - Accent1 4 2" xfId="397"/>
    <cellStyle name="20% - Accent1 5" xfId="398"/>
    <cellStyle name="20% - Accent2 2" xfId="19"/>
    <cellStyle name="20% - Accent2 2 2" xfId="399"/>
    <cellStyle name="20% - Accent2 3" xfId="20"/>
    <cellStyle name="20% - Accent2 3 2" xfId="400"/>
    <cellStyle name="20% - Accent2 4" xfId="401"/>
    <cellStyle name="20% - Accent2 4 2" xfId="402"/>
    <cellStyle name="20% - Accent2 5" xfId="403"/>
    <cellStyle name="20% - Accent3 2" xfId="21"/>
    <cellStyle name="20% - Accent3 2 2" xfId="108"/>
    <cellStyle name="20% - Accent3 3" xfId="22"/>
    <cellStyle name="20% - Accent3 3 2" xfId="404"/>
    <cellStyle name="20% - Accent3 4" xfId="405"/>
    <cellStyle name="20% - Accent3 4 2" xfId="406"/>
    <cellStyle name="20% - Accent3 5" xfId="407"/>
    <cellStyle name="20% - Accent4 2" xfId="23"/>
    <cellStyle name="20% - Accent4 2 2" xfId="109"/>
    <cellStyle name="20% - Accent4 3" xfId="24"/>
    <cellStyle name="20% - Accent4 3 2" xfId="408"/>
    <cellStyle name="20% - Accent4 4" xfId="409"/>
    <cellStyle name="20% - Accent4 4 2" xfId="410"/>
    <cellStyle name="20% - Accent4 5" xfId="411"/>
    <cellStyle name="20% - Accent5 2" xfId="25"/>
    <cellStyle name="20% - Accent5 2 2" xfId="412"/>
    <cellStyle name="20% - Accent5 3" xfId="26"/>
    <cellStyle name="20% - Accent5 3 2" xfId="413"/>
    <cellStyle name="20% - Accent5 4" xfId="414"/>
    <cellStyle name="20% - Accent5 4 2" xfId="415"/>
    <cellStyle name="20% - Accent5 5" xfId="416"/>
    <cellStyle name="20% - Accent6 2" xfId="27"/>
    <cellStyle name="20% - Accent6 2 2" xfId="417"/>
    <cellStyle name="20% - Accent6 3" xfId="28"/>
    <cellStyle name="20% - Accent6 3 2" xfId="418"/>
    <cellStyle name="20% - Accent6 4" xfId="419"/>
    <cellStyle name="20% - Accent6 4 2" xfId="420"/>
    <cellStyle name="20% - Accent6 5" xfId="421"/>
    <cellStyle name="40% - Accent1 2" xfId="29"/>
    <cellStyle name="40% - Accent1 2 2" xfId="110"/>
    <cellStyle name="40% - Accent1 3" xfId="30"/>
    <cellStyle name="40% - Accent1 3 2" xfId="422"/>
    <cellStyle name="40% - Accent1 4" xfId="423"/>
    <cellStyle name="40% - Accent1 4 2" xfId="424"/>
    <cellStyle name="40% - Accent1 5" xfId="425"/>
    <cellStyle name="40% - Accent2 2" xfId="31"/>
    <cellStyle name="40% - Accent2 2 2" xfId="111"/>
    <cellStyle name="40% - Accent2 3" xfId="32"/>
    <cellStyle name="40% - Accent2 3 2" xfId="426"/>
    <cellStyle name="40% - Accent2 4" xfId="427"/>
    <cellStyle name="40% - Accent2 4 2" xfId="428"/>
    <cellStyle name="40% - Accent2 5" xfId="429"/>
    <cellStyle name="40% - Accent3 2" xfId="33"/>
    <cellStyle name="40% - Accent3 2 2" xfId="112"/>
    <cellStyle name="40% - Accent3 3" xfId="34"/>
    <cellStyle name="40% - Accent3 3 2" xfId="430"/>
    <cellStyle name="40% - Accent3 4" xfId="431"/>
    <cellStyle name="40% - Accent3 4 2" xfId="432"/>
    <cellStyle name="40% - Accent3 5" xfId="433"/>
    <cellStyle name="40% - Accent4 2" xfId="35"/>
    <cellStyle name="40% - Accent4 2 2" xfId="113"/>
    <cellStyle name="40% - Accent4 3" xfId="36"/>
    <cellStyle name="40% - Accent4 3 2" xfId="434"/>
    <cellStyle name="40% - Accent4 4" xfId="435"/>
    <cellStyle name="40% - Accent4 4 2" xfId="436"/>
    <cellStyle name="40% - Accent4 5" xfId="437"/>
    <cellStyle name="40% - Accent5 2" xfId="37"/>
    <cellStyle name="40% - Accent5 2 2" xfId="438"/>
    <cellStyle name="40% - Accent5 3" xfId="38"/>
    <cellStyle name="40% - Accent5 3 2" xfId="439"/>
    <cellStyle name="40% - Accent5 4" xfId="440"/>
    <cellStyle name="40% - Accent5 4 2" xfId="441"/>
    <cellStyle name="40% - Accent5 5" xfId="442"/>
    <cellStyle name="40% - Accent6 2" xfId="39"/>
    <cellStyle name="40% - Accent6 2 2" xfId="114"/>
    <cellStyle name="40% - Accent6 3" xfId="40"/>
    <cellStyle name="40% - Accent6 3 2" xfId="443"/>
    <cellStyle name="40% - Accent6 4" xfId="444"/>
    <cellStyle name="40% - Accent6 4 2" xfId="445"/>
    <cellStyle name="40% - Accent6 5" xfId="446"/>
    <cellStyle name="60% - Accent1 2" xfId="41"/>
    <cellStyle name="60% - Accent1 2 2" xfId="115"/>
    <cellStyle name="60% - Accent1 3" xfId="116"/>
    <cellStyle name="60% - Accent2 2" xfId="42"/>
    <cellStyle name="60% - Accent2 2 2" xfId="117"/>
    <cellStyle name="60% - Accent2 3" xfId="118"/>
    <cellStyle name="60% - Accent3 2" xfId="43"/>
    <cellStyle name="60% - Accent3 2 2" xfId="119"/>
    <cellStyle name="60% - Accent3 3" xfId="120"/>
    <cellStyle name="60% - Accent4 2" xfId="44"/>
    <cellStyle name="60% - Accent4 2 2" xfId="121"/>
    <cellStyle name="60% - Accent4 3" xfId="122"/>
    <cellStyle name="60% - Accent5 2" xfId="45"/>
    <cellStyle name="60% - Accent5 3" xfId="123"/>
    <cellStyle name="60% - Accent6 2" xfId="46"/>
    <cellStyle name="60% - Accent6 2 2" xfId="124"/>
    <cellStyle name="60% - Accent6 3" xfId="125"/>
    <cellStyle name="Accent1 - 20%" xfId="126"/>
    <cellStyle name="Accent1 - 40%" xfId="127"/>
    <cellStyle name="Accent1 - 60%" xfId="128"/>
    <cellStyle name="Accent1 2" xfId="47"/>
    <cellStyle name="Accent1 2 2" xfId="129"/>
    <cellStyle name="Accent1 3" xfId="130"/>
    <cellStyle name="Accent2 - 20%" xfId="131"/>
    <cellStyle name="Accent2 - 40%" xfId="132"/>
    <cellStyle name="Accent2 - 60%" xfId="133"/>
    <cellStyle name="Accent2 2" xfId="48"/>
    <cellStyle name="Accent2 3" xfId="134"/>
    <cellStyle name="Accent3 - 20%" xfId="135"/>
    <cellStyle name="Accent3 - 40%" xfId="136"/>
    <cellStyle name="Accent3 - 60%" xfId="137"/>
    <cellStyle name="Accent3 2" xfId="49"/>
    <cellStyle name="Accent3 2 2" xfId="138"/>
    <cellStyle name="Accent3 3" xfId="139"/>
    <cellStyle name="Accent4 - 20%" xfId="140"/>
    <cellStyle name="Accent4 - 40%" xfId="141"/>
    <cellStyle name="Accent4 - 60%" xfId="142"/>
    <cellStyle name="Accent4 2" xfId="50"/>
    <cellStyle name="Accent4 2 2" xfId="143"/>
    <cellStyle name="Accent4 3" xfId="144"/>
    <cellStyle name="Accent5 - 20%" xfId="145"/>
    <cellStyle name="Accent5 - 40%" xfId="146"/>
    <cellStyle name="Accent5 - 60%" xfId="147"/>
    <cellStyle name="Accent5 2" xfId="51"/>
    <cellStyle name="Accent5 3" xfId="148"/>
    <cellStyle name="Accent6 - 20%" xfId="149"/>
    <cellStyle name="Accent6 - 40%" xfId="150"/>
    <cellStyle name="Accent6 - 60%" xfId="151"/>
    <cellStyle name="Accent6 2" xfId="52"/>
    <cellStyle name="Accent6 3" xfId="152"/>
    <cellStyle name="Bad 2" xfId="53"/>
    <cellStyle name="Bad 2 2" xfId="153"/>
    <cellStyle name="Bad 3" xfId="154"/>
    <cellStyle name="Calculation 2" xfId="54"/>
    <cellStyle name="Calculation 2 2" xfId="155"/>
    <cellStyle name="Calculation 3" xfId="156"/>
    <cellStyle name="Check Cell 2" xfId="55"/>
    <cellStyle name="Check Cell 3" xfId="157"/>
    <cellStyle name="Comma" xfId="389" builtinId="3"/>
    <cellStyle name="Comma [0] 2" xfId="158"/>
    <cellStyle name="Comma 10" xfId="384"/>
    <cellStyle name="Comma 11" xfId="378"/>
    <cellStyle name="Comma 2" xfId="16"/>
    <cellStyle name="Comma 2 2" xfId="56"/>
    <cellStyle name="Comma 2 2 2" xfId="159"/>
    <cellStyle name="Comma 2 2 3" xfId="160"/>
    <cellStyle name="Comma 2 2 3 2" xfId="447"/>
    <cellStyle name="Comma 2 2 4" xfId="448"/>
    <cellStyle name="Comma 2 2 4 2" xfId="449"/>
    <cellStyle name="Comma 2 2 5" xfId="450"/>
    <cellStyle name="Comma 2 2 5 2" xfId="451"/>
    <cellStyle name="Comma 2 2 6" xfId="452"/>
    <cellStyle name="Comma 2 2 6 2" xfId="453"/>
    <cellStyle name="Comma 2 2 7" xfId="454"/>
    <cellStyle name="Comma 2 2 8" xfId="455"/>
    <cellStyle name="Comma 2 3" xfId="57"/>
    <cellStyle name="Comma 2 3 2" xfId="380"/>
    <cellStyle name="Comma 2 4" xfId="58"/>
    <cellStyle name="Comma 2 5" xfId="59"/>
    <cellStyle name="Comma 3" xfId="60"/>
    <cellStyle name="Comma 3 10" xfId="456"/>
    <cellStyle name="Comma 3 2" xfId="161"/>
    <cellStyle name="Comma 3 2 2" xfId="162"/>
    <cellStyle name="Comma 3 2 3" xfId="163"/>
    <cellStyle name="Comma 3 3" xfId="164"/>
    <cellStyle name="Comma 3 3 2" xfId="165"/>
    <cellStyle name="Comma 3 3 3" xfId="166"/>
    <cellStyle name="Comma 3 3 4" xfId="167"/>
    <cellStyle name="Comma 3 4" xfId="168"/>
    <cellStyle name="Comma 3 4 2" xfId="457"/>
    <cellStyle name="Comma 3 5" xfId="458"/>
    <cellStyle name="Comma 3 5 2" xfId="459"/>
    <cellStyle name="Comma 3 6" xfId="460"/>
    <cellStyle name="Comma 3 6 2" xfId="461"/>
    <cellStyle name="Comma 3 7" xfId="462"/>
    <cellStyle name="Comma 3 8" xfId="463"/>
    <cellStyle name="Comma 3 9" xfId="464"/>
    <cellStyle name="Comma 4" xfId="169"/>
    <cellStyle name="Comma 4 2" xfId="170"/>
    <cellStyle name="Comma 4 2 2" xfId="171"/>
    <cellStyle name="Comma 4 3" xfId="172"/>
    <cellStyle name="Comma 5" xfId="173"/>
    <cellStyle name="Comma 5 2" xfId="174"/>
    <cellStyle name="Comma 5 3" xfId="175"/>
    <cellStyle name="Comma 6" xfId="176"/>
    <cellStyle name="Comma 7" xfId="177"/>
    <cellStyle name="Comma 8" xfId="178"/>
    <cellStyle name="Comma 9" xfId="370"/>
    <cellStyle name="Currency" xfId="5" builtinId="4"/>
    <cellStyle name="Currency 2" xfId="61"/>
    <cellStyle name="Currency 2 2" xfId="179"/>
    <cellStyle name="Currency 2 2 2" xfId="180"/>
    <cellStyle name="Currency 2 2 3" xfId="181"/>
    <cellStyle name="Currency 2 3" xfId="182"/>
    <cellStyle name="Currency 2 4" xfId="183"/>
    <cellStyle name="Currency 2 5" xfId="184"/>
    <cellStyle name="Currency 3" xfId="185"/>
    <cellStyle name="Currency 3 2" xfId="186"/>
    <cellStyle name="Currency 3 2 2" xfId="187"/>
    <cellStyle name="Currency 3 2 3" xfId="188"/>
    <cellStyle name="Currency 3 3" xfId="189"/>
    <cellStyle name="Currency 3 4" xfId="190"/>
    <cellStyle name="Currency 3 5" xfId="465"/>
    <cellStyle name="Currency 4" xfId="191"/>
    <cellStyle name="Currency 4 2" xfId="466"/>
    <cellStyle name="Currency 4 3" xfId="467"/>
    <cellStyle name="Currency 5" xfId="192"/>
    <cellStyle name="Currency 5 2" xfId="193"/>
    <cellStyle name="Currency 5 2 2" xfId="194"/>
    <cellStyle name="Currency 5 3" xfId="195"/>
    <cellStyle name="Currency 6" xfId="196"/>
    <cellStyle name="Currency 6 2" xfId="197"/>
    <cellStyle name="Currency 7" xfId="198"/>
    <cellStyle name="Currency 7 2" xfId="199"/>
    <cellStyle name="Currency 8" xfId="200"/>
    <cellStyle name="Data Field" xfId="9"/>
    <cellStyle name="Data Field 2" xfId="201"/>
    <cellStyle name="Data Field 2 2" xfId="202"/>
    <cellStyle name="Data Field 2 3" xfId="203"/>
    <cellStyle name="Data Field 3" xfId="204"/>
    <cellStyle name="Data Field 4" xfId="205"/>
    <cellStyle name="Data Field 5" xfId="468"/>
    <cellStyle name="Data Name" xfId="10"/>
    <cellStyle name="Data Name 2" xfId="469"/>
    <cellStyle name="Data Name 2 2" xfId="470"/>
    <cellStyle name="Data Name 3" xfId="471"/>
    <cellStyle name="Data Name 4" xfId="472"/>
    <cellStyle name="Date/Time" xfId="11"/>
    <cellStyle name="Emphasis 1" xfId="206"/>
    <cellStyle name="Emphasis 2" xfId="207"/>
    <cellStyle name="Emphasis 3" xfId="208"/>
    <cellStyle name="Explanatory Text 2" xfId="62"/>
    <cellStyle name="Explanatory Text 3" xfId="209"/>
    <cellStyle name="Good 2" xfId="63"/>
    <cellStyle name="Good 3" xfId="210"/>
    <cellStyle name="Heading" xfId="12"/>
    <cellStyle name="Heading 1 2" xfId="64"/>
    <cellStyle name="Heading 1 2 2" xfId="211"/>
    <cellStyle name="Heading 1 3" xfId="212"/>
    <cellStyle name="Heading 2 2" xfId="65"/>
    <cellStyle name="Heading 2 3" xfId="213"/>
    <cellStyle name="Heading 3 2" xfId="66"/>
    <cellStyle name="Heading 3 2 2" xfId="214"/>
    <cellStyle name="Heading 3 3" xfId="215"/>
    <cellStyle name="Heading 4 2" xfId="67"/>
    <cellStyle name="Heading 4 2 2" xfId="216"/>
    <cellStyle name="Heading 4 3" xfId="217"/>
    <cellStyle name="Hyperlink 2" xfId="68"/>
    <cellStyle name="Hyperlink 2 2" xfId="218"/>
    <cellStyle name="Hyperlink 2 2 2" xfId="219"/>
    <cellStyle name="Hyperlink 2 3" xfId="371"/>
    <cellStyle name="Hyperlink 2_ResWXMF_FY10v2_0" xfId="220"/>
    <cellStyle name="Hyperlink 3" xfId="221"/>
    <cellStyle name="Hyperlink 3 2" xfId="222"/>
    <cellStyle name="Hyperlink 3 2 2" xfId="223"/>
    <cellStyle name="Hyperlink 4" xfId="224"/>
    <cellStyle name="Hyperlink 5" xfId="225"/>
    <cellStyle name="Hyperlink 6" xfId="226"/>
    <cellStyle name="Hyperlink 7" xfId="227"/>
    <cellStyle name="Hyperlink 8" xfId="228"/>
    <cellStyle name="Input 2" xfId="69"/>
    <cellStyle name="Input 3" xfId="70"/>
    <cellStyle name="Linked Cell 2" xfId="71"/>
    <cellStyle name="Linked Cell 3" xfId="229"/>
    <cellStyle name="Neutral 2" xfId="72"/>
    <cellStyle name="Neutral 3" xfId="230"/>
    <cellStyle name="Normal" xfId="0" builtinId="0"/>
    <cellStyle name="Normal 10" xfId="231"/>
    <cellStyle name="Normal 10 2" xfId="232"/>
    <cellStyle name="Normal 11" xfId="233"/>
    <cellStyle name="Normal 11 2" xfId="473"/>
    <cellStyle name="Normal 12" xfId="234"/>
    <cellStyle name="Normal 12 2" xfId="474"/>
    <cellStyle name="Normal 13" xfId="106"/>
    <cellStyle name="Normal 13 2" xfId="235"/>
    <cellStyle name="Normal 13 3" xfId="236"/>
    <cellStyle name="Normal 14" xfId="237"/>
    <cellStyle name="Normal 14 2" xfId="238"/>
    <cellStyle name="Normal 14 2 2" xfId="239"/>
    <cellStyle name="Normal 14 3" xfId="240"/>
    <cellStyle name="Normal 14 3 2" xfId="475"/>
    <cellStyle name="Normal 14 4" xfId="241"/>
    <cellStyle name="Normal 14 5" xfId="385"/>
    <cellStyle name="Normal 15" xfId="242"/>
    <cellStyle name="Normal 15 2" xfId="243"/>
    <cellStyle name="Normal 15 2 2" xfId="476"/>
    <cellStyle name="Normal 15 3" xfId="244"/>
    <cellStyle name="Normal 15 4" xfId="245"/>
    <cellStyle name="Normal 15 5" xfId="386"/>
    <cellStyle name="Normal 16" xfId="246"/>
    <cellStyle name="Normal 16 2" xfId="247"/>
    <cellStyle name="Normal 16 3" xfId="248"/>
    <cellStyle name="Normal 16 4" xfId="387"/>
    <cellStyle name="Normal 17" xfId="249"/>
    <cellStyle name="Normal 17 2" xfId="250"/>
    <cellStyle name="Normal 18" xfId="251"/>
    <cellStyle name="Normal 19" xfId="252"/>
    <cellStyle name="Normal 2" xfId="7"/>
    <cellStyle name="Normal 2 10" xfId="477"/>
    <cellStyle name="Normal 2 11" xfId="478"/>
    <cellStyle name="Normal 2 12" xfId="479"/>
    <cellStyle name="Normal 2 2" xfId="73"/>
    <cellStyle name="Normal 2 2 2" xfId="74"/>
    <cellStyle name="Normal 2 2 2 2" xfId="253"/>
    <cellStyle name="Normal 2 2 2 3" xfId="254"/>
    <cellStyle name="Normal 2 2 3" xfId="75"/>
    <cellStyle name="Normal 2 2 3 2" xfId="255"/>
    <cellStyle name="Normal 2 2 3 3" xfId="256"/>
    <cellStyle name="Normal 2 2 4" xfId="76"/>
    <cellStyle name="Normal 2 2 4 2" xfId="480"/>
    <cellStyle name="Normal 2 2 5" xfId="77"/>
    <cellStyle name="Normal 2 2 6" xfId="78"/>
    <cellStyle name="Normal 2 3" xfId="79"/>
    <cellStyle name="Normal 2 3 2" xfId="80"/>
    <cellStyle name="Normal 2 3 2 2" xfId="257"/>
    <cellStyle name="Normal 2 3 2 2 2" xfId="258"/>
    <cellStyle name="Normal 2 3 2 3" xfId="375"/>
    <cellStyle name="Normal 2 3 3" xfId="259"/>
    <cellStyle name="Normal 2 3 3 2" xfId="260"/>
    <cellStyle name="Normal 2 3 4" xfId="374"/>
    <cellStyle name="Normal 2 4" xfId="81"/>
    <cellStyle name="Normal 2 4 2" xfId="82"/>
    <cellStyle name="Normal 2 4 2 2" xfId="261"/>
    <cellStyle name="Normal 2 4 2 3" xfId="262"/>
    <cellStyle name="Normal 2 4 2 4" xfId="263"/>
    <cellStyle name="Normal 2 4 3" xfId="264"/>
    <cellStyle name="Normal 2 5" xfId="83"/>
    <cellStyle name="Normal 2 5 2" xfId="376"/>
    <cellStyle name="Normal 2 6" xfId="84"/>
    <cellStyle name="Normal 2 6 2" xfId="265"/>
    <cellStyle name="Normal 2 6 2 2" xfId="266"/>
    <cellStyle name="Normal 2 6 2 3" xfId="267"/>
    <cellStyle name="Normal 2 6 3" xfId="268"/>
    <cellStyle name="Normal 2 6 3 2" xfId="269"/>
    <cellStyle name="Normal 2 6 4" xfId="270"/>
    <cellStyle name="Normal 2 6 4 2" xfId="271"/>
    <cellStyle name="Normal 2 6 5" xfId="272"/>
    <cellStyle name="Normal 2 6 6" xfId="273"/>
    <cellStyle name="Normal 2 7" xfId="85"/>
    <cellStyle name="Normal 2 7 2" xfId="274"/>
    <cellStyle name="Normal 2 7 2 2" xfId="275"/>
    <cellStyle name="Normal 2 7 3" xfId="276"/>
    <cellStyle name="Normal 2 8" xfId="86"/>
    <cellStyle name="Normal 2 8 2" xfId="481"/>
    <cellStyle name="Normal 2 9" xfId="277"/>
    <cellStyle name="Normal 2 9 2" xfId="482"/>
    <cellStyle name="Normal 20" xfId="278"/>
    <cellStyle name="Normal 21" xfId="279"/>
    <cellStyle name="Normal 22" xfId="280"/>
    <cellStyle name="Normal 23" xfId="281"/>
    <cellStyle name="Normal 24" xfId="282"/>
    <cellStyle name="Normal 25" xfId="283"/>
    <cellStyle name="Normal 26" xfId="284"/>
    <cellStyle name="Normal 27" xfId="285"/>
    <cellStyle name="Normal 28" xfId="286"/>
    <cellStyle name="Normal 29" xfId="287"/>
    <cellStyle name="Normal 3" xfId="14"/>
    <cellStyle name="Normal 3 2" xfId="288"/>
    <cellStyle name="Normal 3 2 2" xfId="289"/>
    <cellStyle name="Normal 3 2 3" xfId="290"/>
    <cellStyle name="Normal 3 3" xfId="291"/>
    <cellStyle name="Normal 3 3 2" xfId="292"/>
    <cellStyle name="Normal 3 3 2 2" xfId="293"/>
    <cellStyle name="Normal 3 4" xfId="294"/>
    <cellStyle name="Normal 3 4 2" xfId="483"/>
    <cellStyle name="Normal 3 5" xfId="484"/>
    <cellStyle name="Normal 3 66"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87"/>
    <cellStyle name="Normal 4 2" xfId="88"/>
    <cellStyle name="Normal 4 2 2" xfId="377"/>
    <cellStyle name="Normal 4 3" xfId="306"/>
    <cellStyle name="Normal 4 3 2" xfId="307"/>
    <cellStyle name="Normal 4 3 2 2" xfId="308"/>
    <cellStyle name="Normal 4 3 2 3" xfId="309"/>
    <cellStyle name="Normal 4 3 3" xfId="310"/>
    <cellStyle name="Normal 4 3 4" xfId="381"/>
    <cellStyle name="Normal 4 4" xfId="311"/>
    <cellStyle name="Normal 4 4 2" xfId="312"/>
    <cellStyle name="Normal 4 4 3" xfId="313"/>
    <cellStyle name="Normal 4 5" xfId="314"/>
    <cellStyle name="Normal 4 5 2" xfId="315"/>
    <cellStyle name="Normal 4 5 3" xfId="316"/>
    <cellStyle name="Normal 4 6" xfId="317"/>
    <cellStyle name="Normal 4 7" xfId="318"/>
    <cellStyle name="Normal 4 8" xfId="373"/>
    <cellStyle name="Normal 40" xfId="319"/>
    <cellStyle name="Normal 41" xfId="320"/>
    <cellStyle name="Normal 42" xfId="321"/>
    <cellStyle name="Normal 43" xfId="322"/>
    <cellStyle name="Normal 44" xfId="323"/>
    <cellStyle name="Normal 45" xfId="324"/>
    <cellStyle name="Normal 46" xfId="325"/>
    <cellStyle name="Normal 47" xfId="326"/>
    <cellStyle name="Normal 48" xfId="327"/>
    <cellStyle name="Normal 48 2" xfId="328"/>
    <cellStyle name="Normal 49" xfId="329"/>
    <cellStyle name="Normal 5" xfId="89"/>
    <cellStyle name="Normal 5 2" xfId="330"/>
    <cellStyle name="Normal 5 2 2" xfId="485"/>
    <cellStyle name="Normal 5 3" xfId="486"/>
    <cellStyle name="Normal 5 3 2" xfId="487"/>
    <cellStyle name="Normal 5 4" xfId="488"/>
    <cellStyle name="Normal 5 4 2" xfId="489"/>
    <cellStyle name="Normal 5 5" xfId="490"/>
    <cellStyle name="Normal 5 5 2" xfId="491"/>
    <cellStyle name="Normal 5 6" xfId="492"/>
    <cellStyle name="Normal 5 6 2" xfId="493"/>
    <cellStyle name="Normal 5 7" xfId="494"/>
    <cellStyle name="Normal 50" xfId="331"/>
    <cellStyle name="Normal 51" xfId="369"/>
    <cellStyle name="Normal 6" xfId="13"/>
    <cellStyle name="Normal 6 2" xfId="90"/>
    <cellStyle name="Normal 6 3" xfId="91"/>
    <cellStyle name="Normal 6 4" xfId="92"/>
    <cellStyle name="Normal 6 5" xfId="379"/>
    <cellStyle name="Normal 7" xfId="104"/>
    <cellStyle name="Normal 7 2" xfId="332"/>
    <cellStyle name="Normal 7 2 2" xfId="495"/>
    <cellStyle name="Normal 7 3" xfId="496"/>
    <cellStyle name="Normal 8" xfId="333"/>
    <cellStyle name="Normal 8 2" xfId="334"/>
    <cellStyle name="Normal 8 2 2" xfId="497"/>
    <cellStyle name="Normal 8 3" xfId="498"/>
    <cellStyle name="Normal 9" xfId="335"/>
    <cellStyle name="Normal 9 2" xfId="336"/>
    <cellStyle name="Normal 9 3" xfId="337"/>
    <cellStyle name="Normal_ConMeasSingleFamily" xfId="393"/>
    <cellStyle name="Normal_EStarWASHERResTiersFY07v1_3_postJan07" xfId="6"/>
    <cellStyle name="Normal_ETO_Insulation data with R-values 080716 (2)" xfId="537"/>
    <cellStyle name="Normal_ETO_MF Ins SF and MF Windows SF duct Ins_Data" xfId="391"/>
    <cellStyle name="Normal_Existing SingleFamily" xfId="394"/>
    <cellStyle name="Normal_MTDUCT" xfId="1"/>
    <cellStyle name="Normal_MTRESAPPLPOT" xfId="388"/>
    <cellStyle name="Normal_New Single Family" xfId="392"/>
    <cellStyle name="Normal_PC-LPDPackage-6P-D14" xfId="105"/>
    <cellStyle name="Normal_ProCostFinAssumptions_Sector" xfId="3"/>
    <cellStyle name="Normal_ResWXSFsqfFY07v1_5" xfId="2"/>
    <cellStyle name="Normal_Sheet1" xfId="390"/>
    <cellStyle name="Note 2" xfId="93"/>
    <cellStyle name="Note 2 2" xfId="94"/>
    <cellStyle name="Note 2 2 2" xfId="499"/>
    <cellStyle name="Note 2 3" xfId="382"/>
    <cellStyle name="Note 2 3 2" xfId="500"/>
    <cellStyle name="Note 2 4" xfId="501"/>
    <cellStyle name="Note 2 4 2" xfId="502"/>
    <cellStyle name="Note 2 5" xfId="503"/>
    <cellStyle name="Note 3" xfId="338"/>
    <cellStyle name="Output 2" xfId="95"/>
    <cellStyle name="Output 2 2" xfId="339"/>
    <cellStyle name="Output 3" xfId="340"/>
    <cellStyle name="Percent" xfId="4" builtinId="5"/>
    <cellStyle name="Percent 2" xfId="8"/>
    <cellStyle name="Percent 2 10" xfId="504"/>
    <cellStyle name="Percent 2 2" xfId="96"/>
    <cellStyle name="Percent 2 2 2" xfId="97"/>
    <cellStyle name="Percent 2 2 2 2" xfId="98"/>
    <cellStyle name="Percent 2 2 2 2 2" xfId="383"/>
    <cellStyle name="Percent 2 2 2 3" xfId="341"/>
    <cellStyle name="Percent 2 2 3" xfId="342"/>
    <cellStyle name="Percent 2 2 4" xfId="343"/>
    <cellStyle name="Percent 2 3" xfId="344"/>
    <cellStyle name="Percent 2 3 2" xfId="345"/>
    <cellStyle name="Percent 2 3 2 2" xfId="505"/>
    <cellStyle name="Percent 2 3 2 2 2" xfId="506"/>
    <cellStyle name="Percent 2 3 2 3" xfId="507"/>
    <cellStyle name="Percent 2 3 2 3 2" xfId="508"/>
    <cellStyle name="Percent 2 3 2 4" xfId="509"/>
    <cellStyle name="Percent 2 3 2 4 2" xfId="510"/>
    <cellStyle name="Percent 2 3 2 5" xfId="511"/>
    <cellStyle name="Percent 2 3 2 6" xfId="512"/>
    <cellStyle name="Percent 2 3 3" xfId="346"/>
    <cellStyle name="Percent 2 4" xfId="372"/>
    <cellStyle name="Percent 2 4 2" xfId="513"/>
    <cellStyle name="Percent 2 4 3" xfId="514"/>
    <cellStyle name="Percent 2 5" xfId="515"/>
    <cellStyle name="Percent 2 5 2" xfId="516"/>
    <cellStyle name="Percent 2 6" xfId="517"/>
    <cellStyle name="Percent 2 6 2" xfId="518"/>
    <cellStyle name="Percent 2 7" xfId="519"/>
    <cellStyle name="Percent 2 7 2" xfId="520"/>
    <cellStyle name="Percent 2 8" xfId="521"/>
    <cellStyle name="Percent 2 9" xfId="522"/>
    <cellStyle name="Percent 3" xfId="15"/>
    <cellStyle name="Percent 3 2" xfId="347"/>
    <cellStyle name="Percent 3 2 2" xfId="348"/>
    <cellStyle name="Percent 3 2 2 2" xfId="523"/>
    <cellStyle name="Percent 3 2 3" xfId="349"/>
    <cellStyle name="Percent 3 2 3 2" xfId="524"/>
    <cellStyle name="Percent 3 2 4" xfId="525"/>
    <cellStyle name="Percent 3 2 4 2" xfId="526"/>
    <cellStyle name="Percent 3 2 5" xfId="527"/>
    <cellStyle name="Percent 3 2 5 2" xfId="528"/>
    <cellStyle name="Percent 3 2 6" xfId="529"/>
    <cellStyle name="Percent 3 2 7" xfId="530"/>
    <cellStyle name="Percent 3 2 8" xfId="531"/>
    <cellStyle name="Percent 3 3" xfId="350"/>
    <cellStyle name="Percent 3 4" xfId="351"/>
    <cellStyle name="Percent 3 5" xfId="532"/>
    <cellStyle name="Percent 4" xfId="352"/>
    <cellStyle name="Percent 4 2" xfId="353"/>
    <cellStyle name="Percent 4 2 2" xfId="533"/>
    <cellStyle name="Percent 4 3" xfId="534"/>
    <cellStyle name="Percent 5" xfId="354"/>
    <cellStyle name="Percent 5 2" xfId="535"/>
    <cellStyle name="Percent 6" xfId="355"/>
    <cellStyle name="Percent 6 2" xfId="356"/>
    <cellStyle name="Percent 7" xfId="357"/>
    <cellStyle name="Percent 8" xfId="358"/>
    <cellStyle name="Percent 9" xfId="536"/>
    <cellStyle name="Sheet Title" xfId="359"/>
    <cellStyle name="Style 1" xfId="360"/>
    <cellStyle name="Style 1 2" xfId="361"/>
    <cellStyle name="Style 28" xfId="362"/>
    <cellStyle name="Title 2" xfId="99"/>
    <cellStyle name="Title 2 2" xfId="363"/>
    <cellStyle name="Title 3" xfId="364"/>
    <cellStyle name="Total 2" xfId="100"/>
    <cellStyle name="Total 2 2" xfId="365"/>
    <cellStyle name="Total 3" xfId="366"/>
    <cellStyle name="Warning Text 2" xfId="101"/>
    <cellStyle name="Warning Text 3" xfId="367"/>
    <cellStyle name="표준 2_WP-1 보고자료 (2009.06.03)" xfId="368"/>
    <cellStyle name="표준_ENERGY CONSUMP" xfId="102"/>
    <cellStyle name="常规_海外市场服务网站资料操作BOM" xfId="10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3.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SA%20Saturation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DEI Forecast (Base Case)"/>
      <sheetName val="DEI Forecast (High)"/>
      <sheetName val="DEI Forecast (Low)"/>
      <sheetName val="DataCenter Forecast (Base Case)"/>
      <sheetName val="DataCenter Forecast (High)"/>
      <sheetName val="DataCenter Forecast (Low)"/>
      <sheetName val="Pop Forecast (High Case)"/>
      <sheetName val="Pop Forecast (Low Case)"/>
      <sheetName val="7P Forecasts D2"/>
    </sheetNames>
    <definedNames>
      <definedName name="rng_ForecastColumnLookup" refersTo="='Forecast Switchboard'!$H$21:$AE$21"/>
      <definedName name="rng_ForecastRowLookup" refersTo="='Forecast Switchboard'!$G$22:$G$502"/>
      <definedName name="switch_ForecastScenario" refersTo="='Forecast Switchboard'!$H$3"/>
      <definedName name="switch_ForecastState" refersTo="='Forecast Switchboard'!$H$4"/>
      <definedName name="tbl_Forecast" refersTo="='Forecast Switchboard'!$H$22:$AE$502"/>
    </definedNames>
    <sheetDataSet>
      <sheetData sheetId="0"/>
      <sheetData sheetId="1">
        <row r="3">
          <cell r="H3" t="str">
            <v>Base</v>
          </cell>
        </row>
        <row r="4">
          <cell r="H4" t="str">
            <v>Region</v>
          </cell>
        </row>
        <row r="21">
          <cell r="H21" t="str">
            <v>Sector</v>
          </cell>
          <cell r="I21" t="str">
            <v>Building/Industry Type</v>
          </cell>
          <cell r="J21" t="str">
            <v>Vintage / Subcategory</v>
          </cell>
          <cell r="K21" t="str">
            <v>Forecast Units</v>
          </cell>
          <cell r="L21">
            <v>2016</v>
          </cell>
          <cell r="M21">
            <v>2017</v>
          </cell>
          <cell r="N21">
            <v>2018</v>
          </cell>
          <cell r="O21">
            <v>2019</v>
          </cell>
          <cell r="P21">
            <v>2020</v>
          </cell>
          <cell r="Q21">
            <v>2021</v>
          </cell>
          <cell r="R21">
            <v>2022</v>
          </cell>
          <cell r="S21">
            <v>2023</v>
          </cell>
          <cell r="T21">
            <v>2024</v>
          </cell>
          <cell r="U21">
            <v>2025</v>
          </cell>
          <cell r="V21">
            <v>2026</v>
          </cell>
          <cell r="W21">
            <v>2027</v>
          </cell>
          <cell r="X21">
            <v>2028</v>
          </cell>
          <cell r="Y21">
            <v>2029</v>
          </cell>
          <cell r="Z21">
            <v>2030</v>
          </cell>
          <cell r="AA21">
            <v>2031</v>
          </cell>
          <cell r="AB21">
            <v>2032</v>
          </cell>
          <cell r="AC21">
            <v>2033</v>
          </cell>
          <cell r="AD21">
            <v>2034</v>
          </cell>
          <cell r="AE21">
            <v>2035</v>
          </cell>
        </row>
        <row r="22">
          <cell r="G22" t="str">
            <v>RegionSingle FamilyNew</v>
          </cell>
          <cell r="H22" t="str">
            <v>Res</v>
          </cell>
          <cell r="I22" t="str">
            <v>Single Family</v>
          </cell>
          <cell r="J22" t="str">
            <v>New</v>
          </cell>
          <cell r="K22" t="str">
            <v>Buildings</v>
          </cell>
          <cell r="L22">
            <v>62685.758999999998</v>
          </cell>
          <cell r="M22">
            <v>59961.781000000003</v>
          </cell>
          <cell r="N22">
            <v>56834.012000000002</v>
          </cell>
          <cell r="O22">
            <v>54985.192999999999</v>
          </cell>
          <cell r="P22">
            <v>53507.474000000002</v>
          </cell>
          <cell r="Q22">
            <v>50982.05</v>
          </cell>
          <cell r="R22">
            <v>49561.669000000002</v>
          </cell>
          <cell r="S22">
            <v>49324.517999999996</v>
          </cell>
          <cell r="T22">
            <v>48815.77</v>
          </cell>
          <cell r="U22">
            <v>49683.252</v>
          </cell>
          <cell r="V22">
            <v>50030.137000000002</v>
          </cell>
          <cell r="W22">
            <v>49387.762999999999</v>
          </cell>
          <cell r="X22">
            <v>48079.345999999998</v>
          </cell>
          <cell r="Y22">
            <v>48129.050999999999</v>
          </cell>
          <cell r="Z22">
            <v>48690.569000000003</v>
          </cell>
          <cell r="AA22">
            <v>48482.864000000001</v>
          </cell>
          <cell r="AB22">
            <v>46879.000999999997</v>
          </cell>
          <cell r="AC22">
            <v>46798.777999999998</v>
          </cell>
          <cell r="AD22">
            <v>46917.627</v>
          </cell>
          <cell r="AE22">
            <v>47236.144999999997</v>
          </cell>
        </row>
        <row r="23">
          <cell r="G23" t="str">
            <v>RegionMultifamily - Low RiseNew</v>
          </cell>
          <cell r="H23" t="str">
            <v>Res</v>
          </cell>
          <cell r="I23" t="str">
            <v>Multifamily - Low Rise</v>
          </cell>
          <cell r="J23" t="str">
            <v>New</v>
          </cell>
          <cell r="K23" t="str">
            <v>Buildings</v>
          </cell>
          <cell r="L23">
            <v>23280.347100904564</v>
          </cell>
          <cell r="M23">
            <v>23017.418106038647</v>
          </cell>
          <cell r="N23">
            <v>22811.60852767331</v>
          </cell>
          <cell r="O23">
            <v>22085.916378202593</v>
          </cell>
          <cell r="P23">
            <v>20817.853908138593</v>
          </cell>
          <cell r="Q23">
            <v>20070.279329962508</v>
          </cell>
          <cell r="R23">
            <v>19887.831284331631</v>
          </cell>
          <cell r="S23">
            <v>20257.583209811291</v>
          </cell>
          <cell r="T23">
            <v>20750.368029493613</v>
          </cell>
          <cell r="U23">
            <v>21314.334279744231</v>
          </cell>
          <cell r="V23">
            <v>21403.286239774712</v>
          </cell>
          <cell r="W23">
            <v>21409.137516518917</v>
          </cell>
          <cell r="X23">
            <v>21443.358292282628</v>
          </cell>
          <cell r="Y23">
            <v>21209.865626522758</v>
          </cell>
          <cell r="Z23">
            <v>20954.17798283829</v>
          </cell>
          <cell r="AA23">
            <v>20525.44023202754</v>
          </cell>
          <cell r="AB23">
            <v>20175.505597554071</v>
          </cell>
          <cell r="AC23">
            <v>19919.723927484571</v>
          </cell>
          <cell r="AD23">
            <v>19536.194066416414</v>
          </cell>
          <cell r="AE23">
            <v>19462.287131015248</v>
          </cell>
        </row>
        <row r="24">
          <cell r="G24" t="str">
            <v>RegionMultifamily - High RiseNew</v>
          </cell>
          <cell r="H24" t="str">
            <v>Res</v>
          </cell>
          <cell r="I24" t="str">
            <v>Multifamily - High Rise</v>
          </cell>
          <cell r="J24" t="str">
            <v>New</v>
          </cell>
          <cell r="K24" t="str">
            <v>Buildings</v>
          </cell>
          <cell r="L24">
            <v>5226.2387411561367</v>
          </cell>
          <cell r="M24">
            <v>5239.95312759432</v>
          </cell>
          <cell r="N24">
            <v>5271.2612760989568</v>
          </cell>
          <cell r="O24">
            <v>4985.883552972361</v>
          </cell>
          <cell r="P24">
            <v>4608.5912035798974</v>
          </cell>
          <cell r="Q24">
            <v>4509.6375960361838</v>
          </cell>
          <cell r="R24">
            <v>4481.760351096189</v>
          </cell>
          <cell r="S24">
            <v>4621.8312800578688</v>
          </cell>
          <cell r="T24">
            <v>4700.9782942419988</v>
          </cell>
          <cell r="U24">
            <v>4828.2391631488581</v>
          </cell>
          <cell r="V24">
            <v>4790.0249139778334</v>
          </cell>
          <cell r="W24">
            <v>4782.0649962402858</v>
          </cell>
          <cell r="X24">
            <v>4748.3908346265653</v>
          </cell>
          <cell r="Y24">
            <v>4733.4823682495089</v>
          </cell>
          <cell r="Z24">
            <v>4698.697177079107</v>
          </cell>
          <cell r="AA24">
            <v>4599.2987885998937</v>
          </cell>
          <cell r="AB24">
            <v>4526.3104216428001</v>
          </cell>
          <cell r="AC24">
            <v>4422.0600452822764</v>
          </cell>
          <cell r="AD24">
            <v>4405.182362066379</v>
          </cell>
          <cell r="AE24">
            <v>4385.1136986120664</v>
          </cell>
        </row>
        <row r="25">
          <cell r="G25" t="str">
            <v>RegionManufacturedNew</v>
          </cell>
          <cell r="H25" t="str">
            <v>Res</v>
          </cell>
          <cell r="I25" t="str">
            <v>Manufactured</v>
          </cell>
          <cell r="J25" t="str">
            <v>New</v>
          </cell>
          <cell r="K25" t="str">
            <v>Buildings</v>
          </cell>
          <cell r="L25">
            <v>1869.5754050925925</v>
          </cell>
          <cell r="M25">
            <v>1881.796305941358</v>
          </cell>
          <cell r="N25">
            <v>1949.1340235982509</v>
          </cell>
          <cell r="O25">
            <v>2021.1963608646258</v>
          </cell>
          <cell r="P25">
            <v>1959.5061710087307</v>
          </cell>
          <cell r="Q25">
            <v>1928.5764356212967</v>
          </cell>
          <cell r="R25">
            <v>1934.9641170211423</v>
          </cell>
          <cell r="S25">
            <v>1945.862235675901</v>
          </cell>
          <cell r="T25">
            <v>1956.539890631658</v>
          </cell>
          <cell r="U25">
            <v>1957.7742018038925</v>
          </cell>
          <cell r="V25">
            <v>1947.2038419604366</v>
          </cell>
          <cell r="W25">
            <v>1945.153453785721</v>
          </cell>
          <cell r="X25">
            <v>1947.9162901464586</v>
          </cell>
          <cell r="Y25">
            <v>1950.0749856673444</v>
          </cell>
          <cell r="Z25">
            <v>1950.7771106659191</v>
          </cell>
          <cell r="AA25">
            <v>1949.8166473382953</v>
          </cell>
          <cell r="AB25">
            <v>1948.4903882606959</v>
          </cell>
          <cell r="AC25">
            <v>1948.7048126440727</v>
          </cell>
          <cell r="AD25">
            <v>1949.296705787131</v>
          </cell>
          <cell r="AE25">
            <v>1949.5267750605763</v>
          </cell>
        </row>
        <row r="26">
          <cell r="G26" t="str">
            <v>RegionSingle FamilyExisting</v>
          </cell>
          <cell r="H26" t="str">
            <v>Res</v>
          </cell>
          <cell r="I26" t="str">
            <v>Single Family</v>
          </cell>
          <cell r="J26" t="str">
            <v>Existing</v>
          </cell>
          <cell r="K26" t="str">
            <v>Buildings</v>
          </cell>
          <cell r="L26">
            <v>4203528.2719999999</v>
          </cell>
          <cell r="M26">
            <v>4193982.9785983553</v>
          </cell>
          <cell r="N26">
            <v>4184459.3604704877</v>
          </cell>
          <cell r="O26">
            <v>4174957.36839659</v>
          </cell>
          <cell r="P26">
            <v>4165476.9532686244</v>
          </cell>
          <cell r="Q26">
            <v>4156018.0660900641</v>
          </cell>
          <cell r="R26">
            <v>4146580.6579756448</v>
          </cell>
          <cell r="S26">
            <v>4137164.6801511091</v>
          </cell>
          <cell r="T26">
            <v>4127770.0839529554</v>
          </cell>
          <cell r="U26">
            <v>4118396.8208281873</v>
          </cell>
          <cell r="V26">
            <v>4109044.8423340586</v>
          </cell>
          <cell r="W26">
            <v>4099714.1001378288</v>
          </cell>
          <cell r="X26">
            <v>4090404.5460165106</v>
          </cell>
          <cell r="Y26">
            <v>4081116.1318566194</v>
          </cell>
          <cell r="Z26">
            <v>4071848.8096539262</v>
          </cell>
          <cell r="AA26">
            <v>4062602.5315132081</v>
          </cell>
          <cell r="AB26">
            <v>4053377.2496480034</v>
          </cell>
          <cell r="AC26">
            <v>4044172.9163803621</v>
          </cell>
          <cell r="AD26">
            <v>4034989.4841406001</v>
          </cell>
          <cell r="AE26">
            <v>4025826.9054670548</v>
          </cell>
        </row>
        <row r="27">
          <cell r="G27" t="str">
            <v>RegionMultifamily - Low RiseExisting</v>
          </cell>
          <cell r="H27" t="str">
            <v>Res</v>
          </cell>
          <cell r="I27" t="str">
            <v>Multifamily - Low Rise</v>
          </cell>
          <cell r="J27" t="str">
            <v>Existing</v>
          </cell>
          <cell r="K27" t="str">
            <v>Buildings</v>
          </cell>
          <cell r="L27">
            <v>926243.25609262148</v>
          </cell>
          <cell r="M27">
            <v>924139.92640956037</v>
          </cell>
          <cell r="N27">
            <v>922041.3730050053</v>
          </cell>
          <cell r="O27">
            <v>919947.58503289847</v>
          </cell>
          <cell r="P27">
            <v>917858.55167181045</v>
          </cell>
          <cell r="Q27">
            <v>915774.26212488639</v>
          </cell>
          <cell r="R27">
            <v>913694.70561978838</v>
          </cell>
          <cell r="S27">
            <v>911619.87140864041</v>
          </cell>
          <cell r="T27">
            <v>909549.74876797362</v>
          </cell>
          <cell r="U27">
            <v>907484.32699866977</v>
          </cell>
          <cell r="V27">
            <v>905423.59542590659</v>
          </cell>
          <cell r="W27">
            <v>903367.54339910217</v>
          </cell>
          <cell r="X27">
            <v>901316.16029185988</v>
          </cell>
          <cell r="Y27">
            <v>899269.43550191447</v>
          </cell>
          <cell r="Z27">
            <v>897227.35845107585</v>
          </cell>
          <cell r="AA27">
            <v>895189.9185851753</v>
          </cell>
          <cell r="AB27">
            <v>893157.10537401051</v>
          </cell>
          <cell r="AC27">
            <v>891128.90831129183</v>
          </cell>
          <cell r="AD27">
            <v>889105.31691458682</v>
          </cell>
          <cell r="AE27">
            <v>887086.32072526717</v>
          </cell>
        </row>
        <row r="28">
          <cell r="G28" t="str">
            <v>RegionMultifamily - High RiseExisting</v>
          </cell>
          <cell r="H28" t="str">
            <v>Res</v>
          </cell>
          <cell r="I28" t="str">
            <v>Multifamily - High Rise</v>
          </cell>
          <cell r="J28" t="str">
            <v>Existing</v>
          </cell>
          <cell r="K28" t="str">
            <v>Buildings</v>
          </cell>
          <cell r="L28">
            <v>211180.07985625503</v>
          </cell>
          <cell r="M28">
            <v>210700.52836963299</v>
          </cell>
          <cell r="N28">
            <v>210222.06585706791</v>
          </cell>
          <cell r="O28">
            <v>209744.68984569819</v>
          </cell>
          <cell r="P28">
            <v>209268.39786827751</v>
          </cell>
          <cell r="Q28">
            <v>208793.18746316229</v>
          </cell>
          <cell r="R28">
            <v>208319.05617429892</v>
          </cell>
          <cell r="S28">
            <v>207846.00155121088</v>
          </cell>
          <cell r="T28">
            <v>207374.0211489865</v>
          </cell>
          <cell r="U28">
            <v>206903.11252826577</v>
          </cell>
          <cell r="V28">
            <v>206433.27325522827</v>
          </cell>
          <cell r="W28">
            <v>205964.50090158021</v>
          </cell>
          <cell r="X28">
            <v>205496.79304454199</v>
          </cell>
          <cell r="Y28">
            <v>205030.14726683579</v>
          </cell>
          <cell r="Z28">
            <v>204564.56115667295</v>
          </cell>
          <cell r="AA28">
            <v>204100.03230774152</v>
          </cell>
          <cell r="AB28">
            <v>203636.55831919383</v>
          </cell>
          <cell r="AC28">
            <v>203174.13679563423</v>
          </cell>
          <cell r="AD28">
            <v>202712.76534710638</v>
          </cell>
          <cell r="AE28">
            <v>202252.44158908122</v>
          </cell>
        </row>
        <row r="29">
          <cell r="G29" t="str">
            <v>RegionManufacturedExisting</v>
          </cell>
          <cell r="H29" t="str">
            <v>Res</v>
          </cell>
          <cell r="I29" t="str">
            <v>Manufactured</v>
          </cell>
          <cell r="J29" t="str">
            <v>Existing</v>
          </cell>
          <cell r="K29" t="str">
            <v>Buildings</v>
          </cell>
          <cell r="L29">
            <v>572006.3278356482</v>
          </cell>
          <cell r="M29">
            <v>565893.30394507048</v>
          </cell>
          <cell r="N29">
            <v>559845.60985814757</v>
          </cell>
          <cell r="O29">
            <v>553862.54739615123</v>
          </cell>
          <cell r="P29">
            <v>547943.42584177968</v>
          </cell>
          <cell r="Q29">
            <v>542087.56185941794</v>
          </cell>
          <cell r="R29">
            <v>536294.27941624937</v>
          </cell>
          <cell r="S29">
            <v>530562.90970421082</v>
          </cell>
          <cell r="T29">
            <v>524892.79106278194</v>
          </cell>
          <cell r="U29">
            <v>519283.26890259917</v>
          </cell>
          <cell r="V29">
            <v>513733.69562988722</v>
          </cell>
          <cell r="W29">
            <v>508243.4305716962</v>
          </cell>
          <cell r="X29">
            <v>502811.8399019395</v>
          </cell>
          <cell r="Y29">
            <v>497438.2965682213</v>
          </cell>
          <cell r="Z29">
            <v>492122.18021944637</v>
          </cell>
          <cell r="AA29">
            <v>486862.87713420321</v>
          </cell>
          <cell r="AB29">
            <v>481659.78014991269</v>
          </cell>
          <cell r="AC29">
            <v>476512.28859273402</v>
          </cell>
          <cell r="AD29">
            <v>471419.80820821953</v>
          </cell>
          <cell r="AE29">
            <v>466381.75109271082</v>
          </cell>
        </row>
        <row r="30">
          <cell r="G30" t="str">
            <v>RegionLarge OffNew</v>
          </cell>
          <cell r="H30" t="str">
            <v>Com</v>
          </cell>
          <cell r="I30" t="str">
            <v>Large Off</v>
          </cell>
          <cell r="J30" t="str">
            <v>New</v>
          </cell>
          <cell r="K30" t="str">
            <v>Millions SqFt</v>
          </cell>
          <cell r="L30">
            <v>7.8066550111953834</v>
          </cell>
          <cell r="M30">
            <v>5.9496992573140863</v>
          </cell>
          <cell r="N30">
            <v>5.890903545908837</v>
          </cell>
          <cell r="O30">
            <v>6.8915688291332424</v>
          </cell>
          <cell r="P30">
            <v>6.6410191533148355</v>
          </cell>
          <cell r="Q30">
            <v>5.4382226791221893</v>
          </cell>
          <cell r="R30">
            <v>6.9236851515846078</v>
          </cell>
          <cell r="S30">
            <v>6.040566884985755</v>
          </cell>
          <cell r="T30">
            <v>5.8620040343764588</v>
          </cell>
          <cell r="U30">
            <v>6.6048352977963205</v>
          </cell>
          <cell r="V30">
            <v>6.6081856774849808</v>
          </cell>
          <cell r="W30">
            <v>7.2276230030590352</v>
          </cell>
          <cell r="X30">
            <v>7.9321378463678132</v>
          </cell>
          <cell r="Y30">
            <v>7.2590370336019197</v>
          </cell>
          <cell r="Z30">
            <v>7.9122271387396417</v>
          </cell>
          <cell r="AA30">
            <v>7.7623340380974311</v>
          </cell>
          <cell r="AB30">
            <v>7.6402299023279152</v>
          </cell>
          <cell r="AC30">
            <v>7.1724831299946894</v>
          </cell>
          <cell r="AD30">
            <v>7.0810470955732994</v>
          </cell>
          <cell r="AE30">
            <v>7.4281005850341701</v>
          </cell>
        </row>
        <row r="31">
          <cell r="G31" t="str">
            <v>RegionMedium OffNew</v>
          </cell>
          <cell r="H31" t="str">
            <v>Com</v>
          </cell>
          <cell r="I31" t="str">
            <v>Medium Off</v>
          </cell>
          <cell r="J31" t="str">
            <v>New</v>
          </cell>
          <cell r="K31" t="str">
            <v>Millions SqFt</v>
          </cell>
          <cell r="L31">
            <v>6.3306892326899415</v>
          </cell>
          <cell r="M31">
            <v>4.6245517962703104</v>
          </cell>
          <cell r="N31">
            <v>4.6954401235311058</v>
          </cell>
          <cell r="O31">
            <v>5.5561738496820645</v>
          </cell>
          <cell r="P31">
            <v>5.2903315868283292</v>
          </cell>
          <cell r="Q31">
            <v>4.0954748538564614</v>
          </cell>
          <cell r="R31">
            <v>5.6166455086822502</v>
          </cell>
          <cell r="S31">
            <v>4.8928421056079552</v>
          </cell>
          <cell r="T31">
            <v>4.6489885594062974</v>
          </cell>
          <cell r="U31">
            <v>5.3600762751998365</v>
          </cell>
          <cell r="V31">
            <v>5.3451061612370649</v>
          </cell>
          <cell r="W31">
            <v>5.7169042762389006</v>
          </cell>
          <cell r="X31">
            <v>6.1644080859749115</v>
          </cell>
          <cell r="Y31">
            <v>5.8003829082546376</v>
          </cell>
          <cell r="Z31">
            <v>6.4331999103991837</v>
          </cell>
          <cell r="AA31">
            <v>6.1077443299386847</v>
          </cell>
          <cell r="AB31">
            <v>6.3133258324543373</v>
          </cell>
          <cell r="AC31">
            <v>5.5403053352108875</v>
          </cell>
          <cell r="AD31">
            <v>5.5266028757425794</v>
          </cell>
          <cell r="AE31">
            <v>5.9833355534459063</v>
          </cell>
        </row>
        <row r="32">
          <cell r="G32" t="str">
            <v>RegionSmall OffNew</v>
          </cell>
          <cell r="H32" t="str">
            <v>Com</v>
          </cell>
          <cell r="I32" t="str">
            <v>Small Off</v>
          </cell>
          <cell r="J32" t="str">
            <v>New</v>
          </cell>
          <cell r="K32" t="str">
            <v>Millions SqFt</v>
          </cell>
          <cell r="L32">
            <v>1.6621196768024407</v>
          </cell>
          <cell r="M32">
            <v>1.2170657423442173</v>
          </cell>
          <cell r="N32">
            <v>1.2444333527444498</v>
          </cell>
          <cell r="O32">
            <v>1.4586094503549032</v>
          </cell>
          <cell r="P32">
            <v>1.4004070058555529</v>
          </cell>
          <cell r="Q32">
            <v>1.0787722980410579</v>
          </cell>
          <cell r="R32">
            <v>1.4747976167420549</v>
          </cell>
          <cell r="S32">
            <v>1.2896357804774434</v>
          </cell>
          <cell r="T32">
            <v>1.2239291307589197</v>
          </cell>
          <cell r="U32">
            <v>1.4012443744673324</v>
          </cell>
          <cell r="V32">
            <v>1.3991315932028052</v>
          </cell>
          <cell r="W32">
            <v>1.4996248899933684</v>
          </cell>
          <cell r="X32">
            <v>1.6197763904689295</v>
          </cell>
          <cell r="Y32">
            <v>1.5187400891362097</v>
          </cell>
          <cell r="Z32">
            <v>1.6890757136254622</v>
          </cell>
          <cell r="AA32">
            <v>1.5972356158259797</v>
          </cell>
          <cell r="AB32">
            <v>1.640465747141107</v>
          </cell>
          <cell r="AC32">
            <v>1.4565955217811706</v>
          </cell>
          <cell r="AD32">
            <v>1.4531741906643101</v>
          </cell>
          <cell r="AE32">
            <v>1.5648660344158036</v>
          </cell>
        </row>
        <row r="33">
          <cell r="G33" t="str">
            <v>RegionXLarge RetNew</v>
          </cell>
          <cell r="H33" t="str">
            <v>Com</v>
          </cell>
          <cell r="I33" t="str">
            <v>XLarge Ret</v>
          </cell>
          <cell r="J33" t="str">
            <v>New</v>
          </cell>
          <cell r="K33" t="str">
            <v>Millions SqFt</v>
          </cell>
          <cell r="L33">
            <v>1.799418169017593</v>
          </cell>
          <cell r="M33">
            <v>1.485755176968429</v>
          </cell>
          <cell r="N33">
            <v>0.89794362681754358</v>
          </cell>
          <cell r="O33">
            <v>0.91201694404352718</v>
          </cell>
          <cell r="P33">
            <v>0.85125423267540556</v>
          </cell>
          <cell r="Q33">
            <v>0.73204497427617965</v>
          </cell>
          <cell r="R33">
            <v>0.73428349109996394</v>
          </cell>
          <cell r="S33">
            <v>0.71341173425108251</v>
          </cell>
          <cell r="T33">
            <v>0.89455902577447755</v>
          </cell>
          <cell r="U33">
            <v>1.032083805968905</v>
          </cell>
          <cell r="V33">
            <v>1.0963398187475875</v>
          </cell>
          <cell r="W33">
            <v>1.617287860192538</v>
          </cell>
          <cell r="X33">
            <v>1.8239074921539626</v>
          </cell>
          <cell r="Y33">
            <v>1.6267354909009817</v>
          </cell>
          <cell r="Z33">
            <v>1.5970323938843554</v>
          </cell>
          <cell r="AA33">
            <v>1.5393396581386409</v>
          </cell>
          <cell r="AB33">
            <v>1.2960530677092543</v>
          </cell>
          <cell r="AC33">
            <v>1.3176455108269955</v>
          </cell>
          <cell r="AD33">
            <v>1.2469979474733393</v>
          </cell>
          <cell r="AE33">
            <v>1.3540449607593745</v>
          </cell>
        </row>
        <row r="34">
          <cell r="G34" t="str">
            <v>RegionLarge RetNew</v>
          </cell>
          <cell r="H34" t="str">
            <v>Com</v>
          </cell>
          <cell r="I34" t="str">
            <v>Large Ret</v>
          </cell>
          <cell r="J34" t="str">
            <v>New</v>
          </cell>
          <cell r="K34" t="str">
            <v>Millions SqFt</v>
          </cell>
          <cell r="L34">
            <v>0.71960427219664069</v>
          </cell>
          <cell r="M34">
            <v>0.59647847099566831</v>
          </cell>
          <cell r="N34">
            <v>0.36611838042447359</v>
          </cell>
          <cell r="O34">
            <v>0.3731768350638246</v>
          </cell>
          <cell r="P34">
            <v>0.34504559304633386</v>
          </cell>
          <cell r="Q34">
            <v>0.2928623587115301</v>
          </cell>
          <cell r="R34">
            <v>0.29376294298921468</v>
          </cell>
          <cell r="S34">
            <v>0.28416308329236456</v>
          </cell>
          <cell r="T34">
            <v>0.36455471421578001</v>
          </cell>
          <cell r="U34">
            <v>0.42646627810709853</v>
          </cell>
          <cell r="V34">
            <v>0.44956380488737768</v>
          </cell>
          <cell r="W34">
            <v>0.65213839834683018</v>
          </cell>
          <cell r="X34">
            <v>0.73353807331773047</v>
          </cell>
          <cell r="Y34">
            <v>0.65560780242911365</v>
          </cell>
          <cell r="Z34">
            <v>0.64604928436358278</v>
          </cell>
          <cell r="AA34">
            <v>0.62178261445398098</v>
          </cell>
          <cell r="AB34">
            <v>0.52554853465709617</v>
          </cell>
          <cell r="AC34">
            <v>0.53266253778165396</v>
          </cell>
          <cell r="AD34">
            <v>0.50454130308386236</v>
          </cell>
          <cell r="AE34">
            <v>0.54553111610891503</v>
          </cell>
        </row>
        <row r="35">
          <cell r="G35" t="str">
            <v>RegionMedium RetNew</v>
          </cell>
          <cell r="H35" t="str">
            <v>Com</v>
          </cell>
          <cell r="I35" t="str">
            <v>Medium Ret</v>
          </cell>
          <cell r="J35" t="str">
            <v>New</v>
          </cell>
          <cell r="K35" t="str">
            <v>Millions SqFt</v>
          </cell>
          <cell r="L35">
            <v>2.7275899469990224</v>
          </cell>
          <cell r="M35">
            <v>2.2451802625726844</v>
          </cell>
          <cell r="N35">
            <v>1.3846551620328988</v>
          </cell>
          <cell r="O35">
            <v>1.414332931216091</v>
          </cell>
          <cell r="P35">
            <v>1.3048976182463843</v>
          </cell>
          <cell r="Q35">
            <v>1.1035456427042536</v>
          </cell>
          <cell r="R35">
            <v>1.0932193385059683</v>
          </cell>
          <cell r="S35">
            <v>1.0602010304011045</v>
          </cell>
          <cell r="T35">
            <v>1.3687417218066935</v>
          </cell>
          <cell r="U35">
            <v>1.6102119957699914</v>
          </cell>
          <cell r="V35">
            <v>1.7014476793012303</v>
          </cell>
          <cell r="W35">
            <v>2.4475448442766612</v>
          </cell>
          <cell r="X35">
            <v>2.7642584104961641</v>
          </cell>
          <cell r="Y35">
            <v>2.4645092385842489</v>
          </cell>
          <cell r="Z35">
            <v>2.435211674558635</v>
          </cell>
          <cell r="AA35">
            <v>2.3436666024455817</v>
          </cell>
          <cell r="AB35">
            <v>1.9970991421399598</v>
          </cell>
          <cell r="AC35">
            <v>2.0220850932468024</v>
          </cell>
          <cell r="AD35">
            <v>1.9074632582746243</v>
          </cell>
          <cell r="AE35">
            <v>2.0633846520749657</v>
          </cell>
        </row>
        <row r="36">
          <cell r="G36" t="str">
            <v>RegionSmall RetNew</v>
          </cell>
          <cell r="H36" t="str">
            <v>Com</v>
          </cell>
          <cell r="I36" t="str">
            <v>Small Ret</v>
          </cell>
          <cell r="J36" t="str">
            <v>New</v>
          </cell>
          <cell r="K36" t="str">
            <v>Millions SqFt</v>
          </cell>
          <cell r="L36">
            <v>0.86249938561661099</v>
          </cell>
          <cell r="M36">
            <v>0.71243811393533818</v>
          </cell>
          <cell r="N36">
            <v>0.43988135050703958</v>
          </cell>
          <cell r="O36">
            <v>0.44879648252082133</v>
          </cell>
          <cell r="P36">
            <v>0.41374173801952452</v>
          </cell>
          <cell r="Q36">
            <v>0.34301620014224921</v>
          </cell>
          <cell r="R36">
            <v>0.33946657261656726</v>
          </cell>
          <cell r="S36">
            <v>0.32965754978673117</v>
          </cell>
          <cell r="T36">
            <v>0.43689232903555525</v>
          </cell>
          <cell r="U36">
            <v>0.51886957722704219</v>
          </cell>
          <cell r="V36">
            <v>0.54817313334918127</v>
          </cell>
          <cell r="W36">
            <v>0.77969532117377649</v>
          </cell>
          <cell r="X36">
            <v>0.87858644381951334</v>
          </cell>
          <cell r="Y36">
            <v>0.78420074698109388</v>
          </cell>
          <cell r="Z36">
            <v>0.77728841592354081</v>
          </cell>
          <cell r="AA36">
            <v>0.74886674252534069</v>
          </cell>
          <cell r="AB36">
            <v>0.63964179951326661</v>
          </cell>
          <cell r="AC36">
            <v>0.64714740319049269</v>
          </cell>
          <cell r="AD36">
            <v>0.61166389038687663</v>
          </cell>
          <cell r="AE36">
            <v>0.66242443593788758</v>
          </cell>
        </row>
        <row r="37">
          <cell r="G37" t="str">
            <v>RegionSchool K-12New</v>
          </cell>
          <cell r="H37" t="str">
            <v>Com</v>
          </cell>
          <cell r="I37" t="str">
            <v>School K-12</v>
          </cell>
          <cell r="J37" t="str">
            <v>New</v>
          </cell>
          <cell r="K37" t="str">
            <v>Millions SqFt</v>
          </cell>
          <cell r="L37">
            <v>0.49337113702797691</v>
          </cell>
          <cell r="M37">
            <v>1.1029723159217257</v>
          </cell>
          <cell r="N37">
            <v>0.94992456965043459</v>
          </cell>
          <cell r="O37">
            <v>0.71720701164062661</v>
          </cell>
          <cell r="P37">
            <v>0.7442281187428561</v>
          </cell>
          <cell r="Q37">
            <v>0.85140099810585501</v>
          </cell>
          <cell r="R37">
            <v>0.99139466996200198</v>
          </cell>
          <cell r="S37">
            <v>1.5014629353162949</v>
          </cell>
          <cell r="T37">
            <v>1.8697826256608596</v>
          </cell>
          <cell r="U37">
            <v>1.6452707482432332</v>
          </cell>
          <cell r="V37">
            <v>1.6753181172445872</v>
          </cell>
          <cell r="W37">
            <v>1.7943041099264481</v>
          </cell>
          <cell r="X37">
            <v>1.8624299937819393</v>
          </cell>
          <cell r="Y37">
            <v>1.7489264522150836</v>
          </cell>
          <cell r="Z37">
            <v>1.7975598556031414</v>
          </cell>
          <cell r="AA37">
            <v>1.6195220459723754</v>
          </cell>
          <cell r="AB37">
            <v>1.8221433074925411</v>
          </cell>
          <cell r="AC37">
            <v>1.6336676691608698</v>
          </cell>
          <cell r="AD37">
            <v>1.7826242149357872</v>
          </cell>
          <cell r="AE37">
            <v>1.6891002859244486</v>
          </cell>
        </row>
        <row r="38">
          <cell r="G38" t="str">
            <v>RegionUniversityNew</v>
          </cell>
          <cell r="H38" t="str">
            <v>Com</v>
          </cell>
          <cell r="I38" t="str">
            <v>University</v>
          </cell>
          <cell r="J38" t="str">
            <v>New</v>
          </cell>
          <cell r="K38" t="str">
            <v>Millions SqFt</v>
          </cell>
          <cell r="L38">
            <v>0.2800209986196866</v>
          </cell>
          <cell r="M38">
            <v>0.29719871383536939</v>
          </cell>
          <cell r="N38">
            <v>0.58203115602335975</v>
          </cell>
          <cell r="O38">
            <v>0.83189457735737737</v>
          </cell>
          <cell r="P38">
            <v>0.66610454718876777</v>
          </cell>
          <cell r="Q38">
            <v>0.73648247778559484</v>
          </cell>
          <cell r="R38">
            <v>0.64334185638367225</v>
          </cell>
          <cell r="S38">
            <v>0.97289424291238524</v>
          </cell>
          <cell r="T38">
            <v>1.1820978013224126</v>
          </cell>
          <cell r="U38">
            <v>1.1785313924254113</v>
          </cell>
          <cell r="V38">
            <v>1.2952038876416079</v>
          </cell>
          <cell r="W38">
            <v>1.3229243736280945</v>
          </cell>
          <cell r="X38">
            <v>1.422909455419719</v>
          </cell>
          <cell r="Y38">
            <v>1.4430187909981058</v>
          </cell>
          <cell r="Z38">
            <v>1.2923971403480323</v>
          </cell>
          <cell r="AA38">
            <v>1.1785050733908478</v>
          </cell>
          <cell r="AB38">
            <v>1.3433889489273994</v>
          </cell>
          <cell r="AC38">
            <v>1.2265545990556588</v>
          </cell>
          <cell r="AD38">
            <v>1.2571458643971927</v>
          </cell>
          <cell r="AE38">
            <v>1.2979913333963795</v>
          </cell>
        </row>
        <row r="39">
          <cell r="G39" t="str">
            <v>RegionWarehouseNew</v>
          </cell>
          <cell r="H39" t="str">
            <v>Com</v>
          </cell>
          <cell r="I39" t="str">
            <v>Warehouse</v>
          </cell>
          <cell r="J39" t="str">
            <v>New</v>
          </cell>
          <cell r="K39" t="str">
            <v>Millions SqFt</v>
          </cell>
          <cell r="L39">
            <v>7.6586609772993617</v>
          </cell>
          <cell r="M39">
            <v>7.5774552212762423</v>
          </cell>
          <cell r="N39">
            <v>5.6453939930651131</v>
          </cell>
          <cell r="O39">
            <v>4.800793231843981</v>
          </cell>
          <cell r="P39">
            <v>3.5881391412601156</v>
          </cell>
          <cell r="Q39">
            <v>3.1529819033971824</v>
          </cell>
          <cell r="R39">
            <v>4.0691744688008198</v>
          </cell>
          <cell r="S39">
            <v>4.5400289951106014</v>
          </cell>
          <cell r="T39">
            <v>4.8555474587969272</v>
          </cell>
          <cell r="U39">
            <v>4.6966359797376018</v>
          </cell>
          <cell r="V39">
            <v>4.8557170740974245</v>
          </cell>
          <cell r="W39">
            <v>4.451750056135543</v>
          </cell>
          <cell r="X39">
            <v>3.8657972013430704</v>
          </cell>
          <cell r="Y39">
            <v>3.9817445148405937</v>
          </cell>
          <cell r="Z39">
            <v>3.9951806948216846</v>
          </cell>
          <cell r="AA39">
            <v>4.4738164673360306</v>
          </cell>
          <cell r="AB39">
            <v>4.2737219736102183</v>
          </cell>
          <cell r="AC39">
            <v>4.0870251812551333</v>
          </cell>
          <cell r="AD39">
            <v>4.137725578117939</v>
          </cell>
          <cell r="AE39">
            <v>3.6922064696454697</v>
          </cell>
        </row>
        <row r="40">
          <cell r="G40" t="str">
            <v>RegionSupermarketNew</v>
          </cell>
          <cell r="H40" t="str">
            <v>Com</v>
          </cell>
          <cell r="I40" t="str">
            <v>Supermarket</v>
          </cell>
          <cell r="J40" t="str">
            <v>New</v>
          </cell>
          <cell r="K40" t="str">
            <v>Millions SqFt</v>
          </cell>
          <cell r="L40">
            <v>0.38924897939746522</v>
          </cell>
          <cell r="M40">
            <v>0.34341311895347121</v>
          </cell>
          <cell r="N40">
            <v>0.29927348040561341</v>
          </cell>
          <cell r="O40">
            <v>0.29688874456634085</v>
          </cell>
          <cell r="P40">
            <v>0.29379933994281465</v>
          </cell>
          <cell r="Q40">
            <v>0.29041766271303127</v>
          </cell>
          <cell r="R40">
            <v>0.28614144770449462</v>
          </cell>
          <cell r="S40">
            <v>0.28163861967746157</v>
          </cell>
          <cell r="T40">
            <v>0.27688800876616482</v>
          </cell>
          <cell r="U40">
            <v>0.27357754310134663</v>
          </cell>
          <cell r="V40">
            <v>0.27063184585003941</v>
          </cell>
          <cell r="W40">
            <v>0.26801411864303953</v>
          </cell>
          <cell r="X40">
            <v>0.26660240614409092</v>
          </cell>
          <cell r="Y40">
            <v>0.25138198684402913</v>
          </cell>
          <cell r="Z40">
            <v>0.26455339135243683</v>
          </cell>
          <cell r="AA40">
            <v>0.26299167309250365</v>
          </cell>
          <cell r="AB40">
            <v>0.26140909607327911</v>
          </cell>
          <cell r="AC40">
            <v>0.25947687815142023</v>
          </cell>
          <cell r="AD40">
            <v>0.25750619496776178</v>
          </cell>
          <cell r="AE40">
            <v>0.25562560804995926</v>
          </cell>
        </row>
        <row r="41">
          <cell r="G41" t="str">
            <v>RegionMiniMartNew</v>
          </cell>
          <cell r="H41" t="str">
            <v>Com</v>
          </cell>
          <cell r="I41" t="str">
            <v>MiniMart</v>
          </cell>
          <cell r="J41" t="str">
            <v>New</v>
          </cell>
          <cell r="K41" t="str">
            <v>Millions SqFt</v>
          </cell>
          <cell r="L41">
            <v>0.19765540078516197</v>
          </cell>
          <cell r="M41">
            <v>0.18600542935034625</v>
          </cell>
          <cell r="N41">
            <v>9.5760802585072302E-2</v>
          </cell>
          <cell r="O41">
            <v>0.10062051473914659</v>
          </cell>
          <cell r="P41">
            <v>8.5646792534183808E-2</v>
          </cell>
          <cell r="Q41">
            <v>6.5415041923045286E-2</v>
          </cell>
          <cell r="R41">
            <v>5.7242996146950373E-2</v>
          </cell>
          <cell r="S41">
            <v>5.5087150941189433E-2</v>
          </cell>
          <cell r="T41">
            <v>7.3916214299540497E-2</v>
          </cell>
          <cell r="U41">
            <v>9.2056169088318471E-2</v>
          </cell>
          <cell r="V41">
            <v>0.10393709432109566</v>
          </cell>
          <cell r="W41">
            <v>0.15172170448022598</v>
          </cell>
          <cell r="X41">
            <v>0.15706997726929292</v>
          </cell>
          <cell r="Y41">
            <v>0.14510580631504899</v>
          </cell>
          <cell r="Z41">
            <v>0.15272706829792246</v>
          </cell>
          <cell r="AA41">
            <v>0.14104647748606622</v>
          </cell>
          <cell r="AB41">
            <v>0.11700741064540764</v>
          </cell>
          <cell r="AC41">
            <v>0.1200067315077773</v>
          </cell>
          <cell r="AD41">
            <v>0.11457442878633581</v>
          </cell>
          <cell r="AE41">
            <v>0.1211768182439132</v>
          </cell>
        </row>
        <row r="42">
          <cell r="G42" t="str">
            <v>RegionRestaurantNew</v>
          </cell>
          <cell r="H42" t="str">
            <v>Com</v>
          </cell>
          <cell r="I42" t="str">
            <v>Restaurant</v>
          </cell>
          <cell r="J42" t="str">
            <v>New</v>
          </cell>
          <cell r="K42" t="str">
            <v>Millions SqFt</v>
          </cell>
          <cell r="L42">
            <v>0.46894871790011039</v>
          </cell>
          <cell r="M42">
            <v>0.47387410836125871</v>
          </cell>
          <cell r="N42">
            <v>0.45144590813821411</v>
          </cell>
          <cell r="O42">
            <v>0.4505136151455652</v>
          </cell>
          <cell r="P42">
            <v>0.44778046039172248</v>
          </cell>
          <cell r="Q42">
            <v>0.44523396067124349</v>
          </cell>
          <cell r="R42">
            <v>0.44273536313864043</v>
          </cell>
          <cell r="S42">
            <v>0.4399078135546039</v>
          </cell>
          <cell r="T42">
            <v>0.43708606600163591</v>
          </cell>
          <cell r="U42">
            <v>0.43513915585550955</v>
          </cell>
          <cell r="V42">
            <v>0.43580404899906589</v>
          </cell>
          <cell r="W42">
            <v>0.59161866303702282</v>
          </cell>
          <cell r="X42">
            <v>0.66467702134516005</v>
          </cell>
          <cell r="Y42">
            <v>0.65353995366480533</v>
          </cell>
          <cell r="Z42">
            <v>0.676060915960916</v>
          </cell>
          <cell r="AA42">
            <v>0.70559825286541389</v>
          </cell>
          <cell r="AB42">
            <v>0.63206878506691044</v>
          </cell>
          <cell r="AC42">
            <v>0.63726309269471215</v>
          </cell>
          <cell r="AD42">
            <v>0.5828366650853003</v>
          </cell>
          <cell r="AE42">
            <v>0.63928201324113043</v>
          </cell>
        </row>
        <row r="43">
          <cell r="G43" t="str">
            <v>RegionLodgingNew</v>
          </cell>
          <cell r="H43" t="str">
            <v>Com</v>
          </cell>
          <cell r="I43" t="str">
            <v>Lodging</v>
          </cell>
          <cell r="J43" t="str">
            <v>New</v>
          </cell>
          <cell r="K43" t="str">
            <v>Millions SqFt</v>
          </cell>
          <cell r="L43">
            <v>1.0326774321313152</v>
          </cell>
          <cell r="M43">
            <v>1.0158776160943388</v>
          </cell>
          <cell r="N43">
            <v>0.74304915446037911</v>
          </cell>
          <cell r="O43">
            <v>0.76054102414226543</v>
          </cell>
          <cell r="P43">
            <v>0.65616402459427536</v>
          </cell>
          <cell r="Q43">
            <v>0.62755023267601961</v>
          </cell>
          <cell r="R43">
            <v>0.61023293273354484</v>
          </cell>
          <cell r="S43">
            <v>0.60571699788717037</v>
          </cell>
          <cell r="T43">
            <v>0.65097903457434547</v>
          </cell>
          <cell r="U43">
            <v>0.69319811486407867</v>
          </cell>
          <cell r="V43">
            <v>0.78843795894088464</v>
          </cell>
          <cell r="W43">
            <v>1.3645659476947984</v>
          </cell>
          <cell r="X43">
            <v>1.6032227373726178</v>
          </cell>
          <cell r="Y43">
            <v>1.6412696995684901</v>
          </cell>
          <cell r="Z43">
            <v>1.670283030615213</v>
          </cell>
          <cell r="AA43">
            <v>1.755661848186447</v>
          </cell>
          <cell r="AB43">
            <v>1.4871375295645746</v>
          </cell>
          <cell r="AC43">
            <v>1.4400033906080374</v>
          </cell>
          <cell r="AD43">
            <v>1.3499648074414823</v>
          </cell>
          <cell r="AE43">
            <v>1.4487057151095009</v>
          </cell>
        </row>
        <row r="44">
          <cell r="G44" t="str">
            <v>RegionHospitalNew</v>
          </cell>
          <cell r="H44" t="str">
            <v>Com</v>
          </cell>
          <cell r="I44" t="str">
            <v>Hospital</v>
          </cell>
          <cell r="J44" t="str">
            <v>New</v>
          </cell>
          <cell r="K44" t="str">
            <v>Millions SqFt</v>
          </cell>
          <cell r="L44">
            <v>4.1336070304911159</v>
          </cell>
          <cell r="M44">
            <v>3.5601449453189118</v>
          </cell>
          <cell r="N44">
            <v>3.2007770264658664</v>
          </cell>
          <cell r="O44">
            <v>2.6531465767673241</v>
          </cell>
          <cell r="P44">
            <v>1.8730082465149496</v>
          </cell>
          <cell r="Q44">
            <v>1.6467285324389391</v>
          </cell>
          <cell r="R44">
            <v>1.5196240263467067</v>
          </cell>
          <cell r="S44">
            <v>1.3328145698119136</v>
          </cell>
          <cell r="T44">
            <v>1.3372342578617185</v>
          </cell>
          <cell r="U44">
            <v>1.4086686461757902</v>
          </cell>
          <cell r="V44">
            <v>1.6725933548501446</v>
          </cell>
          <cell r="W44">
            <v>2.0158466086985318</v>
          </cell>
          <cell r="X44">
            <v>2.3033709594417431</v>
          </cell>
          <cell r="Y44">
            <v>2.063930246052466</v>
          </cell>
          <cell r="Z44">
            <v>1.9880083370090949</v>
          </cell>
          <cell r="AA44">
            <v>1.9342270452860566</v>
          </cell>
          <cell r="AB44">
            <v>1.774507966199161</v>
          </cell>
          <cell r="AC44">
            <v>1.6723841845019074</v>
          </cell>
          <cell r="AD44">
            <v>1.5414284807799123</v>
          </cell>
          <cell r="AE44">
            <v>1.5563040522680198</v>
          </cell>
        </row>
        <row r="45">
          <cell r="G45" t="str">
            <v>RegionResidential CareNew</v>
          </cell>
          <cell r="H45" t="str">
            <v>Com</v>
          </cell>
          <cell r="I45" t="str">
            <v>Residential Care</v>
          </cell>
          <cell r="J45" t="str">
            <v>New</v>
          </cell>
          <cell r="K45" t="str">
            <v>Millions SqFt</v>
          </cell>
          <cell r="L45">
            <v>4.5029406937179912</v>
          </cell>
          <cell r="M45">
            <v>4.0786070344439063</v>
          </cell>
          <cell r="N45">
            <v>3.5919834720533679</v>
          </cell>
          <cell r="O45">
            <v>3.0400934926407626</v>
          </cell>
          <cell r="P45">
            <v>2.3018670718031324</v>
          </cell>
          <cell r="Q45">
            <v>2.1321468422073435</v>
          </cell>
          <cell r="R45">
            <v>1.9771504564110642</v>
          </cell>
          <cell r="S45">
            <v>1.8096072137015302</v>
          </cell>
          <cell r="T45">
            <v>1.9023478055732992</v>
          </cell>
          <cell r="U45">
            <v>2.0129777404511922</v>
          </cell>
          <cell r="V45">
            <v>2.304026079874093</v>
          </cell>
          <cell r="W45">
            <v>2.7992417645016405</v>
          </cell>
          <cell r="X45">
            <v>3.0682339807477179</v>
          </cell>
          <cell r="Y45">
            <v>2.7441690138981158</v>
          </cell>
          <cell r="Z45">
            <v>2.8046561391012603</v>
          </cell>
          <cell r="AA45">
            <v>2.7282838662201567</v>
          </cell>
          <cell r="AB45">
            <v>2.4959637785038216</v>
          </cell>
          <cell r="AC45">
            <v>2.4392052334479857</v>
          </cell>
          <cell r="AD45">
            <v>2.3386950979959957</v>
          </cell>
          <cell r="AE45">
            <v>2.3103955399373803</v>
          </cell>
        </row>
        <row r="46">
          <cell r="G46" t="str">
            <v>RegionAssemblyNew</v>
          </cell>
          <cell r="H46" t="str">
            <v>Com</v>
          </cell>
          <cell r="I46" t="str">
            <v>Assembly</v>
          </cell>
          <cell r="J46" t="str">
            <v>New</v>
          </cell>
          <cell r="K46" t="str">
            <v>Millions SqFt</v>
          </cell>
          <cell r="L46">
            <v>3.1854829351393543</v>
          </cell>
          <cell r="M46">
            <v>3.1699057451518957</v>
          </cell>
          <cell r="N46">
            <v>2.2628528186826316</v>
          </cell>
          <cell r="O46">
            <v>2.6023617076700645</v>
          </cell>
          <cell r="P46">
            <v>2.2919684786454506</v>
          </cell>
          <cell r="Q46">
            <v>2.1556450092355899</v>
          </cell>
          <cell r="R46">
            <v>1.4820394508668711</v>
          </cell>
          <cell r="S46">
            <v>1.5603361472368396</v>
          </cell>
          <cell r="T46">
            <v>2.3546097038898557</v>
          </cell>
          <cell r="U46">
            <v>3.2740386396924066</v>
          </cell>
          <cell r="V46">
            <v>3.6241751874536021</v>
          </cell>
          <cell r="W46">
            <v>4.4420137300219826</v>
          </cell>
          <cell r="X46">
            <v>5.8224273473135861</v>
          </cell>
          <cell r="Y46">
            <v>6.4604400946422142</v>
          </cell>
          <cell r="Z46">
            <v>6.9014803298142597</v>
          </cell>
          <cell r="AA46">
            <v>6.748515751490312</v>
          </cell>
          <cell r="AB46">
            <v>6.4364694734288266</v>
          </cell>
          <cell r="AC46">
            <v>6.3053235195290611</v>
          </cell>
          <cell r="AD46">
            <v>6.2236620394663484</v>
          </cell>
          <cell r="AE46">
            <v>6.0386522880717726</v>
          </cell>
        </row>
        <row r="47">
          <cell r="G47" t="str">
            <v>RegionOtherNew</v>
          </cell>
          <cell r="H47" t="str">
            <v>Com</v>
          </cell>
          <cell r="I47" t="str">
            <v>Other</v>
          </cell>
          <cell r="J47" t="str">
            <v>New</v>
          </cell>
          <cell r="K47" t="str">
            <v>Millions SqFt</v>
          </cell>
          <cell r="L47">
            <v>12.863107129152304</v>
          </cell>
          <cell r="M47">
            <v>10.7220378193485</v>
          </cell>
          <cell r="N47">
            <v>10.142128438066296</v>
          </cell>
          <cell r="O47">
            <v>9.4611923499879236</v>
          </cell>
          <cell r="P47">
            <v>7.3638556881373223</v>
          </cell>
          <cell r="Q47">
            <v>8.1591439254269407</v>
          </cell>
          <cell r="R47">
            <v>7.9603673258815011</v>
          </cell>
          <cell r="S47">
            <v>8.6026166911432824</v>
          </cell>
          <cell r="T47">
            <v>9.3207800366095146</v>
          </cell>
          <cell r="U47">
            <v>9.0572786632714859</v>
          </cell>
          <cell r="V47">
            <v>10.184423730877143</v>
          </cell>
          <cell r="W47">
            <v>10.787657533789663</v>
          </cell>
          <cell r="X47">
            <v>11.005378574708409</v>
          </cell>
          <cell r="Y47">
            <v>10.267063981307951</v>
          </cell>
          <cell r="Z47">
            <v>11.027475862918971</v>
          </cell>
          <cell r="AA47">
            <v>9.9609233822623686</v>
          </cell>
          <cell r="AB47">
            <v>10.340047869658916</v>
          </cell>
          <cell r="AC47">
            <v>9.8383849729989699</v>
          </cell>
          <cell r="AD47">
            <v>9.3282989614436094</v>
          </cell>
          <cell r="AE47">
            <v>9.0355729282982153</v>
          </cell>
        </row>
        <row r="48">
          <cell r="G48" t="str">
            <v>RegionLarge OffStock 2016</v>
          </cell>
          <cell r="H48" t="str">
            <v>Com</v>
          </cell>
          <cell r="I48" t="str">
            <v>Large Off</v>
          </cell>
          <cell r="J48" t="str">
            <v>Stock 2016</v>
          </cell>
          <cell r="K48" t="str">
            <v>Millions SqFt</v>
          </cell>
          <cell r="L48">
            <v>380.08828477966154</v>
          </cell>
          <cell r="M48">
            <v>378.94801992532251</v>
          </cell>
          <cell r="N48">
            <v>377.81117586554655</v>
          </cell>
          <cell r="O48">
            <v>376.67774233794995</v>
          </cell>
          <cell r="P48">
            <v>375.54770911093607</v>
          </cell>
          <cell r="Q48">
            <v>374.42106598360328</v>
          </cell>
          <cell r="R48">
            <v>373.29780278565244</v>
          </cell>
          <cell r="S48">
            <v>372.17790937729552</v>
          </cell>
          <cell r="T48">
            <v>371.06137564916361</v>
          </cell>
          <cell r="U48">
            <v>369.94819152221612</v>
          </cell>
          <cell r="V48">
            <v>368.83834694764948</v>
          </cell>
          <cell r="W48">
            <v>367.73183190680658</v>
          </cell>
          <cell r="X48">
            <v>366.62863641108612</v>
          </cell>
          <cell r="Y48">
            <v>365.52875050185287</v>
          </cell>
          <cell r="Z48">
            <v>364.43216425034728</v>
          </cell>
          <cell r="AA48">
            <v>363.33886775759629</v>
          </cell>
          <cell r="AB48">
            <v>362.24885115432346</v>
          </cell>
          <cell r="AC48">
            <v>361.16210460086046</v>
          </cell>
          <cell r="AD48">
            <v>360.07861828705791</v>
          </cell>
          <cell r="AE48">
            <v>358.99838243219671</v>
          </cell>
        </row>
        <row r="49">
          <cell r="G49" t="str">
            <v>RegionMedium OffStock 2016</v>
          </cell>
          <cell r="H49" t="str">
            <v>Com</v>
          </cell>
          <cell r="I49" t="str">
            <v>Medium Off</v>
          </cell>
          <cell r="J49" t="str">
            <v>Stock 2016</v>
          </cell>
          <cell r="K49" t="str">
            <v>Millions SqFt</v>
          </cell>
          <cell r="L49">
            <v>190.73687138333023</v>
          </cell>
          <cell r="M49">
            <v>190.16466076918024</v>
          </cell>
          <cell r="N49">
            <v>189.59416678687271</v>
          </cell>
          <cell r="O49">
            <v>189.02538428651209</v>
          </cell>
          <cell r="P49">
            <v>188.45830813365254</v>
          </cell>
          <cell r="Q49">
            <v>187.89293320925157</v>
          </cell>
          <cell r="R49">
            <v>187.32925440962381</v>
          </cell>
          <cell r="S49">
            <v>186.76726664639497</v>
          </cell>
          <cell r="T49">
            <v>186.20696484645578</v>
          </cell>
          <cell r="U49">
            <v>185.64834395191642</v>
          </cell>
          <cell r="V49">
            <v>185.09139892006067</v>
          </cell>
          <cell r="W49">
            <v>184.5361247233005</v>
          </cell>
          <cell r="X49">
            <v>183.98251634913058</v>
          </cell>
          <cell r="Y49">
            <v>183.43056880008319</v>
          </cell>
          <cell r="Z49">
            <v>182.88027709368296</v>
          </cell>
          <cell r="AA49">
            <v>182.33163626240187</v>
          </cell>
          <cell r="AB49">
            <v>181.78464135361469</v>
          </cell>
          <cell r="AC49">
            <v>181.23928742955383</v>
          </cell>
          <cell r="AD49">
            <v>180.69556956726515</v>
          </cell>
          <cell r="AE49">
            <v>180.15348285856339</v>
          </cell>
        </row>
        <row r="50">
          <cell r="G50" t="str">
            <v>RegionSmall OffStock 2016</v>
          </cell>
          <cell r="H50" t="str">
            <v>Com</v>
          </cell>
          <cell r="I50" t="str">
            <v>Small Off</v>
          </cell>
          <cell r="J50" t="str">
            <v>Stock 2016</v>
          </cell>
          <cell r="K50" t="str">
            <v>Millions SqFt</v>
          </cell>
          <cell r="L50">
            <v>184.0913556049378</v>
          </cell>
          <cell r="M50">
            <v>183.53908153812301</v>
          </cell>
          <cell r="N50">
            <v>182.98846429350866</v>
          </cell>
          <cell r="O50">
            <v>182.43949890062811</v>
          </cell>
          <cell r="P50">
            <v>181.89218040392623</v>
          </cell>
          <cell r="Q50">
            <v>181.34650386271446</v>
          </cell>
          <cell r="R50">
            <v>180.80246435112633</v>
          </cell>
          <cell r="S50">
            <v>180.26005695807294</v>
          </cell>
          <cell r="T50">
            <v>179.71927678719871</v>
          </cell>
          <cell r="U50">
            <v>179.18011895683713</v>
          </cell>
          <cell r="V50">
            <v>178.64257859996661</v>
          </cell>
          <cell r="W50">
            <v>178.10665086416668</v>
          </cell>
          <cell r="X50">
            <v>177.57233091157423</v>
          </cell>
          <cell r="Y50">
            <v>177.03961391883951</v>
          </cell>
          <cell r="Z50">
            <v>176.50849507708296</v>
          </cell>
          <cell r="AA50">
            <v>175.97896959185172</v>
          </cell>
          <cell r="AB50">
            <v>175.45103268307616</v>
          </cell>
          <cell r="AC50">
            <v>174.92467958502692</v>
          </cell>
          <cell r="AD50">
            <v>174.39990554627184</v>
          </cell>
          <cell r="AE50">
            <v>173.87670582963304</v>
          </cell>
        </row>
        <row r="51">
          <cell r="G51" t="str">
            <v>RegionXLarge RetStock 2016</v>
          </cell>
          <cell r="H51" t="str">
            <v>Com</v>
          </cell>
          <cell r="I51" t="str">
            <v>XLarge Ret</v>
          </cell>
          <cell r="J51" t="str">
            <v>Stock 2016</v>
          </cell>
          <cell r="K51" t="str">
            <v>Millions SqFt</v>
          </cell>
          <cell r="L51">
            <v>138.35734062238015</v>
          </cell>
          <cell r="M51">
            <v>137.7208968555172</v>
          </cell>
          <cell r="N51">
            <v>137.08738072998179</v>
          </cell>
          <cell r="O51">
            <v>136.45677877862389</v>
          </cell>
          <cell r="P51">
            <v>135.8290775962422</v>
          </cell>
          <cell r="Q51">
            <v>135.20426383929947</v>
          </cell>
          <cell r="R51">
            <v>134.5823242256387</v>
          </cell>
          <cell r="S51">
            <v>133.96324553420075</v>
          </cell>
          <cell r="T51">
            <v>133.34701460474344</v>
          </cell>
          <cell r="U51">
            <v>132.73361833756161</v>
          </cell>
          <cell r="V51">
            <v>132.12304369320884</v>
          </cell>
          <cell r="W51">
            <v>131.51527769222005</v>
          </cell>
          <cell r="X51">
            <v>130.91030741483584</v>
          </cell>
          <cell r="Y51">
            <v>130.3081200007276</v>
          </cell>
          <cell r="Z51">
            <v>129.70870264872423</v>
          </cell>
          <cell r="AA51">
            <v>129.11204261654012</v>
          </cell>
          <cell r="AB51">
            <v>128.51812722050403</v>
          </cell>
          <cell r="AC51">
            <v>127.92694383528971</v>
          </cell>
          <cell r="AD51">
            <v>127.33847989364737</v>
          </cell>
          <cell r="AE51">
            <v>126.75272288613657</v>
          </cell>
        </row>
        <row r="52">
          <cell r="G52" t="str">
            <v>RegionLarge RetStock 2016</v>
          </cell>
          <cell r="H52" t="str">
            <v>Com</v>
          </cell>
          <cell r="I52" t="str">
            <v>Large Ret</v>
          </cell>
          <cell r="J52" t="str">
            <v>Stock 2016</v>
          </cell>
          <cell r="K52" t="str">
            <v>Millions SqFt</v>
          </cell>
          <cell r="L52">
            <v>208.9574509880029</v>
          </cell>
          <cell r="M52">
            <v>207.99624671345808</v>
          </cell>
          <cell r="N52">
            <v>207.03946397857615</v>
          </cell>
          <cell r="O52">
            <v>206.0870824442747</v>
          </cell>
          <cell r="P52">
            <v>205.13908186503102</v>
          </cell>
          <cell r="Q52">
            <v>204.1954420884519</v>
          </cell>
          <cell r="R52">
            <v>203.25614305484498</v>
          </cell>
          <cell r="S52">
            <v>202.32116479679266</v>
          </cell>
          <cell r="T52">
            <v>201.3904874387274</v>
          </cell>
          <cell r="U52">
            <v>200.46409119650929</v>
          </cell>
          <cell r="V52">
            <v>199.54195637700533</v>
          </cell>
          <cell r="W52">
            <v>198.62406337767112</v>
          </cell>
          <cell r="X52">
            <v>197.71039268613379</v>
          </cell>
          <cell r="Y52">
            <v>196.8009248797776</v>
          </cell>
          <cell r="Z52">
            <v>195.8956406253306</v>
          </cell>
          <cell r="AA52">
            <v>194.99452067845405</v>
          </cell>
          <cell r="AB52">
            <v>194.09754588333314</v>
          </cell>
          <cell r="AC52">
            <v>193.20469717226982</v>
          </cell>
          <cell r="AD52">
            <v>192.31595556527733</v>
          </cell>
          <cell r="AE52">
            <v>191.43130216967708</v>
          </cell>
        </row>
        <row r="53">
          <cell r="G53" t="str">
            <v>RegionMedium RetStock 2016</v>
          </cell>
          <cell r="H53" t="str">
            <v>Com</v>
          </cell>
          <cell r="I53" t="str">
            <v>Medium Ret</v>
          </cell>
          <cell r="J53" t="str">
            <v>Stock 2016</v>
          </cell>
          <cell r="K53" t="str">
            <v>Millions SqFt</v>
          </cell>
          <cell r="L53">
            <v>97.115689913224898</v>
          </cell>
          <cell r="M53">
            <v>96.668957739624062</v>
          </cell>
          <cell r="N53">
            <v>96.224280534021787</v>
          </cell>
          <cell r="O53">
            <v>95.781648843565293</v>
          </cell>
          <cell r="P53">
            <v>95.34105325888487</v>
          </cell>
          <cell r="Q53">
            <v>94.902484413894001</v>
          </cell>
          <cell r="R53">
            <v>94.465932985590086</v>
          </cell>
          <cell r="S53">
            <v>94.031389693856369</v>
          </cell>
          <cell r="T53">
            <v>93.598845301264618</v>
          </cell>
          <cell r="U53">
            <v>93.168290612878806</v>
          </cell>
          <cell r="V53">
            <v>92.739716476059556</v>
          </cell>
          <cell r="W53">
            <v>92.313113780269674</v>
          </cell>
          <cell r="X53">
            <v>91.888473456880433</v>
          </cell>
          <cell r="Y53">
            <v>91.465786478978771</v>
          </cell>
          <cell r="Z53">
            <v>91.045043861175472</v>
          </cell>
          <cell r="AA53">
            <v>90.626236659414062</v>
          </cell>
          <cell r="AB53">
            <v>90.209355970780734</v>
          </cell>
          <cell r="AC53">
            <v>89.794392933315152</v>
          </cell>
          <cell r="AD53">
            <v>89.381338725821905</v>
          </cell>
          <cell r="AE53">
            <v>88.97018456768312</v>
          </cell>
        </row>
        <row r="54">
          <cell r="G54" t="str">
            <v>RegionSmall RetStock 2016</v>
          </cell>
          <cell r="H54" t="str">
            <v>Com</v>
          </cell>
          <cell r="I54" t="str">
            <v>Small Ret</v>
          </cell>
          <cell r="J54" t="str">
            <v>Stock 2016</v>
          </cell>
          <cell r="K54" t="str">
            <v>Millions SqFt</v>
          </cell>
          <cell r="L54">
            <v>109.47966092768364</v>
          </cell>
          <cell r="M54">
            <v>108.97605448741629</v>
          </cell>
          <cell r="N54">
            <v>108.47476463677417</v>
          </cell>
          <cell r="O54">
            <v>107.975780719445</v>
          </cell>
          <cell r="P54">
            <v>107.47909212813555</v>
          </cell>
          <cell r="Q54">
            <v>106.98468830434612</v>
          </cell>
          <cell r="R54">
            <v>106.49255873814613</v>
          </cell>
          <cell r="S54">
            <v>106.00269296795065</v>
          </cell>
          <cell r="T54">
            <v>105.51508058029808</v>
          </cell>
          <cell r="U54">
            <v>105.0297112096287</v>
          </cell>
          <cell r="V54">
            <v>104.54657453806439</v>
          </cell>
          <cell r="W54">
            <v>104.0656602951893</v>
          </cell>
          <cell r="X54">
            <v>103.58695825783141</v>
          </cell>
          <cell r="Y54">
            <v>103.11045824984539</v>
          </cell>
          <cell r="Z54">
            <v>102.6361501418961</v>
          </cell>
          <cell r="AA54">
            <v>102.16402385124337</v>
          </cell>
          <cell r="AB54">
            <v>101.69406934152764</v>
          </cell>
          <cell r="AC54">
            <v>101.2262766225566</v>
          </cell>
          <cell r="AD54">
            <v>100.76063575009285</v>
          </cell>
          <cell r="AE54">
            <v>100.29713682564241</v>
          </cell>
        </row>
        <row r="55">
          <cell r="G55" t="str">
            <v>RegionSchool K-12Stock 2016</v>
          </cell>
          <cell r="H55" t="str">
            <v>Com</v>
          </cell>
          <cell r="I55" t="str">
            <v>School K-12</v>
          </cell>
          <cell r="J55" t="str">
            <v>Stock 2016</v>
          </cell>
          <cell r="K55" t="str">
            <v>Millions SqFt</v>
          </cell>
          <cell r="L55">
            <v>241.11763975818661</v>
          </cell>
          <cell r="M55">
            <v>240.12905743517803</v>
          </cell>
          <cell r="N55">
            <v>239.14452829969383</v>
          </cell>
          <cell r="O55">
            <v>238.16403573366509</v>
          </cell>
          <cell r="P55">
            <v>237.18756318715711</v>
          </cell>
          <cell r="Q55">
            <v>236.21509417808971</v>
          </cell>
          <cell r="R55">
            <v>235.24661229195956</v>
          </cell>
          <cell r="S55">
            <v>234.28210118156252</v>
          </cell>
          <cell r="T55">
            <v>233.32154456671807</v>
          </cell>
          <cell r="U55">
            <v>232.36492623399457</v>
          </cell>
          <cell r="V55">
            <v>231.41223003643518</v>
          </cell>
          <cell r="W55">
            <v>230.46343989328579</v>
          </cell>
          <cell r="X55">
            <v>229.51853978972335</v>
          </cell>
          <cell r="Y55">
            <v>228.57751377658545</v>
          </cell>
          <cell r="Z55">
            <v>227.64034597010144</v>
          </cell>
          <cell r="AA55">
            <v>226.70702055162403</v>
          </cell>
          <cell r="AB55">
            <v>225.77752176736234</v>
          </cell>
          <cell r="AC55">
            <v>224.85183392811618</v>
          </cell>
          <cell r="AD55">
            <v>223.92994140901092</v>
          </cell>
          <cell r="AE55">
            <v>223.01182864923393</v>
          </cell>
        </row>
        <row r="56">
          <cell r="G56" t="str">
            <v>RegionUniversityStock 2016</v>
          </cell>
          <cell r="H56" t="str">
            <v>Com</v>
          </cell>
          <cell r="I56" t="str">
            <v>University</v>
          </cell>
          <cell r="J56" t="str">
            <v>Stock 2016</v>
          </cell>
          <cell r="K56" t="str">
            <v>Millions SqFt</v>
          </cell>
          <cell r="L56">
            <v>122.15340627232256</v>
          </cell>
          <cell r="M56">
            <v>121.65257730660603</v>
          </cell>
          <cell r="N56">
            <v>121.15380173964894</v>
          </cell>
          <cell r="O56">
            <v>120.65707115251638</v>
          </cell>
          <cell r="P56">
            <v>120.16237716079107</v>
          </cell>
          <cell r="Q56">
            <v>119.66971141443182</v>
          </cell>
          <cell r="R56">
            <v>119.17906559763266</v>
          </cell>
          <cell r="S56">
            <v>118.69043142868237</v>
          </cell>
          <cell r="T56">
            <v>118.20380065982476</v>
          </cell>
          <cell r="U56">
            <v>117.71916507711948</v>
          </cell>
          <cell r="V56">
            <v>117.23651650030328</v>
          </cell>
          <cell r="W56">
            <v>116.75584678265207</v>
          </cell>
          <cell r="X56">
            <v>116.27714781084319</v>
          </cell>
          <cell r="Y56">
            <v>115.80041150481873</v>
          </cell>
          <cell r="Z56">
            <v>115.32562981764897</v>
          </cell>
          <cell r="AA56">
            <v>114.8527947353966</v>
          </cell>
          <cell r="AB56">
            <v>114.38189827698147</v>
          </cell>
          <cell r="AC56">
            <v>113.91293249404585</v>
          </cell>
          <cell r="AD56">
            <v>113.44588947082025</v>
          </cell>
          <cell r="AE56">
            <v>112.98076132398991</v>
          </cell>
        </row>
        <row r="57">
          <cell r="G57" t="str">
            <v>RegionWarehouseStock 2016</v>
          </cell>
          <cell r="H57" t="str">
            <v>Com</v>
          </cell>
          <cell r="I57" t="str">
            <v>Warehouse</v>
          </cell>
          <cell r="J57" t="str">
            <v>Stock 2016</v>
          </cell>
          <cell r="K57" t="str">
            <v>Millions SqFt</v>
          </cell>
          <cell r="L57">
            <v>448.69829599576161</v>
          </cell>
          <cell r="M57">
            <v>447.03811230057732</v>
          </cell>
          <cell r="N57">
            <v>445.3840712850652</v>
          </cell>
          <cell r="O57">
            <v>443.73615022131042</v>
          </cell>
          <cell r="P57">
            <v>442.09432646549152</v>
          </cell>
          <cell r="Q57">
            <v>440.45857745756916</v>
          </cell>
          <cell r="R57">
            <v>438.82888072097626</v>
          </cell>
          <cell r="S57">
            <v>437.2052138623086</v>
          </cell>
          <cell r="T57">
            <v>435.58755457101802</v>
          </cell>
          <cell r="U57">
            <v>433.97588061910528</v>
          </cell>
          <cell r="V57">
            <v>432.37016986081449</v>
          </cell>
          <cell r="W57">
            <v>430.77040023232951</v>
          </cell>
          <cell r="X57">
            <v>429.17654975146979</v>
          </cell>
          <cell r="Y57">
            <v>427.58859651738936</v>
          </cell>
          <cell r="Z57">
            <v>426.00651871027503</v>
          </cell>
          <cell r="AA57">
            <v>424.43029459104702</v>
          </cell>
          <cell r="AB57">
            <v>422.85990250106011</v>
          </cell>
          <cell r="AC57">
            <v>421.2953208618062</v>
          </cell>
          <cell r="AD57">
            <v>419.73652817461749</v>
          </cell>
          <cell r="AE57">
            <v>418.18350302037135</v>
          </cell>
        </row>
        <row r="58">
          <cell r="G58" t="str">
            <v>RegionSupermarketStock 2016</v>
          </cell>
          <cell r="H58" t="str">
            <v>Com</v>
          </cell>
          <cell r="I58" t="str">
            <v>Supermarket</v>
          </cell>
          <cell r="J58" t="str">
            <v>Stock 2016</v>
          </cell>
          <cell r="K58" t="str">
            <v>Millions SqFt</v>
          </cell>
          <cell r="L58">
            <v>53.720939527021244</v>
          </cell>
          <cell r="M58">
            <v>53.237451071278059</v>
          </cell>
          <cell r="N58">
            <v>52.758314011636557</v>
          </cell>
          <cell r="O58">
            <v>52.283489185531828</v>
          </cell>
          <cell r="P58">
            <v>51.812937782862043</v>
          </cell>
          <cell r="Q58">
            <v>51.346621342816277</v>
          </cell>
          <cell r="R58">
            <v>50.884501750730934</v>
          </cell>
          <cell r="S58">
            <v>50.426541234974358</v>
          </cell>
          <cell r="T58">
            <v>49.97270236385959</v>
          </cell>
          <cell r="U58">
            <v>49.522948042584851</v>
          </cell>
          <cell r="V58">
            <v>49.077241510201581</v>
          </cell>
          <cell r="W58">
            <v>48.635546336609778</v>
          </cell>
          <cell r="X58">
            <v>48.197826419580288</v>
          </cell>
          <cell r="Y58">
            <v>47.76404598180406</v>
          </cell>
          <cell r="Z58">
            <v>47.33416956796782</v>
          </cell>
          <cell r="AA58">
            <v>46.908162041856116</v>
          </cell>
          <cell r="AB58">
            <v>46.485988583479411</v>
          </cell>
          <cell r="AC58">
            <v>46.067614686228097</v>
          </cell>
          <cell r="AD58">
            <v>45.653006154052044</v>
          </cell>
          <cell r="AE58">
            <v>45.242129098665572</v>
          </cell>
        </row>
        <row r="59">
          <cell r="G59" t="str">
            <v>RegionMiniMartStock 2016</v>
          </cell>
          <cell r="H59" t="str">
            <v>Com</v>
          </cell>
          <cell r="I59" t="str">
            <v>MiniMart</v>
          </cell>
          <cell r="J59" t="str">
            <v>Stock 2016</v>
          </cell>
          <cell r="K59" t="str">
            <v>Millions SqFt</v>
          </cell>
          <cell r="L59">
            <v>22.491017060912501</v>
          </cell>
          <cell r="M59">
            <v>22.384859460384995</v>
          </cell>
          <cell r="N59">
            <v>22.279202923731983</v>
          </cell>
          <cell r="O59">
            <v>22.174045085931969</v>
          </cell>
          <cell r="P59">
            <v>22.069383593126368</v>
          </cell>
          <cell r="Q59">
            <v>21.965216102566814</v>
          </cell>
          <cell r="R59">
            <v>21.8615402825627</v>
          </cell>
          <cell r="S59">
            <v>21.758353812429004</v>
          </cell>
          <cell r="T59">
            <v>21.655654382434342</v>
          </cell>
          <cell r="U59">
            <v>21.553439693749251</v>
          </cell>
          <cell r="V59">
            <v>21.451707458394754</v>
          </cell>
          <cell r="W59">
            <v>21.350455399191134</v>
          </cell>
          <cell r="X59">
            <v>21.249681249706953</v>
          </cell>
          <cell r="Y59">
            <v>21.149382754208336</v>
          </cell>
          <cell r="Z59">
            <v>21.049557667608472</v>
          </cell>
          <cell r="AA59">
            <v>20.950203755417366</v>
          </cell>
          <cell r="AB59">
            <v>20.851318793691796</v>
          </cell>
          <cell r="AC59">
            <v>20.75290056898557</v>
          </cell>
          <cell r="AD59">
            <v>20.654946878299963</v>
          </cell>
          <cell r="AE59">
            <v>20.557455529034385</v>
          </cell>
        </row>
        <row r="60">
          <cell r="G60" t="str">
            <v>RegionRestaurantStock 2016</v>
          </cell>
          <cell r="H60" t="str">
            <v>Com</v>
          </cell>
          <cell r="I60" t="str">
            <v>Restaurant</v>
          </cell>
          <cell r="J60" t="str">
            <v>Stock 2016</v>
          </cell>
          <cell r="K60" t="str">
            <v>Millions SqFt</v>
          </cell>
          <cell r="L60">
            <v>51.550857208753726</v>
          </cell>
          <cell r="M60">
            <v>51.307537162728408</v>
          </cell>
          <cell r="N60">
            <v>51.065365587320336</v>
          </cell>
          <cell r="O60">
            <v>50.824337061748189</v>
          </cell>
          <cell r="P60">
            <v>50.584446190816735</v>
          </cell>
          <cell r="Q60">
            <v>50.345687604796083</v>
          </cell>
          <cell r="R60">
            <v>50.108055959301453</v>
          </cell>
          <cell r="S60">
            <v>49.871545935173543</v>
          </cell>
          <cell r="T60">
            <v>49.636152238359529</v>
          </cell>
          <cell r="U60">
            <v>49.40186959979448</v>
          </cell>
          <cell r="V60">
            <v>49.168692775283453</v>
          </cell>
          <cell r="W60">
            <v>48.936616545384119</v>
          </cell>
          <cell r="X60">
            <v>48.705635715289908</v>
          </cell>
          <cell r="Y60">
            <v>48.475745114713739</v>
          </cell>
          <cell r="Z60">
            <v>48.246939597772297</v>
          </cell>
          <cell r="AA60">
            <v>48.019214042870807</v>
          </cell>
          <cell r="AB60">
            <v>47.792563352588466</v>
          </cell>
          <cell r="AC60">
            <v>47.56698245356425</v>
          </cell>
          <cell r="AD60">
            <v>47.342466296383435</v>
          </cell>
          <cell r="AE60">
            <v>47.119009855464505</v>
          </cell>
        </row>
        <row r="61">
          <cell r="G61" t="str">
            <v>RegionLodgingStock 2016</v>
          </cell>
          <cell r="H61" t="str">
            <v>Com</v>
          </cell>
          <cell r="I61" t="str">
            <v>Lodging</v>
          </cell>
          <cell r="J61" t="str">
            <v>Stock 2016</v>
          </cell>
          <cell r="K61" t="str">
            <v>Millions SqFt</v>
          </cell>
          <cell r="L61">
            <v>170.15189589049527</v>
          </cell>
          <cell r="M61">
            <v>169.74353134035809</v>
          </cell>
          <cell r="N61">
            <v>169.33614686514122</v>
          </cell>
          <cell r="O61">
            <v>168.92974011266489</v>
          </cell>
          <cell r="P61">
            <v>168.52430873639449</v>
          </cell>
          <cell r="Q61">
            <v>168.11985039542716</v>
          </cell>
          <cell r="R61">
            <v>167.71636275447813</v>
          </cell>
          <cell r="S61">
            <v>167.31384348386743</v>
          </cell>
          <cell r="T61">
            <v>166.91229025950614</v>
          </cell>
          <cell r="U61">
            <v>166.51170076288332</v>
          </cell>
          <cell r="V61">
            <v>166.11207268105238</v>
          </cell>
          <cell r="W61">
            <v>165.7134037066179</v>
          </cell>
          <cell r="X61">
            <v>165.31569153772202</v>
          </cell>
          <cell r="Y61">
            <v>164.91893387803151</v>
          </cell>
          <cell r="Z61">
            <v>164.52312843672422</v>
          </cell>
          <cell r="AA61">
            <v>164.12827292847609</v>
          </cell>
          <cell r="AB61">
            <v>163.73436507344778</v>
          </cell>
          <cell r="AC61">
            <v>163.3414025972715</v>
          </cell>
          <cell r="AD61">
            <v>162.94938323103807</v>
          </cell>
          <cell r="AE61">
            <v>162.55830471128357</v>
          </cell>
        </row>
        <row r="62">
          <cell r="G62" t="str">
            <v>RegionHospitalStock 2016</v>
          </cell>
          <cell r="H62" t="str">
            <v>Com</v>
          </cell>
          <cell r="I62" t="str">
            <v>Hospital</v>
          </cell>
          <cell r="J62" t="str">
            <v>Stock 2016</v>
          </cell>
          <cell r="K62" t="str">
            <v>Millions SqFt</v>
          </cell>
          <cell r="L62">
            <v>105.02947953487826</v>
          </cell>
          <cell r="M62">
            <v>104.80891762785501</v>
          </cell>
          <cell r="N62">
            <v>104.58881890083651</v>
          </cell>
          <cell r="O62">
            <v>104.36918238114475</v>
          </cell>
          <cell r="P62">
            <v>104.15000709814436</v>
          </cell>
          <cell r="Q62">
            <v>103.93129208323826</v>
          </cell>
          <cell r="R62">
            <v>103.71303636986346</v>
          </cell>
          <cell r="S62">
            <v>103.49523899348674</v>
          </cell>
          <cell r="T62">
            <v>103.27789899160042</v>
          </cell>
          <cell r="U62">
            <v>103.06101540371807</v>
          </cell>
          <cell r="V62">
            <v>102.84458727137024</v>
          </cell>
          <cell r="W62">
            <v>102.62861363810038</v>
          </cell>
          <cell r="X62">
            <v>102.41309354946036</v>
          </cell>
          <cell r="Y62">
            <v>102.19802605300649</v>
          </cell>
          <cell r="Z62">
            <v>101.98341019829519</v>
          </cell>
          <cell r="AA62">
            <v>101.76924503687877</v>
          </cell>
          <cell r="AB62">
            <v>101.55552962230132</v>
          </cell>
          <cell r="AC62">
            <v>101.3422630100945</v>
          </cell>
          <cell r="AD62">
            <v>101.1294442577733</v>
          </cell>
          <cell r="AE62">
            <v>100.91707242483197</v>
          </cell>
        </row>
        <row r="63">
          <cell r="G63" t="str">
            <v>RegionResidential CareStock 2016</v>
          </cell>
          <cell r="H63" t="str">
            <v>Com</v>
          </cell>
          <cell r="I63" t="str">
            <v>Residential Care</v>
          </cell>
          <cell r="J63" t="str">
            <v>Stock 2016</v>
          </cell>
          <cell r="K63" t="str">
            <v>Millions SqFt</v>
          </cell>
          <cell r="L63">
            <v>128.74820917277606</v>
          </cell>
          <cell r="M63">
            <v>128.43921347076139</v>
          </cell>
          <cell r="N63">
            <v>128.1309593584316</v>
          </cell>
          <cell r="O63">
            <v>127.82344505597135</v>
          </cell>
          <cell r="P63">
            <v>127.51666878783702</v>
          </cell>
          <cell r="Q63">
            <v>127.21062878274621</v>
          </cell>
          <cell r="R63">
            <v>126.90532327366765</v>
          </cell>
          <cell r="S63">
            <v>126.60075049781085</v>
          </cell>
          <cell r="T63">
            <v>126.29690869661611</v>
          </cell>
          <cell r="U63">
            <v>125.99379611574425</v>
          </cell>
          <cell r="V63">
            <v>125.69141100506647</v>
          </cell>
          <cell r="W63">
            <v>125.3897516186543</v>
          </cell>
          <cell r="X63">
            <v>125.08881621476955</v>
          </cell>
          <cell r="Y63">
            <v>124.78860305585408</v>
          </cell>
          <cell r="Z63">
            <v>124.48911040852005</v>
          </cell>
          <cell r="AA63">
            <v>124.1903365435396</v>
          </cell>
          <cell r="AB63">
            <v>123.8922797358351</v>
          </cell>
          <cell r="AC63">
            <v>123.59493826446912</v>
          </cell>
          <cell r="AD63">
            <v>123.29831041263438</v>
          </cell>
          <cell r="AE63">
            <v>123.00239446764408</v>
          </cell>
        </row>
        <row r="64">
          <cell r="G64" t="str">
            <v>RegionAssemblyStock 2016</v>
          </cell>
          <cell r="H64" t="str">
            <v>Com</v>
          </cell>
          <cell r="I64" t="str">
            <v>Assembly</v>
          </cell>
          <cell r="J64" t="str">
            <v>Stock 2016</v>
          </cell>
          <cell r="K64" t="str">
            <v>Millions SqFt</v>
          </cell>
          <cell r="L64">
            <v>375.90224900649127</v>
          </cell>
          <cell r="M64">
            <v>374.21570091594884</v>
          </cell>
          <cell r="N64">
            <v>372.53671980450594</v>
          </cell>
          <cell r="O64">
            <v>370.86527172164978</v>
          </cell>
          <cell r="P64">
            <v>369.20132286919198</v>
          </cell>
          <cell r="Q64">
            <v>367.54483960058553</v>
          </cell>
          <cell r="R64">
            <v>365.89578842024423</v>
          </cell>
          <cell r="S64">
            <v>364.25413598286536</v>
          </cell>
          <cell r="T64">
            <v>362.6198490927556</v>
          </cell>
          <cell r="U64">
            <v>360.99289470315949</v>
          </cell>
          <cell r="V64">
            <v>359.37323991559134</v>
          </cell>
          <cell r="W64">
            <v>357.76085197917007</v>
          </cell>
          <cell r="X64">
            <v>356.15569828995689</v>
          </cell>
          <cell r="Y64">
            <v>354.55774639029596</v>
          </cell>
          <cell r="Z64">
            <v>352.96696396815821</v>
          </cell>
          <cell r="AA64">
            <v>351.38331885648773</v>
          </cell>
          <cell r="AB64">
            <v>349.80677903255156</v>
          </cell>
          <cell r="AC64">
            <v>348.23731261729228</v>
          </cell>
          <cell r="AD64">
            <v>346.67488787468267</v>
          </cell>
          <cell r="AE64">
            <v>345.11947321108494</v>
          </cell>
        </row>
        <row r="65">
          <cell r="G65" t="str">
            <v>RegionOtherStock 2016</v>
          </cell>
          <cell r="H65" t="str">
            <v>Com</v>
          </cell>
          <cell r="I65" t="str">
            <v>Other</v>
          </cell>
          <cell r="J65" t="str">
            <v>Stock 2016</v>
          </cell>
          <cell r="K65" t="str">
            <v>Millions SqFt</v>
          </cell>
          <cell r="L65">
            <v>342.64988330108076</v>
          </cell>
          <cell r="M65">
            <v>339.56603435137106</v>
          </cell>
          <cell r="N65">
            <v>336.50994004220871</v>
          </cell>
          <cell r="O65">
            <v>333.48135058182885</v>
          </cell>
          <cell r="P65">
            <v>330.48001842659238</v>
          </cell>
          <cell r="Q65">
            <v>327.50569826075304</v>
          </cell>
          <cell r="R65">
            <v>324.55814697640625</v>
          </cell>
          <cell r="S65">
            <v>321.63712365361863</v>
          </cell>
          <cell r="T65">
            <v>318.7423895407361</v>
          </cell>
          <cell r="U65">
            <v>315.87370803486942</v>
          </cell>
          <cell r="V65">
            <v>313.03084466255564</v>
          </cell>
          <cell r="W65">
            <v>310.21356706059254</v>
          </cell>
          <cell r="X65">
            <v>307.42164495704725</v>
          </cell>
          <cell r="Y65">
            <v>304.65485015243382</v>
          </cell>
          <cell r="Z65">
            <v>301.9129565010619</v>
          </cell>
          <cell r="AA65">
            <v>299.19573989255235</v>
          </cell>
          <cell r="AB65">
            <v>296.50297823351934</v>
          </cell>
          <cell r="AC65">
            <v>293.83445142941764</v>
          </cell>
          <cell r="AD65">
            <v>291.18994136655289</v>
          </cell>
          <cell r="AE65">
            <v>288.5692318942539</v>
          </cell>
        </row>
        <row r="66">
          <cell r="G66" t="str">
            <v>RegionIdahoStock</v>
          </cell>
          <cell r="H66" t="str">
            <v>Ag</v>
          </cell>
          <cell r="I66" t="str">
            <v>Idaho</v>
          </cell>
          <cell r="J66" t="str">
            <v>Stock</v>
          </cell>
          <cell r="K66" t="str">
            <v>% Growth</v>
          </cell>
          <cell r="L66">
            <v>0</v>
          </cell>
          <cell r="M66">
            <v>1.2504100211369894E-4</v>
          </cell>
          <cell r="N66">
            <v>1.7375879514796466E-4</v>
          </cell>
          <cell r="O66">
            <v>6.1210927779177624E-4</v>
          </cell>
          <cell r="P66">
            <v>8.8127487458086599E-4</v>
          </cell>
          <cell r="Q66">
            <v>1.1201972174019578E-3</v>
          </cell>
          <cell r="R66">
            <v>1.2717867360821197E-3</v>
          </cell>
          <cell r="S66">
            <v>1.4404642508513471E-3</v>
          </cell>
          <cell r="T66">
            <v>1.5874396385228723E-3</v>
          </cell>
          <cell r="U66">
            <v>1.7204636459112381E-3</v>
          </cell>
          <cell r="V66">
            <v>1.8289050040785739E-3</v>
          </cell>
          <cell r="W66">
            <v>1.9377539743383628E-3</v>
          </cell>
          <cell r="X66">
            <v>2.0316119038316116E-3</v>
          </cell>
          <cell r="Y66">
            <v>2.128079506222659E-3</v>
          </cell>
          <cell r="Z66">
            <v>2.2126572758413075E-3</v>
          </cell>
          <cell r="AA66">
            <v>2.2578225416429688E-3</v>
          </cell>
          <cell r="AB66">
            <v>2.3464540176612314E-3</v>
          </cell>
          <cell r="AC66">
            <v>2.414467009038601E-3</v>
          </cell>
          <cell r="AD66">
            <v>2.4848313911262653E-3</v>
          </cell>
          <cell r="AE66">
            <v>2.5344116000376449E-3</v>
          </cell>
        </row>
        <row r="67">
          <cell r="G67" t="str">
            <v>RegionMontanaStock</v>
          </cell>
          <cell r="H67" t="str">
            <v>Ag</v>
          </cell>
          <cell r="I67" t="str">
            <v>Montana</v>
          </cell>
          <cell r="J67" t="str">
            <v>Stock</v>
          </cell>
          <cell r="K67" t="str">
            <v>% Growth</v>
          </cell>
          <cell r="L67">
            <v>0</v>
          </cell>
          <cell r="M67">
            <v>1.0848242299839954E-2</v>
          </cell>
          <cell r="N67">
            <v>1.059267655252486E-2</v>
          </cell>
          <cell r="O67">
            <v>1.0752312089181865E-2</v>
          </cell>
          <cell r="P67">
            <v>1.075849831916186E-2</v>
          </cell>
          <cell r="Q67">
            <v>7.6567396067742733E-3</v>
          </cell>
          <cell r="R67">
            <v>7.6532068711881581E-3</v>
          </cell>
          <cell r="S67">
            <v>7.9235679867256659E-3</v>
          </cell>
          <cell r="T67">
            <v>8.1459053842477987E-3</v>
          </cell>
          <cell r="U67">
            <v>8.331284422267278E-3</v>
          </cell>
          <cell r="V67">
            <v>8.47135846405455E-3</v>
          </cell>
          <cell r="W67">
            <v>8.5938864965773454E-3</v>
          </cell>
          <cell r="X67">
            <v>8.6866032784890905E-3</v>
          </cell>
          <cell r="Y67">
            <v>8.7680800681235963E-3</v>
          </cell>
          <cell r="Z67">
            <v>8.8271867856936984E-3</v>
          </cell>
          <cell r="AA67">
            <v>8.8355566433926322E-3</v>
          </cell>
          <cell r="AB67">
            <v>8.8812025924713319E-3</v>
          </cell>
          <cell r="AC67">
            <v>8.8979055290069331E-3</v>
          </cell>
          <cell r="AD67">
            <v>8.9118787925779024E-3</v>
          </cell>
          <cell r="AE67">
            <v>8.9015256915168112E-3</v>
          </cell>
        </row>
        <row r="68">
          <cell r="G68" t="str">
            <v>RegionOregonStock</v>
          </cell>
          <cell r="H68" t="str">
            <v>Ag</v>
          </cell>
          <cell r="I68" t="str">
            <v>Oregon</v>
          </cell>
          <cell r="J68" t="str">
            <v>Stock</v>
          </cell>
          <cell r="K68" t="str">
            <v>% Growth</v>
          </cell>
          <cell r="L68">
            <v>0</v>
          </cell>
          <cell r="M68">
            <v>1.0110842680911804E-2</v>
          </cell>
          <cell r="N68">
            <v>1.0059217505089263E-2</v>
          </cell>
          <cell r="O68">
            <v>1.1176866051223918E-2</v>
          </cell>
          <cell r="P68">
            <v>1.9803102619340613E-2</v>
          </cell>
          <cell r="Q68">
            <v>1.2078828157499845E-2</v>
          </cell>
          <cell r="R68">
            <v>1.2074917420983849E-2</v>
          </cell>
          <cell r="S68">
            <v>1.2823009061012478E-2</v>
          </cell>
          <cell r="T68">
            <v>1.2064646132519813E-2</v>
          </cell>
          <cell r="U68">
            <v>2.1359830411811859E-2</v>
          </cell>
          <cell r="V68">
            <v>1.1864279678250279E-2</v>
          </cell>
          <cell r="W68">
            <v>1.1811806122028052E-2</v>
          </cell>
          <cell r="X68">
            <v>1.1060463245174785E-2</v>
          </cell>
          <cell r="Y68">
            <v>1.1689201211084101E-2</v>
          </cell>
          <cell r="Z68">
            <v>1.9623204602959039E-2</v>
          </cell>
          <cell r="AA68">
            <v>1.2054155221857031E-2</v>
          </cell>
          <cell r="AB68">
            <v>1.2615728823653952E-2</v>
          </cell>
          <cell r="AC68">
            <v>1.2496481187089379E-2</v>
          </cell>
          <cell r="AD68">
            <v>1.1753415892541448E-2</v>
          </cell>
          <cell r="AE68">
            <v>2.0946064887122692E-2</v>
          </cell>
        </row>
        <row r="69">
          <cell r="G69" t="str">
            <v>RegionWashingtonStock</v>
          </cell>
          <cell r="H69" t="str">
            <v>Ag</v>
          </cell>
          <cell r="I69" t="str">
            <v>Washington</v>
          </cell>
          <cell r="J69" t="str">
            <v>Stock</v>
          </cell>
          <cell r="K69" t="str">
            <v>% Growth</v>
          </cell>
          <cell r="L69">
            <v>0</v>
          </cell>
          <cell r="M69">
            <v>1.0662122206220235E-2</v>
          </cell>
          <cell r="N69">
            <v>1.0931258902780325E-2</v>
          </cell>
          <cell r="O69">
            <v>1.1173761515183053E-2</v>
          </cell>
          <cell r="P69">
            <v>1.811439906784525E-2</v>
          </cell>
          <cell r="Q69">
            <v>1.2399989211989764E-2</v>
          </cell>
          <cell r="R69">
            <v>1.1939862954954953E-2</v>
          </cell>
          <cell r="S69">
            <v>1.2288284859874222E-2</v>
          </cell>
          <cell r="T69">
            <v>1.1842226253476947E-2</v>
          </cell>
          <cell r="U69">
            <v>1.9682157833762929E-2</v>
          </cell>
          <cell r="V69">
            <v>1.1592234987503456E-2</v>
          </cell>
          <cell r="W69">
            <v>1.1147844023716795E-2</v>
          </cell>
          <cell r="X69">
            <v>1.1425985017752077E-2</v>
          </cell>
          <cell r="Y69">
            <v>1.0985810035676221E-2</v>
          </cell>
          <cell r="Z69">
            <v>1.7930228386922677E-2</v>
          </cell>
          <cell r="AA69">
            <v>1.1736355426763144E-2</v>
          </cell>
          <cell r="AB69">
            <v>1.1982095590114178E-2</v>
          </cell>
          <cell r="AC69">
            <v>1.1862624139313738E-2</v>
          </cell>
          <cell r="AD69">
            <v>1.1418033334772959E-2</v>
          </cell>
          <cell r="AE69">
            <v>1.8838157687553127E-2</v>
          </cell>
        </row>
        <row r="70">
          <cell r="G70" t="str">
            <v>RegionIdahoDairyStock</v>
          </cell>
          <cell r="H70" t="str">
            <v>Dairy</v>
          </cell>
          <cell r="I70" t="str">
            <v>IdahoDairy</v>
          </cell>
          <cell r="J70" t="str">
            <v>Stock</v>
          </cell>
          <cell r="K70" t="str">
            <v>1000lbs</v>
          </cell>
          <cell r="L70">
            <v>13629.012110609969</v>
          </cell>
          <cell r="M70">
            <v>13842.907114251881</v>
          </cell>
          <cell r="N70">
            <v>14023.216425344392</v>
          </cell>
          <cell r="O70">
            <v>14266.319353967396</v>
          </cell>
          <cell r="P70">
            <v>14513.683501515552</v>
          </cell>
          <cell r="Q70">
            <v>14784.738793280194</v>
          </cell>
          <cell r="R70">
            <v>15048.82150982591</v>
          </cell>
          <cell r="S70">
            <v>15351.081667959821</v>
          </cell>
          <cell r="T70">
            <v>15676.70161423125</v>
          </cell>
          <cell r="U70">
            <v>16022.910400199034</v>
          </cell>
          <cell r="V70">
            <v>16435.334001552066</v>
          </cell>
          <cell r="W70">
            <v>16796.9270935268</v>
          </cell>
          <cell r="X70">
            <v>17186.008838626629</v>
          </cell>
          <cell r="Y70">
            <v>17509.663776252026</v>
          </cell>
          <cell r="Z70">
            <v>17849.045518001847</v>
          </cell>
          <cell r="AA70">
            <v>18205.116228437721</v>
          </cell>
          <cell r="AB70">
            <v>18533.843580326749</v>
          </cell>
          <cell r="AC70">
            <v>18839.457555909743</v>
          </cell>
          <cell r="AD70">
            <v>19186.22471079613</v>
          </cell>
          <cell r="AE70">
            <v>19422.392838095242</v>
          </cell>
        </row>
        <row r="71">
          <cell r="G71" t="str">
            <v>RegionMontanaDairyStock</v>
          </cell>
          <cell r="H71" t="str">
            <v>Dairy</v>
          </cell>
          <cell r="I71" t="str">
            <v>MontanaDairy</v>
          </cell>
          <cell r="J71" t="str">
            <v>Stock</v>
          </cell>
          <cell r="K71" t="str">
            <v>1000lbs</v>
          </cell>
          <cell r="L71">
            <v>90.74529582059904</v>
          </cell>
          <cell r="M71">
            <v>90.898327903457215</v>
          </cell>
          <cell r="N71">
            <v>90.899562515809663</v>
          </cell>
          <cell r="O71">
            <v>91.013237267303055</v>
          </cell>
          <cell r="P71">
            <v>90.967755259326395</v>
          </cell>
          <cell r="Q71">
            <v>90.924506050749457</v>
          </cell>
          <cell r="R71">
            <v>91.025748037140048</v>
          </cell>
          <cell r="S71">
            <v>91.099301040678228</v>
          </cell>
          <cell r="T71">
            <v>90.915023147811965</v>
          </cell>
          <cell r="U71">
            <v>90.903023153329187</v>
          </cell>
          <cell r="V71">
            <v>90.903850245090197</v>
          </cell>
          <cell r="W71">
            <v>90.425722269176404</v>
          </cell>
          <cell r="X71">
            <v>90.371471553755299</v>
          </cell>
          <cell r="Y71">
            <v>90.264014484201496</v>
          </cell>
          <cell r="Z71">
            <v>90.097051493259059</v>
          </cell>
          <cell r="AA71">
            <v>89.896800203896433</v>
          </cell>
          <cell r="AB71">
            <v>89.896456479218287</v>
          </cell>
          <cell r="AC71">
            <v>89.606519803497406</v>
          </cell>
          <cell r="AD71">
            <v>89.325294250105614</v>
          </cell>
          <cell r="AE71">
            <v>89.328380794090677</v>
          </cell>
        </row>
        <row r="72">
          <cell r="G72" t="str">
            <v>RegionOregonDairyStock</v>
          </cell>
          <cell r="H72" t="str">
            <v>Dairy</v>
          </cell>
          <cell r="I72" t="str">
            <v>OregonDairy</v>
          </cell>
          <cell r="J72" t="str">
            <v>Stock</v>
          </cell>
          <cell r="K72" t="str">
            <v>1000lbs</v>
          </cell>
          <cell r="L72">
            <v>2744.180551622544</v>
          </cell>
          <cell r="M72">
            <v>2781.3253166710429</v>
          </cell>
          <cell r="N72">
            <v>2817.8028576592669</v>
          </cell>
          <cell r="O72">
            <v>2852.4466796581391</v>
          </cell>
          <cell r="P72">
            <v>2887.2703785501863</v>
          </cell>
          <cell r="Q72">
            <v>2923.2055190854799</v>
          </cell>
          <cell r="R72">
            <v>2963.8717110873577</v>
          </cell>
          <cell r="S72">
            <v>3007.9285968792492</v>
          </cell>
          <cell r="T72">
            <v>3054.4586648127197</v>
          </cell>
          <cell r="U72">
            <v>3103.2723514737127</v>
          </cell>
          <cell r="V72">
            <v>3155.2926430989965</v>
          </cell>
          <cell r="W72">
            <v>3205.2179835947745</v>
          </cell>
          <cell r="X72">
            <v>3255.0785902298294</v>
          </cell>
          <cell r="Y72">
            <v>3304.2085620815005</v>
          </cell>
          <cell r="Z72">
            <v>3359.7128554945239</v>
          </cell>
          <cell r="AA72">
            <v>3405.0605171911329</v>
          </cell>
          <cell r="AB72">
            <v>3454.1652559274162</v>
          </cell>
          <cell r="AC72">
            <v>3509.2005551615157</v>
          </cell>
          <cell r="AD72">
            <v>3557.2266817524842</v>
          </cell>
          <cell r="AE72">
            <v>3610.3576666465606</v>
          </cell>
        </row>
        <row r="73">
          <cell r="G73" t="str">
            <v>RegionWashingtonDairyStock</v>
          </cell>
          <cell r="H73" t="str">
            <v>Dairy</v>
          </cell>
          <cell r="I73" t="str">
            <v>WashingtonDairy</v>
          </cell>
          <cell r="J73" t="str">
            <v>Stock</v>
          </cell>
          <cell r="K73" t="str">
            <v>1000lbs</v>
          </cell>
          <cell r="L73">
            <v>6417.4166624736044</v>
          </cell>
          <cell r="M73">
            <v>6527.6845985495966</v>
          </cell>
          <cell r="N73">
            <v>6648.0748527559354</v>
          </cell>
          <cell r="O73">
            <v>6750.5768396680051</v>
          </cell>
          <cell r="P73">
            <v>6858.9947023924851</v>
          </cell>
          <cell r="Q73">
            <v>6950.9448303929594</v>
          </cell>
          <cell r="R73">
            <v>7066.5055116132971</v>
          </cell>
          <cell r="S73">
            <v>7154.1963866384513</v>
          </cell>
          <cell r="T73">
            <v>7260.5595150379595</v>
          </cell>
          <cell r="U73">
            <v>7382.1828771063319</v>
          </cell>
          <cell r="V73">
            <v>7515.612457778011</v>
          </cell>
          <cell r="W73">
            <v>7658.3815592644387</v>
          </cell>
          <cell r="X73">
            <v>7790.6041619373518</v>
          </cell>
          <cell r="Y73">
            <v>7925.9535611829233</v>
          </cell>
          <cell r="Z73">
            <v>8056.1594585167277</v>
          </cell>
          <cell r="AA73">
            <v>8212.3413257643278</v>
          </cell>
          <cell r="AB73">
            <v>8359.6360208598271</v>
          </cell>
          <cell r="AC73">
            <v>8487.3604780857568</v>
          </cell>
          <cell r="AD73">
            <v>8647.4216609802097</v>
          </cell>
          <cell r="AE73">
            <v>8766.8632794861296</v>
          </cell>
        </row>
        <row r="74">
          <cell r="G74" t="str">
            <v>RegionMechanical PulpStock</v>
          </cell>
          <cell r="H74" t="str">
            <v>Ind</v>
          </cell>
          <cell r="I74" t="str">
            <v>Mechanical Pulp</v>
          </cell>
          <cell r="J74" t="str">
            <v>Stock</v>
          </cell>
          <cell r="K74" t="str">
            <v>Consumption (MWh)</v>
          </cell>
          <cell r="L74">
            <v>2942.3885247078688</v>
          </cell>
          <cell r="M74">
            <v>2999.4923169466106</v>
          </cell>
          <cell r="N74">
            <v>3057.7991990647956</v>
          </cell>
          <cell r="O74">
            <v>3117.3356540499285</v>
          </cell>
          <cell r="P74">
            <v>3178.128760373258</v>
          </cell>
          <cell r="Q74">
            <v>3240.2062055118258</v>
          </cell>
          <cell r="R74">
            <v>3303.5962997789316</v>
          </cell>
          <cell r="S74">
            <v>3368.3279904700712</v>
          </cell>
          <cell r="T74">
            <v>3434.4308763315557</v>
          </cell>
          <cell r="U74">
            <v>3501.9352223591818</v>
          </cell>
          <cell r="V74">
            <v>3570.8719749345073</v>
          </cell>
          <cell r="W74">
            <v>3641.272777306438</v>
          </cell>
          <cell r="X74">
            <v>3713.1699854260205</v>
          </cell>
          <cell r="Y74">
            <v>3786.5966841425206</v>
          </cell>
          <cell r="Z74">
            <v>3861.5867037690391</v>
          </cell>
          <cell r="AA74">
            <v>3938.1746370261103</v>
          </cell>
          <cell r="AB74">
            <v>4016.3958563719311</v>
          </cell>
          <cell r="AC74">
            <v>4096.2865317280484</v>
          </cell>
          <cell r="AD74">
            <v>4177.8836486095533</v>
          </cell>
          <cell r="AE74">
            <v>4261.2250266690271</v>
          </cell>
        </row>
        <row r="75">
          <cell r="G75" t="str">
            <v>RegionKraft PulpStock</v>
          </cell>
          <cell r="H75" t="str">
            <v>Ind</v>
          </cell>
          <cell r="I75" t="str">
            <v>Kraft Pulp</v>
          </cell>
          <cell r="J75" t="str">
            <v>Stock</v>
          </cell>
          <cell r="K75" t="str">
            <v>Consumption (MWh)</v>
          </cell>
          <cell r="L75">
            <v>1840.4686066002805</v>
          </cell>
          <cell r="M75">
            <v>1873.4989778495669</v>
          </cell>
          <cell r="N75">
            <v>1907.1920216976423</v>
          </cell>
          <cell r="O75">
            <v>1941.56194814743</v>
          </cell>
          <cell r="P75">
            <v>1976.623282632949</v>
          </cell>
          <cell r="Q75">
            <v>2012.3908731386696</v>
          </cell>
          <cell r="R75">
            <v>2048.879897480801</v>
          </cell>
          <cell r="S75">
            <v>2086.1058707542029</v>
          </cell>
          <cell r="T75">
            <v>2124.084652948703</v>
          </cell>
          <cell r="U75">
            <v>2162.8324567386876</v>
          </cell>
          <cell r="V75">
            <v>2202.3658554499198</v>
          </cell>
          <cell r="W75">
            <v>2242.7017912076312</v>
          </cell>
          <cell r="X75">
            <v>2283.8575832700294</v>
          </cell>
          <cell r="Y75">
            <v>2325.8509365514437</v>
          </cell>
          <cell r="Z75">
            <v>2368.6999503394532</v>
          </cell>
          <cell r="AA75">
            <v>2412.4231272104116</v>
          </cell>
          <cell r="AB75">
            <v>2457.0393821479101</v>
          </cell>
          <cell r="AC75">
            <v>2502.5680518688064</v>
          </cell>
          <cell r="AD75">
            <v>2549.0289043615553</v>
          </cell>
          <cell r="AE75">
            <v>2596.4421486417004</v>
          </cell>
        </row>
        <row r="76">
          <cell r="G76" t="str">
            <v>RegionPaperStock</v>
          </cell>
          <cell r="H76" t="str">
            <v>Ind</v>
          </cell>
          <cell r="I76" t="str">
            <v>Paper</v>
          </cell>
          <cell r="J76" t="str">
            <v>Stock</v>
          </cell>
          <cell r="K76" t="str">
            <v>Consumption (MWh)</v>
          </cell>
          <cell r="L76">
            <v>3534.455980801014</v>
          </cell>
          <cell r="M76">
            <v>3609.0607251246697</v>
          </cell>
          <cell r="N76">
            <v>3685.2873551199091</v>
          </cell>
          <cell r="O76">
            <v>3763.1719559855069</v>
          </cell>
          <cell r="P76">
            <v>3842.7514323040018</v>
          </cell>
          <cell r="Q76">
            <v>3924.0635270143184</v>
          </cell>
          <cell r="R76">
            <v>4007.1468408323385</v>
          </cell>
          <cell r="S76">
            <v>4092.0408521302074</v>
          </cell>
          <cell r="T76">
            <v>4178.7859372854182</v>
          </cell>
          <cell r="U76">
            <v>4267.4233915110017</v>
          </cell>
          <cell r="V76">
            <v>4357.9954501784177</v>
          </cell>
          <cell r="W76">
            <v>4450.5453106450295</v>
          </cell>
          <cell r="X76">
            <v>4545.1171545983407</v>
          </cell>
          <cell r="Y76">
            <v>4641.756170929466</v>
          </cell>
          <cell r="Z76">
            <v>4740.5085791486254</v>
          </cell>
          <cell r="AA76">
            <v>4841.4216533557483</v>
          </cell>
          <cell r="AB76">
            <v>4944.5437467796155</v>
          </cell>
          <cell r="AC76">
            <v>5049.9243168992871</v>
          </cell>
          <cell r="AD76">
            <v>5157.6139511619058</v>
          </cell>
          <cell r="AE76">
            <v>5267.6643933113082</v>
          </cell>
        </row>
        <row r="77">
          <cell r="G77" t="str">
            <v>RegionFoundriesStock</v>
          </cell>
          <cell r="H77" t="str">
            <v>Ind</v>
          </cell>
          <cell r="I77" t="str">
            <v>Foundries</v>
          </cell>
          <cell r="J77" t="str">
            <v>Stock</v>
          </cell>
          <cell r="K77" t="str">
            <v>Consumption (MWh)</v>
          </cell>
          <cell r="L77">
            <v>919.01449596775626</v>
          </cell>
          <cell r="M77">
            <v>903.79676737453269</v>
          </cell>
          <cell r="N77">
            <v>888.86373699824867</v>
          </cell>
          <cell r="O77">
            <v>874.20939857684175</v>
          </cell>
          <cell r="P77">
            <v>859.82788649165502</v>
          </cell>
          <cell r="Q77">
            <v>845.71347215339779</v>
          </cell>
          <cell r="R77">
            <v>831.86056049053298</v>
          </cell>
          <cell r="S77">
            <v>818.26368653683164</v>
          </cell>
          <cell r="T77">
            <v>804.91751211495261</v>
          </cell>
          <cell r="U77">
            <v>791.81682261301614</v>
          </cell>
          <cell r="V77">
            <v>778.9565238512514</v>
          </cell>
          <cell r="W77">
            <v>766.33163903590253</v>
          </cell>
          <cell r="X77">
            <v>753.93730579767646</v>
          </cell>
          <cell r="Y77">
            <v>741.76877331211233</v>
          </cell>
          <cell r="Z77">
            <v>729.82139949934617</v>
          </cell>
          <cell r="AA77">
            <v>718.09064830083094</v>
          </cell>
          <cell r="AB77">
            <v>706.57208703065726</v>
          </cell>
          <cell r="AC77">
            <v>695.26138379920462</v>
          </cell>
          <cell r="AD77">
            <v>684.1543050069281</v>
          </cell>
          <cell r="AE77">
            <v>673.24671290616118</v>
          </cell>
        </row>
        <row r="78">
          <cell r="G78" t="str">
            <v>RegionFrozen FoodStock</v>
          </cell>
          <cell r="H78" t="str">
            <v>Ind</v>
          </cell>
          <cell r="I78" t="str">
            <v>Frozen Food</v>
          </cell>
          <cell r="J78" t="str">
            <v>Stock</v>
          </cell>
          <cell r="K78" t="str">
            <v>Consumption (MWh)</v>
          </cell>
          <cell r="L78">
            <v>1324.3206687825375</v>
          </cell>
          <cell r="M78">
            <v>1321.0591107197035</v>
          </cell>
          <cell r="N78">
            <v>1313.8715588171435</v>
          </cell>
          <cell r="O78">
            <v>1305.8660085520557</v>
          </cell>
          <cell r="P78">
            <v>1299.4527253901501</v>
          </cell>
          <cell r="Q78">
            <v>1293.8704220283462</v>
          </cell>
          <cell r="R78">
            <v>1288.7384147958671</v>
          </cell>
          <cell r="S78">
            <v>1283.1685849059777</v>
          </cell>
          <cell r="T78">
            <v>1278.1757704107879</v>
          </cell>
          <cell r="U78">
            <v>1273.2524730997047</v>
          </cell>
          <cell r="V78">
            <v>1268.7158191200151</v>
          </cell>
          <cell r="W78">
            <v>1264.8195202790864</v>
          </cell>
          <cell r="X78">
            <v>1261.3098548763107</v>
          </cell>
          <cell r="Y78">
            <v>1258.0599816596655</v>
          </cell>
          <cell r="Z78">
            <v>1255.450528359032</v>
          </cell>
          <cell r="AA78">
            <v>1251.7054749812521</v>
          </cell>
          <cell r="AB78">
            <v>1248.7912706454952</v>
          </cell>
          <cell r="AC78">
            <v>1246.3274234998678</v>
          </cell>
          <cell r="AD78">
            <v>1244.6946377737877</v>
          </cell>
          <cell r="AE78">
            <v>1243.7661870458371</v>
          </cell>
        </row>
        <row r="79">
          <cell r="G79" t="str">
            <v>RegionOther FoodStock</v>
          </cell>
          <cell r="H79" t="str">
            <v>Ind</v>
          </cell>
          <cell r="I79" t="str">
            <v>Other Food</v>
          </cell>
          <cell r="J79" t="str">
            <v>Stock</v>
          </cell>
          <cell r="K79" t="str">
            <v>Consumption (MWh)</v>
          </cell>
          <cell r="L79">
            <v>2411.1660539662394</v>
          </cell>
          <cell r="M79">
            <v>2450.4569412140777</v>
          </cell>
          <cell r="N79">
            <v>2488.4114649554663</v>
          </cell>
          <cell r="O79">
            <v>2523.6061920415254</v>
          </cell>
          <cell r="P79">
            <v>2562.1092719578933</v>
          </cell>
          <cell r="Q79">
            <v>2598.2919846277987</v>
          </cell>
          <cell r="R79">
            <v>2636.7412574019095</v>
          </cell>
          <cell r="S79">
            <v>2673.3916888556396</v>
          </cell>
          <cell r="T79">
            <v>2711.8297470558905</v>
          </cell>
          <cell r="U79">
            <v>2750.6750641158515</v>
          </cell>
          <cell r="V79">
            <v>2789.0285312434262</v>
          </cell>
          <cell r="W79">
            <v>2830.1577794767813</v>
          </cell>
          <cell r="X79">
            <v>2872.403704551703</v>
          </cell>
          <cell r="Y79">
            <v>2915.8704051275868</v>
          </cell>
          <cell r="Z79">
            <v>2960.101751006488</v>
          </cell>
          <cell r="AA79">
            <v>3003.4003881033614</v>
          </cell>
          <cell r="AB79">
            <v>3048.4360733455792</v>
          </cell>
          <cell r="AC79">
            <v>3093.8332116101201</v>
          </cell>
          <cell r="AD79">
            <v>3140.8207364366767</v>
          </cell>
          <cell r="AE79">
            <v>3189.4665409465333</v>
          </cell>
        </row>
        <row r="80">
          <cell r="G80" t="str">
            <v>RegionWood - LumberStock</v>
          </cell>
          <cell r="H80" t="str">
            <v>Ind</v>
          </cell>
          <cell r="I80" t="str">
            <v>Wood - Lumber</v>
          </cell>
          <cell r="J80" t="str">
            <v>Stock</v>
          </cell>
          <cell r="K80" t="str">
            <v>Consumption (MWh)</v>
          </cell>
          <cell r="L80">
            <v>896.96729322463875</v>
          </cell>
          <cell r="M80">
            <v>879.48359510176044</v>
          </cell>
          <cell r="N80">
            <v>862.36674638001614</v>
          </cell>
          <cell r="O80">
            <v>845.60857947833108</v>
          </cell>
          <cell r="P80">
            <v>829.20111686492294</v>
          </cell>
          <cell r="Q80">
            <v>813.13656649502366</v>
          </cell>
          <cell r="R80">
            <v>797.40731736048997</v>
          </cell>
          <cell r="S80">
            <v>782.00593514851505</v>
          </cell>
          <cell r="T80">
            <v>766.92515800673186</v>
          </cell>
          <cell r="U80">
            <v>752.15789241205903</v>
          </cell>
          <cell r="V80">
            <v>737.69720914071036</v>
          </cell>
          <cell r="W80">
            <v>723.53633933685592</v>
          </cell>
          <cell r="X80">
            <v>709.66867067748035</v>
          </cell>
          <cell r="Y80">
            <v>696.08774363104999</v>
          </cell>
          <cell r="Z80">
            <v>682.78724780765822</v>
          </cell>
          <cell r="AA80">
            <v>669.76101839837941</v>
          </cell>
          <cell r="AB80">
            <v>657.00303270161351</v>
          </cell>
          <cell r="AC80">
            <v>644.50740673426651</v>
          </cell>
          <cell r="AD80">
            <v>632.26839192565876</v>
          </cell>
          <cell r="AE80">
            <v>620.28037189211091</v>
          </cell>
        </row>
        <row r="81">
          <cell r="G81" t="str">
            <v>RegionWood - PanelStock</v>
          </cell>
          <cell r="H81" t="str">
            <v>Ind</v>
          </cell>
          <cell r="I81" t="str">
            <v>Wood - Panel</v>
          </cell>
          <cell r="J81" t="str">
            <v>Stock</v>
          </cell>
          <cell r="K81" t="str">
            <v>Consumption (MWh)</v>
          </cell>
          <cell r="L81">
            <v>1188.7654437610786</v>
          </cell>
          <cell r="M81">
            <v>1156.8804266382649</v>
          </cell>
          <cell r="N81">
            <v>1125.9526502419524</v>
          </cell>
          <cell r="O81">
            <v>1095.9488048785481</v>
          </cell>
          <cell r="P81">
            <v>1066.8369252348673</v>
          </cell>
          <cell r="Q81">
            <v>1038.5863295578097</v>
          </cell>
          <cell r="R81">
            <v>1011.1675617888843</v>
          </cell>
          <cell r="S81">
            <v>984.5523365043</v>
          </cell>
          <cell r="T81">
            <v>958.71348651903031</v>
          </cell>
          <cell r="U81">
            <v>933.62491302056549</v>
          </cell>
          <cell r="V81">
            <v>909.26153810496839</v>
          </cell>
          <cell r="W81">
            <v>885.59925959441807</v>
          </cell>
          <cell r="X81">
            <v>862.61490802163064</v>
          </cell>
          <cell r="Y81">
            <v>840.28620567243854</v>
          </cell>
          <cell r="Z81">
            <v>818.59172758340208</v>
          </cell>
          <cell r="AA81">
            <v>797.51086439660924</v>
          </cell>
          <cell r="AB81">
            <v>777.02378697884865</v>
          </cell>
          <cell r="AC81">
            <v>757.11141271709414</v>
          </cell>
          <cell r="AD81">
            <v>737.75537340675055</v>
          </cell>
          <cell r="AE81">
            <v>718.93798465338989</v>
          </cell>
        </row>
        <row r="82">
          <cell r="G82" t="str">
            <v>RegionWood - OtherStock</v>
          </cell>
          <cell r="H82" t="str">
            <v>Ind</v>
          </cell>
          <cell r="I82" t="str">
            <v>Wood - Other</v>
          </cell>
          <cell r="J82" t="str">
            <v>Stock</v>
          </cell>
          <cell r="K82" t="str">
            <v>Consumption (MWh)</v>
          </cell>
          <cell r="L82">
            <v>2190.3888717655045</v>
          </cell>
          <cell r="M82">
            <v>2148.1306604895863</v>
          </cell>
          <cell r="N82">
            <v>2106.7934261991795</v>
          </cell>
          <cell r="O82">
            <v>2066.3546549915977</v>
          </cell>
          <cell r="P82">
            <v>2026.7924531183542</v>
          </cell>
          <cell r="Q82">
            <v>1988.085527475364</v>
          </cell>
          <cell r="R82">
            <v>1950.2131667970759</v>
          </cell>
          <cell r="S82">
            <v>1913.1552235259451</v>
          </cell>
          <cell r="T82">
            <v>1876.8920963299061</v>
          </cell>
          <cell r="U82">
            <v>1841.4047132417386</v>
          </cell>
          <cell r="V82">
            <v>1806.6745153953393</v>
          </cell>
          <cell r="W82">
            <v>1772.6834413350252</v>
          </cell>
          <cell r="X82">
            <v>1739.4139118750359</v>
          </cell>
          <cell r="Y82">
            <v>1706.8488154873935</v>
          </cell>
          <cell r="Z82">
            <v>1674.9714941972354</v>
          </cell>
          <cell r="AA82">
            <v>1643.765729965641</v>
          </cell>
          <cell r="AB82">
            <v>1613.2157315408288</v>
          </cell>
          <cell r="AC82">
            <v>1583.3061217594463</v>
          </cell>
          <cell r="AD82">
            <v>1554.021925280435</v>
          </cell>
          <cell r="AE82">
            <v>1525.3485567347291</v>
          </cell>
        </row>
        <row r="83">
          <cell r="G83" t="str">
            <v>RegionSugarStock</v>
          </cell>
          <cell r="H83" t="str">
            <v>Ind</v>
          </cell>
          <cell r="I83" t="str">
            <v>Sugar</v>
          </cell>
          <cell r="J83" t="str">
            <v>Stock</v>
          </cell>
          <cell r="K83" t="str">
            <v>Consumption (MWh)</v>
          </cell>
          <cell r="L83">
            <v>418.21008276222733</v>
          </cell>
          <cell r="M83">
            <v>425.03709595246266</v>
          </cell>
          <cell r="N83">
            <v>432.03488996454973</v>
          </cell>
          <cell r="O83">
            <v>439.20849737015453</v>
          </cell>
          <cell r="P83">
            <v>446.56310939056141</v>
          </cell>
          <cell r="Q83">
            <v>454.10408109706395</v>
          </cell>
          <cell r="R83">
            <v>461.83693678637411</v>
          </cell>
          <cell r="S83">
            <v>469.76737553704612</v>
          </cell>
          <cell r="T83">
            <v>477.90127695312259</v>
          </cell>
          <cell r="U83">
            <v>486.24470710142145</v>
          </cell>
          <cell r="V83">
            <v>494.80392464911006</v>
          </cell>
          <cell r="W83">
            <v>503.58538720843927</v>
          </cell>
          <cell r="X83">
            <v>512.59575789575115</v>
          </cell>
          <cell r="Y83">
            <v>521.8419121121218</v>
          </cell>
          <cell r="Z83">
            <v>531.33094455325283</v>
          </cell>
          <cell r="AA83">
            <v>541.07017645649535</v>
          </cell>
          <cell r="AB83">
            <v>551.06716309315811</v>
          </cell>
          <cell r="AC83">
            <v>561.32970151454037</v>
          </cell>
          <cell r="AD83">
            <v>571.86583856041943</v>
          </cell>
          <cell r="AE83">
            <v>582.68387913902927</v>
          </cell>
        </row>
        <row r="84">
          <cell r="G84" t="str">
            <v>RegionHi Tech - Chip FabStock</v>
          </cell>
          <cell r="H84" t="str">
            <v>Ind</v>
          </cell>
          <cell r="I84" t="str">
            <v>Hi Tech - Chip Fab</v>
          </cell>
          <cell r="J84" t="str">
            <v>Stock</v>
          </cell>
          <cell r="K84" t="str">
            <v>Consumption (MWh)</v>
          </cell>
          <cell r="L84">
            <v>1006.0460601146721</v>
          </cell>
          <cell r="M84">
            <v>1000.3329509481151</v>
          </cell>
          <cell r="N84">
            <v>994.89158283732945</v>
          </cell>
          <cell r="O84">
            <v>989.7482068086025</v>
          </cell>
          <cell r="P84">
            <v>984.93353757072975</v>
          </cell>
          <cell r="Q84">
            <v>980.48348619000922</v>
          </cell>
          <cell r="R84">
            <v>976.44001337591533</v>
          </cell>
          <cell r="S84">
            <v>972.8521232290575</v>
          </cell>
          <cell r="T84">
            <v>969.77702057049214</v>
          </cell>
          <cell r="U84">
            <v>967.28145877672466</v>
          </cell>
          <cell r="V84">
            <v>965.44330947633159</v>
          </cell>
          <cell r="W84">
            <v>964.35339062514197</v>
          </cell>
          <cell r="X84">
            <v>964.11759548739883</v>
          </cell>
          <cell r="Y84">
            <v>964.85937205009338</v>
          </cell>
          <cell r="Z84">
            <v>966.72261054955777</v>
          </cell>
          <cell r="AA84">
            <v>969.87500628305759</v>
          </cell>
          <cell r="AB84">
            <v>974.5119759343653</v>
          </cell>
          <cell r="AC84">
            <v>980.86121851835412</v>
          </cell>
          <cell r="AD84">
            <v>989.1880270450107</v>
          </cell>
          <cell r="AE84">
            <v>999.80147446679428</v>
          </cell>
        </row>
        <row r="85">
          <cell r="G85" t="str">
            <v>RegionHi Tech - SiliconStock</v>
          </cell>
          <cell r="H85" t="str">
            <v>Ind</v>
          </cell>
          <cell r="I85" t="str">
            <v>Hi Tech - Silicon</v>
          </cell>
          <cell r="J85" t="str">
            <v>Stock</v>
          </cell>
          <cell r="K85" t="str">
            <v>Consumption (MWh)</v>
          </cell>
          <cell r="L85">
            <v>284.34499034738553</v>
          </cell>
          <cell r="M85">
            <v>287.29976313860476</v>
          </cell>
          <cell r="N85">
            <v>290.29160813525334</v>
          </cell>
          <cell r="O85">
            <v>293.32107827772393</v>
          </cell>
          <cell r="P85">
            <v>296.38873581768416</v>
          </cell>
          <cell r="Q85">
            <v>299.4951524900074</v>
          </cell>
          <cell r="R85">
            <v>302.6409096802866</v>
          </cell>
          <cell r="S85">
            <v>305.82659860171441</v>
          </cell>
          <cell r="T85">
            <v>309.05282047256748</v>
          </cell>
          <cell r="U85">
            <v>312.32018669687864</v>
          </cell>
          <cell r="V85">
            <v>315.62931904723939</v>
          </cell>
          <cell r="W85">
            <v>318.98084985679924</v>
          </cell>
          <cell r="X85">
            <v>322.37542220680399</v>
          </cell>
          <cell r="Y85">
            <v>325.81369012346352</v>
          </cell>
          <cell r="Z85">
            <v>329.29631877679583</v>
          </cell>
          <cell r="AA85">
            <v>332.82398468207651</v>
          </cell>
          <cell r="AB85">
            <v>336.39737590718551</v>
          </cell>
          <cell r="AC85">
            <v>340.01719228172311</v>
          </cell>
          <cell r="AD85">
            <v>343.68414561160887</v>
          </cell>
          <cell r="AE85">
            <v>347.39895989699852</v>
          </cell>
        </row>
        <row r="86">
          <cell r="G86" t="str">
            <v>RegionMetal FabStock</v>
          </cell>
          <cell r="H86" t="str">
            <v>Ind</v>
          </cell>
          <cell r="I86" t="str">
            <v>Metal Fab</v>
          </cell>
          <cell r="J86" t="str">
            <v>Stock</v>
          </cell>
          <cell r="K86" t="str">
            <v>Consumption (MWh)</v>
          </cell>
          <cell r="L86">
            <v>1217.7065320192728</v>
          </cell>
          <cell r="M86">
            <v>1179.4160318853844</v>
          </cell>
          <cell r="N86">
            <v>1142.3770893386957</v>
          </cell>
          <cell r="O86">
            <v>1106.5472689403477</v>
          </cell>
          <cell r="P86">
            <v>1071.8856224795945</v>
          </cell>
          <cell r="Q86">
            <v>1038.35263533641</v>
          </cell>
          <cell r="R86">
            <v>1005.9101748255557</v>
          </cell>
          <cell r="S86">
            <v>974.52144044746103</v>
          </cell>
          <cell r="T86">
            <v>944.15091597410878</v>
          </cell>
          <cell r="U86">
            <v>914.76432330088289</v>
          </cell>
          <cell r="V86">
            <v>886.32857799796386</v>
          </cell>
          <cell r="W86">
            <v>858.81174649740069</v>
          </cell>
          <cell r="X86">
            <v>832.18300485443342</v>
          </cell>
          <cell r="Y86">
            <v>806.4125990239736</v>
          </cell>
          <cell r="Z86">
            <v>781.47180659541982</v>
          </cell>
          <cell r="AA86">
            <v>757.33289993114045</v>
          </cell>
          <cell r="AB86">
            <v>733.96911065604934</v>
          </cell>
          <cell r="AC86">
            <v>711.35459544769526</v>
          </cell>
          <cell r="AD86">
            <v>689.46440307822058</v>
          </cell>
          <cell r="AE86">
            <v>668.27444266138707</v>
          </cell>
        </row>
        <row r="87">
          <cell r="G87" t="str">
            <v>RegionTransportation, EquipStock</v>
          </cell>
          <cell r="H87" t="str">
            <v>Ind</v>
          </cell>
          <cell r="I87" t="str">
            <v>Transportation, Equip</v>
          </cell>
          <cell r="J87" t="str">
            <v>Stock</v>
          </cell>
          <cell r="K87" t="str">
            <v>Consumption (MWh)</v>
          </cell>
          <cell r="L87">
            <v>1076.6667628215623</v>
          </cell>
          <cell r="M87">
            <v>1098.0350726149293</v>
          </cell>
          <cell r="N87">
            <v>1121.3672719254876</v>
          </cell>
          <cell r="O87">
            <v>1146.153563831145</v>
          </cell>
          <cell r="P87">
            <v>1172.150501733289</v>
          </cell>
          <cell r="Q87">
            <v>1199.2483594108337</v>
          </cell>
          <cell r="R87">
            <v>1227.404767400378</v>
          </cell>
          <cell r="S87">
            <v>1256.6115123270588</v>
          </cell>
          <cell r="T87">
            <v>1286.8779328266905</v>
          </cell>
          <cell r="U87">
            <v>1318.2226215417572</v>
          </cell>
          <cell r="V87">
            <v>1350.6692842652571</v>
          </cell>
          <cell r="W87">
            <v>1384.244679939135</v>
          </cell>
          <cell r="X87">
            <v>1418.977602449992</v>
          </cell>
          <cell r="Y87">
            <v>1454.8983842430932</v>
          </cell>
          <cell r="Z87">
            <v>1492.0386615455068</v>
          </cell>
          <cell r="AA87">
            <v>1530.431270989727</v>
          </cell>
          <cell r="AB87">
            <v>1570.1102124874969</v>
          </cell>
          <cell r="AC87">
            <v>1611.1106457620235</v>
          </cell>
          <cell r="AD87">
            <v>1653.4689042409216</v>
          </cell>
          <cell r="AE87">
            <v>1697.2225181669867</v>
          </cell>
        </row>
        <row r="88">
          <cell r="G88" t="str">
            <v>RegionRefineryStock</v>
          </cell>
          <cell r="H88" t="str">
            <v>Ind</v>
          </cell>
          <cell r="I88" t="str">
            <v>Refinery</v>
          </cell>
          <cell r="J88" t="str">
            <v>Stock</v>
          </cell>
          <cell r="K88" t="str">
            <v>Consumption (MWh)</v>
          </cell>
          <cell r="L88">
            <v>765.22818377294288</v>
          </cell>
          <cell r="M88">
            <v>781.3947611399982</v>
          </cell>
          <cell r="N88">
            <v>797.92353135944916</v>
          </cell>
          <cell r="O88">
            <v>814.8228635626707</v>
          </cell>
          <cell r="P88">
            <v>832.10132328695011</v>
          </cell>
          <cell r="Q88">
            <v>849.76767712050173</v>
          </cell>
          <cell r="R88">
            <v>867.83089745777204</v>
          </cell>
          <cell r="S88">
            <v>886.30016736765776</v>
          </cell>
          <cell r="T88">
            <v>905.18488557732178</v>
          </cell>
          <cell r="U88">
            <v>924.49467157436095</v>
          </cell>
          <cell r="V88">
            <v>944.23937083013925</v>
          </cell>
          <cell r="W88">
            <v>964.4290601471705</v>
          </cell>
          <cell r="X88">
            <v>985.07405313350262</v>
          </cell>
          <cell r="Y88">
            <v>1006.1849058071258</v>
          </cell>
          <cell r="Z88">
            <v>1027.7724223334981</v>
          </cell>
          <cell r="AA88">
            <v>1049.8476608993565</v>
          </cell>
          <cell r="AB88">
            <v>1072.421939726059</v>
          </cell>
          <cell r="AC88">
            <v>1095.5068432257744</v>
          </cell>
          <cell r="AD88">
            <v>1119.1142283039237</v>
          </cell>
          <cell r="AE88">
            <v>1143.2562308113509</v>
          </cell>
        </row>
        <row r="89">
          <cell r="G89" t="str">
            <v>RegionCold StorageStock</v>
          </cell>
          <cell r="H89" t="str">
            <v>Ind</v>
          </cell>
          <cell r="I89" t="str">
            <v>Cold Storage</v>
          </cell>
          <cell r="J89" t="str">
            <v>Stock</v>
          </cell>
          <cell r="K89" t="str">
            <v>Consumption (MWh)</v>
          </cell>
          <cell r="L89">
            <v>760.26684943858231</v>
          </cell>
          <cell r="M89">
            <v>776.05620214175406</v>
          </cell>
          <cell r="N89">
            <v>792.19621159046847</v>
          </cell>
          <cell r="O89">
            <v>808.69515588075546</v>
          </cell>
          <cell r="P89">
            <v>825.56151893558535</v>
          </cell>
          <cell r="Q89">
            <v>842.80399583575695</v>
          </cell>
          <cell r="R89">
            <v>860.43149829306708</v>
          </cell>
          <cell r="S89">
            <v>878.45316026963599</v>
          </cell>
          <cell r="T89">
            <v>896.87834374738043</v>
          </cell>
          <cell r="U89">
            <v>915.71664465172375</v>
          </cell>
          <cell r="V89">
            <v>934.97789893375375</v>
          </cell>
          <cell r="W89">
            <v>954.6721888151551</v>
          </cell>
          <cell r="X89">
            <v>974.80984920035939</v>
          </cell>
          <cell r="Y89">
            <v>995.40147426047997</v>
          </cell>
          <cell r="Z89">
            <v>1016.4579241937281</v>
          </cell>
          <cell r="AA89">
            <v>1037.9903321671334</v>
          </cell>
          <cell r="AB89">
            <v>1060.0101114445256</v>
          </cell>
          <cell r="AC89">
            <v>1082.5289627058755</v>
          </cell>
          <cell r="AD89">
            <v>1105.5588815632291</v>
          </cell>
          <cell r="AE89">
            <v>1129.1121662786165</v>
          </cell>
        </row>
        <row r="90">
          <cell r="G90" t="str">
            <v>RegionFruit StorageStock</v>
          </cell>
          <cell r="H90" t="str">
            <v>Ind</v>
          </cell>
          <cell r="I90" t="str">
            <v>Fruit Storage</v>
          </cell>
          <cell r="J90" t="str">
            <v>Stock</v>
          </cell>
          <cell r="K90" t="str">
            <v>Consumption (MWh)</v>
          </cell>
          <cell r="L90">
            <v>1661.0268711577528</v>
          </cell>
          <cell r="M90">
            <v>1721.9365513000373</v>
          </cell>
          <cell r="N90">
            <v>1785.3002617974537</v>
          </cell>
          <cell r="O90">
            <v>1851.2328648546179</v>
          </cell>
          <cell r="P90">
            <v>1919.8556581123303</v>
          </cell>
          <cell r="Q90">
            <v>1991.2967956982475</v>
          </cell>
          <cell r="R90">
            <v>2065.6917397134598</v>
          </cell>
          <cell r="S90">
            <v>2143.1837444731686</v>
          </cell>
          <cell r="T90">
            <v>2223.9243760005988</v>
          </cell>
          <cell r="U90">
            <v>2308.0740694684932</v>
          </cell>
          <cell r="V90">
            <v>2395.8027274931774</v>
          </cell>
          <cell r="W90">
            <v>2487.290362413426</v>
          </cell>
          <cell r="X90">
            <v>2582.7277859315755</v>
          </cell>
          <cell r="Y90">
            <v>2682.3173497589064</v>
          </cell>
          <cell r="Z90">
            <v>2786.2737411928069</v>
          </cell>
          <cell r="AA90">
            <v>2894.8248378612784</v>
          </cell>
          <cell r="AB90">
            <v>3008.21262620276</v>
          </cell>
          <cell r="AC90">
            <v>3126.6941886079612</v>
          </cell>
          <cell r="AD90">
            <v>3250.5427645374466</v>
          </cell>
          <cell r="AE90">
            <v>3380.0488913464646</v>
          </cell>
        </row>
        <row r="91">
          <cell r="G91" t="str">
            <v>RegionChemicalStock</v>
          </cell>
          <cell r="H91" t="str">
            <v>Ind</v>
          </cell>
          <cell r="I91" t="str">
            <v>Chemical</v>
          </cell>
          <cell r="J91" t="str">
            <v>Stock</v>
          </cell>
          <cell r="K91" t="str">
            <v>Consumption (MWh)</v>
          </cell>
          <cell r="L91">
            <v>2313.5691860381849</v>
          </cell>
          <cell r="M91">
            <v>2381.2548571292859</v>
          </cell>
          <cell r="N91">
            <v>2450.6208230832663</v>
          </cell>
          <cell r="O91">
            <v>2522.9211058695414</v>
          </cell>
          <cell r="P91">
            <v>2599.2435735916865</v>
          </cell>
          <cell r="Q91">
            <v>2679.5483548584343</v>
          </cell>
          <cell r="R91">
            <v>2765.6163507857527</v>
          </cell>
          <cell r="S91">
            <v>2857.2605009938256</v>
          </cell>
          <cell r="T91">
            <v>2954.0111713352512</v>
          </cell>
          <cell r="U91">
            <v>3057.0422254285559</v>
          </cell>
          <cell r="V91">
            <v>3167.1269688611228</v>
          </cell>
          <cell r="W91">
            <v>3282.6543220971407</v>
          </cell>
          <cell r="X91">
            <v>3404.3222220260527</v>
          </cell>
          <cell r="Y91">
            <v>3535.0789014552142</v>
          </cell>
          <cell r="Z91">
            <v>3673.2667986299771</v>
          </cell>
          <cell r="AA91">
            <v>3819.8427148505148</v>
          </cell>
          <cell r="AB91">
            <v>3974.4694892549323</v>
          </cell>
          <cell r="AC91">
            <v>4137.3826123403705</v>
          </cell>
          <cell r="AD91">
            <v>4311.3171070297012</v>
          </cell>
          <cell r="AE91">
            <v>4496.5769164393305</v>
          </cell>
        </row>
        <row r="92">
          <cell r="G92" t="str">
            <v>RegionMisc ManfStock</v>
          </cell>
          <cell r="H92" t="str">
            <v>Ind</v>
          </cell>
          <cell r="I92" t="str">
            <v>Misc Manf</v>
          </cell>
          <cell r="J92" t="str">
            <v>Stock</v>
          </cell>
          <cell r="K92" t="str">
            <v>Consumption (MWh)</v>
          </cell>
          <cell r="L92">
            <v>4029.7558279101399</v>
          </cell>
          <cell r="M92">
            <v>4061.1910818360939</v>
          </cell>
          <cell r="N92">
            <v>4058.4654273795722</v>
          </cell>
          <cell r="O92">
            <v>4113.7583987330581</v>
          </cell>
          <cell r="P92">
            <v>4130.3622345522963</v>
          </cell>
          <cell r="Q92">
            <v>4198.8642466957572</v>
          </cell>
          <cell r="R92">
            <v>4288.306491397725</v>
          </cell>
          <cell r="S92">
            <v>4367.7996888494363</v>
          </cell>
          <cell r="T92">
            <v>4426.1853462245726</v>
          </cell>
          <cell r="U92">
            <v>4505.1090976811183</v>
          </cell>
          <cell r="V92">
            <v>4555.4729287637538</v>
          </cell>
          <cell r="W92">
            <v>4601.8853096609728</v>
          </cell>
          <cell r="X92">
            <v>4622.5247614175132</v>
          </cell>
          <cell r="Y92">
            <v>4646.0108756316795</v>
          </cell>
          <cell r="Z92">
            <v>4677.8520706630579</v>
          </cell>
          <cell r="AA92">
            <v>4700.3098199950737</v>
          </cell>
          <cell r="AB92">
            <v>4713.6660942004319</v>
          </cell>
          <cell r="AC92">
            <v>4708.4749062275614</v>
          </cell>
          <cell r="AD92">
            <v>4718.6237419429335</v>
          </cell>
          <cell r="AE92">
            <v>4717.7861333754263</v>
          </cell>
        </row>
        <row r="93">
          <cell r="G93" t="str">
            <v>RegionEVStock</v>
          </cell>
          <cell r="H93" t="str">
            <v>EV</v>
          </cell>
          <cell r="I93" t="str">
            <v>EV</v>
          </cell>
          <cell r="J93" t="str">
            <v>Stock</v>
          </cell>
          <cell r="K93" t="str">
            <v>1000 Cars</v>
          </cell>
          <cell r="L93">
            <v>60.183986956923889</v>
          </cell>
          <cell r="M93">
            <v>91.985039267783762</v>
          </cell>
          <cell r="N93">
            <v>131.71899349682545</v>
          </cell>
          <cell r="O93">
            <v>179.31931215654896</v>
          </cell>
          <cell r="P93">
            <v>234.46894197990883</v>
          </cell>
          <cell r="Q93">
            <v>296.9378027583823</v>
          </cell>
          <cell r="R93">
            <v>366.00059330503768</v>
          </cell>
          <cell r="S93">
            <v>441.25939468635204</v>
          </cell>
          <cell r="T93">
            <v>522.62506581198477</v>
          </cell>
          <cell r="U93">
            <v>610.52396116716261</v>
          </cell>
          <cell r="V93">
            <v>705.01906985870437</v>
          </cell>
          <cell r="W93">
            <v>801.72374571842784</v>
          </cell>
          <cell r="X93">
            <v>899.84995621451503</v>
          </cell>
          <cell r="Y93">
            <v>998.49290967026104</v>
          </cell>
          <cell r="Z93">
            <v>1096.4275699987345</v>
          </cell>
          <cell r="AA93">
            <v>1187.7661760902763</v>
          </cell>
          <cell r="AB93">
            <v>1272.9815546454543</v>
          </cell>
          <cell r="AC93">
            <v>1351.8588013409089</v>
          </cell>
          <cell r="AD93">
            <v>1433.0587465545455</v>
          </cell>
          <cell r="AE93">
            <v>1500.0488473772725</v>
          </cell>
        </row>
        <row r="94">
          <cell r="G94" t="str">
            <v>RegionPopStock</v>
          </cell>
          <cell r="H94" t="str">
            <v>Pop</v>
          </cell>
          <cell r="I94" t="str">
            <v>Pop</v>
          </cell>
          <cell r="J94" t="str">
            <v>Stock</v>
          </cell>
          <cell r="K94" t="str">
            <v># of people</v>
          </cell>
          <cell r="L94">
            <v>13520.68111</v>
          </cell>
          <cell r="M94">
            <v>13661.840299999998</v>
          </cell>
          <cell r="N94">
            <v>13803.691440000001</v>
          </cell>
          <cell r="O94">
            <v>13944.276469999999</v>
          </cell>
          <cell r="P94">
            <v>14082.801340000002</v>
          </cell>
          <cell r="Q94">
            <v>14218.715590000002</v>
          </cell>
          <cell r="R94">
            <v>14351.918940000001</v>
          </cell>
          <cell r="S94">
            <v>14482.437540000003</v>
          </cell>
          <cell r="T94">
            <v>14610.4211</v>
          </cell>
          <cell r="U94">
            <v>14736.24631</v>
          </cell>
          <cell r="V94">
            <v>14860.320880000001</v>
          </cell>
          <cell r="W94">
            <v>14983.078860000001</v>
          </cell>
          <cell r="X94">
            <v>15104.70127</v>
          </cell>
          <cell r="Y94">
            <v>15225.195700000002</v>
          </cell>
          <cell r="Z94">
            <v>15344.62486</v>
          </cell>
          <cell r="AA94">
            <v>15463.089019999998</v>
          </cell>
          <cell r="AB94">
            <v>15580.68845</v>
          </cell>
          <cell r="AC94">
            <v>15697.50913</v>
          </cell>
          <cell r="AD94">
            <v>15813.626329999999</v>
          </cell>
          <cell r="AE94">
            <v>15929.254489999999</v>
          </cell>
        </row>
        <row r="95">
          <cell r="G95" t="str">
            <v>RegionDataCenterStock</v>
          </cell>
          <cell r="H95" t="str">
            <v>DataCenter</v>
          </cell>
          <cell r="I95" t="str">
            <v>DataCenter</v>
          </cell>
          <cell r="J95" t="str">
            <v>Stock</v>
          </cell>
          <cell r="K95" t="str">
            <v>Consumption (aMW)</v>
          </cell>
          <cell r="L95">
            <v>381.60143269415096</v>
          </cell>
          <cell r="M95">
            <v>404.69885906229592</v>
          </cell>
          <cell r="N95">
            <v>421.46039895133885</v>
          </cell>
          <cell r="O95">
            <v>419.64642143844253</v>
          </cell>
          <cell r="P95">
            <v>423.66562864853898</v>
          </cell>
          <cell r="Q95">
            <v>432.76092390952061</v>
          </cell>
          <cell r="R95">
            <v>446.31531189522576</v>
          </cell>
          <cell r="S95">
            <v>450.98222620533323</v>
          </cell>
          <cell r="T95">
            <v>459.05126073815245</v>
          </cell>
          <cell r="U95">
            <v>470.19601765719887</v>
          </cell>
          <cell r="V95">
            <v>484.16208251533135</v>
          </cell>
          <cell r="W95">
            <v>494.21069266812788</v>
          </cell>
          <cell r="X95">
            <v>506.64189476780371</v>
          </cell>
          <cell r="Y95">
            <v>521.35392484293436</v>
          </cell>
          <cell r="Z95">
            <v>538.28523642117</v>
          </cell>
          <cell r="AA95">
            <v>554.01935267425768</v>
          </cell>
          <cell r="AB95">
            <v>571.88182312772415</v>
          </cell>
          <cell r="AC95">
            <v>591.90212163156946</v>
          </cell>
          <cell r="AD95">
            <v>614.13634434495953</v>
          </cell>
          <cell r="AE95">
            <v>636.87438282107769</v>
          </cell>
        </row>
        <row r="96">
          <cell r="G96" t="str">
            <v>RegionTotalLoadStock</v>
          </cell>
          <cell r="H96" t="str">
            <v>DEI</v>
          </cell>
          <cell r="I96" t="str">
            <v>TotalLoad</v>
          </cell>
          <cell r="J96" t="str">
            <v>Stock</v>
          </cell>
          <cell r="K96" t="str">
            <v>Consumption (aMW)</v>
          </cell>
          <cell r="L96">
            <v>21071.66</v>
          </cell>
          <cell r="M96">
            <v>21195.54</v>
          </cell>
          <cell r="N96">
            <v>21410</v>
          </cell>
          <cell r="O96">
            <v>21551.43</v>
          </cell>
          <cell r="P96">
            <v>21679.64</v>
          </cell>
          <cell r="Q96">
            <v>21827.78</v>
          </cell>
          <cell r="R96">
            <v>21990.98</v>
          </cell>
          <cell r="S96">
            <v>22168.240000000002</v>
          </cell>
          <cell r="T96">
            <v>22361.75</v>
          </cell>
          <cell r="U96">
            <v>22575.51</v>
          </cell>
          <cell r="V96">
            <v>22799.94</v>
          </cell>
          <cell r="W96">
            <v>23044.44</v>
          </cell>
          <cell r="X96">
            <v>23305.64</v>
          </cell>
          <cell r="Y96">
            <v>23567.14</v>
          </cell>
          <cell r="Z96">
            <v>23843.91</v>
          </cell>
          <cell r="AA96">
            <v>24084.7</v>
          </cell>
          <cell r="AB96">
            <v>24359.31</v>
          </cell>
          <cell r="AC96">
            <v>24636.46</v>
          </cell>
          <cell r="AD96">
            <v>24918.69</v>
          </cell>
          <cell r="AE96">
            <v>25207.16</v>
          </cell>
        </row>
        <row r="97">
          <cell r="G97"/>
          <cell r="H97"/>
          <cell r="I97"/>
          <cell r="J97"/>
          <cell r="K97"/>
          <cell r="L97"/>
          <cell r="M97"/>
          <cell r="N97"/>
          <cell r="O97"/>
          <cell r="P97"/>
          <cell r="Q97"/>
          <cell r="R97"/>
          <cell r="S97"/>
          <cell r="T97"/>
          <cell r="U97"/>
          <cell r="V97"/>
          <cell r="W97"/>
          <cell r="X97"/>
          <cell r="Y97"/>
          <cell r="Z97"/>
          <cell r="AA97"/>
          <cell r="AB97"/>
          <cell r="AC97"/>
          <cell r="AD97"/>
          <cell r="AE97"/>
        </row>
        <row r="98">
          <cell r="G98"/>
          <cell r="H98"/>
          <cell r="I98"/>
          <cell r="J98"/>
          <cell r="K98"/>
          <cell r="L98"/>
          <cell r="M98"/>
          <cell r="N98"/>
          <cell r="O98"/>
          <cell r="P98"/>
          <cell r="Q98"/>
          <cell r="R98"/>
          <cell r="S98"/>
          <cell r="T98"/>
          <cell r="U98"/>
          <cell r="V98"/>
          <cell r="W98"/>
          <cell r="X98"/>
          <cell r="Y98"/>
          <cell r="Z98"/>
          <cell r="AA98"/>
          <cell r="AB98"/>
          <cell r="AC98"/>
          <cell r="AD98"/>
          <cell r="AE98"/>
        </row>
        <row r="99">
          <cell r="G99"/>
          <cell r="H99"/>
          <cell r="I99"/>
          <cell r="J99"/>
          <cell r="K99"/>
          <cell r="L99"/>
          <cell r="M99"/>
          <cell r="N99"/>
          <cell r="O99"/>
          <cell r="P99"/>
          <cell r="Q99"/>
          <cell r="R99"/>
          <cell r="S99"/>
          <cell r="T99"/>
          <cell r="U99"/>
          <cell r="V99"/>
          <cell r="W99"/>
          <cell r="X99"/>
          <cell r="Y99"/>
          <cell r="Z99"/>
          <cell r="AA99"/>
          <cell r="AB99"/>
          <cell r="AC99"/>
          <cell r="AD99"/>
          <cell r="AE99"/>
        </row>
        <row r="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row>
        <row r="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row>
        <row r="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row>
        <row r="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row>
        <row r="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row>
        <row r="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row>
        <row r="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row>
        <row r="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row>
        <row r="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row>
        <row r="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row>
        <row r="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row>
        <row r="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row>
        <row r="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row>
        <row r="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row>
        <row r="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row>
        <row r="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row>
        <row r="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row>
        <row r="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row>
        <row r="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row>
        <row r="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row>
        <row r="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row>
        <row r="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row>
        <row r="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row>
        <row r="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row>
        <row r="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row>
        <row r="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row>
        <row r="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row>
        <row r="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row>
        <row r="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row>
        <row r="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row>
        <row r="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row>
        <row r="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row>
        <row r="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row>
        <row r="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row>
        <row r="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row>
        <row r="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row>
        <row r="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row>
        <row r="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row>
        <row r="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row>
        <row r="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row>
        <row r="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row>
        <row r="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row>
        <row r="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row>
        <row r="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row>
        <row r="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row>
        <row r="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row>
        <row r="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row>
        <row r="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row>
        <row r="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row>
        <row r="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row>
        <row r="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row>
        <row r="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row>
        <row r="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row>
        <row r="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row>
        <row r="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row>
        <row r="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row>
        <row r="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row>
        <row r="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row>
        <row r="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row>
        <row r="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row>
        <row r="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row>
        <row r="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row>
        <row r="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row>
        <row r="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row>
        <row r="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row>
        <row r="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row>
        <row r="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row>
        <row r="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row>
        <row r="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row>
        <row r="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row>
        <row r="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row>
        <row r="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row>
        <row r="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row>
        <row r="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row>
        <row r="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row>
        <row r="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row>
        <row r="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row>
        <row r="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row>
        <row r="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row>
        <row r="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row>
        <row r="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row>
        <row r="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row>
        <row r="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row>
        <row r="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row>
        <row r="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row>
        <row r="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row>
        <row r="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row>
        <row r="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row>
        <row r="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row>
        <row r="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row>
        <row r="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row>
        <row r="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row>
        <row r="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row>
        <row r="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row>
        <row r="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row>
        <row r="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row>
        <row r="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row>
        <row r="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row>
        <row r="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row>
        <row r="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row>
        <row r="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row>
        <row r="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row>
        <row r="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row>
        <row r="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row>
        <row r="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row>
        <row r="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row>
        <row r="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row>
        <row r="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row>
        <row r="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row>
        <row r="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row>
        <row r="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row>
        <row r="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row>
        <row r="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row>
        <row r="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row>
        <row r="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row>
        <row r="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row>
        <row r="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row>
        <row r="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row>
        <row r="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row>
        <row r="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row>
        <row r="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row>
        <row r="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row>
        <row r="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row>
        <row r="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row>
        <row r="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row>
        <row r="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row>
        <row r="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row>
        <row r="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row>
        <row r="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row>
        <row r="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row>
        <row r="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row>
        <row r="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row>
        <row r="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row>
        <row r="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row>
        <row r="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row>
        <row r="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row>
        <row r="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row>
        <row r="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row>
        <row r="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row>
        <row r="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row>
        <row r="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row>
        <row r="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row>
        <row r="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row>
        <row r="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row>
        <row r="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row>
        <row r="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row>
        <row r="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row>
        <row r="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row>
        <row r="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row>
        <row r="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row>
        <row r="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row>
        <row r="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row>
        <row r="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row>
        <row r="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row>
        <row r="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row>
        <row r="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row>
        <row r="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row>
        <row r="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row>
        <row r="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row>
        <row r="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row>
        <row r="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row>
        <row r="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row>
        <row r="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row>
        <row r="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row>
        <row r="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row>
        <row r="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row>
        <row r="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row>
        <row r="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row>
        <row r="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row>
        <row r="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row>
        <row r="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row>
        <row r="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row>
        <row r="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row>
        <row r="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row>
        <row r="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row>
        <row r="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row>
        <row r="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row>
        <row r="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row>
        <row r="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row>
        <row r="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row>
        <row r="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row>
        <row r="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row>
        <row r="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row>
        <row r="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row>
        <row r="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row>
        <row r="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row>
        <row r="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row>
        <row r="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row>
        <row r="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row>
        <row r="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row>
        <row r="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row>
        <row r="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row>
        <row r="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row>
        <row r="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row>
        <row r="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row>
        <row r="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row>
        <row r="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row>
        <row r="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row>
        <row r="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row>
        <row r="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row>
        <row r="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row>
        <row r="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row>
        <row r="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row>
        <row r="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row>
        <row r="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row>
        <row r="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row>
        <row r="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row>
        <row r="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row>
        <row r="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row>
        <row r="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row>
        <row r="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row>
        <row r="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row>
        <row r="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row>
        <row r="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row>
        <row r="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row>
        <row r="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row>
        <row r="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row>
        <row r="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row>
        <row r="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row>
        <row r="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row>
        <row r="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row>
        <row r="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row>
        <row r="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row>
        <row r="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row>
        <row r="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row>
        <row r="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row>
        <row r="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row>
        <row r="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row>
        <row r="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row>
        <row r="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row>
        <row r="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row>
        <row r="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row>
        <row r="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row>
        <row r="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row>
        <row r="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row>
        <row r="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row>
        <row r="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row>
        <row r="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row>
        <row r="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row>
        <row r="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row>
        <row r="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row>
        <row r="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row>
        <row r="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row>
        <row r="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row>
        <row r="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row>
        <row r="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row>
        <row r="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row>
        <row r="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row>
        <row r="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row>
        <row r="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row>
        <row r="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row>
        <row r="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row>
        <row r="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row>
        <row r="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row>
        <row r="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row>
        <row r="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row>
        <row r="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row>
        <row r="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row>
        <row r="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row>
        <row r="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row>
        <row r="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row>
        <row r="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row>
        <row r="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row>
        <row r="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row>
        <row r="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row>
        <row r="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row>
        <row r="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row>
        <row r="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row>
        <row r="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row>
        <row r="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row>
        <row r="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row>
        <row r="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row>
        <row r="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row>
        <row r="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row>
        <row r="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row>
        <row r="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row>
        <row r="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row>
        <row r="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row>
        <row r="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row>
        <row r="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row>
        <row r="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row>
        <row r="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row>
        <row r="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row>
        <row r="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row>
        <row r="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row>
        <row r="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row>
        <row r="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row>
        <row r="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row>
        <row r="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row>
        <row r="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row>
        <row r="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row>
        <row r="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row>
        <row r="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row>
        <row r="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row>
        <row r="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row>
        <row r="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row>
        <row r="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row>
        <row r="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row>
        <row r="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row>
        <row r="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row>
        <row r="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row>
        <row r="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row>
        <row r="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row>
        <row r="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row>
        <row r="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row>
        <row r="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row>
        <row r="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row>
        <row r="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row>
        <row r="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row>
        <row r="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row>
        <row r="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row>
        <row r="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row>
        <row r="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row>
        <row r="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row>
        <row r="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row>
        <row r="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row>
        <row r="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row>
        <row r="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row>
        <row r="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row>
        <row r="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row>
        <row r="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row>
        <row r="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row>
        <row r="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row>
        <row r="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row>
        <row r="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row>
        <row r="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row>
        <row r="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row>
        <row r="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row>
        <row r="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row>
        <row r="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row>
        <row r="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row>
        <row r="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row>
        <row r="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row>
        <row r="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row>
        <row r="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row>
        <row r="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row>
        <row r="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row>
        <row r="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row>
        <row r="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row>
        <row r="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row>
        <row r="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row>
        <row r="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row>
        <row r="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row>
        <row r="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row>
        <row r="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row>
        <row r="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row>
        <row r="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row>
        <row r="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row>
        <row r="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row>
        <row r="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row>
        <row r="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row>
        <row r="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row>
        <row r="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row>
        <row r="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row>
        <row r="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row>
        <row r="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row>
        <row r="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row>
        <row r="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row>
        <row r="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row>
        <row r="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row>
        <row r="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row>
        <row r="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row>
        <row r="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row>
        <row r="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row>
        <row r="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row>
        <row r="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row>
        <row r="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row>
        <row r="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row>
        <row r="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row>
        <row r="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row>
        <row r="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row>
        <row r="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row>
        <row r="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row>
        <row r="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row>
        <row r="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row>
        <row r="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row>
        <row r="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row>
        <row r="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row>
        <row r="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row>
        <row r="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row>
        <row r="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row>
        <row r="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row>
        <row r="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row>
        <row r="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row>
        <row r="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row>
        <row r="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row>
        <row r="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row>
        <row r="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row>
        <row r="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row>
        <row r="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row>
        <row r="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row>
        <row r="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row>
        <row r="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row>
        <row r="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row>
      </sheetData>
      <sheetData sheetId="2"/>
      <sheetData sheetId="3"/>
      <sheetData sheetId="4">
        <row r="14">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C18" t="str">
            <v>OR_Single Family</v>
          </cell>
          <cell r="D18" t="str">
            <v>Single Family</v>
          </cell>
          <cell r="E18" t="str">
            <v>Existing</v>
          </cell>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C19" t="str">
            <v>OR_Multi Family</v>
          </cell>
          <cell r="D19" t="str">
            <v>Multifamily - Low Rise</v>
          </cell>
          <cell r="E19" t="str">
            <v>Existing</v>
          </cell>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D20" t="str">
            <v>Multifamily - High Rise</v>
          </cell>
          <cell r="E20" t="str">
            <v>Existing</v>
          </cell>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C21" t="str">
            <v>OR_Other Family</v>
          </cell>
          <cell r="D21" t="str">
            <v>Manufactured</v>
          </cell>
          <cell r="E21" t="str">
            <v>Existing</v>
          </cell>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2">
          <cell r="BD22"/>
        </row>
        <row r="23">
          <cell r="D23" t="str">
            <v>WASHINGTON</v>
          </cell>
          <cell r="E23"/>
          <cell r="F23"/>
          <cell r="G23"/>
          <cell r="BD23"/>
        </row>
        <row r="24">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C28" t="str">
            <v>WA_Single Family</v>
          </cell>
          <cell r="D28" t="str">
            <v>Single Family</v>
          </cell>
          <cell r="E28" t="str">
            <v>Existing</v>
          </cell>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C29" t="str">
            <v>WA_Multi Family</v>
          </cell>
          <cell r="D29" t="str">
            <v>Multifamily - Low Rise</v>
          </cell>
          <cell r="E29" t="str">
            <v>Existing</v>
          </cell>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D30" t="str">
            <v>Multifamily - High Rise</v>
          </cell>
          <cell r="E30" t="str">
            <v>Existing</v>
          </cell>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C31" t="str">
            <v>WA_Other Family</v>
          </cell>
          <cell r="D31" t="str">
            <v>Manufactured</v>
          </cell>
          <cell r="E31" t="str">
            <v>Existing</v>
          </cell>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2">
          <cell r="BD32"/>
        </row>
        <row r="33">
          <cell r="D33" t="str">
            <v>IDAHO</v>
          </cell>
          <cell r="E33"/>
          <cell r="F33"/>
          <cell r="G33"/>
          <cell r="BD33"/>
        </row>
        <row r="34">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C38" t="str">
            <v>ID_Single Family</v>
          </cell>
          <cell r="D38" t="str">
            <v>Single Family</v>
          </cell>
          <cell r="E38" t="str">
            <v>Existing</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C39" t="str">
            <v>ID_Multi Family</v>
          </cell>
          <cell r="D39" t="str">
            <v>Multifamily - Low Rise</v>
          </cell>
          <cell r="E39" t="str">
            <v>Existing</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D40" t="str">
            <v>Multifamily - High Rise</v>
          </cell>
          <cell r="E40" t="str">
            <v>Existing</v>
          </cell>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C41" t="str">
            <v>ID_Other Family</v>
          </cell>
          <cell r="D41" t="str">
            <v>Manufactured</v>
          </cell>
          <cell r="E41" t="str">
            <v>Existing</v>
          </cell>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2">
          <cell r="BD42"/>
        </row>
        <row r="43">
          <cell r="D43" t="str">
            <v>MONTANA</v>
          </cell>
          <cell r="E43">
            <v>0.56999999999999995</v>
          </cell>
          <cell r="F43" t="str">
            <v>Western MT portion of state</v>
          </cell>
          <cell r="G43"/>
          <cell r="BD43"/>
        </row>
        <row r="44">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C48" t="str">
            <v>MT_Single Family</v>
          </cell>
          <cell r="D48" t="str">
            <v>Single Family</v>
          </cell>
          <cell r="E48" t="str">
            <v>Existing</v>
          </cell>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C49" t="str">
            <v>MT_Multi Family</v>
          </cell>
          <cell r="D49" t="str">
            <v>Multifamily - Low Rise</v>
          </cell>
          <cell r="E49" t="str">
            <v>Existing</v>
          </cell>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C50" t="str">
            <v>MT</v>
          </cell>
          <cell r="D50" t="str">
            <v>Multifamily - High Rise</v>
          </cell>
          <cell r="E50" t="str">
            <v>Existing</v>
          </cell>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C51" t="str">
            <v>MT_Other Family</v>
          </cell>
          <cell r="D51" t="str">
            <v>Manufactured</v>
          </cell>
          <cell r="E51" t="str">
            <v>Existing</v>
          </cell>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cell r="E53"/>
          <cell r="F53"/>
          <cell r="G53"/>
          <cell r="BD53"/>
        </row>
        <row r="54">
          <cell r="C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C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C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C58"/>
          <cell r="D58" t="str">
            <v>Single Family</v>
          </cell>
          <cell r="E58" t="str">
            <v>Existing</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C59"/>
          <cell r="D59" t="str">
            <v>Multifamily - Low Rise</v>
          </cell>
          <cell r="E59" t="str">
            <v>Existing</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D60" t="str">
            <v>Multifamily - High Rise</v>
          </cell>
          <cell r="E60" t="str">
            <v>Existing</v>
          </cell>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C61"/>
          <cell r="D61" t="str">
            <v>Manufactured</v>
          </cell>
          <cell r="E61" t="str">
            <v>Existing</v>
          </cell>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taxonomy"/>
      <sheetName val="Lookup"/>
      <sheetName val="UEC"/>
      <sheetName val="Tracking Status"/>
    </sheetNames>
    <definedNames>
      <definedName name="ExistingSat" refersTo="='SATS'!$B$10:$F$84"/>
      <definedName name="ResApplic" refersTo="='APPLIC'!$B$8:$F$119"/>
    </definedNames>
    <sheetDataSet>
      <sheetData sheetId="0">
        <row r="116">
          <cell r="B116" t="str">
            <v>Contents</v>
          </cell>
        </row>
        <row r="117">
          <cell r="B117" t="str">
            <v>Overview of model structure</v>
          </cell>
        </row>
        <row r="118">
          <cell r="B118" t="str">
            <v xml:space="preserve">Update Log:  Log for updates to Draft 6th Plan Assessment </v>
          </cell>
        </row>
        <row r="119">
          <cell r="B119" t="str">
            <v>Master List of measure bundles</v>
          </cell>
        </row>
      </sheetData>
      <sheetData sheetId="1"/>
      <sheetData sheetId="2">
        <row r="8">
          <cell r="B8" t="str">
            <v>Base Measure Name</v>
          </cell>
          <cell r="C8" t="str">
            <v>VCohort</v>
          </cell>
          <cell r="D8" t="str">
            <v>Measure Index Name</v>
          </cell>
          <cell r="E8" t="str">
            <v>M BUNDLE ID</v>
          </cell>
          <cell r="F8" t="str">
            <v>Measure Bundle Description</v>
          </cell>
        </row>
        <row r="9">
          <cell r="B9" t="str">
            <v>Lighting</v>
          </cell>
          <cell r="C9" t="str">
            <v>New</v>
          </cell>
          <cell r="D9" t="str">
            <v>Lighting - New</v>
          </cell>
        </row>
        <row r="10">
          <cell r="B10" t="str">
            <v>Lighting</v>
          </cell>
          <cell r="C10" t="str">
            <v>NR</v>
          </cell>
          <cell r="D10" t="str">
            <v>Lighting - NR</v>
          </cell>
        </row>
        <row r="11">
          <cell r="B11" t="str">
            <v>Lighting</v>
          </cell>
          <cell r="C11" t="str">
            <v>PPA</v>
          </cell>
          <cell r="D11" t="str">
            <v>Lighting - PPA</v>
          </cell>
        </row>
        <row r="12">
          <cell r="B12" t="str">
            <v>Dishwasher</v>
          </cell>
          <cell r="C12" t="str">
            <v>New</v>
          </cell>
          <cell r="D12" t="str">
            <v>Dishwasher - New</v>
          </cell>
        </row>
        <row r="13">
          <cell r="B13" t="str">
            <v>Dishwasher</v>
          </cell>
          <cell r="C13" t="str">
            <v>NR</v>
          </cell>
          <cell r="D13" t="str">
            <v>Dishwasher - NR</v>
          </cell>
        </row>
        <row r="14">
          <cell r="B14" t="str">
            <v>Clothes Washer</v>
          </cell>
          <cell r="C14" t="str">
            <v>New</v>
          </cell>
          <cell r="D14" t="str">
            <v>Clothes Washer - New</v>
          </cell>
        </row>
        <row r="15">
          <cell r="B15" t="str">
            <v>Clothes Washer</v>
          </cell>
          <cell r="C15" t="str">
            <v>NR</v>
          </cell>
          <cell r="D15" t="str">
            <v>Clothes Washer - NR</v>
          </cell>
        </row>
        <row r="16">
          <cell r="B16" t="str">
            <v>WasteWater Heat Recovery</v>
          </cell>
          <cell r="C16" t="str">
            <v>New</v>
          </cell>
          <cell r="D16" t="str">
            <v>WasteWater Heat Recovery - New</v>
          </cell>
        </row>
        <row r="17">
          <cell r="B17" t="str">
            <v>Showerheads</v>
          </cell>
          <cell r="C17" t="str">
            <v>New</v>
          </cell>
          <cell r="D17" t="str">
            <v>Showerheads - New</v>
          </cell>
        </row>
        <row r="18">
          <cell r="B18" t="str">
            <v>Showerheads</v>
          </cell>
          <cell r="C18" t="str">
            <v>Retro</v>
          </cell>
          <cell r="D18" t="str">
            <v>Showerheads - Retro</v>
          </cell>
        </row>
        <row r="19">
          <cell r="B19" t="str">
            <v>HPWH</v>
          </cell>
          <cell r="C19" t="str">
            <v>New</v>
          </cell>
          <cell r="D19" t="str">
            <v>HPWH - New</v>
          </cell>
        </row>
        <row r="20">
          <cell r="B20" t="str">
            <v>HPWH</v>
          </cell>
          <cell r="C20" t="str">
            <v>NR</v>
          </cell>
          <cell r="D20" t="str">
            <v>HPWH - NR</v>
          </cell>
        </row>
        <row r="21">
          <cell r="B21" t="str">
            <v>EV Supply Equip</v>
          </cell>
          <cell r="C21" t="str">
            <v>NR</v>
          </cell>
          <cell r="D21" t="str">
            <v>EV Supply Equip - NR</v>
          </cell>
        </row>
        <row r="22">
          <cell r="B22" t="str">
            <v>Clothes Dryer</v>
          </cell>
          <cell r="C22" t="str">
            <v>New</v>
          </cell>
          <cell r="D22" t="str">
            <v>Clothes Dryer - New</v>
          </cell>
        </row>
        <row r="23">
          <cell r="B23" t="str">
            <v>Clothes Dryer</v>
          </cell>
          <cell r="C23" t="str">
            <v>NR</v>
          </cell>
          <cell r="D23" t="str">
            <v>Clothes Dryer - NR</v>
          </cell>
        </row>
        <row r="24">
          <cell r="B24" t="str">
            <v>Refrigerator</v>
          </cell>
          <cell r="C24" t="str">
            <v>New</v>
          </cell>
          <cell r="D24" t="str">
            <v>Refrigerator - New</v>
          </cell>
        </row>
        <row r="25">
          <cell r="B25" t="str">
            <v>Refrigerator</v>
          </cell>
          <cell r="C25" t="str">
            <v>NR</v>
          </cell>
          <cell r="D25" t="str">
            <v>Refrigerator - NR</v>
          </cell>
        </row>
        <row r="26">
          <cell r="B26" t="str">
            <v>Freezer</v>
          </cell>
          <cell r="C26" t="str">
            <v>New</v>
          </cell>
          <cell r="D26" t="str">
            <v>Freezer - New</v>
          </cell>
        </row>
        <row r="27">
          <cell r="B27" t="str">
            <v>Freezer</v>
          </cell>
          <cell r="C27" t="str">
            <v>NR</v>
          </cell>
          <cell r="D27" t="str">
            <v>Freezer - NR</v>
          </cell>
        </row>
        <row r="28">
          <cell r="B28" t="str">
            <v>Solar Water Heater</v>
          </cell>
          <cell r="C28" t="str">
            <v>New</v>
          </cell>
          <cell r="D28" t="str">
            <v>Solar Water Heater - New</v>
          </cell>
        </row>
        <row r="29">
          <cell r="B29" t="str">
            <v>Solar Water Heater</v>
          </cell>
          <cell r="C29" t="str">
            <v>NR</v>
          </cell>
          <cell r="D29" t="str">
            <v>Solar Water Heater - NR</v>
          </cell>
        </row>
        <row r="30">
          <cell r="B30" t="str">
            <v>Solar Water Heater</v>
          </cell>
          <cell r="C30" t="str">
            <v>Retro</v>
          </cell>
          <cell r="D30" t="str">
            <v>Solar Water Heater - Retro</v>
          </cell>
        </row>
        <row r="33">
          <cell r="B33" t="str">
            <v>Electric Oven</v>
          </cell>
          <cell r="C33" t="str">
            <v>New</v>
          </cell>
          <cell r="D33" t="str">
            <v>Electric Oven - New</v>
          </cell>
        </row>
        <row r="34">
          <cell r="B34" t="str">
            <v>Electric Oven</v>
          </cell>
          <cell r="C34" t="str">
            <v>NR</v>
          </cell>
          <cell r="D34" t="str">
            <v>Electric Oven - NR</v>
          </cell>
        </row>
        <row r="35">
          <cell r="B35" t="str">
            <v>Microwave</v>
          </cell>
          <cell r="C35" t="str">
            <v>New</v>
          </cell>
          <cell r="D35" t="str">
            <v>Microwave - New</v>
          </cell>
        </row>
        <row r="36">
          <cell r="B36" t="str">
            <v>Microwave</v>
          </cell>
          <cell r="C36" t="str">
            <v>NR</v>
          </cell>
          <cell r="D36" t="str">
            <v>Microwave - NR</v>
          </cell>
        </row>
        <row r="37">
          <cell r="B37" t="str">
            <v>Monitor</v>
          </cell>
          <cell r="C37" t="str">
            <v>New</v>
          </cell>
          <cell r="D37" t="str">
            <v>Monitor - New</v>
          </cell>
        </row>
        <row r="38">
          <cell r="B38" t="str">
            <v>Monitor</v>
          </cell>
          <cell r="C38" t="str">
            <v>NR</v>
          </cell>
          <cell r="D38" t="str">
            <v>Monitor - NR</v>
          </cell>
        </row>
        <row r="39">
          <cell r="B39" t="str">
            <v>Desktop</v>
          </cell>
          <cell r="C39" t="str">
            <v>New</v>
          </cell>
          <cell r="D39" t="str">
            <v>Desktop - New</v>
          </cell>
        </row>
        <row r="40">
          <cell r="B40" t="str">
            <v>Desktop</v>
          </cell>
          <cell r="C40" t="str">
            <v>NR</v>
          </cell>
          <cell r="D40" t="str">
            <v>Desktop - NR</v>
          </cell>
        </row>
        <row r="41">
          <cell r="B41" t="str">
            <v>Laptop</v>
          </cell>
          <cell r="C41" t="str">
            <v>New</v>
          </cell>
          <cell r="D41" t="str">
            <v>Laptop - New</v>
          </cell>
        </row>
        <row r="42">
          <cell r="B42" t="str">
            <v>Laptop</v>
          </cell>
          <cell r="C42" t="str">
            <v>NR</v>
          </cell>
          <cell r="D42" t="str">
            <v>Laptop - NR</v>
          </cell>
        </row>
        <row r="43">
          <cell r="B43" t="str">
            <v>Computer</v>
          </cell>
          <cell r="C43" t="str">
            <v>New</v>
          </cell>
          <cell r="D43" t="str">
            <v>Computer - New</v>
          </cell>
        </row>
        <row r="44">
          <cell r="B44" t="str">
            <v>Computer</v>
          </cell>
          <cell r="C44" t="str">
            <v>NR</v>
          </cell>
          <cell r="D44" t="str">
            <v>Computer - NR</v>
          </cell>
        </row>
        <row r="45">
          <cell r="B45" t="str">
            <v>ASHP</v>
          </cell>
          <cell r="C45" t="str">
            <v>New</v>
          </cell>
          <cell r="D45" t="str">
            <v>ASHP - New</v>
          </cell>
        </row>
        <row r="46">
          <cell r="B46" t="str">
            <v>ASHP</v>
          </cell>
          <cell r="C46" t="str">
            <v>NR</v>
          </cell>
          <cell r="D46" t="str">
            <v>ASHP - NR</v>
          </cell>
        </row>
        <row r="47">
          <cell r="B47" t="str">
            <v>HP</v>
          </cell>
          <cell r="C47" t="str">
            <v>Retro</v>
          </cell>
          <cell r="D47" t="str">
            <v>HP - Retro</v>
          </cell>
        </row>
        <row r="48">
          <cell r="B48" t="str">
            <v>DHP</v>
          </cell>
          <cell r="C48" t="str">
            <v>New</v>
          </cell>
          <cell r="D48" t="str">
            <v>DHP - New</v>
          </cell>
        </row>
        <row r="49">
          <cell r="B49" t="str">
            <v>DHP</v>
          </cell>
          <cell r="C49" t="str">
            <v>NR</v>
          </cell>
          <cell r="D49" t="str">
            <v>DHP - NR</v>
          </cell>
        </row>
        <row r="50">
          <cell r="B50" t="str">
            <v>DHP</v>
          </cell>
          <cell r="C50" t="str">
            <v>Retro</v>
          </cell>
          <cell r="D50" t="str">
            <v>DHP - Retro</v>
          </cell>
        </row>
        <row r="51">
          <cell r="B51" t="str">
            <v>Duct Sealing</v>
          </cell>
          <cell r="C51" t="str">
            <v>New</v>
          </cell>
          <cell r="D51" t="str">
            <v>Duct Sealing - New</v>
          </cell>
        </row>
        <row r="52">
          <cell r="B52" t="str">
            <v>Duct Sealing</v>
          </cell>
          <cell r="C52" t="str">
            <v>Retro</v>
          </cell>
          <cell r="D52" t="str">
            <v>Duct Sealing - Retro</v>
          </cell>
        </row>
        <row r="53">
          <cell r="B53" t="str">
            <v>WIFI enabled tstats</v>
          </cell>
          <cell r="C53" t="str">
            <v>New</v>
          </cell>
          <cell r="D53" t="str">
            <v>WIFI enabled tstats - New</v>
          </cell>
        </row>
        <row r="54">
          <cell r="B54" t="str">
            <v>WIFI enabled tstats</v>
          </cell>
          <cell r="C54" t="str">
            <v>Retro</v>
          </cell>
          <cell r="D54" t="str">
            <v>WIFI enabled tstats - Retro</v>
          </cell>
        </row>
        <row r="55">
          <cell r="B55" t="str">
            <v>Combo DHP/HPWH units</v>
          </cell>
          <cell r="C55" t="str">
            <v>New</v>
          </cell>
          <cell r="D55" t="str">
            <v>Combo DHP/HPWH units - New</v>
          </cell>
        </row>
        <row r="56">
          <cell r="B56" t="str">
            <v>Combo DHP/HPWH units</v>
          </cell>
          <cell r="C56" t="str">
            <v>NR</v>
          </cell>
          <cell r="D56" t="str">
            <v>Combo DHP/HPWH units - NR</v>
          </cell>
        </row>
        <row r="57">
          <cell r="B57" t="str">
            <v>Combo DHP/HPWH units</v>
          </cell>
          <cell r="C57" t="str">
            <v>Retro</v>
          </cell>
          <cell r="D57" t="str">
            <v>Combo DHP/HPWH units - Retro</v>
          </cell>
        </row>
        <row r="58">
          <cell r="B58" t="str">
            <v>Aerator</v>
          </cell>
          <cell r="C58" t="str">
            <v>New</v>
          </cell>
          <cell r="D58" t="str">
            <v>Aerator - New</v>
          </cell>
        </row>
        <row r="59">
          <cell r="B59" t="str">
            <v>Aerator</v>
          </cell>
          <cell r="C59" t="str">
            <v>Retro</v>
          </cell>
          <cell r="D59" t="str">
            <v>Aerator - Retro</v>
          </cell>
        </row>
        <row r="60">
          <cell r="B60" t="str">
            <v>Behavior</v>
          </cell>
          <cell r="C60" t="str">
            <v>Retro</v>
          </cell>
          <cell r="D60" t="str">
            <v>Behavior - Retro</v>
          </cell>
        </row>
        <row r="61">
          <cell r="B61" t="str">
            <v>Behavior</v>
          </cell>
          <cell r="C61" t="str">
            <v>New</v>
          </cell>
          <cell r="D61" t="str">
            <v>Behavior - New</v>
          </cell>
        </row>
        <row r="63">
          <cell r="B63" t="str">
            <v>Heat Recovery Ventilation</v>
          </cell>
          <cell r="C63" t="str">
            <v>New</v>
          </cell>
          <cell r="D63" t="str">
            <v>Heat Recovery Ventilation - New</v>
          </cell>
        </row>
        <row r="64">
          <cell r="B64" t="str">
            <v>GSHP</v>
          </cell>
          <cell r="C64" t="str">
            <v>New</v>
          </cell>
          <cell r="D64" t="str">
            <v>GSHP - New</v>
          </cell>
        </row>
        <row r="65">
          <cell r="B65" t="str">
            <v>GSHP</v>
          </cell>
          <cell r="C65" t="str">
            <v>NR</v>
          </cell>
          <cell r="D65" t="str">
            <v>GSHP - NR</v>
          </cell>
        </row>
        <row r="66">
          <cell r="C66" t="str">
            <v>Retro</v>
          </cell>
        </row>
        <row r="67">
          <cell r="B67" t="str">
            <v>ECM for HVAC ventilation</v>
          </cell>
          <cell r="C67" t="str">
            <v>New</v>
          </cell>
          <cell r="D67" t="str">
            <v>ECM for HVAC ventilation - New</v>
          </cell>
        </row>
        <row r="68">
          <cell r="B68" t="str">
            <v>ECM for HVAC ventilation</v>
          </cell>
          <cell r="C68" t="str">
            <v>NR</v>
          </cell>
          <cell r="D68" t="str">
            <v>ECM for HVAC ventilation - NR</v>
          </cell>
        </row>
        <row r="69">
          <cell r="B69" t="str">
            <v>Whole house/attic fan</v>
          </cell>
          <cell r="C69" t="str">
            <v>New</v>
          </cell>
          <cell r="D69" t="str">
            <v>Whole house/attic fan - New</v>
          </cell>
        </row>
        <row r="70">
          <cell r="B70" t="str">
            <v>Whole house/attic fan</v>
          </cell>
          <cell r="C70" t="str">
            <v>Retro</v>
          </cell>
          <cell r="D70" t="str">
            <v>Whole house/attic fan - Retro</v>
          </cell>
        </row>
        <row r="71">
          <cell r="B71" t="str">
            <v>WH Pipe insulation</v>
          </cell>
          <cell r="C71" t="str">
            <v>Retro</v>
          </cell>
          <cell r="D71" t="str">
            <v>WH Pipe insulation - Retro</v>
          </cell>
        </row>
        <row r="72">
          <cell r="B72" t="str">
            <v>DHP Ducted</v>
          </cell>
          <cell r="C72" t="str">
            <v>NR</v>
          </cell>
          <cell r="D72" t="str">
            <v>DHP Ducted - NR</v>
          </cell>
        </row>
        <row r="73">
          <cell r="B73" t="str">
            <v>Advanced Power Strips</v>
          </cell>
          <cell r="C73" t="str">
            <v>New</v>
          </cell>
          <cell r="D73" t="str">
            <v>Advanced Power Strips - New</v>
          </cell>
        </row>
        <row r="74">
          <cell r="B74" t="str">
            <v>Advanced Power Strips</v>
          </cell>
          <cell r="C74" t="str">
            <v>Retro</v>
          </cell>
          <cell r="D74" t="str">
            <v>Advanced Power Strips - Retro</v>
          </cell>
        </row>
        <row r="75">
          <cell r="B75" t="str">
            <v>Controls Commissioning and Sizing</v>
          </cell>
          <cell r="C75" t="str">
            <v>New</v>
          </cell>
          <cell r="D75" t="str">
            <v>Controls Commissioning and Sizing - New</v>
          </cell>
        </row>
        <row r="76">
          <cell r="B76" t="str">
            <v>Controls Commissioning and Sizing</v>
          </cell>
          <cell r="C76" t="str">
            <v>NR</v>
          </cell>
          <cell r="D76" t="str">
            <v>Controls Commissioning and Sizing - NR</v>
          </cell>
        </row>
        <row r="77">
          <cell r="B77" t="str">
            <v>ResWx</v>
          </cell>
          <cell r="C77" t="str">
            <v>Retro</v>
          </cell>
          <cell r="D77" t="str">
            <v>ResWx - Retro</v>
          </cell>
        </row>
        <row r="78">
          <cell r="B78" t="str">
            <v>ATTIC R0 - R19</v>
          </cell>
          <cell r="C78" t="str">
            <v>Retro</v>
          </cell>
          <cell r="D78" t="str">
            <v>ATTIC R0 - R19 - Retro</v>
          </cell>
        </row>
        <row r="79">
          <cell r="B79" t="str">
            <v>ATTIC R0 - R22</v>
          </cell>
          <cell r="C79" t="str">
            <v>Retro</v>
          </cell>
          <cell r="D79" t="str">
            <v>ATTIC R0 - R22 - Retro</v>
          </cell>
        </row>
        <row r="80">
          <cell r="B80" t="str">
            <v>ATTIC R0 - R30</v>
          </cell>
          <cell r="C80" t="str">
            <v>Retro</v>
          </cell>
          <cell r="D80" t="str">
            <v>ATTIC R0 - R30 - Retro</v>
          </cell>
        </row>
        <row r="81">
          <cell r="B81" t="str">
            <v>ATTIC R0 - R38</v>
          </cell>
          <cell r="C81" t="str">
            <v>Retro</v>
          </cell>
          <cell r="D81" t="str">
            <v>ATTIC R0 - R38 - Retro</v>
          </cell>
        </row>
        <row r="82">
          <cell r="B82" t="str">
            <v>ATTIC R0 - R49</v>
          </cell>
          <cell r="C82" t="str">
            <v>Retro</v>
          </cell>
          <cell r="D82" t="str">
            <v>ATTIC R0 - R49 - Retro</v>
          </cell>
        </row>
        <row r="83">
          <cell r="B83" t="str">
            <v>ATTIC R11 - R30</v>
          </cell>
          <cell r="C83" t="str">
            <v>Retro</v>
          </cell>
          <cell r="D83" t="str">
            <v>ATTIC R11 - R30 - Retro</v>
          </cell>
        </row>
        <row r="84">
          <cell r="B84" t="str">
            <v>ATTIC R11 - R38</v>
          </cell>
          <cell r="C84" t="str">
            <v>Retro</v>
          </cell>
          <cell r="D84" t="str">
            <v>ATTIC R11 - R38 - Retro</v>
          </cell>
        </row>
        <row r="85">
          <cell r="B85" t="str">
            <v>ATTIC R11 - R49</v>
          </cell>
          <cell r="C85" t="str">
            <v>Retro</v>
          </cell>
          <cell r="D85" t="str">
            <v>ATTIC R11 - R49 - Retro</v>
          </cell>
        </row>
        <row r="86">
          <cell r="B86" t="str">
            <v>ATTIC R19 - R30</v>
          </cell>
          <cell r="C86" t="str">
            <v>Retro</v>
          </cell>
          <cell r="D86" t="str">
            <v>ATTIC R19 - R30 - Retro</v>
          </cell>
        </row>
        <row r="87">
          <cell r="B87" t="str">
            <v>ATTIC R19 - R38</v>
          </cell>
          <cell r="C87" t="str">
            <v>Retro</v>
          </cell>
          <cell r="D87" t="str">
            <v>ATTIC R19 - R38 - Retro</v>
          </cell>
        </row>
        <row r="88">
          <cell r="B88" t="str">
            <v>ATTIC R19 - R49</v>
          </cell>
          <cell r="C88" t="str">
            <v>Retro</v>
          </cell>
          <cell r="D88" t="str">
            <v>ATTIC R19 - R49 - Retro</v>
          </cell>
        </row>
        <row r="89">
          <cell r="B89" t="str">
            <v>WALL R0 - R11</v>
          </cell>
          <cell r="C89" t="str">
            <v>Retro</v>
          </cell>
          <cell r="D89" t="str">
            <v>WALL R0 - R11 - Retro</v>
          </cell>
        </row>
        <row r="90">
          <cell r="B90" t="str">
            <v>FLOOR R0 - R19</v>
          </cell>
          <cell r="C90" t="str">
            <v>Retro</v>
          </cell>
          <cell r="D90" t="str">
            <v>FLOOR R0 - R19 - Retro</v>
          </cell>
        </row>
        <row r="91">
          <cell r="B91" t="str">
            <v>FLOOR R0 - R22</v>
          </cell>
          <cell r="C91" t="str">
            <v>Retro</v>
          </cell>
          <cell r="D91" t="str">
            <v>FLOOR R0 - R22 - Retro</v>
          </cell>
        </row>
        <row r="92">
          <cell r="B92" t="str">
            <v>FLOOR R0 - R25</v>
          </cell>
          <cell r="C92" t="str">
            <v>Retro</v>
          </cell>
          <cell r="D92" t="str">
            <v>FLOOR R0 - R25 - Retro</v>
          </cell>
        </row>
        <row r="93">
          <cell r="B93" t="str">
            <v>FLOOR R0 - R30</v>
          </cell>
          <cell r="C93" t="str">
            <v>Retro</v>
          </cell>
          <cell r="D93" t="str">
            <v>FLOOR R0 - R30 - Retro</v>
          </cell>
        </row>
        <row r="94">
          <cell r="B94" t="str">
            <v>FLOOR R11 - R22</v>
          </cell>
          <cell r="C94" t="str">
            <v>Retro</v>
          </cell>
          <cell r="D94" t="str">
            <v>FLOOR R11 - R22 - Retro</v>
          </cell>
        </row>
        <row r="95">
          <cell r="B95" t="str">
            <v>WINDOW CL30 Prime Window Replacement of Single Pane Base</v>
          </cell>
          <cell r="C95" t="str">
            <v>Retro</v>
          </cell>
          <cell r="D95" t="str">
            <v>WINDOW CL30 Prime Window Replacement of Single Pane Base - Retro</v>
          </cell>
        </row>
        <row r="96">
          <cell r="B96" t="str">
            <v>WINDOW CL30 Prime Window Replacement of Double Pane Base</v>
          </cell>
          <cell r="C96" t="str">
            <v>Retro</v>
          </cell>
          <cell r="D96" t="str">
            <v>WINDOW CL30 Prime Window Replacement of Double Pane Base - Retro</v>
          </cell>
        </row>
        <row r="97">
          <cell r="B97" t="str">
            <v>WINDOW CL22 Prime Window Replacement of Single Pane Base</v>
          </cell>
          <cell r="C97" t="str">
            <v>Retro</v>
          </cell>
          <cell r="D97" t="str">
            <v>WINDOW CL22 Prime Window Replacement of Single Pane Base - Retro</v>
          </cell>
        </row>
        <row r="98">
          <cell r="B98" t="str">
            <v>WINDOW CL22 Prime Window Replacement of Double Pane Base</v>
          </cell>
          <cell r="C98" t="str">
            <v>Retro</v>
          </cell>
          <cell r="D98" t="str">
            <v>WINDOW CL22 Prime Window Replacement of Double Pane Base - Retro</v>
          </cell>
        </row>
        <row r="99">
          <cell r="B99" t="str">
            <v>CFM50 Infiltration Reduction</v>
          </cell>
          <cell r="C99" t="str">
            <v>Retro</v>
          </cell>
          <cell r="D99" t="str">
            <v>CFM50 Infiltration Reduction - Retro</v>
          </cell>
        </row>
      </sheetData>
      <sheetData sheetId="3">
        <row r="4">
          <cell r="H4">
            <v>2035</v>
          </cell>
        </row>
        <row r="8">
          <cell r="B8">
            <v>1</v>
          </cell>
          <cell r="C8">
            <v>2</v>
          </cell>
          <cell r="D8">
            <v>3</v>
          </cell>
          <cell r="E8">
            <v>4</v>
          </cell>
          <cell r="F8">
            <v>5</v>
          </cell>
        </row>
        <row r="9">
          <cell r="B9" t="str">
            <v>Measure Index Name</v>
          </cell>
          <cell r="C9" t="str">
            <v>File Link</v>
          </cell>
          <cell r="D9" t="str">
            <v>Supply Curve Worksheet</v>
          </cell>
          <cell r="E9" t="str">
            <v>Lost Opp</v>
          </cell>
          <cell r="F9" t="str">
            <v>Descriptive Name</v>
          </cell>
        </row>
        <row r="10">
          <cell r="B10" t="str">
            <v>Lighting - New</v>
          </cell>
          <cell r="C10" t="str">
            <v>Res-Lighting-7P_v3.xlsx</v>
          </cell>
        </row>
        <row r="11">
          <cell r="B11" t="str">
            <v>Lighting - NR</v>
          </cell>
          <cell r="C11" t="str">
            <v>Res-Lighting-7P_v3.xlsx</v>
          </cell>
        </row>
        <row r="12">
          <cell r="B12" t="str">
            <v>Lighting - PPA</v>
          </cell>
          <cell r="C12" t="str">
            <v>Res-Lighting_PPA-7P_v4.xlsx</v>
          </cell>
        </row>
        <row r="13">
          <cell r="B13" t="str">
            <v>Dishwasher - New</v>
          </cell>
          <cell r="C13" t="str">
            <v>Res-Dishwasher-7P_v3.xlsx</v>
          </cell>
        </row>
        <row r="14">
          <cell r="B14" t="str">
            <v>Dishwasher - NR</v>
          </cell>
          <cell r="C14" t="str">
            <v>Res-Dishwasher-7P_v3.xlsx</v>
          </cell>
        </row>
        <row r="15">
          <cell r="B15" t="str">
            <v>Clothes Washer - New</v>
          </cell>
          <cell r="C15" t="str">
            <v>Res-ClothesWasher-7P_v2.xlsx</v>
          </cell>
        </row>
        <row r="16">
          <cell r="B16" t="str">
            <v>Clothes Washer - NR</v>
          </cell>
          <cell r="C16" t="str">
            <v>Res-ClothesWasher-7P_v2.xlsx</v>
          </cell>
        </row>
        <row r="17">
          <cell r="B17" t="str">
            <v>WasteWater Heat Recovery - New</v>
          </cell>
          <cell r="C17" t="str">
            <v>Res-GFX-7P_v2p.xlsx</v>
          </cell>
        </row>
        <row r="18">
          <cell r="B18" t="str">
            <v>Showerheads - New</v>
          </cell>
          <cell r="C18" t="str">
            <v>Res-Showerhead-7P_v4.xlsx</v>
          </cell>
        </row>
        <row r="19">
          <cell r="B19" t="str">
            <v>Showerheads - Retro</v>
          </cell>
          <cell r="C19" t="str">
            <v>Res-Showerhead-7P_v4.xlsx</v>
          </cell>
        </row>
        <row r="20">
          <cell r="B20" t="str">
            <v>HPWH - New</v>
          </cell>
          <cell r="C20" t="str">
            <v>Res-HPWH-7P_v3.xlsx</v>
          </cell>
        </row>
        <row r="21">
          <cell r="B21" t="str">
            <v>HPWH - NR</v>
          </cell>
          <cell r="C21" t="str">
            <v>Res-HPWH-7P_v3.xlsx</v>
          </cell>
        </row>
        <row r="22">
          <cell r="B22" t="str">
            <v>EV Supply Equip - NR</v>
          </cell>
          <cell r="C22" t="str">
            <v>Res-EVCharger-7P_v1p.xlsx</v>
          </cell>
        </row>
        <row r="23">
          <cell r="B23" t="str">
            <v>Clothes Dryer - New</v>
          </cell>
          <cell r="C23" t="str">
            <v>Res-ClothesDryer-7P_v2.xlsx</v>
          </cell>
        </row>
        <row r="24">
          <cell r="B24" t="str">
            <v>Clothes Dryer - NR</v>
          </cell>
          <cell r="C24" t="str">
            <v>Res-ClothesDryer-7P_v2.xlsx</v>
          </cell>
        </row>
        <row r="25">
          <cell r="B25" t="str">
            <v>Refrigerator - New</v>
          </cell>
          <cell r="C25" t="str">
            <v>Res-RefrigFreezer-7P_v3.xlsm</v>
          </cell>
        </row>
        <row r="26">
          <cell r="B26" t="str">
            <v>Refrigerator - NR</v>
          </cell>
          <cell r="C26" t="str">
            <v>Res-RefrigFreezer-7P_v3.xlsm</v>
          </cell>
        </row>
        <row r="27">
          <cell r="B27" t="str">
            <v>Freezer - New</v>
          </cell>
          <cell r="C27" t="str">
            <v>Res-RefrigFreezer-7P_v3.xlsm</v>
          </cell>
        </row>
        <row r="28">
          <cell r="B28" t="str">
            <v>Freezer - NR</v>
          </cell>
          <cell r="C28" t="str">
            <v>Res-RefrigFreezer-7P_v3.xlsm</v>
          </cell>
        </row>
        <row r="29">
          <cell r="B29" t="str">
            <v>Solar Water Heater - New</v>
          </cell>
          <cell r="C29" t="str">
            <v>Res-SWH-7P_v1.xlsx</v>
          </cell>
        </row>
        <row r="30">
          <cell r="B30" t="str">
            <v>Solar Water Heater - NR</v>
          </cell>
        </row>
        <row r="31">
          <cell r="B31" t="str">
            <v>Solar Water Heater - Retro</v>
          </cell>
          <cell r="C31" t="str">
            <v>Res-SWH-7P_v1.xlsx</v>
          </cell>
        </row>
        <row r="32">
          <cell r="B32">
            <v>0</v>
          </cell>
        </row>
        <row r="33">
          <cell r="B33">
            <v>0</v>
          </cell>
        </row>
        <row r="34">
          <cell r="B34" t="str">
            <v>Electric Oven - New</v>
          </cell>
          <cell r="C34" t="str">
            <v>Res-Oven-7P_v3.xlsx</v>
          </cell>
        </row>
        <row r="35">
          <cell r="B35" t="str">
            <v>Electric Oven - NR</v>
          </cell>
          <cell r="C35" t="str">
            <v>Res-Oven-7P_v3.xlsx</v>
          </cell>
        </row>
        <row r="36">
          <cell r="B36" t="str">
            <v>Microwave - New</v>
          </cell>
          <cell r="C36" t="str">
            <v>Res-Microwave-7P_v3.xlsx</v>
          </cell>
        </row>
        <row r="37">
          <cell r="B37" t="str">
            <v>Microwave - NR</v>
          </cell>
          <cell r="C37" t="str">
            <v>Res-Microwave-7P_v3.xlsx</v>
          </cell>
        </row>
        <row r="38">
          <cell r="B38" t="str">
            <v>Monitor - New</v>
          </cell>
          <cell r="C38" t="str">
            <v>Res-Computers-7P_v4.xlsx</v>
          </cell>
        </row>
        <row r="39">
          <cell r="B39" t="str">
            <v>Monitor - NR</v>
          </cell>
          <cell r="C39" t="str">
            <v>Res-Computers-7P_v4.xlsx</v>
          </cell>
        </row>
        <row r="40">
          <cell r="B40" t="str">
            <v>Desktop - New</v>
          </cell>
          <cell r="C40" t="str">
            <v>Res-Computers-7P_v4.xlsx</v>
          </cell>
        </row>
        <row r="41">
          <cell r="B41" t="str">
            <v>Desktop - NR</v>
          </cell>
          <cell r="C41" t="str">
            <v>Res-Computers-7P_v4.xlsx</v>
          </cell>
        </row>
        <row r="42">
          <cell r="B42" t="str">
            <v>Laptop - New</v>
          </cell>
          <cell r="C42" t="str">
            <v>Res-Computers-7P_v4.xlsx</v>
          </cell>
        </row>
        <row r="43">
          <cell r="B43" t="str">
            <v>Laptop - NR</v>
          </cell>
          <cell r="C43" t="str">
            <v>Res-Computers-7P_v4.xlsx</v>
          </cell>
        </row>
        <row r="46">
          <cell r="B46" t="str">
            <v>ASHP - New</v>
          </cell>
          <cell r="C46" t="str">
            <v>Res-SF_HP-7P_v4.xlsx</v>
          </cell>
        </row>
        <row r="47">
          <cell r="B47" t="str">
            <v>ASHP - NR</v>
          </cell>
          <cell r="C47" t="str">
            <v>Res-SF_HP-7P_v4.xlsx</v>
          </cell>
        </row>
        <row r="49">
          <cell r="B49" t="str">
            <v>DHP - New</v>
          </cell>
          <cell r="C49" t="str">
            <v>Res-SF_HP-7P_v4.xlsx</v>
          </cell>
        </row>
        <row r="50">
          <cell r="B50" t="str">
            <v>DHP - NR</v>
          </cell>
          <cell r="C50" t="str">
            <v>Res-SF_HP-7P_v4.xlsx</v>
          </cell>
        </row>
        <row r="51">
          <cell r="B51" t="str">
            <v>DHP - Retro</v>
          </cell>
        </row>
        <row r="52">
          <cell r="B52" t="str">
            <v>Duct Sealing - New</v>
          </cell>
          <cell r="C52" t="str">
            <v>Res-Duct_Seal-7P_v3.xlsx</v>
          </cell>
        </row>
        <row r="53">
          <cell r="B53" t="str">
            <v>Duct Sealing - Retro</v>
          </cell>
          <cell r="C53" t="str">
            <v>Res-Duct_Seal-7P_v3.xlsx</v>
          </cell>
        </row>
        <row r="54">
          <cell r="B54" t="str">
            <v>WIFI enabled tstats - New</v>
          </cell>
          <cell r="C54" t="str">
            <v>Res-WiFitstat-7P_v3.xlsx</v>
          </cell>
        </row>
        <row r="55">
          <cell r="B55" t="str">
            <v>WIFI enabled tstats - Retro</v>
          </cell>
          <cell r="C55" t="str">
            <v>Res-WiFitstat-7P_v3.xlsx</v>
          </cell>
        </row>
        <row r="56">
          <cell r="B56" t="str">
            <v>Combo DHP/HPWH units - New</v>
          </cell>
        </row>
        <row r="57">
          <cell r="B57" t="str">
            <v>Combo DHP/HPWH units - NR</v>
          </cell>
        </row>
        <row r="58">
          <cell r="B58" t="str">
            <v>Combo DHP/HPWH units - Retro</v>
          </cell>
        </row>
        <row r="59">
          <cell r="B59" t="str">
            <v>Aerator - New</v>
          </cell>
          <cell r="C59" t="str">
            <v>Res-Aerator-7P_v4.xlsx</v>
          </cell>
        </row>
        <row r="60">
          <cell r="B60" t="str">
            <v>Aerator - Retro</v>
          </cell>
          <cell r="C60" t="str">
            <v>Res-Aerator-7P_v4.xlsx</v>
          </cell>
        </row>
        <row r="61">
          <cell r="B61" t="str">
            <v>Behavior - Retro</v>
          </cell>
          <cell r="C61" t="str">
            <v>Res-COP-7P_v2.xlsx</v>
          </cell>
        </row>
        <row r="62">
          <cell r="B62" t="str">
            <v>Behavior - New</v>
          </cell>
          <cell r="C62" t="str">
            <v>Res-COP-7P_v2.xlsx</v>
          </cell>
        </row>
        <row r="63">
          <cell r="B63">
            <v>0</v>
          </cell>
        </row>
        <row r="64">
          <cell r="B64" t="str">
            <v>Heat Recovery Ventilation - New</v>
          </cell>
          <cell r="C64" t="str">
            <v>Res-HRV-7P_v1.xlsx</v>
          </cell>
        </row>
        <row r="65">
          <cell r="B65" t="str">
            <v>GSHP - New</v>
          </cell>
          <cell r="C65" t="str">
            <v>Res-GSHP-7P_v1.xlsx</v>
          </cell>
        </row>
        <row r="66">
          <cell r="B66" t="str">
            <v>GSHP - NR</v>
          </cell>
          <cell r="C66" t="str">
            <v>Res-GSHP-7P_v1.xlsx</v>
          </cell>
        </row>
        <row r="67">
          <cell r="B67">
            <v>0</v>
          </cell>
        </row>
        <row r="68">
          <cell r="B68" t="str">
            <v>ECM for HVAC ventilation - New</v>
          </cell>
        </row>
        <row r="69">
          <cell r="B69" t="str">
            <v>ECM for HVAC ventilation - NR</v>
          </cell>
        </row>
        <row r="70">
          <cell r="B70" t="str">
            <v>Whole house/attic fan - New</v>
          </cell>
        </row>
        <row r="71">
          <cell r="B71" t="str">
            <v>Whole house/attic fan - Retro</v>
          </cell>
        </row>
        <row r="72">
          <cell r="B72" t="str">
            <v>WH Pipe insulation - Retro</v>
          </cell>
        </row>
        <row r="73">
          <cell r="B73" t="str">
            <v>DHP Ducted - NR</v>
          </cell>
          <cell r="C73" t="str">
            <v>Res-FAF_to_DHP-7P_v2.xlsx</v>
          </cell>
        </row>
        <row r="74">
          <cell r="B74" t="str">
            <v>Advanced Power Strips - New</v>
          </cell>
          <cell r="C74" t="str">
            <v>Res-PowerStrips-7P_v5.xlsx</v>
          </cell>
        </row>
        <row r="75">
          <cell r="B75" t="str">
            <v>Advanced Power Strips - Retro</v>
          </cell>
          <cell r="C75" t="str">
            <v>Res-PowerStrips-7P_v5.xlsx</v>
          </cell>
        </row>
        <row r="76">
          <cell r="B76" t="str">
            <v>Controls Commissioning and Sizing - New</v>
          </cell>
          <cell r="C76" t="str">
            <v>Res-CCS-7P_v3.xlsx</v>
          </cell>
        </row>
        <row r="77">
          <cell r="B77" t="str">
            <v>Controls Commissioning and Sizing - NR</v>
          </cell>
          <cell r="C77" t="str">
            <v>Res-CCS-7P_v3.xlsx</v>
          </cell>
        </row>
        <row r="78">
          <cell r="B78" t="str">
            <v>ResWx - Retro</v>
          </cell>
          <cell r="C78" t="str">
            <v>Res-SF_Wx-7P_v5.xlsx</v>
          </cell>
        </row>
        <row r="79">
          <cell r="B79" t="str">
            <v>ResWx - Retro</v>
          </cell>
          <cell r="C79" t="str">
            <v>Res-MF_Wx-7P_v5.xlsx</v>
          </cell>
        </row>
        <row r="80">
          <cell r="B80" t="str">
            <v>ResWx - Retro</v>
          </cell>
          <cell r="C80" t="str">
            <v>Res-MH_Wx-7P_v3.xlsx</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1</v>
          </cell>
          <cell r="D9">
            <v>1</v>
          </cell>
          <cell r="E9">
            <v>1</v>
          </cell>
          <cell r="F9">
            <v>1</v>
          </cell>
        </row>
        <row r="10">
          <cell r="B10" t="str">
            <v>Lighting - NR</v>
          </cell>
          <cell r="C10">
            <v>1</v>
          </cell>
          <cell r="D10">
            <v>1</v>
          </cell>
          <cell r="E10">
            <v>1</v>
          </cell>
          <cell r="F10">
            <v>1</v>
          </cell>
        </row>
        <row r="11">
          <cell r="B11" t="str">
            <v>Lighting - PPA</v>
          </cell>
          <cell r="C11">
            <v>1</v>
          </cell>
          <cell r="D11">
            <v>1</v>
          </cell>
          <cell r="E11">
            <v>1</v>
          </cell>
          <cell r="F11">
            <v>1</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0.51600000000000001</v>
          </cell>
          <cell r="D17">
            <v>0.58000000000000007</v>
          </cell>
          <cell r="E17">
            <v>0.58000000000000007</v>
          </cell>
          <cell r="F17">
            <v>0.33999999999999997</v>
          </cell>
        </row>
        <row r="18">
          <cell r="B18" t="str">
            <v>Showerheads - Retro</v>
          </cell>
          <cell r="C18">
            <v>0.44247428657992416</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 Supply Equip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0.2475</v>
          </cell>
          <cell r="D28">
            <v>0.25</v>
          </cell>
          <cell r="E28">
            <v>0</v>
          </cell>
          <cell r="F28">
            <v>0</v>
          </cell>
        </row>
        <row r="29">
          <cell r="B29" t="str">
            <v>Solar Water Heater - NR</v>
          </cell>
          <cell r="C29">
            <v>0.2475</v>
          </cell>
          <cell r="D29">
            <v>0.25</v>
          </cell>
          <cell r="E29">
            <v>0</v>
          </cell>
          <cell r="F29">
            <v>0</v>
          </cell>
        </row>
        <row r="30">
          <cell r="B30" t="str">
            <v>Solar Water Heater - Retro</v>
          </cell>
          <cell r="C30">
            <v>0.2475</v>
          </cell>
          <cell r="D30">
            <v>0.25</v>
          </cell>
          <cell r="E30">
            <v>0</v>
          </cell>
          <cell r="F30">
            <v>0</v>
          </cell>
        </row>
        <row r="31">
          <cell r="B31">
            <v>0</v>
          </cell>
          <cell r="C31">
            <v>0</v>
          </cell>
          <cell r="D31">
            <v>0</v>
          </cell>
          <cell r="E31">
            <v>0</v>
          </cell>
          <cell r="F31">
            <v>0</v>
          </cell>
        </row>
        <row r="32">
          <cell r="B32">
            <v>0</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row>
        <row r="44">
          <cell r="B44" t="str">
            <v>Computer - NR</v>
          </cell>
        </row>
        <row r="45">
          <cell r="B45" t="str">
            <v>ASHP - New</v>
          </cell>
          <cell r="C45">
            <v>0.88200000000000001</v>
          </cell>
          <cell r="D45">
            <v>0.5</v>
          </cell>
          <cell r="E45">
            <v>0</v>
          </cell>
          <cell r="F45">
            <v>0.9</v>
          </cell>
        </row>
        <row r="46">
          <cell r="B46" t="str">
            <v>ASHP - NR</v>
          </cell>
          <cell r="C46">
            <v>0.73499999999999999</v>
          </cell>
          <cell r="D46">
            <v>0.5</v>
          </cell>
          <cell r="E46">
            <v>0</v>
          </cell>
          <cell r="F46">
            <v>0.25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0.4519771928174614</v>
          </cell>
          <cell r="D51">
            <v>0</v>
          </cell>
          <cell r="E51">
            <v>0</v>
          </cell>
          <cell r="F51">
            <v>0.56056700768085099</v>
          </cell>
        </row>
        <row r="52">
          <cell r="B52" t="str">
            <v>Duct Sealing - Retro</v>
          </cell>
          <cell r="C52">
            <v>0.4293783331765883</v>
          </cell>
          <cell r="D52">
            <v>0</v>
          </cell>
          <cell r="E52">
            <v>0</v>
          </cell>
          <cell r="F52">
            <v>0.53253865729680838</v>
          </cell>
        </row>
        <row r="53">
          <cell r="B53" t="str">
            <v>WIFI enabled tstats - New</v>
          </cell>
          <cell r="C53">
            <v>0.2</v>
          </cell>
          <cell r="D53">
            <v>0.2</v>
          </cell>
          <cell r="E53">
            <v>0</v>
          </cell>
          <cell r="F53">
            <v>0.2</v>
          </cell>
        </row>
        <row r="54">
          <cell r="B54" t="str">
            <v>WIFI enabled tstats - Retro</v>
          </cell>
          <cell r="C54">
            <v>0.19800000000000001</v>
          </cell>
          <cell r="D54">
            <v>0.19800000000000001</v>
          </cell>
          <cell r="E54">
            <v>0</v>
          </cell>
          <cell r="F54">
            <v>0.19800000000000001</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cell r="C62">
            <v>0</v>
          </cell>
          <cell r="D62">
            <v>0</v>
          </cell>
          <cell r="E62">
            <v>0</v>
          </cell>
          <cell r="F62">
            <v>0</v>
          </cell>
        </row>
        <row r="63">
          <cell r="B63" t="str">
            <v>Heat Recovery Ventilation - New</v>
          </cell>
          <cell r="C63">
            <v>0.89100000000000001</v>
          </cell>
          <cell r="D63">
            <v>0</v>
          </cell>
          <cell r="E63">
            <v>0</v>
          </cell>
          <cell r="F63">
            <v>0</v>
          </cell>
        </row>
        <row r="64">
          <cell r="B64" t="str">
            <v>GSHP - New</v>
          </cell>
          <cell r="C64">
            <v>0.12485156673907999</v>
          </cell>
          <cell r="D64">
            <v>0</v>
          </cell>
          <cell r="E64">
            <v>0</v>
          </cell>
          <cell r="F64">
            <v>0</v>
          </cell>
        </row>
        <row r="65">
          <cell r="B65" t="str">
            <v>GSHP - NR</v>
          </cell>
          <cell r="C65">
            <v>0.12485156673907999</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0.74249999999999994</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0.76</v>
          </cell>
          <cell r="D75">
            <v>0</v>
          </cell>
          <cell r="E75">
            <v>0</v>
          </cell>
          <cell r="F75">
            <v>0.76</v>
          </cell>
        </row>
        <row r="76">
          <cell r="B76" t="str">
            <v>Controls Commissioning and Sizing - NR</v>
          </cell>
          <cell r="C76">
            <v>0.76</v>
          </cell>
          <cell r="D76">
            <v>0</v>
          </cell>
          <cell r="E76">
            <v>0</v>
          </cell>
          <cell r="F76">
            <v>0.76</v>
          </cell>
        </row>
        <row r="77">
          <cell r="B77" t="str">
            <v>ResWx - Retro</v>
          </cell>
          <cell r="C77">
            <v>0.95</v>
          </cell>
          <cell r="D77">
            <v>1</v>
          </cell>
          <cell r="E77">
            <v>0</v>
          </cell>
          <cell r="F77">
            <v>0.95</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2.6948932736556339E-2</v>
          </cell>
          <cell r="D81">
            <v>1.0278311581146856E-2</v>
          </cell>
          <cell r="E81">
            <v>0</v>
          </cell>
          <cell r="F81">
            <v>0</v>
          </cell>
        </row>
        <row r="82">
          <cell r="B82" t="str">
            <v>ATTIC R0 - R49 - Retro</v>
          </cell>
          <cell r="C82">
            <v>1.4358977746069441E-2</v>
          </cell>
          <cell r="D82">
            <v>6.1309752137076318E-2</v>
          </cell>
          <cell r="E82">
            <v>0</v>
          </cell>
          <cell r="F82">
            <v>0</v>
          </cell>
        </row>
        <row r="83">
          <cell r="B83" t="str">
            <v>ATTIC R11 - R30 - Retro</v>
          </cell>
          <cell r="C83">
            <v>0</v>
          </cell>
          <cell r="D83">
            <v>0</v>
          </cell>
          <cell r="E83">
            <v>0</v>
          </cell>
          <cell r="F83">
            <v>1.0533305070999921E-3</v>
          </cell>
        </row>
        <row r="84">
          <cell r="B84" t="str">
            <v>ATTIC R11 - R38 - Retro</v>
          </cell>
          <cell r="C84">
            <v>2.3103174790355906E-2</v>
          </cell>
          <cell r="D84">
            <v>0</v>
          </cell>
          <cell r="E84">
            <v>0</v>
          </cell>
          <cell r="F84">
            <v>0</v>
          </cell>
        </row>
        <row r="85">
          <cell r="B85" t="str">
            <v>ATTIC R11 - R49 - Retro</v>
          </cell>
          <cell r="C85">
            <v>1.8130132136117076E-2</v>
          </cell>
          <cell r="D85">
            <v>0</v>
          </cell>
          <cell r="E85">
            <v>0</v>
          </cell>
          <cell r="F85">
            <v>0</v>
          </cell>
        </row>
        <row r="86">
          <cell r="B86" t="str">
            <v>ATTIC R19 - R30 - Retro</v>
          </cell>
          <cell r="C86">
            <v>0</v>
          </cell>
          <cell r="D86">
            <v>6.290255489213914E-2</v>
          </cell>
          <cell r="E86">
            <v>0</v>
          </cell>
          <cell r="F86">
            <v>0</v>
          </cell>
        </row>
        <row r="87">
          <cell r="B87" t="str">
            <v>ATTIC R19 - R38 - Retro</v>
          </cell>
          <cell r="C87">
            <v>7.7383620685619386E-3</v>
          </cell>
          <cell r="D87">
            <v>9.7100069732044877E-3</v>
          </cell>
          <cell r="E87">
            <v>0</v>
          </cell>
          <cell r="F87">
            <v>0</v>
          </cell>
        </row>
        <row r="88">
          <cell r="B88" t="str">
            <v>ATTIC R19 - R49 - Retro</v>
          </cell>
          <cell r="C88">
            <v>1.6661606179553163E-2</v>
          </cell>
          <cell r="D88">
            <v>0.14262615254337155</v>
          </cell>
          <cell r="E88">
            <v>0</v>
          </cell>
          <cell r="F88">
            <v>0</v>
          </cell>
        </row>
        <row r="89">
          <cell r="B89" t="str">
            <v>WALL R0 - R11 - Retro</v>
          </cell>
          <cell r="C89">
            <v>7.4675545798828291E-2</v>
          </cell>
          <cell r="D89">
            <v>7.6999999999999957E-2</v>
          </cell>
          <cell r="E89">
            <v>0</v>
          </cell>
          <cell r="F89">
            <v>0</v>
          </cell>
        </row>
        <row r="90">
          <cell r="B90" t="str">
            <v>FLOOR R0 - R19 - Retro</v>
          </cell>
          <cell r="C90">
            <v>7.534861538514051E-2</v>
          </cell>
          <cell r="D90">
            <v>2.0626779203887391E-2</v>
          </cell>
          <cell r="E90">
            <v>0</v>
          </cell>
          <cell r="F90">
            <v>0</v>
          </cell>
        </row>
        <row r="91">
          <cell r="B91" t="str">
            <v>FLOOR R0 - R22 - Retro</v>
          </cell>
          <cell r="C91">
            <v>0</v>
          </cell>
          <cell r="D91">
            <v>0</v>
          </cell>
          <cell r="E91">
            <v>0</v>
          </cell>
          <cell r="F91">
            <v>1.0665247527328225E-2</v>
          </cell>
        </row>
        <row r="92">
          <cell r="B92" t="str">
            <v>FLOOR R0 - R25 - Retro</v>
          </cell>
          <cell r="C92">
            <v>4.3566362460577185E-2</v>
          </cell>
          <cell r="D92">
            <v>0</v>
          </cell>
          <cell r="E92">
            <v>0</v>
          </cell>
          <cell r="F92">
            <v>0</v>
          </cell>
        </row>
        <row r="93">
          <cell r="B93" t="str">
            <v>FLOOR R0 - R30 - Retro</v>
          </cell>
          <cell r="C93">
            <v>0.1005447281406957</v>
          </cell>
          <cell r="D93">
            <v>0.22837322079611261</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1.9442601061513898E-2</v>
          </cell>
          <cell r="D95">
            <v>0.11958359544917095</v>
          </cell>
          <cell r="E95">
            <v>0</v>
          </cell>
          <cell r="F95">
            <v>1.3677383586228942E-2</v>
          </cell>
        </row>
        <row r="96">
          <cell r="B96" t="str">
            <v>WINDOW CL30 Prime Window Replacement of Double Pane Base - Retro</v>
          </cell>
          <cell r="C96">
            <v>0.71840695226153939</v>
          </cell>
          <cell r="D96">
            <v>0.64696155480151862</v>
          </cell>
          <cell r="E96">
            <v>0</v>
          </cell>
          <cell r="F96">
            <v>6.9568000974991058E-4</v>
          </cell>
        </row>
        <row r="97">
          <cell r="B97" t="str">
            <v>WINDOW CL22 Prime Window Replacement of Single Pane Base - Retro</v>
          </cell>
          <cell r="C97">
            <v>4.8606502653784746E-3</v>
          </cell>
          <cell r="D97">
            <v>2.9895898862292738E-2</v>
          </cell>
          <cell r="E97">
            <v>0</v>
          </cell>
          <cell r="F97">
            <v>3.4193458965572354E-3</v>
          </cell>
        </row>
        <row r="98">
          <cell r="B98" t="str">
            <v>WINDOW CL22 Prime Window Replacement of Double Pane Base - Retro</v>
          </cell>
          <cell r="C98">
            <v>0.17960173806538485</v>
          </cell>
          <cell r="D98">
            <v>0.16174038870037966</v>
          </cell>
          <cell r="E98">
            <v>0</v>
          </cell>
          <cell r="F98">
            <v>1.7392000243747764E-4</v>
          </cell>
        </row>
        <row r="99">
          <cell r="B99" t="str">
            <v>CFM50 Infiltration Reduction - Retro</v>
          </cell>
          <cell r="C99">
            <v>0.3489194352936118</v>
          </cell>
          <cell r="D99">
            <v>0.5</v>
          </cell>
          <cell r="E99">
            <v>0</v>
          </cell>
          <cell r="F99">
            <v>8.366655018171143E-2</v>
          </cell>
        </row>
        <row r="100">
          <cell r="C100">
            <v>0</v>
          </cell>
          <cell r="D100">
            <v>0</v>
          </cell>
          <cell r="E100">
            <v>0</v>
          </cell>
          <cell r="F100">
            <v>0</v>
          </cell>
        </row>
      </sheetData>
      <sheetData sheetId="5">
        <row r="8">
          <cell r="B8" t="str">
            <v>Measure Index Name</v>
          </cell>
          <cell r="C8" t="str">
            <v>Single Family</v>
          </cell>
          <cell r="D8" t="str">
            <v>Multifamily - Low Rise</v>
          </cell>
          <cell r="E8" t="str">
            <v>Multifamily - High Rise</v>
          </cell>
          <cell r="F8" t="str">
            <v>Manufactured</v>
          </cell>
        </row>
        <row r="9">
          <cell r="B9" t="str">
            <v>Lighting - New</v>
          </cell>
          <cell r="C9">
            <v>1</v>
          </cell>
          <cell r="D9">
            <v>1</v>
          </cell>
          <cell r="E9">
            <v>1</v>
          </cell>
          <cell r="F9">
            <v>1</v>
          </cell>
        </row>
        <row r="10">
          <cell r="B10" t="str">
            <v>Lighting - NR</v>
          </cell>
          <cell r="C10">
            <v>1</v>
          </cell>
          <cell r="D10">
            <v>1</v>
          </cell>
          <cell r="E10">
            <v>1</v>
          </cell>
          <cell r="F10">
            <v>1</v>
          </cell>
        </row>
        <row r="11">
          <cell r="B11" t="str">
            <v>Lighting - PPA</v>
          </cell>
          <cell r="C11">
            <v>1</v>
          </cell>
          <cell r="D11">
            <v>1</v>
          </cell>
          <cell r="E11">
            <v>1</v>
          </cell>
          <cell r="F11">
            <v>1</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1</v>
          </cell>
          <cell r="D17">
            <v>1</v>
          </cell>
          <cell r="E17">
            <v>1</v>
          </cell>
          <cell r="F17">
            <v>1</v>
          </cell>
        </row>
        <row r="18">
          <cell r="B18" t="str">
            <v>Showerheads - Retro</v>
          </cell>
          <cell r="C18">
            <v>1</v>
          </cell>
          <cell r="D18">
            <v>1</v>
          </cell>
          <cell r="E18">
            <v>1</v>
          </cell>
          <cell r="F18">
            <v>1</v>
          </cell>
        </row>
        <row r="19">
          <cell r="B19" t="str">
            <v>HPWH - New</v>
          </cell>
          <cell r="C19">
            <v>0.95</v>
          </cell>
          <cell r="D19">
            <v>0</v>
          </cell>
          <cell r="E19">
            <v>0</v>
          </cell>
          <cell r="F19">
            <v>0.95</v>
          </cell>
        </row>
        <row r="20">
          <cell r="B20" t="str">
            <v>HPWH - NR</v>
          </cell>
          <cell r="C20">
            <v>0.95</v>
          </cell>
          <cell r="D20">
            <v>0</v>
          </cell>
          <cell r="E20">
            <v>0</v>
          </cell>
          <cell r="F20">
            <v>0.95</v>
          </cell>
        </row>
        <row r="21">
          <cell r="B21" t="str">
            <v>EV Supply Equip - NR</v>
          </cell>
          <cell r="C21">
            <v>0.9</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0.25</v>
          </cell>
          <cell r="D28">
            <v>0.25</v>
          </cell>
        </row>
        <row r="29">
          <cell r="B29" t="str">
            <v>Solar Water Heater - NR</v>
          </cell>
          <cell r="C29">
            <v>0.25</v>
          </cell>
          <cell r="D29">
            <v>0.25</v>
          </cell>
        </row>
        <row r="30">
          <cell r="B30" t="str">
            <v>Solar Water Heater - Retro</v>
          </cell>
          <cell r="C30">
            <v>0.25</v>
          </cell>
          <cell r="D30">
            <v>0.25</v>
          </cell>
        </row>
        <row r="31">
          <cell r="B31">
            <v>0</v>
          </cell>
        </row>
        <row r="32">
          <cell r="B32">
            <v>0</v>
          </cell>
        </row>
        <row r="33">
          <cell r="B33" t="str">
            <v>Electric Oven - New</v>
          </cell>
          <cell r="C33">
            <v>1</v>
          </cell>
          <cell r="D33">
            <v>1</v>
          </cell>
          <cell r="E33">
            <v>1</v>
          </cell>
          <cell r="F33">
            <v>1</v>
          </cell>
        </row>
        <row r="34">
          <cell r="B34" t="str">
            <v>Electric Oven - NR</v>
          </cell>
          <cell r="C34">
            <v>1</v>
          </cell>
          <cell r="D34">
            <v>1</v>
          </cell>
          <cell r="E34">
            <v>1</v>
          </cell>
          <cell r="F34">
            <v>1</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1</v>
          </cell>
          <cell r="D37">
            <v>1</v>
          </cell>
          <cell r="E37">
            <v>1</v>
          </cell>
          <cell r="F37">
            <v>1</v>
          </cell>
        </row>
        <row r="38">
          <cell r="B38" t="str">
            <v>Monitor - NR</v>
          </cell>
          <cell r="C38">
            <v>1</v>
          </cell>
          <cell r="D38">
            <v>1</v>
          </cell>
          <cell r="E38">
            <v>1</v>
          </cell>
          <cell r="F38">
            <v>1</v>
          </cell>
        </row>
        <row r="39">
          <cell r="B39" t="str">
            <v>Desktop - New</v>
          </cell>
          <cell r="C39">
            <v>1</v>
          </cell>
          <cell r="D39">
            <v>1</v>
          </cell>
          <cell r="E39">
            <v>1</v>
          </cell>
          <cell r="F39">
            <v>1</v>
          </cell>
        </row>
        <row r="40">
          <cell r="B40" t="str">
            <v>Desktop - NR</v>
          </cell>
          <cell r="C40">
            <v>1</v>
          </cell>
          <cell r="D40">
            <v>1</v>
          </cell>
          <cell r="E40">
            <v>1</v>
          </cell>
          <cell r="F40">
            <v>1</v>
          </cell>
        </row>
        <row r="41">
          <cell r="B41" t="str">
            <v>Laptop - New</v>
          </cell>
          <cell r="C41">
            <v>1</v>
          </cell>
          <cell r="D41">
            <v>1</v>
          </cell>
          <cell r="E41">
            <v>1</v>
          </cell>
          <cell r="F41">
            <v>1</v>
          </cell>
        </row>
        <row r="42">
          <cell r="B42" t="str">
            <v>Laptop - NR</v>
          </cell>
          <cell r="C42">
            <v>1</v>
          </cell>
          <cell r="D42">
            <v>1</v>
          </cell>
          <cell r="E42">
            <v>1</v>
          </cell>
          <cell r="F42">
            <v>1</v>
          </cell>
        </row>
        <row r="43">
          <cell r="B43" t="str">
            <v>Computer - New</v>
          </cell>
        </row>
        <row r="44">
          <cell r="B44" t="str">
            <v>Computer - NR</v>
          </cell>
        </row>
        <row r="45">
          <cell r="B45" t="str">
            <v>ASHP - New</v>
          </cell>
          <cell r="C45">
            <v>0.9</v>
          </cell>
          <cell r="D45">
            <v>0.5</v>
          </cell>
          <cell r="E45">
            <v>0</v>
          </cell>
          <cell r="F45">
            <v>0.9</v>
          </cell>
        </row>
        <row r="46">
          <cell r="B46" t="str">
            <v>ASHP - NR</v>
          </cell>
          <cell r="C46">
            <v>0.75</v>
          </cell>
          <cell r="D46">
            <v>0.5</v>
          </cell>
          <cell r="E46">
            <v>0</v>
          </cell>
          <cell r="F46">
            <v>0.25</v>
          </cell>
        </row>
        <row r="47">
          <cell r="B47" t="str">
            <v>HP - Retro</v>
          </cell>
        </row>
        <row r="48">
          <cell r="B48" t="str">
            <v>DHP - New</v>
          </cell>
          <cell r="C48">
            <v>0.99</v>
          </cell>
          <cell r="D48">
            <v>0.99</v>
          </cell>
          <cell r="E48">
            <v>0</v>
          </cell>
          <cell r="F48">
            <v>0.99</v>
          </cell>
        </row>
        <row r="49">
          <cell r="B49" t="str">
            <v>DHP - NR</v>
          </cell>
          <cell r="C49">
            <v>0.99</v>
          </cell>
          <cell r="D49">
            <v>0.99</v>
          </cell>
          <cell r="E49">
            <v>0</v>
          </cell>
          <cell r="F49">
            <v>0.99</v>
          </cell>
        </row>
        <row r="50">
          <cell r="B50" t="str">
            <v>DHP - Retro</v>
          </cell>
        </row>
        <row r="51">
          <cell r="B51" t="str">
            <v>Duct Sealing - New</v>
          </cell>
          <cell r="C51">
            <v>1</v>
          </cell>
          <cell r="F51">
            <v>1</v>
          </cell>
        </row>
        <row r="52">
          <cell r="B52" t="str">
            <v>Duct Sealing - Retro</v>
          </cell>
          <cell r="C52">
            <v>0.95</v>
          </cell>
          <cell r="F52">
            <v>0.95</v>
          </cell>
        </row>
        <row r="53">
          <cell r="B53" t="str">
            <v>WIFI enabled tstats - New</v>
          </cell>
          <cell r="C53">
            <v>0.2</v>
          </cell>
          <cell r="D53">
            <v>0.2</v>
          </cell>
          <cell r="E53">
            <v>0</v>
          </cell>
          <cell r="F53">
            <v>0.2</v>
          </cell>
        </row>
        <row r="54">
          <cell r="B54" t="str">
            <v>WIFI enabled tstats - Retro</v>
          </cell>
          <cell r="C54">
            <v>0.2</v>
          </cell>
          <cell r="D54">
            <v>0.2</v>
          </cell>
          <cell r="E54">
            <v>0</v>
          </cell>
          <cell r="F54">
            <v>0.2</v>
          </cell>
        </row>
        <row r="55">
          <cell r="B55" t="str">
            <v>Combo DHP/HPWH units - New</v>
          </cell>
        </row>
        <row r="56">
          <cell r="B56" t="str">
            <v>Combo DHP/HPWH units - NR</v>
          </cell>
        </row>
        <row r="57">
          <cell r="B57" t="str">
            <v>Combo DHP/HPWH units - Retro</v>
          </cell>
        </row>
        <row r="58">
          <cell r="B58" t="str">
            <v>Aerator - New</v>
          </cell>
          <cell r="C58">
            <v>0.9</v>
          </cell>
          <cell r="D58">
            <v>0.9</v>
          </cell>
          <cell r="E58">
            <v>0.9</v>
          </cell>
          <cell r="F58">
            <v>0.9</v>
          </cell>
        </row>
        <row r="59">
          <cell r="B59" t="str">
            <v>Aerator - Retro</v>
          </cell>
          <cell r="C59">
            <v>0.9</v>
          </cell>
          <cell r="D59">
            <v>0.9</v>
          </cell>
          <cell r="E59">
            <v>0.9</v>
          </cell>
          <cell r="F59">
            <v>0.9</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row>
        <row r="63">
          <cell r="B63" t="str">
            <v>Heat Recovery Ventilation - New</v>
          </cell>
          <cell r="C63">
            <v>0.9</v>
          </cell>
        </row>
        <row r="64">
          <cell r="B64" t="str">
            <v>GSHP - New</v>
          </cell>
          <cell r="C64">
            <v>0.12485156673907999</v>
          </cell>
        </row>
        <row r="65">
          <cell r="B65" t="str">
            <v>GSHP - NR</v>
          </cell>
          <cell r="C65">
            <v>0.12485156673907999</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0.25</v>
          </cell>
          <cell r="D72">
            <v>0</v>
          </cell>
          <cell r="E72">
            <v>0</v>
          </cell>
          <cell r="F72">
            <v>0.75</v>
          </cell>
        </row>
        <row r="73">
          <cell r="B73" t="str">
            <v>Advanced Power Strips - New</v>
          </cell>
          <cell r="C73">
            <v>0.34</v>
          </cell>
          <cell r="D73">
            <v>0.25</v>
          </cell>
          <cell r="E73">
            <v>0.25</v>
          </cell>
          <cell r="F73">
            <v>0.25</v>
          </cell>
        </row>
        <row r="74">
          <cell r="B74" t="str">
            <v>Advanced Power Strips - Retro</v>
          </cell>
          <cell r="C74">
            <v>0.34</v>
          </cell>
          <cell r="D74">
            <v>0.25</v>
          </cell>
          <cell r="E74">
            <v>0.25</v>
          </cell>
          <cell r="F74">
            <v>0.25</v>
          </cell>
        </row>
        <row r="75">
          <cell r="B75" t="str">
            <v>Controls Commissioning and Sizing - New</v>
          </cell>
          <cell r="C75">
            <v>0.8</v>
          </cell>
          <cell r="F75">
            <v>0.8</v>
          </cell>
        </row>
        <row r="76">
          <cell r="B76" t="str">
            <v>Controls Commissioning and Sizing - NR</v>
          </cell>
          <cell r="C76">
            <v>0.8</v>
          </cell>
          <cell r="F76">
            <v>0.8</v>
          </cell>
        </row>
        <row r="77">
          <cell r="B77" t="str">
            <v>ResWx - Retro</v>
          </cell>
          <cell r="C77">
            <v>1</v>
          </cell>
          <cell r="D77">
            <v>1</v>
          </cell>
          <cell r="E77">
            <v>0</v>
          </cell>
          <cell r="F77">
            <v>1</v>
          </cell>
        </row>
        <row r="78">
          <cell r="B78" t="str">
            <v>ATTIC R0 - R19 - Retro</v>
          </cell>
          <cell r="D78">
            <v>5.4136342171710254E-2</v>
          </cell>
          <cell r="E78">
            <v>0</v>
          </cell>
        </row>
        <row r="79">
          <cell r="B79" t="str">
            <v>ATTIC R0 - R22 - Retro</v>
          </cell>
          <cell r="E79">
            <v>0</v>
          </cell>
          <cell r="F79">
            <v>1</v>
          </cell>
        </row>
        <row r="80">
          <cell r="B80" t="str">
            <v>ATTIC R0 - R30 - Retro</v>
          </cell>
          <cell r="E80">
            <v>0</v>
          </cell>
          <cell r="F80">
            <v>1</v>
          </cell>
        </row>
        <row r="81">
          <cell r="B81" t="str">
            <v>ATTIC R0 - R38 - Retro</v>
          </cell>
          <cell r="C81">
            <v>0.32014844015471466</v>
          </cell>
          <cell r="D81">
            <v>4.7584775838642859E-2</v>
          </cell>
          <cell r="E81">
            <v>0</v>
          </cell>
        </row>
        <row r="82">
          <cell r="B82" t="str">
            <v>ATTIC R0 - R49 - Retro</v>
          </cell>
          <cell r="C82">
            <v>0.17058205505053403</v>
          </cell>
          <cell r="D82">
            <v>0.28384144507905706</v>
          </cell>
          <cell r="E82">
            <v>0</v>
          </cell>
        </row>
        <row r="83">
          <cell r="B83" t="str">
            <v>ATTIC R11 - R30 - Retro</v>
          </cell>
          <cell r="E83">
            <v>0</v>
          </cell>
          <cell r="F83">
            <v>1</v>
          </cell>
        </row>
        <row r="84">
          <cell r="B84" t="str">
            <v>ATTIC R11 - R38 - Retro</v>
          </cell>
          <cell r="C84">
            <v>0.17430969903565588</v>
          </cell>
          <cell r="E84">
            <v>0</v>
          </cell>
        </row>
        <row r="85">
          <cell r="B85" t="str">
            <v>ATTIC R11 - R49 - Retro</v>
          </cell>
          <cell r="C85">
            <v>0.13678890043469027</v>
          </cell>
          <cell r="E85">
            <v>0</v>
          </cell>
        </row>
        <row r="86">
          <cell r="B86" t="str">
            <v>ATTIC R19 - R30 - Retro</v>
          </cell>
          <cell r="D86">
            <v>0.22227051198635747</v>
          </cell>
          <cell r="E86">
            <v>0</v>
          </cell>
        </row>
        <row r="87">
          <cell r="B87" t="str">
            <v>ATTIC R19 - R38 - Retro</v>
          </cell>
          <cell r="C87">
            <v>4.6501964215835925E-2</v>
          </cell>
          <cell r="D87">
            <v>3.4310978703902796E-2</v>
          </cell>
          <cell r="E87">
            <v>0</v>
          </cell>
        </row>
        <row r="88">
          <cell r="B88" t="str">
            <v>ATTIC R19 - R49 - Retro</v>
          </cell>
          <cell r="C88">
            <v>0.1001242132993031</v>
          </cell>
          <cell r="D88">
            <v>0.50397933760908686</v>
          </cell>
          <cell r="E88">
            <v>0</v>
          </cell>
        </row>
        <row r="89">
          <cell r="B89" t="str">
            <v>WALL R0 - R11 - Retro</v>
          </cell>
          <cell r="C89">
            <v>1</v>
          </cell>
          <cell r="D89">
            <v>1</v>
          </cell>
          <cell r="E89">
            <v>0</v>
          </cell>
        </row>
        <row r="90">
          <cell r="B90" t="str">
            <v>FLOOR R0 - R19 - Retro</v>
          </cell>
          <cell r="C90">
            <v>0.34333690117039206</v>
          </cell>
          <cell r="D90">
            <v>8.2838470698342936E-2</v>
          </cell>
          <cell r="E90">
            <v>0</v>
          </cell>
        </row>
        <row r="91">
          <cell r="B91" t="str">
            <v>FLOOR R0 - R22 - Retro</v>
          </cell>
          <cell r="E91">
            <v>0</v>
          </cell>
          <cell r="F91">
            <v>1</v>
          </cell>
        </row>
        <row r="92">
          <cell r="B92" t="str">
            <v>FLOOR R0 - R25 - Retro</v>
          </cell>
          <cell r="C92">
            <v>0.19851645323572223</v>
          </cell>
          <cell r="E92">
            <v>0</v>
          </cell>
        </row>
        <row r="93">
          <cell r="B93" t="str">
            <v>FLOOR R0 - R30 - Retro</v>
          </cell>
          <cell r="C93">
            <v>0.45814664559388574</v>
          </cell>
          <cell r="D93">
            <v>0.91716152930165706</v>
          </cell>
          <cell r="E93">
            <v>0</v>
          </cell>
        </row>
        <row r="94">
          <cell r="B94" t="str">
            <v>FLOOR R11 - R22 - Retro</v>
          </cell>
          <cell r="E94">
            <v>0</v>
          </cell>
          <cell r="F94">
            <v>1</v>
          </cell>
        </row>
        <row r="95">
          <cell r="B95" t="str">
            <v>WINDOW CL30 Prime Window Replacement of Single Pane Base - Retro</v>
          </cell>
          <cell r="C95">
            <v>0.8</v>
          </cell>
          <cell r="D95">
            <v>0.8</v>
          </cell>
          <cell r="E95">
            <v>0</v>
          </cell>
          <cell r="F95">
            <v>0.8</v>
          </cell>
        </row>
        <row r="96">
          <cell r="B96" t="str">
            <v>WINDOW CL30 Prime Window Replacement of Double Pane Base - Retro</v>
          </cell>
          <cell r="C96">
            <v>0.8</v>
          </cell>
          <cell r="D96">
            <v>0.8</v>
          </cell>
          <cell r="E96">
            <v>0</v>
          </cell>
          <cell r="F96">
            <v>0.8</v>
          </cell>
        </row>
        <row r="97">
          <cell r="B97" t="str">
            <v>WINDOW CL22 Prime Window Replacement of Single Pane Base - Retro</v>
          </cell>
          <cell r="C97">
            <v>0.2</v>
          </cell>
          <cell r="D97">
            <v>0.2</v>
          </cell>
          <cell r="E97">
            <v>0</v>
          </cell>
          <cell r="F97">
            <v>0.2</v>
          </cell>
        </row>
        <row r="98">
          <cell r="B98" t="str">
            <v>WINDOW CL22 Prime Window Replacement of Double Pane Base - Retro</v>
          </cell>
          <cell r="C98">
            <v>0.2</v>
          </cell>
          <cell r="D98">
            <v>0.2</v>
          </cell>
          <cell r="E98">
            <v>0</v>
          </cell>
          <cell r="F98">
            <v>0.2</v>
          </cell>
        </row>
        <row r="99">
          <cell r="B99" t="str">
            <v>CFM50 Infiltration Reduction - Retro</v>
          </cell>
          <cell r="C99">
            <v>0.5</v>
          </cell>
          <cell r="D99">
            <v>0.5</v>
          </cell>
          <cell r="E99">
            <v>0</v>
          </cell>
          <cell r="F99">
            <v>1</v>
          </cell>
        </row>
      </sheetData>
      <sheetData sheetId="6">
        <row r="8">
          <cell r="B8" t="str">
            <v>Measure Index Name</v>
          </cell>
          <cell r="C8" t="str">
            <v>Single Family</v>
          </cell>
          <cell r="D8" t="str">
            <v>Multifamily - Low Rise</v>
          </cell>
          <cell r="E8" t="str">
            <v>Multifamily - High Rise</v>
          </cell>
          <cell r="F8" t="str">
            <v>Manufactured</v>
          </cell>
        </row>
        <row r="9">
          <cell r="B9" t="str">
            <v>Lighting - New</v>
          </cell>
          <cell r="C9">
            <v>0</v>
          </cell>
          <cell r="D9">
            <v>0</v>
          </cell>
          <cell r="E9">
            <v>0</v>
          </cell>
          <cell r="F9">
            <v>0</v>
          </cell>
        </row>
        <row r="10">
          <cell r="B10" t="str">
            <v>Lighting - NR</v>
          </cell>
          <cell r="C10">
            <v>0</v>
          </cell>
          <cell r="D10">
            <v>0</v>
          </cell>
          <cell r="E10">
            <v>0</v>
          </cell>
          <cell r="F10">
            <v>0</v>
          </cell>
        </row>
        <row r="11">
          <cell r="B11" t="str">
            <v>Lighting - PPA</v>
          </cell>
          <cell r="C11">
            <v>0</v>
          </cell>
          <cell r="D11">
            <v>0</v>
          </cell>
          <cell r="E11">
            <v>0</v>
          </cell>
          <cell r="F11">
            <v>0</v>
          </cell>
        </row>
        <row r="12">
          <cell r="B12" t="str">
            <v>Dishwasher - New</v>
          </cell>
          <cell r="C12">
            <v>0</v>
          </cell>
          <cell r="D12">
            <v>0</v>
          </cell>
          <cell r="E12">
            <v>0</v>
          </cell>
          <cell r="F12">
            <v>0</v>
          </cell>
        </row>
        <row r="13">
          <cell r="B13" t="str">
            <v>Dishwasher - NR</v>
          </cell>
          <cell r="C13">
            <v>0</v>
          </cell>
          <cell r="D13">
            <v>0</v>
          </cell>
          <cell r="E13">
            <v>0</v>
          </cell>
          <cell r="F13">
            <v>0</v>
          </cell>
        </row>
        <row r="14">
          <cell r="B14" t="str">
            <v>Clothes Washer - New</v>
          </cell>
          <cell r="C14">
            <v>0</v>
          </cell>
          <cell r="D14">
            <v>0</v>
          </cell>
          <cell r="E14">
            <v>0</v>
          </cell>
          <cell r="F14">
            <v>0</v>
          </cell>
        </row>
        <row r="15">
          <cell r="B15" t="str">
            <v>Clothes Washer - NR</v>
          </cell>
          <cell r="C15">
            <v>0</v>
          </cell>
          <cell r="D15">
            <v>0</v>
          </cell>
          <cell r="E15">
            <v>0</v>
          </cell>
          <cell r="F15">
            <v>0</v>
          </cell>
        </row>
        <row r="16">
          <cell r="B16" t="str">
            <v>WasteWater Heat Recovery - New</v>
          </cell>
          <cell r="C16">
            <v>0</v>
          </cell>
          <cell r="D16">
            <v>0</v>
          </cell>
          <cell r="E16">
            <v>0</v>
          </cell>
          <cell r="F16">
            <v>0</v>
          </cell>
        </row>
        <row r="17">
          <cell r="B17" t="str">
            <v>Showerheads - New</v>
          </cell>
          <cell r="C17">
            <v>0.48399999999999999</v>
          </cell>
          <cell r="D17">
            <v>0.42</v>
          </cell>
          <cell r="E17">
            <v>0.42</v>
          </cell>
          <cell r="F17">
            <v>0.66</v>
          </cell>
        </row>
        <row r="18">
          <cell r="B18" t="str">
            <v>Showerheads - Retro</v>
          </cell>
          <cell r="C18">
            <v>0.55752571342007584</v>
          </cell>
          <cell r="D18">
            <v>0.42</v>
          </cell>
          <cell r="E18">
            <v>0.42</v>
          </cell>
          <cell r="F18">
            <v>0.66</v>
          </cell>
        </row>
        <row r="19">
          <cell r="B19" t="str">
            <v>HPWH - New</v>
          </cell>
          <cell r="C19">
            <v>1E-3</v>
          </cell>
          <cell r="D19">
            <v>0</v>
          </cell>
          <cell r="E19">
            <v>0</v>
          </cell>
          <cell r="F19">
            <v>0</v>
          </cell>
        </row>
        <row r="20">
          <cell r="B20" t="str">
            <v>HPWH - NR</v>
          </cell>
          <cell r="C20">
            <v>1E-3</v>
          </cell>
          <cell r="D20">
            <v>0</v>
          </cell>
          <cell r="E20">
            <v>0</v>
          </cell>
          <cell r="F20">
            <v>0</v>
          </cell>
        </row>
        <row r="21">
          <cell r="B21" t="str">
            <v>EV Supply Equip - NR</v>
          </cell>
          <cell r="C21">
            <v>0.01</v>
          </cell>
          <cell r="D21">
            <v>0</v>
          </cell>
          <cell r="E21">
            <v>0</v>
          </cell>
          <cell r="F21">
            <v>0</v>
          </cell>
        </row>
        <row r="22">
          <cell r="B22" t="str">
            <v>Clothes Dryer - New</v>
          </cell>
          <cell r="C22">
            <v>0</v>
          </cell>
          <cell r="D22">
            <v>0</v>
          </cell>
          <cell r="E22">
            <v>0</v>
          </cell>
          <cell r="F22">
            <v>0</v>
          </cell>
        </row>
        <row r="23">
          <cell r="B23" t="str">
            <v>Clothes Dryer - NR</v>
          </cell>
          <cell r="C23">
            <v>0</v>
          </cell>
          <cell r="D23">
            <v>0</v>
          </cell>
          <cell r="E23">
            <v>0</v>
          </cell>
          <cell r="F23">
            <v>0</v>
          </cell>
        </row>
        <row r="24">
          <cell r="B24" t="str">
            <v>Refrigerator - New</v>
          </cell>
          <cell r="C24">
            <v>0</v>
          </cell>
          <cell r="D24">
            <v>0</v>
          </cell>
          <cell r="E24">
            <v>0</v>
          </cell>
          <cell r="F24">
            <v>0</v>
          </cell>
        </row>
        <row r="25">
          <cell r="B25" t="str">
            <v>Refrigerator - NR</v>
          </cell>
          <cell r="C25">
            <v>0</v>
          </cell>
          <cell r="D25">
            <v>0</v>
          </cell>
          <cell r="E25">
            <v>0</v>
          </cell>
          <cell r="F25">
            <v>0</v>
          </cell>
        </row>
        <row r="26">
          <cell r="B26" t="str">
            <v>Freezer - New</v>
          </cell>
          <cell r="C26">
            <v>0</v>
          </cell>
          <cell r="D26">
            <v>0</v>
          </cell>
          <cell r="E26">
            <v>0</v>
          </cell>
          <cell r="F26">
            <v>0</v>
          </cell>
        </row>
        <row r="27">
          <cell r="B27" t="str">
            <v>Freezer - NR</v>
          </cell>
          <cell r="C27">
            <v>0</v>
          </cell>
          <cell r="D27">
            <v>0</v>
          </cell>
          <cell r="E27">
            <v>0</v>
          </cell>
          <cell r="F27">
            <v>0</v>
          </cell>
        </row>
        <row r="28">
          <cell r="B28" t="str">
            <v>Solar Water Heater - New</v>
          </cell>
          <cell r="C28">
            <v>0.01</v>
          </cell>
          <cell r="D28">
            <v>0</v>
          </cell>
        </row>
        <row r="29">
          <cell r="B29" t="str">
            <v>Solar Water Heater - NR</v>
          </cell>
          <cell r="C29">
            <v>0.01</v>
          </cell>
          <cell r="D29">
            <v>0</v>
          </cell>
        </row>
        <row r="30">
          <cell r="B30" t="str">
            <v>Solar Water Heater - Retro</v>
          </cell>
          <cell r="C30">
            <v>0.01</v>
          </cell>
          <cell r="D30">
            <v>0</v>
          </cell>
        </row>
        <row r="31">
          <cell r="B31">
            <v>0</v>
          </cell>
        </row>
        <row r="32">
          <cell r="B32">
            <v>0</v>
          </cell>
        </row>
        <row r="33">
          <cell r="B33" t="str">
            <v>Electric Oven - New</v>
          </cell>
          <cell r="C33">
            <v>0.1</v>
          </cell>
          <cell r="D33">
            <v>0.1</v>
          </cell>
          <cell r="E33">
            <v>0.1</v>
          </cell>
          <cell r="F33">
            <v>0.1</v>
          </cell>
        </row>
        <row r="34">
          <cell r="B34" t="str">
            <v>Electric Oven - NR</v>
          </cell>
          <cell r="C34">
            <v>0.1</v>
          </cell>
          <cell r="D34">
            <v>0.1</v>
          </cell>
          <cell r="E34">
            <v>0.1</v>
          </cell>
          <cell r="F34">
            <v>0.1</v>
          </cell>
        </row>
        <row r="35">
          <cell r="B35" t="str">
            <v>Microwave - New</v>
          </cell>
          <cell r="C35">
            <v>0</v>
          </cell>
          <cell r="D35">
            <v>0</v>
          </cell>
          <cell r="E35">
            <v>0</v>
          </cell>
          <cell r="F35">
            <v>0</v>
          </cell>
        </row>
        <row r="36">
          <cell r="B36" t="str">
            <v>Microwave - NR</v>
          </cell>
          <cell r="C36">
            <v>0</v>
          </cell>
          <cell r="D36">
            <v>0</v>
          </cell>
          <cell r="E36">
            <v>0</v>
          </cell>
          <cell r="F36">
            <v>0</v>
          </cell>
        </row>
        <row r="37">
          <cell r="B37" t="str">
            <v>Monitor - New</v>
          </cell>
          <cell r="C37">
            <v>0.55000000000000004</v>
          </cell>
          <cell r="D37">
            <v>0.55000000000000004</v>
          </cell>
          <cell r="E37">
            <v>0.55000000000000004</v>
          </cell>
          <cell r="F37">
            <v>0.55000000000000004</v>
          </cell>
        </row>
        <row r="38">
          <cell r="B38" t="str">
            <v>Monitor - NR</v>
          </cell>
          <cell r="C38">
            <v>0.55000000000000004</v>
          </cell>
          <cell r="D38">
            <v>0.55000000000000004</v>
          </cell>
          <cell r="E38">
            <v>0.55000000000000004</v>
          </cell>
          <cell r="F38">
            <v>0.55000000000000004</v>
          </cell>
        </row>
        <row r="39">
          <cell r="B39" t="str">
            <v>Desktop - New</v>
          </cell>
          <cell r="C39">
            <v>0.25</v>
          </cell>
          <cell r="D39">
            <v>0.25</v>
          </cell>
          <cell r="E39">
            <v>0.25</v>
          </cell>
          <cell r="F39">
            <v>0.25</v>
          </cell>
        </row>
        <row r="40">
          <cell r="B40" t="str">
            <v>Desktop - NR</v>
          </cell>
          <cell r="C40">
            <v>0.25</v>
          </cell>
          <cell r="D40">
            <v>0.25</v>
          </cell>
          <cell r="E40">
            <v>0.25</v>
          </cell>
          <cell r="F40">
            <v>0.25</v>
          </cell>
        </row>
        <row r="41">
          <cell r="B41" t="str">
            <v>Laptop - New</v>
          </cell>
          <cell r="C41">
            <v>0.74</v>
          </cell>
          <cell r="D41">
            <v>0.74</v>
          </cell>
          <cell r="E41">
            <v>0.74</v>
          </cell>
          <cell r="F41">
            <v>0.74</v>
          </cell>
        </row>
        <row r="42">
          <cell r="B42" t="str">
            <v>Laptop - NR</v>
          </cell>
          <cell r="C42">
            <v>0.74</v>
          </cell>
          <cell r="D42">
            <v>0.74</v>
          </cell>
          <cell r="E42">
            <v>0.74</v>
          </cell>
          <cell r="F42">
            <v>0.74</v>
          </cell>
        </row>
        <row r="43">
          <cell r="B43" t="str">
            <v>Computer - New</v>
          </cell>
        </row>
        <row r="44">
          <cell r="B44" t="str">
            <v>Computer - NR</v>
          </cell>
        </row>
        <row r="45">
          <cell r="B45" t="str">
            <v>ASHP - New</v>
          </cell>
          <cell r="C45">
            <v>0.02</v>
          </cell>
          <cell r="D45">
            <v>0</v>
          </cell>
          <cell r="E45">
            <v>0</v>
          </cell>
          <cell r="F45">
            <v>0</v>
          </cell>
        </row>
        <row r="46">
          <cell r="B46" t="str">
            <v>ASHP - NR</v>
          </cell>
          <cell r="C46">
            <v>0.02</v>
          </cell>
          <cell r="D46">
            <v>0</v>
          </cell>
          <cell r="E46">
            <v>0</v>
          </cell>
          <cell r="F46">
            <v>0</v>
          </cell>
        </row>
        <row r="47">
          <cell r="B47" t="str">
            <v>HP - Retro</v>
          </cell>
        </row>
        <row r="48">
          <cell r="B48" t="str">
            <v>DHP - New</v>
          </cell>
          <cell r="C48">
            <v>0.02</v>
          </cell>
          <cell r="D48">
            <v>0</v>
          </cell>
          <cell r="E48">
            <v>0</v>
          </cell>
          <cell r="F48">
            <v>0</v>
          </cell>
        </row>
        <row r="49">
          <cell r="B49" t="str">
            <v>DHP - NR</v>
          </cell>
          <cell r="C49">
            <v>0.02</v>
          </cell>
          <cell r="D49">
            <v>0</v>
          </cell>
          <cell r="E49">
            <v>0</v>
          </cell>
          <cell r="F49">
            <v>0</v>
          </cell>
        </row>
        <row r="50">
          <cell r="B50" t="str">
            <v>DHP - Retro</v>
          </cell>
        </row>
        <row r="51">
          <cell r="B51" t="str">
            <v>Duct Sealing - New</v>
          </cell>
          <cell r="C51">
            <v>0.5480228071825386</v>
          </cell>
          <cell r="F51">
            <v>0.43943299231914901</v>
          </cell>
        </row>
        <row r="52">
          <cell r="B52" t="str">
            <v>Duct Sealing - Retro</v>
          </cell>
          <cell r="C52">
            <v>0.5480228071825386</v>
          </cell>
          <cell r="F52">
            <v>0.43943299231914901</v>
          </cell>
        </row>
        <row r="53">
          <cell r="B53" t="str">
            <v>WIFI enabled tstats - New</v>
          </cell>
          <cell r="C53">
            <v>0</v>
          </cell>
          <cell r="D53">
            <v>0</v>
          </cell>
          <cell r="E53">
            <v>0</v>
          </cell>
          <cell r="F53">
            <v>0</v>
          </cell>
        </row>
        <row r="54">
          <cell r="B54" t="str">
            <v>WIFI enabled tstats - Retro</v>
          </cell>
          <cell r="C54">
            <v>0.01</v>
          </cell>
          <cell r="D54">
            <v>0.01</v>
          </cell>
          <cell r="E54">
            <v>0.01</v>
          </cell>
          <cell r="F54">
            <v>0.01</v>
          </cell>
        </row>
        <row r="55">
          <cell r="B55" t="str">
            <v>Combo DHP/HPWH units - New</v>
          </cell>
        </row>
        <row r="56">
          <cell r="B56" t="str">
            <v>Combo DHP/HPWH units - NR</v>
          </cell>
        </row>
        <row r="57">
          <cell r="B57" t="str">
            <v>Combo DHP/HPWH units - Retro</v>
          </cell>
        </row>
        <row r="58">
          <cell r="B58" t="str">
            <v>Aerator - New</v>
          </cell>
          <cell r="C58">
            <v>0.65</v>
          </cell>
          <cell r="D58">
            <v>0.65</v>
          </cell>
          <cell r="E58">
            <v>0.65</v>
          </cell>
          <cell r="F58">
            <v>0.65</v>
          </cell>
        </row>
        <row r="59">
          <cell r="B59" t="str">
            <v>Aerator - Retro</v>
          </cell>
          <cell r="C59">
            <v>0.65</v>
          </cell>
          <cell r="D59">
            <v>0.65</v>
          </cell>
          <cell r="E59">
            <v>0.65</v>
          </cell>
          <cell r="F59">
            <v>0.65</v>
          </cell>
        </row>
        <row r="60">
          <cell r="B60" t="str">
            <v>Behavior - Retro</v>
          </cell>
          <cell r="C60">
            <v>0</v>
          </cell>
          <cell r="D60">
            <v>0</v>
          </cell>
          <cell r="E60">
            <v>0</v>
          </cell>
          <cell r="F60">
            <v>0</v>
          </cell>
        </row>
        <row r="61">
          <cell r="B61" t="str">
            <v>Behavior - New</v>
          </cell>
          <cell r="C61">
            <v>0</v>
          </cell>
          <cell r="D61">
            <v>0</v>
          </cell>
          <cell r="E61">
            <v>0</v>
          </cell>
          <cell r="F61">
            <v>0</v>
          </cell>
        </row>
        <row r="62">
          <cell r="B62">
            <v>0</v>
          </cell>
        </row>
        <row r="63">
          <cell r="B63" t="str">
            <v>Heat Recovery Ventilation - New</v>
          </cell>
          <cell r="C63">
            <v>0.01</v>
          </cell>
        </row>
        <row r="64">
          <cell r="B64" t="str">
            <v>GSHP - New</v>
          </cell>
          <cell r="C64">
            <v>0</v>
          </cell>
        </row>
        <row r="65">
          <cell r="B65" t="str">
            <v>GSHP - NR</v>
          </cell>
          <cell r="C65">
            <v>0</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0.01</v>
          </cell>
          <cell r="D72">
            <v>0</v>
          </cell>
          <cell r="E72">
            <v>0</v>
          </cell>
          <cell r="F72">
            <v>0.01</v>
          </cell>
        </row>
        <row r="73">
          <cell r="B73" t="str">
            <v>Advanced Power Strips - New</v>
          </cell>
          <cell r="C73">
            <v>0.01</v>
          </cell>
          <cell r="D73">
            <v>0.01</v>
          </cell>
          <cell r="E73">
            <v>0.01</v>
          </cell>
          <cell r="F73">
            <v>0.01</v>
          </cell>
        </row>
        <row r="74">
          <cell r="B74" t="str">
            <v>Advanced Power Strips - Retro</v>
          </cell>
          <cell r="C74">
            <v>0.01</v>
          </cell>
          <cell r="D74">
            <v>0.01</v>
          </cell>
          <cell r="E74">
            <v>0.01</v>
          </cell>
          <cell r="F74">
            <v>0.01</v>
          </cell>
        </row>
        <row r="75">
          <cell r="B75" t="str">
            <v>Controls Commissioning and Sizing - New</v>
          </cell>
          <cell r="C75">
            <v>0.05</v>
          </cell>
          <cell r="F75">
            <v>0.05</v>
          </cell>
        </row>
        <row r="76">
          <cell r="B76" t="str">
            <v>Controls Commissioning and Sizing - NR</v>
          </cell>
          <cell r="C76">
            <v>0.05</v>
          </cell>
          <cell r="F76">
            <v>0.05</v>
          </cell>
        </row>
        <row r="77">
          <cell r="B77" t="str">
            <v>ResWx - Retro</v>
          </cell>
        </row>
        <row r="78">
          <cell r="B78" t="str">
            <v>ATTIC R0 - R19 - Retro</v>
          </cell>
        </row>
        <row r="79">
          <cell r="B79" t="str">
            <v>ATTIC R0 - R22 - Retro</v>
          </cell>
          <cell r="F79">
            <v>0.98234576822530661</v>
          </cell>
        </row>
        <row r="80">
          <cell r="B80" t="str">
            <v>ATTIC R0 - R30 - Retro</v>
          </cell>
          <cell r="F80">
            <v>0.94629090512719527</v>
          </cell>
        </row>
        <row r="81">
          <cell r="B81" t="str">
            <v>ATTIC R0 - R38 - Retro</v>
          </cell>
          <cell r="C81">
            <v>0.91582363255140953</v>
          </cell>
          <cell r="D81">
            <v>0.78400000000000003</v>
          </cell>
        </row>
        <row r="82">
          <cell r="B82" t="str">
            <v>ATTIC R0 - R49 - Retro</v>
          </cell>
          <cell r="C82">
            <v>0.91582363255140953</v>
          </cell>
          <cell r="D82">
            <v>0.78400000000000003</v>
          </cell>
        </row>
        <row r="83">
          <cell r="B83" t="str">
            <v>ATTIC R11 - R30 - Retro</v>
          </cell>
          <cell r="F83">
            <v>0.99894666949290001</v>
          </cell>
        </row>
        <row r="84">
          <cell r="B84" t="str">
            <v>ATTIC R11 - R38 - Retro</v>
          </cell>
          <cell r="C84">
            <v>0.86745904032781307</v>
          </cell>
        </row>
        <row r="85">
          <cell r="B85" t="str">
            <v>ATTIC R11 - R49 - Retro</v>
          </cell>
          <cell r="C85">
            <v>0.86745904032781307</v>
          </cell>
        </row>
        <row r="86">
          <cell r="B86" t="str">
            <v>ATTIC R19 - R30 - Retro</v>
          </cell>
          <cell r="D86">
            <v>0.71700000000000008</v>
          </cell>
        </row>
        <row r="87">
          <cell r="B87" t="str">
            <v>ATTIC R19 - R38 - Retro</v>
          </cell>
          <cell r="C87">
            <v>0.83359064075992961</v>
          </cell>
          <cell r="D87">
            <v>0.71700000000000008</v>
          </cell>
        </row>
        <row r="88">
          <cell r="B88" t="str">
            <v>ATTIC R19 - R49 - Retro</v>
          </cell>
          <cell r="C88">
            <v>0.83359064075992961</v>
          </cell>
          <cell r="D88">
            <v>0.71700000000000008</v>
          </cell>
        </row>
        <row r="89">
          <cell r="B89" t="str">
            <v>WALL R0 - R11 - Retro</v>
          </cell>
          <cell r="C89">
            <v>0.92532445420117171</v>
          </cell>
          <cell r="D89">
            <v>0.92300000000000004</v>
          </cell>
        </row>
        <row r="90">
          <cell r="B90" t="str">
            <v>FLOOR R0 - R19 - Retro</v>
          </cell>
          <cell r="C90">
            <v>0.7805402940135866</v>
          </cell>
          <cell r="D90">
            <v>0.751</v>
          </cell>
        </row>
        <row r="91">
          <cell r="B91" t="str">
            <v>FLOOR R0 - R22 - Retro</v>
          </cell>
          <cell r="F91">
            <v>0.98933475247267177</v>
          </cell>
        </row>
        <row r="92">
          <cell r="B92" t="str">
            <v>FLOOR R0 - R25 - Retro</v>
          </cell>
          <cell r="C92">
            <v>0.7805402940135866</v>
          </cell>
        </row>
        <row r="93">
          <cell r="B93" t="str">
            <v>FLOOR R0 - R30 - Retro</v>
          </cell>
          <cell r="C93">
            <v>0.7805402940135866</v>
          </cell>
          <cell r="D93">
            <v>0.751</v>
          </cell>
        </row>
        <row r="94">
          <cell r="B94" t="str">
            <v>FLOOR R11 - R22 - Retro</v>
          </cell>
          <cell r="F94">
            <v>0.98376579376328033</v>
          </cell>
        </row>
        <row r="95">
          <cell r="B95" t="str">
            <v>WINDOW CL30 Prime Window Replacement of Single Pane Base - Retro</v>
          </cell>
          <cell r="C95">
            <v>0.97569674867310763</v>
          </cell>
          <cell r="D95">
            <v>0.85052050568853632</v>
          </cell>
          <cell r="F95">
            <v>0.98290327051721382</v>
          </cell>
        </row>
        <row r="96">
          <cell r="B96" t="str">
            <v>WINDOW CL30 Prime Window Replacement of Double Pane Base - Retro</v>
          </cell>
          <cell r="C96">
            <v>0.10199130967307576</v>
          </cell>
          <cell r="D96">
            <v>0.1912980564981018</v>
          </cell>
          <cell r="F96">
            <v>0.99913039998781261</v>
          </cell>
        </row>
        <row r="97">
          <cell r="B97" t="str">
            <v>WINDOW CL22 Prime Window Replacement of Single Pane Base - Retro</v>
          </cell>
          <cell r="C97">
            <v>0.97569674867310763</v>
          </cell>
          <cell r="D97">
            <v>0.85052050568853632</v>
          </cell>
          <cell r="F97">
            <v>0.98290327051721382</v>
          </cell>
        </row>
        <row r="98">
          <cell r="B98" t="str">
            <v>WINDOW CL22 Prime Window Replacement of Double Pane Base - Retro</v>
          </cell>
          <cell r="C98">
            <v>0.10199130967307576</v>
          </cell>
          <cell r="D98">
            <v>0.1912980564981018</v>
          </cell>
          <cell r="F98">
            <v>0.99913039998781261</v>
          </cell>
        </row>
        <row r="99">
          <cell r="B99" t="str">
            <v>CFM50 Infiltration Reduction - Retro</v>
          </cell>
          <cell r="C99">
            <v>0.3021611294127764</v>
          </cell>
          <cell r="F99">
            <v>0.91633344981828857</v>
          </cell>
        </row>
      </sheetData>
      <sheetData sheetId="7">
        <row r="8">
          <cell r="B8" t="str">
            <v>Single Family</v>
          </cell>
          <cell r="C8" t="str">
            <v>Multifamily - Low Rise</v>
          </cell>
          <cell r="D8" t="str">
            <v>Multifamily - High Rise</v>
          </cell>
          <cell r="E8" t="str">
            <v>Manufactured</v>
          </cell>
          <cell r="F8" t="str">
            <v>Non-Building Stock</v>
          </cell>
        </row>
        <row r="9">
          <cell r="B9" t="str">
            <v>Post2016</v>
          </cell>
          <cell r="C9" t="str">
            <v>Post2016</v>
          </cell>
          <cell r="D9" t="str">
            <v>Post2016</v>
          </cell>
          <cell r="E9" t="str">
            <v>Post2016</v>
          </cell>
          <cell r="F9" t="str">
            <v>Post2016</v>
          </cell>
        </row>
        <row r="10">
          <cell r="B10" t="str">
            <v>Pre2016</v>
          </cell>
          <cell r="C10" t="str">
            <v>Pre2016</v>
          </cell>
          <cell r="D10" t="str">
            <v>Pre2016</v>
          </cell>
          <cell r="E10" t="str">
            <v>Pre2016</v>
          </cell>
          <cell r="F10" t="str">
            <v>Pre2016</v>
          </cell>
        </row>
        <row r="11">
          <cell r="B11" t="str">
            <v>Pre2016</v>
          </cell>
          <cell r="C11" t="str">
            <v>Pre2016</v>
          </cell>
          <cell r="D11" t="str">
            <v>Pre2016</v>
          </cell>
          <cell r="E11" t="str">
            <v>Pre2016</v>
          </cell>
          <cell r="F11" t="str">
            <v>Pre2016</v>
          </cell>
        </row>
        <row r="12">
          <cell r="B12" t="str">
            <v>Post2016</v>
          </cell>
          <cell r="C12" t="str">
            <v>Post2016</v>
          </cell>
          <cell r="D12" t="str">
            <v>Post2016</v>
          </cell>
          <cell r="E12" t="str">
            <v>Post2016</v>
          </cell>
          <cell r="F12" t="str">
            <v>Post2016</v>
          </cell>
        </row>
        <row r="13">
          <cell r="B13" t="str">
            <v>Pre2016</v>
          </cell>
          <cell r="C13" t="str">
            <v>Pre2016</v>
          </cell>
          <cell r="D13" t="str">
            <v>Pre2016</v>
          </cell>
          <cell r="E13" t="str">
            <v>Pre2016</v>
          </cell>
          <cell r="F13" t="str">
            <v>Pre2016</v>
          </cell>
        </row>
        <row r="14">
          <cell r="B14" t="str">
            <v>Post2016</v>
          </cell>
          <cell r="C14" t="str">
            <v>Post2016</v>
          </cell>
          <cell r="D14" t="str">
            <v>Post2016</v>
          </cell>
          <cell r="E14" t="str">
            <v>Post2016</v>
          </cell>
          <cell r="F14" t="str">
            <v>Post2016</v>
          </cell>
        </row>
        <row r="15">
          <cell r="B15" t="str">
            <v>Pre2016</v>
          </cell>
          <cell r="C15" t="str">
            <v>Pre2016</v>
          </cell>
          <cell r="D15" t="str">
            <v>Pre2016</v>
          </cell>
          <cell r="E15" t="str">
            <v>Pre2016</v>
          </cell>
          <cell r="F15" t="str">
            <v>Pre2016</v>
          </cell>
        </row>
        <row r="16">
          <cell r="B16" t="str">
            <v>Post2016</v>
          </cell>
          <cell r="C16" t="str">
            <v>Post2016</v>
          </cell>
          <cell r="D16" t="str">
            <v>Post2016</v>
          </cell>
          <cell r="E16" t="str">
            <v>Post2016</v>
          </cell>
          <cell r="F16" t="str">
            <v>Post2016</v>
          </cell>
        </row>
        <row r="17">
          <cell r="B17" t="str">
            <v>Post2016</v>
          </cell>
          <cell r="C17" t="str">
            <v>Post2016</v>
          </cell>
          <cell r="D17" t="str">
            <v>Post2016</v>
          </cell>
          <cell r="E17" t="str">
            <v>Post2016</v>
          </cell>
          <cell r="F17" t="str">
            <v>Post2016</v>
          </cell>
        </row>
        <row r="18">
          <cell r="B18" t="str">
            <v>Pre2016</v>
          </cell>
          <cell r="C18" t="str">
            <v>Pre2016</v>
          </cell>
          <cell r="D18" t="str">
            <v>Pre2016</v>
          </cell>
          <cell r="E18" t="str">
            <v>Pre2016</v>
          </cell>
          <cell r="F18" t="str">
            <v>Pre2016</v>
          </cell>
        </row>
        <row r="19">
          <cell r="B19" t="str">
            <v>Post2016</v>
          </cell>
          <cell r="C19" t="str">
            <v>Post2016</v>
          </cell>
          <cell r="D19" t="str">
            <v>Post2016</v>
          </cell>
          <cell r="E19" t="str">
            <v>Post2016</v>
          </cell>
          <cell r="F19" t="str">
            <v>Post2016</v>
          </cell>
        </row>
        <row r="20">
          <cell r="B20" t="str">
            <v>Pre2016</v>
          </cell>
          <cell r="C20" t="str">
            <v>Pre2016</v>
          </cell>
          <cell r="D20" t="str">
            <v>Pre2016</v>
          </cell>
          <cell r="E20" t="str">
            <v>Pre2016</v>
          </cell>
          <cell r="F20" t="str">
            <v>Pre2016</v>
          </cell>
        </row>
        <row r="21">
          <cell r="B21" t="str">
            <v>Pre2016</v>
          </cell>
          <cell r="C21" t="str">
            <v>Pre2016</v>
          </cell>
          <cell r="D21" t="str">
            <v>Pre2016</v>
          </cell>
          <cell r="E21" t="str">
            <v>Pre2016</v>
          </cell>
          <cell r="F21" t="str">
            <v>Pre2016</v>
          </cell>
        </row>
        <row r="22">
          <cell r="B22" t="str">
            <v>Post2016</v>
          </cell>
          <cell r="C22" t="str">
            <v>Post2016</v>
          </cell>
          <cell r="D22" t="str">
            <v>Post2016</v>
          </cell>
          <cell r="E22" t="str">
            <v>Post2016</v>
          </cell>
          <cell r="F22" t="str">
            <v>Post2016</v>
          </cell>
        </row>
        <row r="23">
          <cell r="B23" t="str">
            <v>Pre2016</v>
          </cell>
          <cell r="C23" t="str">
            <v>Pre2016</v>
          </cell>
          <cell r="D23" t="str">
            <v>Pre2016</v>
          </cell>
          <cell r="E23" t="str">
            <v>Pre2016</v>
          </cell>
          <cell r="F23" t="str">
            <v>Pre2016</v>
          </cell>
        </row>
        <row r="24">
          <cell r="B24" t="str">
            <v>Post2016</v>
          </cell>
          <cell r="C24" t="str">
            <v>Post2016</v>
          </cell>
          <cell r="D24" t="str">
            <v>Post2016</v>
          </cell>
          <cell r="E24" t="str">
            <v>Post2016</v>
          </cell>
          <cell r="F24" t="str">
            <v>Post2016</v>
          </cell>
        </row>
        <row r="25">
          <cell r="B25" t="str">
            <v>Pre2016</v>
          </cell>
          <cell r="C25" t="str">
            <v>Pre2016</v>
          </cell>
          <cell r="D25" t="str">
            <v>Pre2016</v>
          </cell>
          <cell r="E25" t="str">
            <v>Pre2016</v>
          </cell>
          <cell r="F25" t="str">
            <v>Pre2016</v>
          </cell>
        </row>
        <row r="26">
          <cell r="B26" t="str">
            <v>Post2016</v>
          </cell>
          <cell r="C26" t="str">
            <v>Post2016</v>
          </cell>
          <cell r="D26" t="str">
            <v>Post2016</v>
          </cell>
          <cell r="E26" t="str">
            <v>Post2016</v>
          </cell>
          <cell r="F26" t="str">
            <v>Post2016</v>
          </cell>
        </row>
        <row r="27">
          <cell r="B27" t="str">
            <v>Pre2016</v>
          </cell>
          <cell r="C27" t="str">
            <v>Pre2016</v>
          </cell>
          <cell r="D27" t="str">
            <v>Pre2016</v>
          </cell>
          <cell r="E27" t="str">
            <v>Pre2016</v>
          </cell>
          <cell r="F27" t="str">
            <v>Pre2016</v>
          </cell>
        </row>
        <row r="28">
          <cell r="B28" t="str">
            <v>Post2016</v>
          </cell>
          <cell r="C28" t="str">
            <v>Post2016</v>
          </cell>
          <cell r="D28" t="str">
            <v>Post2016</v>
          </cell>
          <cell r="E28" t="str">
            <v>Post2016</v>
          </cell>
          <cell r="F28" t="str">
            <v>Post2016</v>
          </cell>
        </row>
        <row r="29">
          <cell r="B29" t="str">
            <v>Pre2016</v>
          </cell>
          <cell r="C29" t="str">
            <v>Pre2016</v>
          </cell>
          <cell r="D29" t="str">
            <v>Pre2016</v>
          </cell>
          <cell r="E29" t="str">
            <v>Pre2016</v>
          </cell>
          <cell r="F29" t="str">
            <v>Pre2016</v>
          </cell>
        </row>
        <row r="30">
          <cell r="B30" t="str">
            <v>Pre2016</v>
          </cell>
          <cell r="C30" t="str">
            <v>Pre2016</v>
          </cell>
          <cell r="D30" t="str">
            <v>Pre2016</v>
          </cell>
          <cell r="E30" t="str">
            <v>Pre2016</v>
          </cell>
          <cell r="F30" t="str">
            <v>Pre2016</v>
          </cell>
        </row>
        <row r="31">
          <cell r="B31" t="str">
            <v>Pre2016</v>
          </cell>
          <cell r="C31" t="str">
            <v>Pre2016</v>
          </cell>
          <cell r="D31" t="str">
            <v>Pre2016</v>
          </cell>
          <cell r="E31" t="str">
            <v>Pre2016</v>
          </cell>
          <cell r="F31" t="str">
            <v>Pre2016</v>
          </cell>
        </row>
        <row r="32">
          <cell r="B32" t="str">
            <v>Pre2016</v>
          </cell>
          <cell r="C32" t="str">
            <v>Pre2016</v>
          </cell>
          <cell r="D32" t="str">
            <v>Pre2016</v>
          </cell>
          <cell r="E32" t="str">
            <v>Pre2016</v>
          </cell>
          <cell r="F32" t="str">
            <v>Pre2016</v>
          </cell>
        </row>
        <row r="33">
          <cell r="B33" t="str">
            <v>Post2016</v>
          </cell>
          <cell r="C33" t="str">
            <v>Post2016</v>
          </cell>
          <cell r="D33" t="str">
            <v>Post2016</v>
          </cell>
          <cell r="E33" t="str">
            <v>Post2016</v>
          </cell>
          <cell r="F33" t="str">
            <v>Post2016</v>
          </cell>
        </row>
        <row r="34">
          <cell r="B34" t="str">
            <v>Pre2016</v>
          </cell>
          <cell r="C34" t="str">
            <v>Pre2016</v>
          </cell>
          <cell r="D34" t="str">
            <v>Pre2016</v>
          </cell>
          <cell r="E34" t="str">
            <v>Pre2016</v>
          </cell>
          <cell r="F34" t="str">
            <v>Pre2016</v>
          </cell>
        </row>
        <row r="35">
          <cell r="B35" t="str">
            <v>Post2016</v>
          </cell>
          <cell r="C35" t="str">
            <v>Post2016</v>
          </cell>
          <cell r="D35" t="str">
            <v>Post2016</v>
          </cell>
          <cell r="E35" t="str">
            <v>Post2016</v>
          </cell>
          <cell r="F35" t="str">
            <v>Post2016</v>
          </cell>
        </row>
        <row r="36">
          <cell r="B36" t="str">
            <v>Pre2016</v>
          </cell>
          <cell r="C36" t="str">
            <v>Pre2016</v>
          </cell>
          <cell r="D36" t="str">
            <v>Pre2016</v>
          </cell>
          <cell r="E36" t="str">
            <v>Pre2016</v>
          </cell>
          <cell r="F36" t="str">
            <v>Pre2016</v>
          </cell>
        </row>
        <row r="37">
          <cell r="B37" t="str">
            <v>Post2016</v>
          </cell>
          <cell r="C37" t="str">
            <v>Post2016</v>
          </cell>
          <cell r="D37" t="str">
            <v>Post2016</v>
          </cell>
          <cell r="E37" t="str">
            <v>Post2016</v>
          </cell>
          <cell r="F37" t="str">
            <v>Post2016</v>
          </cell>
        </row>
        <row r="38">
          <cell r="B38" t="str">
            <v>Pre2016</v>
          </cell>
          <cell r="C38" t="str">
            <v>Pre2016</v>
          </cell>
          <cell r="D38" t="str">
            <v>Pre2016</v>
          </cell>
          <cell r="E38" t="str">
            <v>Pre2016</v>
          </cell>
          <cell r="F38" t="str">
            <v>Pre2016</v>
          </cell>
        </row>
        <row r="39">
          <cell r="B39" t="str">
            <v>Post2016</v>
          </cell>
          <cell r="C39" t="str">
            <v>Post2016</v>
          </cell>
          <cell r="D39" t="str">
            <v>Post2016</v>
          </cell>
          <cell r="E39" t="str">
            <v>Post2016</v>
          </cell>
          <cell r="F39" t="str">
            <v>Post2016</v>
          </cell>
        </row>
        <row r="40">
          <cell r="B40" t="str">
            <v>Pre2016</v>
          </cell>
          <cell r="C40" t="str">
            <v>Pre2016</v>
          </cell>
          <cell r="D40" t="str">
            <v>Pre2016</v>
          </cell>
          <cell r="E40" t="str">
            <v>Pre2016</v>
          </cell>
          <cell r="F40" t="str">
            <v>Pre2016</v>
          </cell>
        </row>
        <row r="41">
          <cell r="B41" t="str">
            <v>Post2016</v>
          </cell>
          <cell r="C41" t="str">
            <v>Post2016</v>
          </cell>
          <cell r="D41" t="str">
            <v>Post2016</v>
          </cell>
          <cell r="E41" t="str">
            <v>Post2016</v>
          </cell>
          <cell r="F41" t="str">
            <v>Post2016</v>
          </cell>
        </row>
        <row r="42">
          <cell r="B42" t="str">
            <v>Pre2016</v>
          </cell>
          <cell r="C42" t="str">
            <v>Pre2016</v>
          </cell>
          <cell r="D42" t="str">
            <v>Pre2016</v>
          </cell>
          <cell r="E42" t="str">
            <v>Pre2016</v>
          </cell>
          <cell r="F42" t="str">
            <v>Pre2016</v>
          </cell>
        </row>
        <row r="43">
          <cell r="B43" t="str">
            <v>Post2016</v>
          </cell>
          <cell r="C43" t="str">
            <v>Post2016</v>
          </cell>
          <cell r="D43" t="str">
            <v>Post2016</v>
          </cell>
          <cell r="E43" t="str">
            <v>Post2016</v>
          </cell>
          <cell r="F43" t="str">
            <v>Post2016</v>
          </cell>
        </row>
        <row r="44">
          <cell r="B44" t="str">
            <v>Pre2016</v>
          </cell>
          <cell r="C44" t="str">
            <v>Pre2016</v>
          </cell>
          <cell r="D44" t="str">
            <v>Pre2016</v>
          </cell>
          <cell r="E44" t="str">
            <v>Pre2016</v>
          </cell>
          <cell r="F44" t="str">
            <v>Pre2016</v>
          </cell>
        </row>
        <row r="45">
          <cell r="B45" t="str">
            <v>Post2016</v>
          </cell>
          <cell r="C45" t="str">
            <v>Post2016</v>
          </cell>
          <cell r="D45" t="str">
            <v>Post2016</v>
          </cell>
          <cell r="E45" t="str">
            <v>Post2016</v>
          </cell>
          <cell r="F45" t="str">
            <v>Post2016</v>
          </cell>
        </row>
        <row r="46">
          <cell r="B46" t="str">
            <v>Pre2016</v>
          </cell>
          <cell r="C46" t="str">
            <v>Pre2016</v>
          </cell>
          <cell r="D46" t="str">
            <v>Pre2016</v>
          </cell>
          <cell r="E46" t="str">
            <v>Pre2016</v>
          </cell>
          <cell r="F46" t="str">
            <v>Pre2016</v>
          </cell>
        </row>
        <row r="47">
          <cell r="B47" t="str">
            <v>Pre2016</v>
          </cell>
          <cell r="C47" t="str">
            <v>Pre2016</v>
          </cell>
          <cell r="D47" t="str">
            <v>Pre2016</v>
          </cell>
          <cell r="E47" t="str">
            <v>Pre2016</v>
          </cell>
          <cell r="F47" t="str">
            <v>Pre2016</v>
          </cell>
        </row>
        <row r="48">
          <cell r="B48" t="str">
            <v>Post2016</v>
          </cell>
          <cell r="C48" t="str">
            <v>Post2016</v>
          </cell>
          <cell r="D48" t="str">
            <v>Post2016</v>
          </cell>
          <cell r="E48" t="str">
            <v>Post2016</v>
          </cell>
          <cell r="F48" t="str">
            <v>Post2016</v>
          </cell>
        </row>
        <row r="49">
          <cell r="B49" t="str">
            <v>Pre2016</v>
          </cell>
          <cell r="C49" t="str">
            <v>Pre2016</v>
          </cell>
          <cell r="D49" t="str">
            <v>Pre2016</v>
          </cell>
          <cell r="E49" t="str">
            <v>Pre2016</v>
          </cell>
          <cell r="F49" t="str">
            <v>Pre2016</v>
          </cell>
        </row>
        <row r="50">
          <cell r="B50" t="str">
            <v>Pre2016</v>
          </cell>
          <cell r="C50" t="str">
            <v>Pre2016</v>
          </cell>
          <cell r="D50" t="str">
            <v>Pre2016</v>
          </cell>
          <cell r="E50" t="str">
            <v>Pre2016</v>
          </cell>
          <cell r="F50" t="str">
            <v>Pre2016</v>
          </cell>
        </row>
        <row r="51">
          <cell r="B51" t="str">
            <v>Post2016</v>
          </cell>
          <cell r="C51" t="str">
            <v>Post2016</v>
          </cell>
          <cell r="D51" t="str">
            <v>Post2016</v>
          </cell>
          <cell r="E51" t="str">
            <v>Post2016</v>
          </cell>
          <cell r="F51" t="str">
            <v>Post2016</v>
          </cell>
        </row>
        <row r="52">
          <cell r="B52" t="str">
            <v>Pre2016</v>
          </cell>
          <cell r="C52" t="str">
            <v>Pre2016</v>
          </cell>
          <cell r="D52" t="str">
            <v>Pre2016</v>
          </cell>
          <cell r="E52" t="str">
            <v>Pre2016</v>
          </cell>
          <cell r="F52" t="str">
            <v>Pre2016</v>
          </cell>
        </row>
        <row r="53">
          <cell r="B53" t="str">
            <v>Post2016</v>
          </cell>
          <cell r="C53" t="str">
            <v>Post2016</v>
          </cell>
          <cell r="D53" t="str">
            <v>Post2016</v>
          </cell>
          <cell r="E53" t="str">
            <v>Post2016</v>
          </cell>
          <cell r="F53" t="str">
            <v>Post2016</v>
          </cell>
        </row>
        <row r="54">
          <cell r="B54" t="str">
            <v>Pre2016</v>
          </cell>
          <cell r="C54" t="str">
            <v>Pre2016</v>
          </cell>
          <cell r="D54" t="str">
            <v>Pre2016</v>
          </cell>
          <cell r="E54" t="str">
            <v>Pre2016</v>
          </cell>
          <cell r="F54" t="str">
            <v>Pre2016</v>
          </cell>
        </row>
        <row r="55">
          <cell r="B55" t="str">
            <v>Post2016</v>
          </cell>
          <cell r="C55" t="str">
            <v>Post2016</v>
          </cell>
          <cell r="D55" t="str">
            <v>Post2016</v>
          </cell>
          <cell r="E55" t="str">
            <v>Post2016</v>
          </cell>
          <cell r="F55" t="str">
            <v>Post2016</v>
          </cell>
        </row>
        <row r="56">
          <cell r="B56" t="str">
            <v>Pre2016</v>
          </cell>
          <cell r="C56" t="str">
            <v>Pre2016</v>
          </cell>
          <cell r="D56" t="str">
            <v>Pre2016</v>
          </cell>
          <cell r="E56" t="str">
            <v>Pre2016</v>
          </cell>
          <cell r="F56" t="str">
            <v>Pre2016</v>
          </cell>
        </row>
        <row r="57">
          <cell r="B57" t="str">
            <v>Pre2016</v>
          </cell>
          <cell r="C57" t="str">
            <v>Pre2016</v>
          </cell>
          <cell r="D57" t="str">
            <v>Pre2016</v>
          </cell>
          <cell r="E57" t="str">
            <v>Pre2016</v>
          </cell>
          <cell r="F57" t="str">
            <v>Pre2016</v>
          </cell>
        </row>
        <row r="58">
          <cell r="B58" t="str">
            <v>Post2016</v>
          </cell>
          <cell r="C58" t="str">
            <v>Post2016</v>
          </cell>
          <cell r="D58" t="str">
            <v>Post2016</v>
          </cell>
          <cell r="E58" t="str">
            <v>Post2016</v>
          </cell>
          <cell r="F58" t="str">
            <v>Post2016</v>
          </cell>
        </row>
        <row r="59">
          <cell r="B59" t="str">
            <v>Pre2016</v>
          </cell>
          <cell r="C59" t="str">
            <v>Pre2016</v>
          </cell>
          <cell r="D59" t="str">
            <v>Pre2016</v>
          </cell>
          <cell r="E59" t="str">
            <v>Pre2016</v>
          </cell>
          <cell r="F59" t="str">
            <v>Pre2016</v>
          </cell>
        </row>
        <row r="60">
          <cell r="B60" t="str">
            <v>Pre2016</v>
          </cell>
          <cell r="C60" t="str">
            <v>Pre2016</v>
          </cell>
          <cell r="D60" t="str">
            <v>Pre2016</v>
          </cell>
          <cell r="E60" t="str">
            <v>Pre2016</v>
          </cell>
          <cell r="F60" t="str">
            <v>Pre2016</v>
          </cell>
        </row>
        <row r="61">
          <cell r="B61" t="str">
            <v>Post2016</v>
          </cell>
          <cell r="C61" t="str">
            <v>Post2016</v>
          </cell>
          <cell r="D61" t="str">
            <v>Post2016</v>
          </cell>
          <cell r="E61" t="str">
            <v>Post2016</v>
          </cell>
          <cell r="F61" t="str">
            <v>Post2016</v>
          </cell>
        </row>
        <row r="62">
          <cell r="B62" t="str">
            <v>Pre2016</v>
          </cell>
          <cell r="C62" t="str">
            <v>Pre2016</v>
          </cell>
          <cell r="D62" t="str">
            <v>Pre2016</v>
          </cell>
          <cell r="E62" t="str">
            <v>Pre2016</v>
          </cell>
          <cell r="F62" t="str">
            <v>Pre2016</v>
          </cell>
        </row>
        <row r="63">
          <cell r="B63" t="str">
            <v>Post2016</v>
          </cell>
          <cell r="C63" t="str">
            <v>Post2016</v>
          </cell>
          <cell r="D63" t="str">
            <v>Post2016</v>
          </cell>
          <cell r="E63" t="str">
            <v>Post2016</v>
          </cell>
          <cell r="F63" t="str">
            <v>Post2016</v>
          </cell>
        </row>
        <row r="64">
          <cell r="B64" t="str">
            <v>Post2016</v>
          </cell>
          <cell r="C64" t="str">
            <v>Post2016</v>
          </cell>
          <cell r="D64" t="str">
            <v>Post2016</v>
          </cell>
          <cell r="E64" t="str">
            <v>Post2016</v>
          </cell>
          <cell r="F64" t="str">
            <v>Post2016</v>
          </cell>
        </row>
        <row r="65">
          <cell r="B65" t="str">
            <v>Pre2016</v>
          </cell>
          <cell r="C65" t="str">
            <v>Pre2016</v>
          </cell>
          <cell r="D65" t="str">
            <v>Pre2016</v>
          </cell>
          <cell r="E65" t="str">
            <v>Pre2016</v>
          </cell>
          <cell r="F65" t="str">
            <v>Pre2016</v>
          </cell>
        </row>
        <row r="66">
          <cell r="B66" t="str">
            <v>Pre2016</v>
          </cell>
          <cell r="C66" t="str">
            <v>Pre2016</v>
          </cell>
          <cell r="D66" t="str">
            <v>Pre2016</v>
          </cell>
          <cell r="E66" t="str">
            <v>Pre2016</v>
          </cell>
          <cell r="F66" t="str">
            <v>Pre2016</v>
          </cell>
        </row>
        <row r="67">
          <cell r="B67" t="str">
            <v>Post2016</v>
          </cell>
          <cell r="C67" t="str">
            <v>Post2016</v>
          </cell>
          <cell r="D67" t="str">
            <v>Post2016</v>
          </cell>
          <cell r="E67" t="str">
            <v>Post2016</v>
          </cell>
          <cell r="F67" t="str">
            <v>Post2016</v>
          </cell>
        </row>
        <row r="68">
          <cell r="B68" t="str">
            <v>Pre2016</v>
          </cell>
          <cell r="C68" t="str">
            <v>Pre2016</v>
          </cell>
          <cell r="D68" t="str">
            <v>Pre2016</v>
          </cell>
          <cell r="E68" t="str">
            <v>Pre2016</v>
          </cell>
          <cell r="F68" t="str">
            <v>Pre2016</v>
          </cell>
        </row>
        <row r="69">
          <cell r="B69" t="str">
            <v>Post2016</v>
          </cell>
          <cell r="C69" t="str">
            <v>Post2016</v>
          </cell>
          <cell r="D69" t="str">
            <v>Post2016</v>
          </cell>
          <cell r="E69" t="str">
            <v>Post2016</v>
          </cell>
          <cell r="F69" t="str">
            <v>Post2016</v>
          </cell>
        </row>
        <row r="70">
          <cell r="B70" t="str">
            <v>Pre2016</v>
          </cell>
          <cell r="C70" t="str">
            <v>Pre2016</v>
          </cell>
          <cell r="D70" t="str">
            <v>Pre2016</v>
          </cell>
          <cell r="E70" t="str">
            <v>Pre2016</v>
          </cell>
          <cell r="F70" t="str">
            <v>Pre2016</v>
          </cell>
        </row>
        <row r="71">
          <cell r="B71" t="str">
            <v>Pre2016</v>
          </cell>
          <cell r="C71" t="str">
            <v>Pre2016</v>
          </cell>
          <cell r="D71" t="str">
            <v>Pre2016</v>
          </cell>
          <cell r="E71" t="str">
            <v>Pre2016</v>
          </cell>
          <cell r="F71" t="str">
            <v>Pre2016</v>
          </cell>
        </row>
        <row r="72">
          <cell r="B72" t="str">
            <v>Pre2016</v>
          </cell>
          <cell r="C72" t="str">
            <v>Pre2016</v>
          </cell>
          <cell r="D72" t="str">
            <v>Pre2016</v>
          </cell>
          <cell r="E72" t="str">
            <v>Pre2016</v>
          </cell>
          <cell r="F72" t="str">
            <v>Pre2016</v>
          </cell>
        </row>
        <row r="73">
          <cell r="B73" t="str">
            <v>Post2016</v>
          </cell>
          <cell r="C73" t="str">
            <v>Post2016</v>
          </cell>
          <cell r="D73" t="str">
            <v>Post2016</v>
          </cell>
          <cell r="E73" t="str">
            <v>Post2016</v>
          </cell>
          <cell r="F73" t="str">
            <v>Post2016</v>
          </cell>
        </row>
        <row r="74">
          <cell r="B74" t="str">
            <v>Pre2016</v>
          </cell>
          <cell r="C74" t="str">
            <v>Pre2016</v>
          </cell>
          <cell r="D74" t="str">
            <v>Pre2016</v>
          </cell>
          <cell r="E74" t="str">
            <v>Pre2016</v>
          </cell>
          <cell r="F74" t="str">
            <v>Pre2016</v>
          </cell>
        </row>
        <row r="77">
          <cell r="B77" t="str">
            <v>Pre2016</v>
          </cell>
          <cell r="C77" t="str">
            <v>Pre2016</v>
          </cell>
          <cell r="D77" t="str">
            <v>Pre2016</v>
          </cell>
          <cell r="E77" t="str">
            <v>Pre2016</v>
          </cell>
          <cell r="F77" t="str">
            <v>Pre2016</v>
          </cell>
        </row>
      </sheetData>
      <sheetData sheetId="8">
        <row r="8">
          <cell r="B8" t="str">
            <v>Measure Index Name</v>
          </cell>
          <cell r="C8" t="str">
            <v>Single Family</v>
          </cell>
          <cell r="D8" t="str">
            <v>Multifamily - Low Rise</v>
          </cell>
          <cell r="E8" t="str">
            <v>Multifamily - High Rise</v>
          </cell>
          <cell r="F8" t="str">
            <v>Manufactured</v>
          </cell>
        </row>
        <row r="9">
          <cell r="B9" t="str">
            <v>Lighting - New</v>
          </cell>
          <cell r="C9">
            <v>1</v>
          </cell>
          <cell r="D9">
            <v>1</v>
          </cell>
          <cell r="E9">
            <v>1</v>
          </cell>
          <cell r="F9">
            <v>1</v>
          </cell>
        </row>
        <row r="10">
          <cell r="B10" t="str">
            <v>Lighting - NR</v>
          </cell>
          <cell r="C10">
            <v>0.125</v>
          </cell>
          <cell r="D10">
            <v>0.125</v>
          </cell>
          <cell r="E10">
            <v>0.125</v>
          </cell>
          <cell r="F10">
            <v>0.125</v>
          </cell>
        </row>
        <row r="11">
          <cell r="B11" t="str">
            <v>Lighting - PPA</v>
          </cell>
          <cell r="C11" t="str">
            <v/>
          </cell>
          <cell r="D11" t="str">
            <v/>
          </cell>
          <cell r="E11" t="str">
            <v/>
          </cell>
          <cell r="F11" t="str">
            <v/>
          </cell>
        </row>
        <row r="12">
          <cell r="B12" t="str">
            <v>Dishwasher - New</v>
          </cell>
          <cell r="C12">
            <v>1</v>
          </cell>
          <cell r="D12">
            <v>1</v>
          </cell>
          <cell r="E12">
            <v>1</v>
          </cell>
          <cell r="F12">
            <v>1</v>
          </cell>
        </row>
        <row r="13">
          <cell r="B13" t="str">
            <v>Dishwasher - NR</v>
          </cell>
          <cell r="C13">
            <v>6.4935064935064929E-2</v>
          </cell>
          <cell r="D13">
            <v>6.4935064935064929E-2</v>
          </cell>
          <cell r="E13">
            <v>6.4935064935064929E-2</v>
          </cell>
          <cell r="F13">
            <v>6.4935064935064929E-2</v>
          </cell>
        </row>
        <row r="14">
          <cell r="B14" t="str">
            <v>Clothes Washer - New</v>
          </cell>
          <cell r="C14">
            <v>1</v>
          </cell>
          <cell r="D14">
            <v>1</v>
          </cell>
          <cell r="E14">
            <v>1</v>
          </cell>
          <cell r="F14">
            <v>1</v>
          </cell>
        </row>
        <row r="15">
          <cell r="B15" t="str">
            <v>Clothes Washer - NR</v>
          </cell>
          <cell r="C15">
            <v>7.1428571428571425E-2</v>
          </cell>
          <cell r="D15">
            <v>7.1428571428571425E-2</v>
          </cell>
          <cell r="E15">
            <v>7.1428571428571425E-2</v>
          </cell>
          <cell r="F15">
            <v>7.1428571428571425E-2</v>
          </cell>
        </row>
        <row r="16">
          <cell r="B16" t="str">
            <v>WasteWater Heat Recovery - New</v>
          </cell>
          <cell r="C16">
            <v>1</v>
          </cell>
          <cell r="D16">
            <v>1</v>
          </cell>
          <cell r="E16">
            <v>1</v>
          </cell>
          <cell r="F16">
            <v>1</v>
          </cell>
        </row>
        <row r="17">
          <cell r="B17" t="str">
            <v>Showerheads - New</v>
          </cell>
          <cell r="C17">
            <v>1</v>
          </cell>
          <cell r="D17">
            <v>1</v>
          </cell>
          <cell r="E17">
            <v>1</v>
          </cell>
          <cell r="F17">
            <v>1</v>
          </cell>
        </row>
        <row r="18">
          <cell r="B18" t="str">
            <v>Showerheads - Retro</v>
          </cell>
          <cell r="C18" t="str">
            <v/>
          </cell>
          <cell r="D18" t="str">
            <v/>
          </cell>
          <cell r="E18" t="str">
            <v/>
          </cell>
          <cell r="F18" t="str">
            <v/>
          </cell>
        </row>
        <row r="19">
          <cell r="B19" t="str">
            <v>HPWH - New</v>
          </cell>
          <cell r="C19">
            <v>1</v>
          </cell>
          <cell r="D19">
            <v>1</v>
          </cell>
          <cell r="E19">
            <v>1</v>
          </cell>
          <cell r="F19">
            <v>1</v>
          </cell>
        </row>
        <row r="20">
          <cell r="B20" t="str">
            <v>HPWH - NR</v>
          </cell>
          <cell r="C20">
            <v>7.6923076923076927E-2</v>
          </cell>
          <cell r="D20">
            <v>7.6923076923076927E-2</v>
          </cell>
          <cell r="E20">
            <v>7.6923076923076927E-2</v>
          </cell>
          <cell r="F20">
            <v>7.6923076923076927E-2</v>
          </cell>
        </row>
        <row r="21">
          <cell r="B21" t="str">
            <v>EV Supply Equip - NR</v>
          </cell>
          <cell r="C21">
            <v>0.1</v>
          </cell>
          <cell r="D21">
            <v>0.1</v>
          </cell>
          <cell r="E21">
            <v>0.1</v>
          </cell>
          <cell r="F21">
            <v>0.1</v>
          </cell>
        </row>
        <row r="22">
          <cell r="B22" t="str">
            <v>Clothes Dryer - New</v>
          </cell>
          <cell r="C22">
            <v>1</v>
          </cell>
          <cell r="D22">
            <v>1</v>
          </cell>
          <cell r="E22">
            <v>1</v>
          </cell>
          <cell r="F22">
            <v>1</v>
          </cell>
        </row>
        <row r="23">
          <cell r="B23" t="str">
            <v>Clothes Dryer - NR</v>
          </cell>
          <cell r="C23">
            <v>6.25E-2</v>
          </cell>
          <cell r="D23">
            <v>6.25E-2</v>
          </cell>
          <cell r="E23">
            <v>6.25E-2</v>
          </cell>
          <cell r="F23">
            <v>6.25E-2</v>
          </cell>
        </row>
        <row r="24">
          <cell r="B24" t="str">
            <v>Refrigerator - New</v>
          </cell>
          <cell r="C24">
            <v>1</v>
          </cell>
          <cell r="D24">
            <v>1</v>
          </cell>
          <cell r="E24">
            <v>1</v>
          </cell>
          <cell r="F24">
            <v>1</v>
          </cell>
        </row>
        <row r="25">
          <cell r="B25" t="str">
            <v>Refrigerator - NR</v>
          </cell>
          <cell r="C25">
            <v>6.5789473684210523E-2</v>
          </cell>
          <cell r="D25">
            <v>6.5789473684210523E-2</v>
          </cell>
          <cell r="E25">
            <v>6.5789473684210523E-2</v>
          </cell>
          <cell r="F25">
            <v>6.5789473684210523E-2</v>
          </cell>
        </row>
        <row r="26">
          <cell r="B26" t="str">
            <v>Freezer - New</v>
          </cell>
          <cell r="C26">
            <v>1</v>
          </cell>
          <cell r="D26">
            <v>1</v>
          </cell>
          <cell r="E26">
            <v>1</v>
          </cell>
          <cell r="F26">
            <v>1</v>
          </cell>
        </row>
        <row r="27">
          <cell r="B27" t="str">
            <v>Freezer - NR</v>
          </cell>
          <cell r="C27">
            <v>4.6082949308755762E-2</v>
          </cell>
          <cell r="D27">
            <v>4.6082949308755762E-2</v>
          </cell>
          <cell r="E27">
            <v>4.6082949308755762E-2</v>
          </cell>
          <cell r="F27">
            <v>4.6082949308755762E-2</v>
          </cell>
        </row>
        <row r="28">
          <cell r="B28" t="str">
            <v>Solar Water Heater - New</v>
          </cell>
          <cell r="C28">
            <v>1</v>
          </cell>
          <cell r="D28">
            <v>1</v>
          </cell>
          <cell r="E28">
            <v>1</v>
          </cell>
          <cell r="F28">
            <v>1</v>
          </cell>
        </row>
        <row r="29">
          <cell r="B29" t="str">
            <v>Solar Water Heater - NR</v>
          </cell>
          <cell r="C29" t="e">
            <v>#DIV/0!</v>
          </cell>
          <cell r="D29" t="e">
            <v>#DIV/0!</v>
          </cell>
          <cell r="E29" t="e">
            <v>#DIV/0!</v>
          </cell>
          <cell r="F29" t="e">
            <v>#DIV/0!</v>
          </cell>
        </row>
        <row r="30">
          <cell r="B30" t="str">
            <v>Solar Water Heater - Retro</v>
          </cell>
          <cell r="C30" t="str">
            <v/>
          </cell>
          <cell r="D30" t="str">
            <v/>
          </cell>
          <cell r="E30" t="str">
            <v/>
          </cell>
          <cell r="F30" t="str">
            <v/>
          </cell>
        </row>
        <row r="31">
          <cell r="B31">
            <v>0</v>
          </cell>
          <cell r="C31" t="str">
            <v/>
          </cell>
          <cell r="D31" t="str">
            <v/>
          </cell>
          <cell r="E31" t="str">
            <v/>
          </cell>
          <cell r="F31" t="str">
            <v/>
          </cell>
        </row>
        <row r="32">
          <cell r="B32">
            <v>0</v>
          </cell>
          <cell r="C32" t="str">
            <v/>
          </cell>
          <cell r="D32" t="str">
            <v/>
          </cell>
          <cell r="E32" t="str">
            <v/>
          </cell>
          <cell r="F32" t="str">
            <v/>
          </cell>
        </row>
        <row r="33">
          <cell r="B33" t="str">
            <v>Electric Oven - New</v>
          </cell>
          <cell r="C33">
            <v>1</v>
          </cell>
          <cell r="D33">
            <v>1</v>
          </cell>
          <cell r="E33">
            <v>1</v>
          </cell>
          <cell r="F33">
            <v>1</v>
          </cell>
        </row>
        <row r="34">
          <cell r="B34" t="str">
            <v>Electric Oven - NR</v>
          </cell>
          <cell r="C34">
            <v>0.05</v>
          </cell>
          <cell r="D34">
            <v>0.05</v>
          </cell>
          <cell r="E34">
            <v>0.05</v>
          </cell>
          <cell r="F34">
            <v>0.05</v>
          </cell>
        </row>
        <row r="35">
          <cell r="B35" t="str">
            <v>Microwave - New</v>
          </cell>
          <cell r="C35">
            <v>1</v>
          </cell>
          <cell r="D35">
            <v>1</v>
          </cell>
          <cell r="E35">
            <v>1</v>
          </cell>
          <cell r="F35">
            <v>1</v>
          </cell>
        </row>
        <row r="36">
          <cell r="B36" t="str">
            <v>Microwave - NR</v>
          </cell>
          <cell r="C36">
            <v>0.1111111111111111</v>
          </cell>
          <cell r="D36">
            <v>0.1111111111111111</v>
          </cell>
          <cell r="E36">
            <v>0.1111111111111111</v>
          </cell>
          <cell r="F36">
            <v>0.1111111111111111</v>
          </cell>
        </row>
        <row r="37">
          <cell r="B37" t="str">
            <v>Monitor - New</v>
          </cell>
          <cell r="C37">
            <v>1</v>
          </cell>
          <cell r="D37">
            <v>1</v>
          </cell>
          <cell r="E37">
            <v>1</v>
          </cell>
          <cell r="F37">
            <v>1</v>
          </cell>
        </row>
        <row r="38">
          <cell r="B38" t="str">
            <v>Monitor - NR</v>
          </cell>
          <cell r="C38">
            <v>0.2</v>
          </cell>
          <cell r="D38">
            <v>0.2</v>
          </cell>
          <cell r="E38">
            <v>0.2</v>
          </cell>
          <cell r="F38">
            <v>0.2</v>
          </cell>
        </row>
        <row r="39">
          <cell r="B39" t="str">
            <v>Desktop - New</v>
          </cell>
          <cell r="C39">
            <v>1</v>
          </cell>
          <cell r="D39">
            <v>1</v>
          </cell>
          <cell r="E39">
            <v>1</v>
          </cell>
          <cell r="F39">
            <v>1</v>
          </cell>
        </row>
        <row r="40">
          <cell r="B40" t="str">
            <v>Desktop - NR</v>
          </cell>
          <cell r="C40">
            <v>0.25</v>
          </cell>
          <cell r="D40">
            <v>0.25</v>
          </cell>
          <cell r="E40">
            <v>0.25</v>
          </cell>
          <cell r="F40">
            <v>0.25</v>
          </cell>
        </row>
        <row r="41">
          <cell r="B41" t="str">
            <v>Laptop - New</v>
          </cell>
          <cell r="C41">
            <v>1</v>
          </cell>
          <cell r="D41">
            <v>1</v>
          </cell>
          <cell r="E41">
            <v>1</v>
          </cell>
          <cell r="F41">
            <v>1</v>
          </cell>
        </row>
        <row r="42">
          <cell r="B42" t="str">
            <v>Laptop - NR</v>
          </cell>
          <cell r="C42">
            <v>0.25</v>
          </cell>
          <cell r="D42">
            <v>0.25</v>
          </cell>
          <cell r="E42">
            <v>0.25</v>
          </cell>
          <cell r="F42">
            <v>0.25</v>
          </cell>
        </row>
        <row r="43">
          <cell r="B43" t="str">
            <v>Computer - New</v>
          </cell>
          <cell r="C43">
            <v>1</v>
          </cell>
          <cell r="D43">
            <v>1</v>
          </cell>
          <cell r="E43">
            <v>1</v>
          </cell>
          <cell r="F43">
            <v>1</v>
          </cell>
        </row>
        <row r="44">
          <cell r="B44" t="str">
            <v>Computer - NR</v>
          </cell>
          <cell r="C44">
            <v>0.25</v>
          </cell>
          <cell r="D44">
            <v>0.25</v>
          </cell>
          <cell r="E44">
            <v>0.25</v>
          </cell>
          <cell r="F44">
            <v>0.25</v>
          </cell>
        </row>
        <row r="45">
          <cell r="B45" t="str">
            <v>ASHP - New</v>
          </cell>
          <cell r="C45">
            <v>1</v>
          </cell>
          <cell r="D45">
            <v>1</v>
          </cell>
          <cell r="E45">
            <v>1</v>
          </cell>
          <cell r="F45">
            <v>1</v>
          </cell>
        </row>
        <row r="46">
          <cell r="B46" t="str">
            <v>ASHP - NR</v>
          </cell>
          <cell r="C46">
            <v>6.6666666666666666E-2</v>
          </cell>
          <cell r="D46">
            <v>6.6666666666666666E-2</v>
          </cell>
          <cell r="E46">
            <v>6.6666666666666666E-2</v>
          </cell>
          <cell r="F46">
            <v>6.6666666666666666E-2</v>
          </cell>
        </row>
        <row r="47">
          <cell r="B47" t="str">
            <v>HP - Retro</v>
          </cell>
          <cell r="C47" t="str">
            <v/>
          </cell>
          <cell r="D47" t="str">
            <v/>
          </cell>
          <cell r="E47" t="str">
            <v/>
          </cell>
          <cell r="F47" t="str">
            <v/>
          </cell>
        </row>
        <row r="48">
          <cell r="B48" t="str">
            <v>DHP - New</v>
          </cell>
          <cell r="C48">
            <v>1</v>
          </cell>
          <cell r="D48">
            <v>1</v>
          </cell>
          <cell r="E48">
            <v>1</v>
          </cell>
          <cell r="F48">
            <v>1</v>
          </cell>
        </row>
        <row r="49">
          <cell r="B49" t="str">
            <v>DHP - NR</v>
          </cell>
          <cell r="C49">
            <v>6.6666666666666666E-2</v>
          </cell>
          <cell r="D49">
            <v>6.6666666666666666E-2</v>
          </cell>
          <cell r="E49">
            <v>6.6666666666666666E-2</v>
          </cell>
          <cell r="F49">
            <v>6.6666666666666666E-2</v>
          </cell>
        </row>
        <row r="50">
          <cell r="B50" t="str">
            <v>DHP - Retro</v>
          </cell>
          <cell r="C50" t="str">
            <v/>
          </cell>
          <cell r="D50" t="str">
            <v/>
          </cell>
          <cell r="E50" t="str">
            <v/>
          </cell>
          <cell r="F50" t="str">
            <v/>
          </cell>
        </row>
        <row r="51">
          <cell r="B51" t="str">
            <v>Duct Sealing - New</v>
          </cell>
          <cell r="C51">
            <v>1</v>
          </cell>
          <cell r="D51">
            <v>1</v>
          </cell>
          <cell r="E51">
            <v>1</v>
          </cell>
          <cell r="F51">
            <v>1</v>
          </cell>
        </row>
        <row r="52">
          <cell r="B52" t="str">
            <v>Duct Sealing - Retro</v>
          </cell>
          <cell r="C52" t="str">
            <v/>
          </cell>
          <cell r="D52" t="str">
            <v/>
          </cell>
          <cell r="E52" t="str">
            <v/>
          </cell>
          <cell r="F52" t="str">
            <v/>
          </cell>
        </row>
        <row r="53">
          <cell r="B53" t="str">
            <v>WIFI enabled tstats - New</v>
          </cell>
          <cell r="C53">
            <v>1</v>
          </cell>
          <cell r="D53">
            <v>1</v>
          </cell>
          <cell r="E53">
            <v>1</v>
          </cell>
          <cell r="F53">
            <v>1</v>
          </cell>
        </row>
        <row r="54">
          <cell r="B54" t="str">
            <v>WIFI enabled tstats - Retro</v>
          </cell>
          <cell r="C54" t="str">
            <v/>
          </cell>
          <cell r="D54" t="str">
            <v/>
          </cell>
          <cell r="E54" t="str">
            <v/>
          </cell>
          <cell r="F54" t="str">
            <v/>
          </cell>
        </row>
        <row r="55">
          <cell r="B55" t="str">
            <v>Combo DHP/HPWH units - New</v>
          </cell>
          <cell r="C55">
            <v>1</v>
          </cell>
          <cell r="D55">
            <v>1</v>
          </cell>
          <cell r="E55">
            <v>1</v>
          </cell>
          <cell r="F55">
            <v>1</v>
          </cell>
        </row>
        <row r="56">
          <cell r="B56" t="str">
            <v>Combo DHP/HPWH units - NR</v>
          </cell>
          <cell r="C56" t="e">
            <v>#DIV/0!</v>
          </cell>
          <cell r="D56" t="e">
            <v>#DIV/0!</v>
          </cell>
          <cell r="E56" t="e">
            <v>#DIV/0!</v>
          </cell>
          <cell r="F56" t="e">
            <v>#DIV/0!</v>
          </cell>
        </row>
        <row r="57">
          <cell r="B57" t="str">
            <v>Combo DHP/HPWH units - Retro</v>
          </cell>
          <cell r="C57" t="str">
            <v/>
          </cell>
          <cell r="D57" t="str">
            <v/>
          </cell>
          <cell r="E57" t="str">
            <v/>
          </cell>
          <cell r="F57" t="str">
            <v/>
          </cell>
        </row>
        <row r="58">
          <cell r="B58" t="str">
            <v>Aerator - New</v>
          </cell>
          <cell r="C58">
            <v>1</v>
          </cell>
          <cell r="D58">
            <v>1</v>
          </cell>
          <cell r="E58">
            <v>1</v>
          </cell>
          <cell r="F58">
            <v>1</v>
          </cell>
        </row>
        <row r="59">
          <cell r="B59" t="str">
            <v>Aerator - Retro</v>
          </cell>
          <cell r="C59" t="str">
            <v/>
          </cell>
          <cell r="D59" t="str">
            <v/>
          </cell>
          <cell r="E59" t="str">
            <v/>
          </cell>
          <cell r="F59" t="str">
            <v/>
          </cell>
        </row>
        <row r="60">
          <cell r="B60" t="str">
            <v>Behavior - Retro</v>
          </cell>
          <cell r="C60" t="str">
            <v/>
          </cell>
          <cell r="D60" t="str">
            <v/>
          </cell>
          <cell r="E60" t="str">
            <v/>
          </cell>
          <cell r="F60" t="str">
            <v/>
          </cell>
        </row>
        <row r="61">
          <cell r="B61" t="str">
            <v>Behavior - New</v>
          </cell>
          <cell r="C61">
            <v>1</v>
          </cell>
          <cell r="D61">
            <v>1</v>
          </cell>
          <cell r="E61">
            <v>1</v>
          </cell>
          <cell r="F61">
            <v>1</v>
          </cell>
        </row>
        <row r="62">
          <cell r="B62">
            <v>0</v>
          </cell>
          <cell r="C62" t="str">
            <v/>
          </cell>
          <cell r="D62" t="str">
            <v/>
          </cell>
          <cell r="E62" t="str">
            <v/>
          </cell>
          <cell r="F62" t="str">
            <v/>
          </cell>
        </row>
        <row r="63">
          <cell r="B63" t="str">
            <v>Heat Recovery Ventilation - New</v>
          </cell>
          <cell r="C63">
            <v>1</v>
          </cell>
          <cell r="D63">
            <v>1</v>
          </cell>
          <cell r="E63">
            <v>1</v>
          </cell>
          <cell r="F63">
            <v>1</v>
          </cell>
        </row>
        <row r="64">
          <cell r="B64" t="str">
            <v>GSHP - New</v>
          </cell>
          <cell r="C64">
            <v>1</v>
          </cell>
          <cell r="D64">
            <v>1</v>
          </cell>
          <cell r="E64">
            <v>1</v>
          </cell>
          <cell r="F64">
            <v>1</v>
          </cell>
        </row>
        <row r="65">
          <cell r="B65" t="str">
            <v>GSHP - NR</v>
          </cell>
          <cell r="C65">
            <v>6.6666666666666666E-2</v>
          </cell>
          <cell r="D65">
            <v>6.6666666666666666E-2</v>
          </cell>
          <cell r="E65">
            <v>6.6666666666666666E-2</v>
          </cell>
          <cell r="F65">
            <v>6.6666666666666666E-2</v>
          </cell>
        </row>
        <row r="66">
          <cell r="B66">
            <v>0</v>
          </cell>
          <cell r="C66" t="str">
            <v/>
          </cell>
          <cell r="D66" t="str">
            <v/>
          </cell>
          <cell r="E66" t="str">
            <v/>
          </cell>
          <cell r="F66" t="str">
            <v/>
          </cell>
        </row>
        <row r="67">
          <cell r="B67" t="str">
            <v>ECM for HVAC ventilation - New</v>
          </cell>
          <cell r="C67">
            <v>1</v>
          </cell>
          <cell r="D67">
            <v>1</v>
          </cell>
          <cell r="E67">
            <v>1</v>
          </cell>
          <cell r="F67">
            <v>1</v>
          </cell>
        </row>
        <row r="68">
          <cell r="B68" t="str">
            <v>ECM for HVAC ventilation - NR</v>
          </cell>
          <cell r="C68" t="e">
            <v>#DIV/0!</v>
          </cell>
          <cell r="D68" t="e">
            <v>#DIV/0!</v>
          </cell>
          <cell r="E68" t="e">
            <v>#DIV/0!</v>
          </cell>
          <cell r="F68" t="e">
            <v>#DIV/0!</v>
          </cell>
        </row>
        <row r="69">
          <cell r="B69" t="str">
            <v>Whole house/attic fan - New</v>
          </cell>
          <cell r="C69">
            <v>1</v>
          </cell>
          <cell r="D69">
            <v>1</v>
          </cell>
          <cell r="E69">
            <v>1</v>
          </cell>
          <cell r="F69">
            <v>1</v>
          </cell>
        </row>
        <row r="70">
          <cell r="B70" t="str">
            <v>Whole house/attic fan - Retro</v>
          </cell>
          <cell r="C70" t="str">
            <v/>
          </cell>
          <cell r="D70" t="str">
            <v/>
          </cell>
          <cell r="E70" t="str">
            <v/>
          </cell>
          <cell r="F70" t="str">
            <v/>
          </cell>
        </row>
        <row r="71">
          <cell r="B71" t="str">
            <v>WH Pipe insulation - Retro</v>
          </cell>
          <cell r="C71" t="str">
            <v/>
          </cell>
          <cell r="D71" t="str">
            <v/>
          </cell>
          <cell r="E71" t="str">
            <v/>
          </cell>
          <cell r="F71" t="str">
            <v/>
          </cell>
        </row>
        <row r="72">
          <cell r="B72" t="str">
            <v>DHP Ducted - NR</v>
          </cell>
          <cell r="C72">
            <v>6.6666666666666666E-2</v>
          </cell>
          <cell r="D72">
            <v>6.6666666666666666E-2</v>
          </cell>
          <cell r="E72">
            <v>6.6666666666666666E-2</v>
          </cell>
          <cell r="F72">
            <v>6.6666666666666666E-2</v>
          </cell>
        </row>
        <row r="73">
          <cell r="B73" t="str">
            <v>Advanced Power Strips - New</v>
          </cell>
          <cell r="C73">
            <v>1</v>
          </cell>
          <cell r="D73">
            <v>1</v>
          </cell>
          <cell r="E73">
            <v>1</v>
          </cell>
          <cell r="F73">
            <v>1</v>
          </cell>
        </row>
        <row r="74">
          <cell r="B74" t="str">
            <v>Advanced Power Strips - Retro</v>
          </cell>
          <cell r="C74" t="str">
            <v/>
          </cell>
          <cell r="D74" t="str">
            <v/>
          </cell>
          <cell r="E74" t="str">
            <v/>
          </cell>
          <cell r="F74" t="str">
            <v/>
          </cell>
        </row>
        <row r="75">
          <cell r="B75" t="str">
            <v>Controls Commissioning and Sizing - New</v>
          </cell>
          <cell r="C75">
            <v>1</v>
          </cell>
          <cell r="D75">
            <v>1</v>
          </cell>
          <cell r="E75">
            <v>1</v>
          </cell>
          <cell r="F75">
            <v>1</v>
          </cell>
        </row>
        <row r="76">
          <cell r="B76" t="str">
            <v>Controls Commissioning and Sizing - NR</v>
          </cell>
          <cell r="C76">
            <v>6.6666666666666666E-2</v>
          </cell>
          <cell r="D76">
            <v>6.6666666666666666E-2</v>
          </cell>
          <cell r="E76">
            <v>6.6666666666666666E-2</v>
          </cell>
          <cell r="F76">
            <v>6.6666666666666666E-2</v>
          </cell>
        </row>
        <row r="77">
          <cell r="B77" t="str">
            <v>ResWx - Retro</v>
          </cell>
          <cell r="C77" t="str">
            <v/>
          </cell>
          <cell r="D77" t="str">
            <v/>
          </cell>
          <cell r="E77" t="str">
            <v/>
          </cell>
          <cell r="F77" t="str">
            <v/>
          </cell>
        </row>
      </sheetData>
      <sheetData sheetId="9">
        <row r="8">
          <cell r="C8" t="str">
            <v>LO3Slow</v>
          </cell>
          <cell r="D8">
            <v>5.5320496977002724E-3</v>
          </cell>
          <cell r="E8">
            <v>1.4227918344261844E-2</v>
          </cell>
          <cell r="F8">
            <v>3.1619655637384989E-2</v>
          </cell>
        </row>
        <row r="9">
          <cell r="C9" t="str">
            <v>Retro12Med</v>
          </cell>
          <cell r="D9">
            <v>0.10937459468255628</v>
          </cell>
          <cell r="E9">
            <v>0.10937459468255628</v>
          </cell>
          <cell r="F9">
            <v>0.10937459468255628</v>
          </cell>
          <cell r="G9">
            <v>0.10937459468255628</v>
          </cell>
          <cell r="H9">
            <v>0.10937459468255628</v>
          </cell>
          <cell r="I9">
            <v>9.8437135214300656E-2</v>
          </cell>
          <cell r="J9">
            <v>7.874970817144053E-2</v>
          </cell>
          <cell r="K9">
            <v>6.2999766537152418E-2</v>
          </cell>
          <cell r="L9">
            <v>5.0399813229721938E-2</v>
          </cell>
          <cell r="M9">
            <v>4.0319850583777551E-2</v>
          </cell>
          <cell r="N9">
            <v>3.225588046702204E-2</v>
          </cell>
          <cell r="O9">
            <v>2.5804704373617631E-2</v>
          </cell>
          <cell r="P9">
            <v>2.0643763498894106E-2</v>
          </cell>
          <cell r="Q9">
            <v>1.6515010799115284E-2</v>
          </cell>
          <cell r="R9">
            <v>1.3212008639292228E-2</v>
          </cell>
          <cell r="S9">
            <v>1.0569606911433781E-2</v>
          </cell>
          <cell r="T9">
            <v>7.2092823794611682E-5</v>
          </cell>
          <cell r="U9">
            <v>2.5747437069512102E-5</v>
          </cell>
          <cell r="V9">
            <v>8.7775353646568632E-6</v>
          </cell>
          <cell r="W9">
            <v>2.8622397928446119E-6</v>
          </cell>
        </row>
        <row r="10">
          <cell r="C10" t="str">
            <v>Retro5Med</v>
          </cell>
          <cell r="D10">
            <v>4.2999999999999997E-2</v>
          </cell>
          <cell r="E10">
            <v>5.279714228027832E-2</v>
          </cell>
          <cell r="F10">
            <v>6.4608251467478173E-2</v>
          </cell>
          <cell r="G10">
            <v>7.4999999999999997E-2</v>
          </cell>
          <cell r="H10">
            <v>8.5546997470333563E-2</v>
          </cell>
          <cell r="I10">
            <v>0.10001472303820647</v>
          </cell>
          <cell r="J10">
            <v>0.10971770435235073</v>
          </cell>
          <cell r="K10">
            <v>0.11208438511970376</v>
          </cell>
          <cell r="L10">
            <v>0.10562608162722853</v>
          </cell>
          <cell r="M10">
            <v>9.0794563997872335E-2</v>
          </cell>
          <cell r="N10">
            <v>7.0260666991849297E-2</v>
          </cell>
          <cell r="O10">
            <v>4.8218360404944538E-2</v>
          </cell>
          <cell r="P10">
            <v>2.8854234614640095E-2</v>
          </cell>
          <cell r="Q10">
            <v>1.4773964924806759E-2</v>
          </cell>
          <cell r="R10">
            <v>6.3385343681182649E-3</v>
          </cell>
          <cell r="S10">
            <v>2.2268577196306039E-3</v>
          </cell>
          <cell r="T10">
            <v>6.2471001963848583E-4</v>
          </cell>
          <cell r="U10">
            <v>1.3615841889635938E-4</v>
          </cell>
          <cell r="V10">
            <v>2.2380636622298944E-5</v>
          </cell>
          <cell r="W10">
            <v>2.68643837586513E-6</v>
          </cell>
        </row>
        <row r="11">
          <cell r="C11" t="str">
            <v>Retro1Slow</v>
          </cell>
          <cell r="D11">
            <v>2.5643970768378654E-3</v>
          </cell>
          <cell r="E11">
            <v>5.1260615529385989E-3</v>
          </cell>
          <cell r="F11">
            <v>9.1015544176433795E-3</v>
          </cell>
          <cell r="G11">
            <v>1.4804925730045659E-2</v>
          </cell>
          <cell r="H11">
            <v>2.2471809420486211E-2</v>
          </cell>
          <cell r="I11">
            <v>3.2184432813882391E-2</v>
          </cell>
          <cell r="J11">
            <v>4.3779667172004086E-2</v>
          </cell>
          <cell r="K11">
            <v>5.675426075474499E-2</v>
          </cell>
          <cell r="L11">
            <v>7.0195239068707532E-2</v>
          </cell>
          <cell r="M11">
            <v>8.2776861842756788E-2</v>
          </cell>
          <cell r="N11">
            <v>9.2870259507494834E-2</v>
          </cell>
          <cell r="O11">
            <v>9.8796470678915727E-2</v>
          </cell>
          <cell r="P11">
            <v>9.9208932889988999E-2</v>
          </cell>
          <cell r="Q11">
            <v>9.3521150494244254E-2</v>
          </cell>
          <cell r="R11">
            <v>8.2226007896862296E-2</v>
          </cell>
          <cell r="S11">
            <v>6.6933566027365665E-2</v>
          </cell>
          <cell r="T11">
            <v>5.0029565143448806E-2</v>
          </cell>
          <cell r="U11">
            <v>3.402486521893211E-2</v>
          </cell>
          <cell r="V11">
            <v>2.0846059340774659E-2</v>
          </cell>
          <cell r="W11">
            <v>0.01</v>
          </cell>
        </row>
        <row r="12">
          <cell r="C12" t="str">
            <v>Retro50Fast</v>
          </cell>
          <cell r="D12">
            <v>0.45</v>
          </cell>
          <cell r="E12">
            <v>0.21</v>
          </cell>
          <cell r="F12">
            <v>0.14000000000000001</v>
          </cell>
          <cell r="G12">
            <v>0.09</v>
          </cell>
          <cell r="H12">
            <v>5.9540362609726505E-2</v>
          </cell>
          <cell r="I12">
            <v>2.9770181304863419E-2</v>
          </cell>
          <cell r="J12">
            <v>1.3231191691050248E-2</v>
          </cell>
          <cell r="K12">
            <v>5.2924766764202991E-3</v>
          </cell>
          <cell r="L12">
            <v>1.9245369732436846E-3</v>
          </cell>
          <cell r="M12">
            <v>6.415123244144505E-4</v>
          </cell>
          <cell r="N12">
            <v>1.9738840751215569E-4</v>
          </cell>
          <cell r="O12">
            <v>5.6396687860615913E-5</v>
          </cell>
          <cell r="P12">
            <v>1.5039116763038152E-5</v>
          </cell>
          <cell r="Q12">
            <v>3.7597791905374933E-6</v>
          </cell>
          <cell r="R12">
            <v>8.8465392733549919E-7</v>
          </cell>
          <cell r="S12">
            <v>1.9658976146974538E-7</v>
          </cell>
          <cell r="T12">
            <v>4.13873183502389E-8</v>
          </cell>
          <cell r="U12">
            <v>8.2774636034343985E-9</v>
          </cell>
          <cell r="V12">
            <v>1.5766598027155965E-9</v>
          </cell>
          <cell r="W12">
            <v>2.8666535811794347E-10</v>
          </cell>
        </row>
        <row r="13">
          <cell r="C13" t="str">
            <v>Retro20Fast</v>
          </cell>
          <cell r="D13">
            <v>0.22119921692859512</v>
          </cell>
          <cell r="E13">
            <v>0.15504311102289431</v>
          </cell>
          <cell r="F13">
            <v>0.10733128557729499</v>
          </cell>
          <cell r="G13">
            <v>8.3589689255657879E-2</v>
          </cell>
          <cell r="H13">
            <v>7.3237179880126971E-2</v>
          </cell>
          <cell r="I13">
            <v>6.3374636711760357E-2</v>
          </cell>
          <cell r="J13">
            <v>5.4291838367783084E-2</v>
          </cell>
          <cell r="K13">
            <v>4.612639225659896E-2</v>
          </cell>
          <cell r="L13">
            <v>3.8916876277172864E-2</v>
          </cell>
          <cell r="M13">
            <v>3.2639916313151704E-2</v>
          </cell>
          <cell r="N13">
            <v>2.7235706125786907E-2</v>
          </cell>
          <cell r="O13">
            <v>2.1211189258265428E-2</v>
          </cell>
          <cell r="P13">
            <v>1.6519290804212883E-2</v>
          </cell>
          <cell r="Q13">
            <v>1.2865236614105324E-2</v>
          </cell>
          <cell r="R13">
            <v>1.0019456349464106E-2</v>
          </cell>
          <cell r="S13">
            <v>7.8031604509122832E-3</v>
          </cell>
          <cell r="T13">
            <v>6.077107469602494E-3</v>
          </cell>
          <cell r="U13">
            <v>4.7328560561354371E-3</v>
          </cell>
          <cell r="V13">
            <v>3.6859520026825132E-3</v>
          </cell>
          <cell r="W13">
            <v>2.8706223060526725E-3</v>
          </cell>
        </row>
        <row r="14">
          <cell r="C14" t="str">
            <v>RetroEven20</v>
          </cell>
          <cell r="D14">
            <v>0.05</v>
          </cell>
          <cell r="E14">
            <v>0.05</v>
          </cell>
          <cell r="F14">
            <v>0.05</v>
          </cell>
          <cell r="G14">
            <v>0.05</v>
          </cell>
          <cell r="H14">
            <v>0.05</v>
          </cell>
          <cell r="I14">
            <v>0.05</v>
          </cell>
          <cell r="J14">
            <v>0.05</v>
          </cell>
          <cell r="K14">
            <v>0.05</v>
          </cell>
          <cell r="L14">
            <v>0.05</v>
          </cell>
          <cell r="M14">
            <v>0.05</v>
          </cell>
          <cell r="N14">
            <v>0.05</v>
          </cell>
          <cell r="O14">
            <v>0.05</v>
          </cell>
          <cell r="P14">
            <v>0.05</v>
          </cell>
          <cell r="Q14">
            <v>0.05</v>
          </cell>
          <cell r="R14">
            <v>0.05</v>
          </cell>
          <cell r="S14">
            <v>0.05</v>
          </cell>
          <cell r="T14">
            <v>0.05</v>
          </cell>
          <cell r="U14">
            <v>0.05</v>
          </cell>
          <cell r="V14">
            <v>0.05</v>
          </cell>
          <cell r="W14">
            <v>0.05</v>
          </cell>
        </row>
        <row r="15">
          <cell r="C15" t="str">
            <v>RetroMax60</v>
          </cell>
          <cell r="D15">
            <v>0.01</v>
          </cell>
          <cell r="E15">
            <v>1.9799999999999998E-2</v>
          </cell>
          <cell r="F15">
            <v>2.9106E-2</v>
          </cell>
          <cell r="G15">
            <v>3.7643759999999998E-2</v>
          </cell>
          <cell r="H15">
            <v>4.5172511999999984E-2</v>
          </cell>
          <cell r="I15">
            <v>4.8635737920000005E-2</v>
          </cell>
          <cell r="J15">
            <v>4.587971277120001E-2</v>
          </cell>
          <cell r="K15">
            <v>4.3279862380832007E-2</v>
          </cell>
          <cell r="L15">
            <v>4.0827336845918161E-2</v>
          </cell>
          <cell r="M15">
            <v>3.8513787757982809E-2</v>
          </cell>
          <cell r="N15">
            <v>3.6331339785030448E-2</v>
          </cell>
          <cell r="O15">
            <v>3.4272563863878724E-2</v>
          </cell>
          <cell r="P15">
            <v>3.2330451911592284E-2</v>
          </cell>
          <cell r="Q15">
            <v>3.0498392969935395E-2</v>
          </cell>
          <cell r="R15">
            <v>2.8770150701639075E-2</v>
          </cell>
          <cell r="S15">
            <v>2.7139842161879479E-2</v>
          </cell>
          <cell r="T15">
            <v>2.5601917772706373E-2</v>
          </cell>
          <cell r="U15">
            <v>2.4151142432252914E-2</v>
          </cell>
          <cell r="V15">
            <v>2.2782577694425266E-2</v>
          </cell>
          <cell r="W15">
            <v>2.1491564958407872E-2</v>
          </cell>
        </row>
        <row r="16">
          <cell r="C16" t="str">
            <v>Retro3Slow</v>
          </cell>
          <cell r="D16">
            <v>5.5320496977002724E-3</v>
          </cell>
          <cell r="E16">
            <v>8.6958686465615706E-3</v>
          </cell>
          <cell r="F16">
            <v>1.7391737293123145E-2</v>
          </cell>
          <cell r="G16">
            <v>3.0435540262965514E-2</v>
          </cell>
          <cell r="H16">
            <v>4.7344173742390784E-2</v>
          </cell>
          <cell r="I16">
            <v>6.6281843239347063E-2</v>
          </cell>
          <cell r="J16">
            <v>8.4358709577350838E-2</v>
          </cell>
          <cell r="K16">
            <v>9.8418494506909315E-2</v>
          </cell>
          <cell r="L16">
            <v>0.10598914793051767</v>
          </cell>
          <cell r="M16">
            <v>0.10598914793051767</v>
          </cell>
          <cell r="N16">
            <v>9.8923204735149928E-2</v>
          </cell>
          <cell r="O16">
            <v>8.655780414325609E-2</v>
          </cell>
          <cell r="P16">
            <v>7.1282897529740263E-2</v>
          </cell>
          <cell r="Q16">
            <v>5.5442253634242489E-2</v>
          </cell>
          <cell r="R16">
            <v>4.0852186888389319E-2</v>
          </cell>
          <cell r="S16">
            <v>2.8596530821872412E-2</v>
          </cell>
          <cell r="T16">
            <v>1.9064353881248275E-2</v>
          </cell>
          <cell r="U16">
            <v>1.2131861560794377E-2</v>
          </cell>
          <cell r="V16">
            <v>7.3846113848314854E-3</v>
          </cell>
          <cell r="W16">
            <v>4.3076899744848296E-3</v>
          </cell>
        </row>
        <row r="17">
          <cell r="C17" t="str">
            <v>LightingPPA</v>
          </cell>
          <cell r="D17">
            <v>0.5468729734127814</v>
          </cell>
          <cell r="E17">
            <v>0.43749837873022512</v>
          </cell>
          <cell r="F17">
            <v>0.32812378404766884</v>
          </cell>
          <cell r="G17">
            <v>0.21874918936511256</v>
          </cell>
          <cell r="H17">
            <v>0.10937459468255628</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A19" t="str">
            <v>End Use</v>
          </cell>
          <cell r="B19" t="str">
            <v>Measure Index Name</v>
          </cell>
          <cell r="C19" t="str">
            <v>Ramp</v>
          </cell>
          <cell r="D19">
            <v>2016</v>
          </cell>
          <cell r="E19">
            <v>2017</v>
          </cell>
          <cell r="F19">
            <v>2018</v>
          </cell>
          <cell r="G19">
            <v>2019</v>
          </cell>
          <cell r="H19">
            <v>2020</v>
          </cell>
          <cell r="I19">
            <v>2021</v>
          </cell>
          <cell r="J19">
            <v>2022</v>
          </cell>
          <cell r="K19">
            <v>2023</v>
          </cell>
          <cell r="L19">
            <v>2024</v>
          </cell>
          <cell r="M19">
            <v>2025</v>
          </cell>
          <cell r="N19">
            <v>2026</v>
          </cell>
          <cell r="O19">
            <v>2027</v>
          </cell>
          <cell r="P19">
            <v>2028</v>
          </cell>
          <cell r="Q19">
            <v>2029</v>
          </cell>
          <cell r="R19">
            <v>2030</v>
          </cell>
          <cell r="S19">
            <v>2031</v>
          </cell>
          <cell r="T19">
            <v>2032</v>
          </cell>
          <cell r="U19">
            <v>2033</v>
          </cell>
          <cell r="V19">
            <v>2034</v>
          </cell>
          <cell r="W19">
            <v>2035</v>
          </cell>
        </row>
        <row r="20">
          <cell r="A20" t="str">
            <v>Lighting</v>
          </cell>
          <cell r="B20" t="str">
            <v>Lighting - New</v>
          </cell>
          <cell r="C20" t="str">
            <v>LO20Fast</v>
          </cell>
          <cell r="D20">
            <v>0.22119921692859512</v>
          </cell>
          <cell r="E20">
            <v>0.37624232795148943</v>
          </cell>
          <cell r="F20">
            <v>0.48357361352878442</v>
          </cell>
          <cell r="G20">
            <v>0.56716330278444227</v>
          </cell>
          <cell r="H20">
            <v>0.64040048266456928</v>
          </cell>
          <cell r="I20">
            <v>0.70377511937632964</v>
          </cell>
          <cell r="J20">
            <v>0.7580669577441127</v>
          </cell>
          <cell r="K20">
            <v>0.80419335000071168</v>
          </cell>
          <cell r="L20">
            <v>0.84311022627788457</v>
          </cell>
          <cell r="M20">
            <v>0.87575014259103623</v>
          </cell>
          <cell r="N20">
            <v>0.90298584871682319</v>
          </cell>
          <cell r="O20">
            <v>0.92419703797508856</v>
          </cell>
          <cell r="P20">
            <v>0.94071632877930145</v>
          </cell>
          <cell r="Q20">
            <v>0.95358156539340677</v>
          </cell>
          <cell r="R20">
            <v>0.96360102174287088</v>
          </cell>
          <cell r="S20">
            <v>0.97140418219378311</v>
          </cell>
          <cell r="T20">
            <v>0.97748128966338554</v>
          </cell>
          <cell r="U20">
            <v>0.98221414571952104</v>
          </cell>
          <cell r="V20">
            <v>0.98590009772220355</v>
          </cell>
          <cell r="W20">
            <v>0.98877072002825628</v>
          </cell>
        </row>
        <row r="21">
          <cell r="A21" t="str">
            <v>Lighting</v>
          </cell>
          <cell r="B21" t="str">
            <v>Lighting - NR</v>
          </cell>
          <cell r="C21" t="str">
            <v>LO20Fast</v>
          </cell>
          <cell r="D21">
            <v>0.22119921692859512</v>
          </cell>
          <cell r="E21">
            <v>0.37624232795148943</v>
          </cell>
          <cell r="F21">
            <v>0.48357361352878442</v>
          </cell>
          <cell r="G21">
            <v>0.56716330278444227</v>
          </cell>
          <cell r="H21">
            <v>0.64040048266456928</v>
          </cell>
          <cell r="I21">
            <v>0.70377511937632964</v>
          </cell>
          <cell r="J21">
            <v>0.7580669577441127</v>
          </cell>
          <cell r="K21">
            <v>0.80419335000071168</v>
          </cell>
          <cell r="L21">
            <v>0.84311022627788457</v>
          </cell>
          <cell r="M21">
            <v>0.87575014259103623</v>
          </cell>
          <cell r="N21">
            <v>0.90298584871682319</v>
          </cell>
          <cell r="O21">
            <v>0.92419703797508856</v>
          </cell>
          <cell r="P21">
            <v>0.94071632877930145</v>
          </cell>
          <cell r="Q21">
            <v>0.95358156539340677</v>
          </cell>
          <cell r="R21">
            <v>0.96360102174287088</v>
          </cell>
          <cell r="S21">
            <v>0.97140418219378311</v>
          </cell>
          <cell r="T21">
            <v>0.97748128966338554</v>
          </cell>
          <cell r="U21">
            <v>0.98221414571952104</v>
          </cell>
          <cell r="V21">
            <v>0.98590009772220355</v>
          </cell>
          <cell r="W21">
            <v>0.98877072002825628</v>
          </cell>
        </row>
        <row r="22">
          <cell r="A22" t="str">
            <v>Lighting</v>
          </cell>
          <cell r="B22" t="str">
            <v>Lighting - PPA</v>
          </cell>
          <cell r="C22" t="str">
            <v>Retro20Fast</v>
          </cell>
          <cell r="D22">
            <v>0.22119921692859512</v>
          </cell>
          <cell r="E22">
            <v>0.15504311102289431</v>
          </cell>
          <cell r="F22">
            <v>0.10733128557729499</v>
          </cell>
          <cell r="G22">
            <v>8.3589689255657879E-2</v>
          </cell>
          <cell r="H22">
            <v>7.3237179880126971E-2</v>
          </cell>
          <cell r="I22">
            <v>6.3374636711760357E-2</v>
          </cell>
          <cell r="J22">
            <v>5.4291838367783084E-2</v>
          </cell>
          <cell r="K22">
            <v>4.612639225659896E-2</v>
          </cell>
          <cell r="L22">
            <v>3.8916876277172864E-2</v>
          </cell>
          <cell r="M22">
            <v>3.2639916313151704E-2</v>
          </cell>
          <cell r="N22">
            <v>2.7235706125786907E-2</v>
          </cell>
          <cell r="O22">
            <v>2.1211189258265428E-2</v>
          </cell>
          <cell r="P22">
            <v>1.6519290804212883E-2</v>
          </cell>
          <cell r="Q22">
            <v>1.2865236614105324E-2</v>
          </cell>
          <cell r="R22">
            <v>1.0019456349464106E-2</v>
          </cell>
          <cell r="S22">
            <v>7.8031604509122832E-3</v>
          </cell>
          <cell r="T22">
            <v>6.077107469602494E-3</v>
          </cell>
          <cell r="U22">
            <v>4.7328560561354371E-3</v>
          </cell>
          <cell r="V22">
            <v>3.6859520026825132E-3</v>
          </cell>
          <cell r="W22">
            <v>2.8706223060526725E-3</v>
          </cell>
        </row>
        <row r="23">
          <cell r="A23" t="str">
            <v>Lighting PPA</v>
          </cell>
          <cell r="B23" t="str">
            <v>Lighting PPA</v>
          </cell>
          <cell r="C23" t="str">
            <v>LightingPPA</v>
          </cell>
          <cell r="D23">
            <v>0.5468729734127814</v>
          </cell>
          <cell r="E23">
            <v>0.43749837873022512</v>
          </cell>
          <cell r="F23">
            <v>0.32812378404766884</v>
          </cell>
          <cell r="G23">
            <v>0.21874918936511256</v>
          </cell>
          <cell r="H23">
            <v>0.10937459468255628</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A24" t="str">
            <v>Water Heating</v>
          </cell>
          <cell r="B24" t="str">
            <v>Dishwasher - New</v>
          </cell>
          <cell r="C24" t="str">
            <v>LO12Med</v>
          </cell>
          <cell r="D24">
            <v>0.10937459468255628</v>
          </cell>
          <cell r="E24">
            <v>0.21874918936511256</v>
          </cell>
          <cell r="F24">
            <v>0.32812378404766884</v>
          </cell>
          <cell r="G24">
            <v>0.43749837873022512</v>
          </cell>
          <cell r="H24">
            <v>0.5468729734127814</v>
          </cell>
          <cell r="I24">
            <v>0.64531010862708205</v>
          </cell>
          <cell r="J24">
            <v>0.7240598167985226</v>
          </cell>
          <cell r="K24">
            <v>0.78705958333567505</v>
          </cell>
          <cell r="L24">
            <v>0.83745939656539703</v>
          </cell>
          <cell r="M24">
            <v>0.87777924714917455</v>
          </cell>
          <cell r="N24">
            <v>0.91003512761619654</v>
          </cell>
          <cell r="O24">
            <v>0.93583983198981413</v>
          </cell>
          <cell r="P24">
            <v>0.9564835954887082</v>
          </cell>
          <cell r="Q24">
            <v>0.97299860628782353</v>
          </cell>
          <cell r="R24">
            <v>0.9862106149271157</v>
          </cell>
          <cell r="S24">
            <v>0.99678022183854953</v>
          </cell>
          <cell r="T24">
            <v>0.99685231466234414</v>
          </cell>
          <cell r="U24">
            <v>0.99687806209941365</v>
          </cell>
          <cell r="V24">
            <v>0.99688683963477831</v>
          </cell>
          <cell r="W24">
            <v>0.99688970187457115</v>
          </cell>
        </row>
        <row r="25">
          <cell r="A25" t="str">
            <v>Water Heating</v>
          </cell>
          <cell r="B25" t="str">
            <v>Dishwasher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row>
        <row r="26">
          <cell r="A26" t="str">
            <v>Water Heating</v>
          </cell>
          <cell r="B26" t="str">
            <v>Clothes Washer - New</v>
          </cell>
          <cell r="C26" t="str">
            <v>LO12Med</v>
          </cell>
          <cell r="D26">
            <v>0.10937459468255628</v>
          </cell>
          <cell r="E26">
            <v>0.21874918936511256</v>
          </cell>
          <cell r="F26">
            <v>0.32812378404766884</v>
          </cell>
          <cell r="G26">
            <v>0.43749837873022512</v>
          </cell>
          <cell r="H26">
            <v>0.5468729734127814</v>
          </cell>
          <cell r="I26">
            <v>0.64531010862708205</v>
          </cell>
          <cell r="J26">
            <v>0.7240598167985226</v>
          </cell>
          <cell r="K26">
            <v>0.78705958333567505</v>
          </cell>
          <cell r="L26">
            <v>0.83745939656539703</v>
          </cell>
          <cell r="M26">
            <v>0.87777924714917455</v>
          </cell>
          <cell r="N26">
            <v>0.91003512761619654</v>
          </cell>
          <cell r="O26">
            <v>0.93583983198981413</v>
          </cell>
          <cell r="P26">
            <v>0.9564835954887082</v>
          </cell>
          <cell r="Q26">
            <v>0.97299860628782353</v>
          </cell>
          <cell r="R26">
            <v>0.9862106149271157</v>
          </cell>
          <cell r="S26">
            <v>0.99678022183854953</v>
          </cell>
          <cell r="T26">
            <v>0.99685231466234414</v>
          </cell>
          <cell r="U26">
            <v>0.99687806209941365</v>
          </cell>
          <cell r="V26">
            <v>0.99688683963477831</v>
          </cell>
          <cell r="W26">
            <v>0.99688970187457115</v>
          </cell>
        </row>
        <row r="27">
          <cell r="A27" t="str">
            <v>Water Heating</v>
          </cell>
          <cell r="B27" t="str">
            <v>Clothes Washer - NR</v>
          </cell>
          <cell r="C27" t="str">
            <v>LO12Med</v>
          </cell>
          <cell r="D27">
            <v>0.10937459468255628</v>
          </cell>
          <cell r="E27">
            <v>0.21874918936511256</v>
          </cell>
          <cell r="F27">
            <v>0.32812378404766884</v>
          </cell>
          <cell r="G27">
            <v>0.43749837873022512</v>
          </cell>
          <cell r="H27">
            <v>0.5468729734127814</v>
          </cell>
          <cell r="I27">
            <v>0.64531010862708205</v>
          </cell>
          <cell r="J27">
            <v>0.7240598167985226</v>
          </cell>
          <cell r="K27">
            <v>0.78705958333567505</v>
          </cell>
          <cell r="L27">
            <v>0.83745939656539703</v>
          </cell>
          <cell r="M27">
            <v>0.87777924714917455</v>
          </cell>
          <cell r="N27">
            <v>0.91003512761619654</v>
          </cell>
          <cell r="O27">
            <v>0.93583983198981413</v>
          </cell>
          <cell r="P27">
            <v>0.9564835954887082</v>
          </cell>
          <cell r="Q27">
            <v>0.97299860628782353</v>
          </cell>
          <cell r="R27">
            <v>0.9862106149271157</v>
          </cell>
          <cell r="S27">
            <v>0.99678022183854953</v>
          </cell>
          <cell r="T27">
            <v>0.99685231466234414</v>
          </cell>
          <cell r="U27">
            <v>0.99687806209941365</v>
          </cell>
          <cell r="V27">
            <v>0.99688683963477831</v>
          </cell>
          <cell r="W27">
            <v>0.99688970187457115</v>
          </cell>
        </row>
        <row r="28">
          <cell r="A28" t="str">
            <v>Water Heating</v>
          </cell>
          <cell r="B28" t="str">
            <v>WasteWater Heat Recovery - New</v>
          </cell>
          <cell r="C28" t="str">
            <v>LO1Slow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row>
        <row r="29">
          <cell r="A29" t="str">
            <v>Water Heating</v>
          </cell>
          <cell r="B29" t="str">
            <v>Showerheads - New</v>
          </cell>
          <cell r="C29" t="str">
            <v>LO12MEd</v>
          </cell>
          <cell r="D29">
            <v>0.10937459468255628</v>
          </cell>
          <cell r="E29">
            <v>0.21874918936511256</v>
          </cell>
          <cell r="F29">
            <v>0.32812378404766884</v>
          </cell>
          <cell r="G29">
            <v>0.43749837873022512</v>
          </cell>
          <cell r="H29">
            <v>0.5468729734127814</v>
          </cell>
          <cell r="I29">
            <v>0.64531010862708205</v>
          </cell>
          <cell r="J29">
            <v>0.7240598167985226</v>
          </cell>
          <cell r="K29">
            <v>0.78705958333567505</v>
          </cell>
          <cell r="L29">
            <v>0.83745939656539703</v>
          </cell>
          <cell r="M29">
            <v>0.87777924714917455</v>
          </cell>
          <cell r="N29">
            <v>0.91003512761619654</v>
          </cell>
          <cell r="O29">
            <v>0.93583983198981413</v>
          </cell>
          <cell r="P29">
            <v>0.9564835954887082</v>
          </cell>
          <cell r="Q29">
            <v>0.97299860628782353</v>
          </cell>
          <cell r="R29">
            <v>0.9862106149271157</v>
          </cell>
          <cell r="S29">
            <v>0.99678022183854953</v>
          </cell>
          <cell r="T29">
            <v>0.99685231466234414</v>
          </cell>
          <cell r="U29">
            <v>0.99687806209941365</v>
          </cell>
          <cell r="V29">
            <v>0.99688683963477831</v>
          </cell>
          <cell r="W29">
            <v>0.99688970187457115</v>
          </cell>
        </row>
        <row r="30">
          <cell r="A30" t="str">
            <v>Water Heating</v>
          </cell>
          <cell r="B30" t="str">
            <v>Showerheads - Retro</v>
          </cell>
          <cell r="C30" t="str">
            <v>Retro12Med</v>
          </cell>
          <cell r="D30">
            <v>0.10937459468255628</v>
          </cell>
          <cell r="E30">
            <v>0.10937459468255628</v>
          </cell>
          <cell r="F30">
            <v>0.10937459468255628</v>
          </cell>
          <cell r="G30">
            <v>0.10937459468255628</v>
          </cell>
          <cell r="H30">
            <v>0.10937459468255628</v>
          </cell>
          <cell r="I30">
            <v>9.8437135214300656E-2</v>
          </cell>
          <cell r="J30">
            <v>7.874970817144053E-2</v>
          </cell>
          <cell r="K30">
            <v>6.2999766537152418E-2</v>
          </cell>
          <cell r="L30">
            <v>5.0399813229721938E-2</v>
          </cell>
          <cell r="M30">
            <v>4.0319850583777551E-2</v>
          </cell>
          <cell r="N30">
            <v>3.225588046702204E-2</v>
          </cell>
          <cell r="O30">
            <v>2.5804704373617631E-2</v>
          </cell>
          <cell r="P30">
            <v>2.0643763498894106E-2</v>
          </cell>
          <cell r="Q30">
            <v>1.6515010799115284E-2</v>
          </cell>
          <cell r="R30">
            <v>1.3212008639292228E-2</v>
          </cell>
          <cell r="S30">
            <v>1.0569606911433781E-2</v>
          </cell>
          <cell r="T30">
            <v>7.2092823794611682E-5</v>
          </cell>
          <cell r="U30">
            <v>2.5747437069512102E-5</v>
          </cell>
          <cell r="V30">
            <v>8.7775353646568632E-6</v>
          </cell>
          <cell r="W30">
            <v>2.8622397928446119E-6</v>
          </cell>
        </row>
        <row r="31">
          <cell r="A31" t="str">
            <v>Water Heating</v>
          </cell>
          <cell r="B31" t="str">
            <v>HPWH - New</v>
          </cell>
          <cell r="C31" t="str">
            <v>LO3Slow</v>
          </cell>
          <cell r="D31">
            <v>5.5320496977002724E-3</v>
          </cell>
          <cell r="E31">
            <v>1.4227918344261844E-2</v>
          </cell>
          <cell r="F31">
            <v>3.1619655637384989E-2</v>
          </cell>
          <cell r="G31">
            <v>6.2055195900350503E-2</v>
          </cell>
          <cell r="H31">
            <v>0.10939936964274129</v>
          </cell>
          <cell r="I31">
            <v>0.17568121288208835</v>
          </cell>
          <cell r="J31">
            <v>0.26003992245943919</v>
          </cell>
          <cell r="K31">
            <v>0.3584584169663485</v>
          </cell>
          <cell r="L31">
            <v>0.46444756489686617</v>
          </cell>
          <cell r="M31">
            <v>0.57043671282738384</v>
          </cell>
          <cell r="N31">
            <v>0.66935991756253377</v>
          </cell>
          <cell r="O31">
            <v>0.75591772170578986</v>
          </cell>
          <cell r="P31">
            <v>0.82720061923553012</v>
          </cell>
          <cell r="Q31">
            <v>0.88264287286977261</v>
          </cell>
          <cell r="R31">
            <v>0.92349505975816193</v>
          </cell>
          <cell r="S31">
            <v>0.95209159058003434</v>
          </cell>
          <cell r="T31">
            <v>0.97115594446128262</v>
          </cell>
          <cell r="U31">
            <v>0.98328780602207699</v>
          </cell>
          <cell r="V31">
            <v>0.99067241740690848</v>
          </cell>
          <cell r="W31">
            <v>0.99498010738139331</v>
          </cell>
        </row>
        <row r="32">
          <cell r="A32" t="str">
            <v>Water Heating</v>
          </cell>
          <cell r="B32" t="str">
            <v>HPWH - NR</v>
          </cell>
          <cell r="C32" t="str">
            <v>LO3Slow</v>
          </cell>
          <cell r="D32">
            <v>5.5320496977002724E-3</v>
          </cell>
          <cell r="E32">
            <v>1.4227918344261844E-2</v>
          </cell>
          <cell r="F32">
            <v>3.1619655637384989E-2</v>
          </cell>
          <cell r="G32">
            <v>6.2055195900350503E-2</v>
          </cell>
          <cell r="H32">
            <v>0.10939936964274129</v>
          </cell>
          <cell r="I32">
            <v>0.17568121288208835</v>
          </cell>
          <cell r="J32">
            <v>0.26003992245943919</v>
          </cell>
          <cell r="K32">
            <v>0.3584584169663485</v>
          </cell>
          <cell r="L32">
            <v>0.46444756489686617</v>
          </cell>
          <cell r="M32">
            <v>0.57043671282738384</v>
          </cell>
          <cell r="N32">
            <v>0.66935991756253377</v>
          </cell>
          <cell r="O32">
            <v>0.75591772170578986</v>
          </cell>
          <cell r="P32">
            <v>0.82720061923553012</v>
          </cell>
          <cell r="Q32">
            <v>0.88264287286977261</v>
          </cell>
          <cell r="R32">
            <v>0.92349505975816193</v>
          </cell>
          <cell r="S32">
            <v>0.95209159058003434</v>
          </cell>
          <cell r="T32">
            <v>0.97115594446128262</v>
          </cell>
          <cell r="U32">
            <v>0.98328780602207699</v>
          </cell>
          <cell r="V32">
            <v>0.99067241740690848</v>
          </cell>
          <cell r="W32">
            <v>0.99498010738139331</v>
          </cell>
        </row>
        <row r="33">
          <cell r="A33" t="str">
            <v>Whole Bldg/Meter Level</v>
          </cell>
          <cell r="B33" t="str">
            <v>EV Supply Equip - NR</v>
          </cell>
          <cell r="C33" t="str">
            <v>LOMax60</v>
          </cell>
          <cell r="D33">
            <v>0.01</v>
          </cell>
          <cell r="E33">
            <v>2.98E-2</v>
          </cell>
          <cell r="F33">
            <v>5.8906E-2</v>
          </cell>
          <cell r="G33">
            <v>9.6549759999999998E-2</v>
          </cell>
          <cell r="H33">
            <v>0.14172227199999998</v>
          </cell>
          <cell r="I33">
            <v>0.19035800991999999</v>
          </cell>
          <cell r="J33">
            <v>0.2362377226912</v>
          </cell>
          <cell r="K33">
            <v>0.279517585072032</v>
          </cell>
          <cell r="L33">
            <v>0.32034492191795017</v>
          </cell>
          <cell r="M33">
            <v>0.35885870967593297</v>
          </cell>
          <cell r="N33">
            <v>0.39519004946096342</v>
          </cell>
          <cell r="O33">
            <v>0.42946261332484215</v>
          </cell>
          <cell r="P33">
            <v>0.46179306523643443</v>
          </cell>
          <cell r="Q33">
            <v>0.49229145820636983</v>
          </cell>
          <cell r="R33">
            <v>0.5210616089080089</v>
          </cell>
          <cell r="S33">
            <v>0.54820145106988838</v>
          </cell>
          <cell r="T33">
            <v>0.57380336884259475</v>
          </cell>
          <cell r="U33">
            <v>0.59795451127484767</v>
          </cell>
          <cell r="V33">
            <v>0.62073708896927293</v>
          </cell>
          <cell r="W33">
            <v>0.6422286539276808</v>
          </cell>
        </row>
        <row r="34">
          <cell r="A34" t="str">
            <v>Dryer</v>
          </cell>
          <cell r="B34" t="str">
            <v>Clothes Dryer - New</v>
          </cell>
          <cell r="C34" t="str">
            <v>LOMax60</v>
          </cell>
          <cell r="D34">
            <v>0.01</v>
          </cell>
          <cell r="E34">
            <v>2.98E-2</v>
          </cell>
          <cell r="F34">
            <v>5.8906E-2</v>
          </cell>
          <cell r="G34">
            <v>9.6549759999999998E-2</v>
          </cell>
          <cell r="H34">
            <v>0.14172227199999998</v>
          </cell>
          <cell r="I34">
            <v>0.19035800991999999</v>
          </cell>
          <cell r="J34">
            <v>0.2362377226912</v>
          </cell>
          <cell r="K34">
            <v>0.279517585072032</v>
          </cell>
          <cell r="L34">
            <v>0.32034492191795017</v>
          </cell>
          <cell r="M34">
            <v>0.35885870967593297</v>
          </cell>
          <cell r="N34">
            <v>0.39519004946096342</v>
          </cell>
          <cell r="O34">
            <v>0.42946261332484215</v>
          </cell>
          <cell r="P34">
            <v>0.46179306523643443</v>
          </cell>
          <cell r="Q34">
            <v>0.49229145820636983</v>
          </cell>
          <cell r="R34">
            <v>0.5210616089080089</v>
          </cell>
          <cell r="S34">
            <v>0.54820145106988838</v>
          </cell>
          <cell r="T34">
            <v>0.57380336884259475</v>
          </cell>
          <cell r="U34">
            <v>0.59795451127484767</v>
          </cell>
          <cell r="V34">
            <v>0.62073708896927293</v>
          </cell>
          <cell r="W34">
            <v>0.6422286539276808</v>
          </cell>
        </row>
        <row r="35">
          <cell r="A35" t="str">
            <v>Dryer</v>
          </cell>
          <cell r="B35" t="str">
            <v>Clothes Dryer - NR</v>
          </cell>
          <cell r="C35" t="str">
            <v>LOMax60</v>
          </cell>
          <cell r="D35">
            <v>0.01</v>
          </cell>
          <cell r="E35">
            <v>2.98E-2</v>
          </cell>
          <cell r="F35">
            <v>5.8906E-2</v>
          </cell>
          <cell r="G35">
            <v>9.6549759999999998E-2</v>
          </cell>
          <cell r="H35">
            <v>0.14172227199999998</v>
          </cell>
          <cell r="I35">
            <v>0.19035800991999999</v>
          </cell>
          <cell r="J35">
            <v>0.2362377226912</v>
          </cell>
          <cell r="K35">
            <v>0.279517585072032</v>
          </cell>
          <cell r="L35">
            <v>0.32034492191795017</v>
          </cell>
          <cell r="M35">
            <v>0.35885870967593297</v>
          </cell>
          <cell r="N35">
            <v>0.39519004946096342</v>
          </cell>
          <cell r="O35">
            <v>0.42946261332484215</v>
          </cell>
          <cell r="P35">
            <v>0.46179306523643443</v>
          </cell>
          <cell r="Q35">
            <v>0.49229145820636983</v>
          </cell>
          <cell r="R35">
            <v>0.5210616089080089</v>
          </cell>
          <cell r="S35">
            <v>0.54820145106988838</v>
          </cell>
          <cell r="T35">
            <v>0.57380336884259475</v>
          </cell>
          <cell r="U35">
            <v>0.59795451127484767</v>
          </cell>
          <cell r="V35">
            <v>0.62073708896927293</v>
          </cell>
          <cell r="W35">
            <v>0.6422286539276808</v>
          </cell>
        </row>
        <row r="36">
          <cell r="A36" t="str">
            <v>Refrigeration</v>
          </cell>
          <cell r="B36" t="str">
            <v>Refrigerator - New</v>
          </cell>
          <cell r="C36" t="str">
            <v>LO1Slow</v>
          </cell>
          <cell r="D36">
            <v>2.5643970768378654E-3</v>
          </cell>
          <cell r="E36">
            <v>7.6904586297764643E-3</v>
          </cell>
          <cell r="F36">
            <v>1.6792013047419844E-2</v>
          </cell>
          <cell r="G36">
            <v>3.15969387774655E-2</v>
          </cell>
          <cell r="H36">
            <v>5.406874819795171E-2</v>
          </cell>
          <cell r="I36">
            <v>8.6253181011834101E-2</v>
          </cell>
          <cell r="J36">
            <v>0.1300328481838382</v>
          </cell>
          <cell r="K36">
            <v>0.18678710893858319</v>
          </cell>
          <cell r="L36">
            <v>0.2569823480072907</v>
          </cell>
          <cell r="M36">
            <v>0.33975920985004748</v>
          </cell>
          <cell r="N36">
            <v>0.43262946935754232</v>
          </cell>
          <cell r="O36">
            <v>0.53142594003645804</v>
          </cell>
          <cell r="P36">
            <v>0.63063487292644704</v>
          </cell>
          <cell r="Q36">
            <v>0.7241560234206913</v>
          </cell>
          <cell r="R36">
            <v>0.80638203131755359</v>
          </cell>
          <cell r="S36">
            <v>0.87331559734491926</v>
          </cell>
          <cell r="T36">
            <v>0.92334516248836807</v>
          </cell>
          <cell r="U36">
            <v>0.95737002770730018</v>
          </cell>
          <cell r="V36">
            <v>0.97821608704807483</v>
          </cell>
          <cell r="W36">
            <v>0.98821608704807484</v>
          </cell>
        </row>
        <row r="37">
          <cell r="A37" t="str">
            <v>Refrigeration</v>
          </cell>
          <cell r="B37" t="str">
            <v>Refrigerator - NR</v>
          </cell>
          <cell r="C37" t="str">
            <v>LO1Slow</v>
          </cell>
          <cell r="D37">
            <v>2.5643970768378654E-3</v>
          </cell>
          <cell r="E37">
            <v>7.6904586297764643E-3</v>
          </cell>
          <cell r="F37">
            <v>1.6792013047419844E-2</v>
          </cell>
          <cell r="G37">
            <v>3.15969387774655E-2</v>
          </cell>
          <cell r="H37">
            <v>5.406874819795171E-2</v>
          </cell>
          <cell r="I37">
            <v>8.6253181011834101E-2</v>
          </cell>
          <cell r="J37">
            <v>0.1300328481838382</v>
          </cell>
          <cell r="K37">
            <v>0.18678710893858319</v>
          </cell>
          <cell r="L37">
            <v>0.2569823480072907</v>
          </cell>
          <cell r="M37">
            <v>0.33975920985004748</v>
          </cell>
          <cell r="N37">
            <v>0.43262946935754232</v>
          </cell>
          <cell r="O37">
            <v>0.53142594003645804</v>
          </cell>
          <cell r="P37">
            <v>0.63063487292644704</v>
          </cell>
          <cell r="Q37">
            <v>0.7241560234206913</v>
          </cell>
          <cell r="R37">
            <v>0.80638203131755359</v>
          </cell>
          <cell r="S37">
            <v>0.87331559734491926</v>
          </cell>
          <cell r="T37">
            <v>0.92334516248836807</v>
          </cell>
          <cell r="U37">
            <v>0.95737002770730018</v>
          </cell>
          <cell r="V37">
            <v>0.97821608704807483</v>
          </cell>
          <cell r="W37">
            <v>0.98821608704807484</v>
          </cell>
        </row>
        <row r="38">
          <cell r="A38" t="str">
            <v>Refrigeration</v>
          </cell>
          <cell r="B38" t="str">
            <v>Freezer - New</v>
          </cell>
          <cell r="C38" t="str">
            <v>LO1Slow</v>
          </cell>
          <cell r="D38">
            <v>2.5643970768378654E-3</v>
          </cell>
          <cell r="E38">
            <v>7.6904586297764643E-3</v>
          </cell>
          <cell r="F38">
            <v>1.6792013047419844E-2</v>
          </cell>
          <cell r="G38">
            <v>3.15969387774655E-2</v>
          </cell>
          <cell r="H38">
            <v>5.406874819795171E-2</v>
          </cell>
          <cell r="I38">
            <v>8.6253181011834101E-2</v>
          </cell>
          <cell r="J38">
            <v>0.1300328481838382</v>
          </cell>
          <cell r="K38">
            <v>0.18678710893858319</v>
          </cell>
          <cell r="L38">
            <v>0.2569823480072907</v>
          </cell>
          <cell r="M38">
            <v>0.33975920985004748</v>
          </cell>
          <cell r="N38">
            <v>0.43262946935754232</v>
          </cell>
          <cell r="O38">
            <v>0.53142594003645804</v>
          </cell>
          <cell r="P38">
            <v>0.63063487292644704</v>
          </cell>
          <cell r="Q38">
            <v>0.7241560234206913</v>
          </cell>
          <cell r="R38">
            <v>0.80638203131755359</v>
          </cell>
          <cell r="S38">
            <v>0.87331559734491926</v>
          </cell>
          <cell r="T38">
            <v>0.92334516248836807</v>
          </cell>
          <cell r="U38">
            <v>0.95737002770730018</v>
          </cell>
          <cell r="V38">
            <v>0.97821608704807483</v>
          </cell>
          <cell r="W38">
            <v>0.98821608704807484</v>
          </cell>
        </row>
        <row r="39">
          <cell r="A39" t="str">
            <v>Refrigeration</v>
          </cell>
          <cell r="B39" t="str">
            <v>Freezer - NR</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row>
        <row r="40">
          <cell r="A40" t="str">
            <v>Water Heating</v>
          </cell>
          <cell r="B40" t="str">
            <v>Solar Water Heater - New</v>
          </cell>
          <cell r="C40" t="str">
            <v>LOMax60</v>
          </cell>
          <cell r="D40">
            <v>0.01</v>
          </cell>
          <cell r="E40">
            <v>2.98E-2</v>
          </cell>
          <cell r="F40">
            <v>5.8906E-2</v>
          </cell>
          <cell r="G40">
            <v>9.6549759999999998E-2</v>
          </cell>
          <cell r="H40">
            <v>0.14172227199999998</v>
          </cell>
          <cell r="I40">
            <v>0.19035800991999999</v>
          </cell>
          <cell r="J40">
            <v>0.2362377226912</v>
          </cell>
          <cell r="K40">
            <v>0.279517585072032</v>
          </cell>
          <cell r="L40">
            <v>0.32034492191795017</v>
          </cell>
          <cell r="M40">
            <v>0.35885870967593297</v>
          </cell>
          <cell r="N40">
            <v>0.39519004946096342</v>
          </cell>
          <cell r="O40">
            <v>0.42946261332484215</v>
          </cell>
          <cell r="P40">
            <v>0.46179306523643443</v>
          </cell>
          <cell r="Q40">
            <v>0.49229145820636983</v>
          </cell>
          <cell r="R40">
            <v>0.5210616089080089</v>
          </cell>
          <cell r="S40">
            <v>0.54820145106988838</v>
          </cell>
          <cell r="T40">
            <v>0.57380336884259475</v>
          </cell>
          <cell r="U40">
            <v>0.59795451127484767</v>
          </cell>
          <cell r="V40">
            <v>0.62073708896927293</v>
          </cell>
          <cell r="W40">
            <v>0.6422286539276808</v>
          </cell>
        </row>
        <row r="41">
          <cell r="A41" t="str">
            <v>Water Heating</v>
          </cell>
          <cell r="B41" t="str">
            <v>Solar Water Heater - NR</v>
          </cell>
          <cell r="C41" t="str">
            <v>LOMax60</v>
          </cell>
          <cell r="D41">
            <v>0.01</v>
          </cell>
          <cell r="E41">
            <v>2.98E-2</v>
          </cell>
          <cell r="F41">
            <v>5.8906E-2</v>
          </cell>
          <cell r="G41">
            <v>9.6549759999999998E-2</v>
          </cell>
          <cell r="H41">
            <v>0.14172227199999998</v>
          </cell>
          <cell r="I41">
            <v>0.19035800991999999</v>
          </cell>
          <cell r="J41">
            <v>0.2362377226912</v>
          </cell>
          <cell r="K41">
            <v>0.279517585072032</v>
          </cell>
          <cell r="L41">
            <v>0.32034492191795017</v>
          </cell>
          <cell r="M41">
            <v>0.35885870967593297</v>
          </cell>
          <cell r="N41">
            <v>0.39519004946096342</v>
          </cell>
          <cell r="O41">
            <v>0.42946261332484215</v>
          </cell>
          <cell r="P41">
            <v>0.46179306523643443</v>
          </cell>
          <cell r="Q41">
            <v>0.49229145820636983</v>
          </cell>
          <cell r="R41">
            <v>0.5210616089080089</v>
          </cell>
          <cell r="S41">
            <v>0.54820145106988838</v>
          </cell>
          <cell r="T41">
            <v>0.57380336884259475</v>
          </cell>
          <cell r="U41">
            <v>0.59795451127484767</v>
          </cell>
          <cell r="V41">
            <v>0.62073708896927293</v>
          </cell>
          <cell r="W41">
            <v>0.6422286539276808</v>
          </cell>
        </row>
        <row r="42">
          <cell r="A42" t="str">
            <v>Water Heating</v>
          </cell>
          <cell r="B42" t="str">
            <v>Solar Water Heater - Retro</v>
          </cell>
          <cell r="C42" t="str">
            <v>RetroMax60</v>
          </cell>
          <cell r="D42">
            <v>0.01</v>
          </cell>
          <cell r="E42">
            <v>1.9799999999999998E-2</v>
          </cell>
          <cell r="F42">
            <v>2.9106E-2</v>
          </cell>
          <cell r="G42">
            <v>3.7643759999999998E-2</v>
          </cell>
          <cell r="H42">
            <v>4.5172511999999984E-2</v>
          </cell>
          <cell r="I42">
            <v>4.8635737920000005E-2</v>
          </cell>
          <cell r="J42">
            <v>4.587971277120001E-2</v>
          </cell>
          <cell r="K42">
            <v>4.3279862380832007E-2</v>
          </cell>
          <cell r="L42">
            <v>4.0827336845918161E-2</v>
          </cell>
          <cell r="M42">
            <v>3.8513787757982809E-2</v>
          </cell>
          <cell r="N42">
            <v>3.6331339785030448E-2</v>
          </cell>
          <cell r="O42">
            <v>3.4272563863878724E-2</v>
          </cell>
          <cell r="P42">
            <v>3.2330451911592284E-2</v>
          </cell>
          <cell r="Q42">
            <v>3.0498392969935395E-2</v>
          </cell>
          <cell r="R42">
            <v>2.8770150701639075E-2</v>
          </cell>
          <cell r="S42">
            <v>2.7139842161879479E-2</v>
          </cell>
          <cell r="T42">
            <v>2.5601917772706373E-2</v>
          </cell>
          <cell r="U42">
            <v>2.4151142432252914E-2</v>
          </cell>
          <cell r="V42">
            <v>2.2782577694425266E-2</v>
          </cell>
          <cell r="W42">
            <v>2.1491564958407872E-2</v>
          </cell>
        </row>
        <row r="43">
          <cell r="A43">
            <v>0</v>
          </cell>
          <cell r="B43">
            <v>0</v>
          </cell>
          <cell r="C43" t="str">
            <v>LOMax60</v>
          </cell>
          <cell r="D43">
            <v>0.01</v>
          </cell>
          <cell r="E43">
            <v>2.98E-2</v>
          </cell>
          <cell r="F43">
            <v>5.8906E-2</v>
          </cell>
          <cell r="G43">
            <v>9.6549759999999998E-2</v>
          </cell>
          <cell r="H43">
            <v>0.14172227199999998</v>
          </cell>
          <cell r="I43">
            <v>0.19035800991999999</v>
          </cell>
          <cell r="J43">
            <v>0.2362377226912</v>
          </cell>
          <cell r="K43">
            <v>0.279517585072032</v>
          </cell>
          <cell r="L43">
            <v>0.32034492191795017</v>
          </cell>
          <cell r="M43">
            <v>0.35885870967593297</v>
          </cell>
          <cell r="N43">
            <v>0.39519004946096342</v>
          </cell>
          <cell r="O43">
            <v>0.42946261332484215</v>
          </cell>
          <cell r="P43">
            <v>0.46179306523643443</v>
          </cell>
          <cell r="Q43">
            <v>0.49229145820636983</v>
          </cell>
          <cell r="R43">
            <v>0.5210616089080089</v>
          </cell>
          <cell r="S43">
            <v>0.54820145106988838</v>
          </cell>
          <cell r="T43">
            <v>0.57380336884259475</v>
          </cell>
          <cell r="U43">
            <v>0.59795451127484767</v>
          </cell>
          <cell r="V43">
            <v>0.62073708896927293</v>
          </cell>
          <cell r="W43">
            <v>0.6422286539276808</v>
          </cell>
        </row>
        <row r="44">
          <cell r="A44">
            <v>0</v>
          </cell>
          <cell r="B44">
            <v>0</v>
          </cell>
          <cell r="C44" t="str">
            <v>RetroMax60</v>
          </cell>
          <cell r="D44">
            <v>0.01</v>
          </cell>
          <cell r="E44">
            <v>1.9799999999999998E-2</v>
          </cell>
          <cell r="F44">
            <v>2.9106E-2</v>
          </cell>
          <cell r="G44">
            <v>3.7643759999999998E-2</v>
          </cell>
          <cell r="H44">
            <v>4.5172511999999984E-2</v>
          </cell>
          <cell r="I44">
            <v>4.8635737920000005E-2</v>
          </cell>
          <cell r="J44">
            <v>4.587971277120001E-2</v>
          </cell>
          <cell r="K44">
            <v>4.3279862380832007E-2</v>
          </cell>
          <cell r="L44">
            <v>4.0827336845918161E-2</v>
          </cell>
          <cell r="M44">
            <v>3.8513787757982809E-2</v>
          </cell>
          <cell r="N44">
            <v>3.6331339785030448E-2</v>
          </cell>
          <cell r="O44">
            <v>3.4272563863878724E-2</v>
          </cell>
          <cell r="P44">
            <v>3.2330451911592284E-2</v>
          </cell>
          <cell r="Q44">
            <v>3.0498392969935395E-2</v>
          </cell>
          <cell r="R44">
            <v>2.8770150701639075E-2</v>
          </cell>
          <cell r="S44">
            <v>2.7139842161879479E-2</v>
          </cell>
          <cell r="T44">
            <v>2.5601917772706373E-2</v>
          </cell>
          <cell r="U44">
            <v>2.4151142432252914E-2</v>
          </cell>
          <cell r="V44">
            <v>2.2782577694425266E-2</v>
          </cell>
          <cell r="W44">
            <v>2.1491564958407872E-2</v>
          </cell>
        </row>
        <row r="45">
          <cell r="A45" t="str">
            <v>Food Preparation</v>
          </cell>
          <cell r="B45" t="str">
            <v>Electric Oven - New</v>
          </cell>
          <cell r="C45" t="str">
            <v>LO20Fast</v>
          </cell>
          <cell r="D45">
            <v>0.22119921692859512</v>
          </cell>
          <cell r="E45">
            <v>0.37624232795148943</v>
          </cell>
          <cell r="F45">
            <v>0.48357361352878442</v>
          </cell>
          <cell r="G45">
            <v>0.56716330278444227</v>
          </cell>
          <cell r="H45">
            <v>0.64040048266456928</v>
          </cell>
          <cell r="I45">
            <v>0.70377511937632964</v>
          </cell>
          <cell r="J45">
            <v>0.7580669577441127</v>
          </cell>
          <cell r="K45">
            <v>0.80419335000071168</v>
          </cell>
          <cell r="L45">
            <v>0.84311022627788457</v>
          </cell>
          <cell r="M45">
            <v>0.87575014259103623</v>
          </cell>
          <cell r="N45">
            <v>0.90298584871682319</v>
          </cell>
          <cell r="O45">
            <v>0.92419703797508856</v>
          </cell>
          <cell r="P45">
            <v>0.94071632877930145</v>
          </cell>
          <cell r="Q45">
            <v>0.95358156539340677</v>
          </cell>
          <cell r="R45">
            <v>0.96360102174287088</v>
          </cell>
          <cell r="S45">
            <v>0.97140418219378311</v>
          </cell>
          <cell r="T45">
            <v>0.97748128966338554</v>
          </cell>
          <cell r="U45">
            <v>0.98221414571952104</v>
          </cell>
          <cell r="V45">
            <v>0.98590009772220355</v>
          </cell>
          <cell r="W45">
            <v>0.98877072002825628</v>
          </cell>
        </row>
        <row r="46">
          <cell r="A46" t="str">
            <v>Food Preparation</v>
          </cell>
          <cell r="B46" t="str">
            <v>Electric Oven - NR</v>
          </cell>
          <cell r="C46" t="str">
            <v>LO20Fast</v>
          </cell>
          <cell r="D46">
            <v>0.22119921692859512</v>
          </cell>
          <cell r="E46">
            <v>0.37624232795148943</v>
          </cell>
          <cell r="F46">
            <v>0.48357361352878442</v>
          </cell>
          <cell r="G46">
            <v>0.56716330278444227</v>
          </cell>
          <cell r="H46">
            <v>0.64040048266456928</v>
          </cell>
          <cell r="I46">
            <v>0.70377511937632964</v>
          </cell>
          <cell r="J46">
            <v>0.7580669577441127</v>
          </cell>
          <cell r="K46">
            <v>0.80419335000071168</v>
          </cell>
          <cell r="L46">
            <v>0.84311022627788457</v>
          </cell>
          <cell r="M46">
            <v>0.87575014259103623</v>
          </cell>
          <cell r="N46">
            <v>0.90298584871682319</v>
          </cell>
          <cell r="O46">
            <v>0.92419703797508856</v>
          </cell>
          <cell r="P46">
            <v>0.94071632877930145</v>
          </cell>
          <cell r="Q46">
            <v>0.95358156539340677</v>
          </cell>
          <cell r="R46">
            <v>0.96360102174287088</v>
          </cell>
          <cell r="S46">
            <v>0.97140418219378311</v>
          </cell>
          <cell r="T46">
            <v>0.97748128966338554</v>
          </cell>
          <cell r="U46">
            <v>0.98221414571952104</v>
          </cell>
          <cell r="V46">
            <v>0.98590009772220355</v>
          </cell>
          <cell r="W46">
            <v>0.98877072002825628</v>
          </cell>
        </row>
        <row r="47">
          <cell r="A47" t="str">
            <v>Food Preparation</v>
          </cell>
          <cell r="B47" t="str">
            <v>Microwave - New</v>
          </cell>
          <cell r="C47" t="str">
            <v>LO12Med</v>
          </cell>
          <cell r="D47">
            <v>0.10937459468255628</v>
          </cell>
          <cell r="E47">
            <v>0.21874918936511256</v>
          </cell>
          <cell r="F47">
            <v>0.32812378404766884</v>
          </cell>
          <cell r="G47">
            <v>0.43749837873022512</v>
          </cell>
          <cell r="H47">
            <v>0.5468729734127814</v>
          </cell>
          <cell r="I47">
            <v>0.64531010862708205</v>
          </cell>
          <cell r="J47">
            <v>0.7240598167985226</v>
          </cell>
          <cell r="K47">
            <v>0.78705958333567505</v>
          </cell>
          <cell r="L47">
            <v>0.83745939656539703</v>
          </cell>
          <cell r="M47">
            <v>0.87777924714917455</v>
          </cell>
          <cell r="N47">
            <v>0.91003512761619654</v>
          </cell>
          <cell r="O47">
            <v>0.93583983198981413</v>
          </cell>
          <cell r="P47">
            <v>0.9564835954887082</v>
          </cell>
          <cell r="Q47">
            <v>0.97299860628782353</v>
          </cell>
          <cell r="R47">
            <v>0.9862106149271157</v>
          </cell>
          <cell r="S47">
            <v>0.99678022183854953</v>
          </cell>
          <cell r="T47">
            <v>0.99685231466234414</v>
          </cell>
          <cell r="U47">
            <v>0.99687806209941365</v>
          </cell>
          <cell r="V47">
            <v>0.99688683963477831</v>
          </cell>
          <cell r="W47">
            <v>0.99688970187457115</v>
          </cell>
        </row>
        <row r="48">
          <cell r="A48" t="str">
            <v>Food Preparation</v>
          </cell>
          <cell r="B48" t="str">
            <v>Microwave - NR</v>
          </cell>
          <cell r="C48" t="str">
            <v>LO12Med</v>
          </cell>
          <cell r="D48">
            <v>0.10937459468255628</v>
          </cell>
          <cell r="E48">
            <v>0.21874918936511256</v>
          </cell>
          <cell r="F48">
            <v>0.32812378404766884</v>
          </cell>
          <cell r="G48">
            <v>0.43749837873022512</v>
          </cell>
          <cell r="H48">
            <v>0.5468729734127814</v>
          </cell>
          <cell r="I48">
            <v>0.64531010862708205</v>
          </cell>
          <cell r="J48">
            <v>0.7240598167985226</v>
          </cell>
          <cell r="K48">
            <v>0.78705958333567505</v>
          </cell>
          <cell r="L48">
            <v>0.83745939656539703</v>
          </cell>
          <cell r="M48">
            <v>0.87777924714917455</v>
          </cell>
          <cell r="N48">
            <v>0.91003512761619654</v>
          </cell>
          <cell r="O48">
            <v>0.93583983198981413</v>
          </cell>
          <cell r="P48">
            <v>0.9564835954887082</v>
          </cell>
          <cell r="Q48">
            <v>0.97299860628782353</v>
          </cell>
          <cell r="R48">
            <v>0.9862106149271157</v>
          </cell>
          <cell r="S48">
            <v>0.99678022183854953</v>
          </cell>
          <cell r="T48">
            <v>0.99685231466234414</v>
          </cell>
          <cell r="U48">
            <v>0.99687806209941365</v>
          </cell>
          <cell r="V48">
            <v>0.99688683963477831</v>
          </cell>
          <cell r="W48">
            <v>0.99688970187457115</v>
          </cell>
        </row>
        <row r="49">
          <cell r="A49" t="str">
            <v>Electronics</v>
          </cell>
          <cell r="B49" t="str">
            <v>Monitor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row>
        <row r="50">
          <cell r="A50" t="str">
            <v>Electronics</v>
          </cell>
          <cell r="B50" t="str">
            <v>Monitor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row>
        <row r="51">
          <cell r="A51" t="str">
            <v>Electronics</v>
          </cell>
          <cell r="B51" t="str">
            <v>Desktop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row>
        <row r="52">
          <cell r="A52" t="str">
            <v>Electronics</v>
          </cell>
          <cell r="B52" t="str">
            <v>Desktop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row>
        <row r="53">
          <cell r="A53" t="str">
            <v>Electronics</v>
          </cell>
          <cell r="B53" t="str">
            <v>Laptop - New</v>
          </cell>
          <cell r="C53" t="str">
            <v>LO50Fast</v>
          </cell>
          <cell r="D53">
            <v>0.45</v>
          </cell>
          <cell r="E53">
            <v>0.66</v>
          </cell>
          <cell r="F53">
            <v>0.8</v>
          </cell>
          <cell r="G53">
            <v>0.89</v>
          </cell>
          <cell r="H53">
            <v>0.94954036260972652</v>
          </cell>
          <cell r="I53">
            <v>0.97931054391458994</v>
          </cell>
          <cell r="J53">
            <v>0.99254173560564019</v>
          </cell>
          <cell r="K53">
            <v>0.99783421228206048</v>
          </cell>
          <cell r="L53">
            <v>0.99975874925530417</v>
          </cell>
          <cell r="M53">
            <v>1.0004002615797187</v>
          </cell>
          <cell r="N53">
            <v>1.0005976499872309</v>
          </cell>
          <cell r="O53">
            <v>1.0006540466750915</v>
          </cell>
          <cell r="P53">
            <v>1.0006690857918545</v>
          </cell>
          <cell r="Q53">
            <v>1.000672845571045</v>
          </cell>
          <cell r="R53">
            <v>1.0006737302249724</v>
          </cell>
          <cell r="S53">
            <v>1.0006739268147338</v>
          </cell>
          <cell r="T53">
            <v>1.0006739682020522</v>
          </cell>
          <cell r="U53">
            <v>1.0006739764795158</v>
          </cell>
          <cell r="V53">
            <v>1.0006739780561755</v>
          </cell>
          <cell r="W53">
            <v>1.0006739783428409</v>
          </cell>
        </row>
        <row r="54">
          <cell r="A54" t="str">
            <v>Electronics</v>
          </cell>
          <cell r="B54" t="str">
            <v>Laptop - NR</v>
          </cell>
          <cell r="C54" t="str">
            <v>LO50Fast</v>
          </cell>
          <cell r="D54">
            <v>0.45</v>
          </cell>
          <cell r="E54">
            <v>0.66</v>
          </cell>
          <cell r="F54">
            <v>0.8</v>
          </cell>
          <cell r="G54">
            <v>0.89</v>
          </cell>
          <cell r="H54">
            <v>0.94954036260972652</v>
          </cell>
          <cell r="I54">
            <v>0.97931054391458994</v>
          </cell>
          <cell r="J54">
            <v>0.99254173560564019</v>
          </cell>
          <cell r="K54">
            <v>0.99783421228206048</v>
          </cell>
          <cell r="L54">
            <v>0.99975874925530417</v>
          </cell>
          <cell r="M54">
            <v>1.0004002615797187</v>
          </cell>
          <cell r="N54">
            <v>1.0005976499872309</v>
          </cell>
          <cell r="O54">
            <v>1.0006540466750915</v>
          </cell>
          <cell r="P54">
            <v>1.0006690857918545</v>
          </cell>
          <cell r="Q54">
            <v>1.000672845571045</v>
          </cell>
          <cell r="R54">
            <v>1.0006737302249724</v>
          </cell>
          <cell r="S54">
            <v>1.0006739268147338</v>
          </cell>
          <cell r="T54">
            <v>1.0006739682020522</v>
          </cell>
          <cell r="U54">
            <v>1.0006739764795158</v>
          </cell>
          <cell r="V54">
            <v>1.0006739780561755</v>
          </cell>
          <cell r="W54">
            <v>1.0006739783428409</v>
          </cell>
        </row>
        <row r="55">
          <cell r="A55" t="str">
            <v>Electronics</v>
          </cell>
          <cell r="B55" t="str">
            <v>Computer - New</v>
          </cell>
          <cell r="C55" t="str">
            <v>LO50Fast</v>
          </cell>
          <cell r="D55">
            <v>0.45</v>
          </cell>
          <cell r="E55">
            <v>0.66</v>
          </cell>
          <cell r="F55">
            <v>0.8</v>
          </cell>
          <cell r="G55">
            <v>0.89</v>
          </cell>
          <cell r="H55">
            <v>0.94954036260972652</v>
          </cell>
          <cell r="I55">
            <v>0.97931054391458994</v>
          </cell>
          <cell r="J55">
            <v>0.99254173560564019</v>
          </cell>
          <cell r="K55">
            <v>0.99783421228206048</v>
          </cell>
          <cell r="L55">
            <v>0.99975874925530417</v>
          </cell>
          <cell r="M55">
            <v>1.0004002615797187</v>
          </cell>
          <cell r="N55">
            <v>1.0005976499872309</v>
          </cell>
          <cell r="O55">
            <v>1.0006540466750915</v>
          </cell>
          <cell r="P55">
            <v>1.0006690857918545</v>
          </cell>
          <cell r="Q55">
            <v>1.000672845571045</v>
          </cell>
          <cell r="R55">
            <v>1.0006737302249724</v>
          </cell>
          <cell r="S55">
            <v>1.0006739268147338</v>
          </cell>
          <cell r="T55">
            <v>1.0006739682020522</v>
          </cell>
          <cell r="U55">
            <v>1.0006739764795158</v>
          </cell>
          <cell r="V55">
            <v>1.0006739780561755</v>
          </cell>
          <cell r="W55">
            <v>1.0006739783428409</v>
          </cell>
        </row>
        <row r="56">
          <cell r="A56" t="str">
            <v>Electronics</v>
          </cell>
          <cell r="B56" t="str">
            <v>Computer - NR</v>
          </cell>
          <cell r="C56" t="str">
            <v>LO50Fast</v>
          </cell>
          <cell r="D56">
            <v>0.45</v>
          </cell>
          <cell r="E56">
            <v>0.66</v>
          </cell>
          <cell r="F56">
            <v>0.8</v>
          </cell>
          <cell r="G56">
            <v>0.89</v>
          </cell>
          <cell r="H56">
            <v>0.94954036260972652</v>
          </cell>
          <cell r="I56">
            <v>0.97931054391458994</v>
          </cell>
          <cell r="J56">
            <v>0.99254173560564019</v>
          </cell>
          <cell r="K56">
            <v>0.99783421228206048</v>
          </cell>
          <cell r="L56">
            <v>0.99975874925530417</v>
          </cell>
          <cell r="M56">
            <v>1.0004002615797187</v>
          </cell>
          <cell r="N56">
            <v>1.0005976499872309</v>
          </cell>
          <cell r="O56">
            <v>1.0006540466750915</v>
          </cell>
          <cell r="P56">
            <v>1.0006690857918545</v>
          </cell>
          <cell r="Q56">
            <v>1.000672845571045</v>
          </cell>
          <cell r="R56">
            <v>1.0006737302249724</v>
          </cell>
          <cell r="S56">
            <v>1.0006739268147338</v>
          </cell>
          <cell r="T56">
            <v>1.0006739682020522</v>
          </cell>
          <cell r="U56">
            <v>1.0006739764795158</v>
          </cell>
          <cell r="V56">
            <v>1.0006739780561755</v>
          </cell>
          <cell r="W56">
            <v>1.0006739783428409</v>
          </cell>
        </row>
        <row r="57">
          <cell r="A57" t="str">
            <v>HVAC</v>
          </cell>
          <cell r="B57" t="str">
            <v>ASHP - New</v>
          </cell>
          <cell r="C57" t="str">
            <v>LO5Med</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row>
        <row r="58">
          <cell r="A58" t="str">
            <v>HVAC</v>
          </cell>
          <cell r="B58" t="str">
            <v>ASHP - NR</v>
          </cell>
          <cell r="C58" t="str">
            <v>LO5Med</v>
          </cell>
          <cell r="D58">
            <v>4.2999999999999997E-2</v>
          </cell>
          <cell r="E58">
            <v>9.5797142280278316E-2</v>
          </cell>
          <cell r="F58">
            <v>0.16040539374775648</v>
          </cell>
          <cell r="G58">
            <v>0.23540539374775649</v>
          </cell>
          <cell r="H58">
            <v>0.32095239121809005</v>
          </cell>
          <cell r="I58">
            <v>0.42096711425629652</v>
          </cell>
          <cell r="J58">
            <v>0.53068481860864725</v>
          </cell>
          <cell r="K58">
            <v>0.642769203728351</v>
          </cell>
          <cell r="L58">
            <v>0.74839528535557953</v>
          </cell>
          <cell r="M58">
            <v>0.83918984935345187</v>
          </cell>
          <cell r="N58">
            <v>0.90945051634530116</v>
          </cell>
          <cell r="O58">
            <v>0.9576688767502457</v>
          </cell>
          <cell r="P58">
            <v>0.9865231113648858</v>
          </cell>
          <cell r="Q58">
            <v>1.0012970762896924</v>
          </cell>
          <cell r="R58">
            <v>1.0076356106578106</v>
          </cell>
          <cell r="S58">
            <v>1.0098624683774413</v>
          </cell>
          <cell r="T58">
            <v>1.0104871783970797</v>
          </cell>
          <cell r="U58">
            <v>1.010623336815976</v>
          </cell>
          <cell r="V58">
            <v>1.0106457174525985</v>
          </cell>
          <cell r="W58">
            <v>1.0106484038909742</v>
          </cell>
        </row>
        <row r="59">
          <cell r="A59" t="str">
            <v>HVAC</v>
          </cell>
          <cell r="B59" t="str">
            <v>HP - Retro</v>
          </cell>
          <cell r="C59" t="str">
            <v>Retro12Med</v>
          </cell>
          <cell r="D59">
            <v>0.10937459468255628</v>
          </cell>
          <cell r="E59">
            <v>0.10937459468255628</v>
          </cell>
          <cell r="F59">
            <v>0.10937459468255628</v>
          </cell>
          <cell r="G59">
            <v>0.10937459468255628</v>
          </cell>
          <cell r="H59">
            <v>0.10937459468255628</v>
          </cell>
          <cell r="I59">
            <v>9.8437135214300656E-2</v>
          </cell>
          <cell r="J59">
            <v>7.874970817144053E-2</v>
          </cell>
          <cell r="K59">
            <v>6.2999766537152418E-2</v>
          </cell>
          <cell r="L59">
            <v>5.0399813229721938E-2</v>
          </cell>
          <cell r="M59">
            <v>4.0319850583777551E-2</v>
          </cell>
          <cell r="N59">
            <v>3.225588046702204E-2</v>
          </cell>
          <cell r="O59">
            <v>2.5804704373617631E-2</v>
          </cell>
          <cell r="P59">
            <v>2.0643763498894106E-2</v>
          </cell>
          <cell r="Q59">
            <v>1.6515010799115284E-2</v>
          </cell>
          <cell r="R59">
            <v>1.3212008639292228E-2</v>
          </cell>
          <cell r="S59">
            <v>1.0569606911433781E-2</v>
          </cell>
          <cell r="T59">
            <v>7.2092823794611682E-5</v>
          </cell>
          <cell r="U59">
            <v>2.5747437069512102E-5</v>
          </cell>
          <cell r="V59">
            <v>8.7775353646568632E-6</v>
          </cell>
          <cell r="W59">
            <v>2.8622397928446119E-6</v>
          </cell>
        </row>
        <row r="60">
          <cell r="A60" t="str">
            <v>HVAC</v>
          </cell>
          <cell r="B60" t="str">
            <v>DHP - New</v>
          </cell>
          <cell r="C60" t="str">
            <v>LO5Med</v>
          </cell>
          <cell r="D60">
            <v>4.2999999999999997E-2</v>
          </cell>
          <cell r="E60">
            <v>9.5797142280278316E-2</v>
          </cell>
          <cell r="F60">
            <v>0.16040539374775648</v>
          </cell>
          <cell r="G60">
            <v>0.23540539374775649</v>
          </cell>
          <cell r="H60">
            <v>0.32095239121809005</v>
          </cell>
          <cell r="I60">
            <v>0.42096711425629652</v>
          </cell>
          <cell r="J60">
            <v>0.53068481860864725</v>
          </cell>
          <cell r="K60">
            <v>0.642769203728351</v>
          </cell>
          <cell r="L60">
            <v>0.74839528535557953</v>
          </cell>
          <cell r="M60">
            <v>0.83918984935345187</v>
          </cell>
          <cell r="N60">
            <v>0.90945051634530116</v>
          </cell>
          <cell r="O60">
            <v>0.9576688767502457</v>
          </cell>
          <cell r="P60">
            <v>0.9865231113648858</v>
          </cell>
          <cell r="Q60">
            <v>1.0012970762896924</v>
          </cell>
          <cell r="R60">
            <v>1.0076356106578106</v>
          </cell>
          <cell r="S60">
            <v>1.0098624683774413</v>
          </cell>
          <cell r="T60">
            <v>1.0104871783970797</v>
          </cell>
          <cell r="U60">
            <v>1.010623336815976</v>
          </cell>
          <cell r="V60">
            <v>1.0106457174525985</v>
          </cell>
          <cell r="W60">
            <v>1.0106484038909742</v>
          </cell>
        </row>
        <row r="61">
          <cell r="A61" t="str">
            <v>HVAC</v>
          </cell>
          <cell r="B61" t="str">
            <v>DHP - NR</v>
          </cell>
          <cell r="C61" t="str">
            <v>LO5Med</v>
          </cell>
          <cell r="D61">
            <v>4.2999999999999997E-2</v>
          </cell>
          <cell r="E61">
            <v>9.5797142280278316E-2</v>
          </cell>
          <cell r="F61">
            <v>0.16040539374775648</v>
          </cell>
          <cell r="G61">
            <v>0.23540539374775649</v>
          </cell>
          <cell r="H61">
            <v>0.32095239121809005</v>
          </cell>
          <cell r="I61">
            <v>0.42096711425629652</v>
          </cell>
          <cell r="J61">
            <v>0.53068481860864725</v>
          </cell>
          <cell r="K61">
            <v>0.642769203728351</v>
          </cell>
          <cell r="L61">
            <v>0.74839528535557953</v>
          </cell>
          <cell r="M61">
            <v>0.83918984935345187</v>
          </cell>
          <cell r="N61">
            <v>0.90945051634530116</v>
          </cell>
          <cell r="O61">
            <v>0.9576688767502457</v>
          </cell>
          <cell r="P61">
            <v>0.9865231113648858</v>
          </cell>
          <cell r="Q61">
            <v>1.0012970762896924</v>
          </cell>
          <cell r="R61">
            <v>1.0076356106578106</v>
          </cell>
          <cell r="S61">
            <v>1.0098624683774413</v>
          </cell>
          <cell r="T61">
            <v>1.0104871783970797</v>
          </cell>
          <cell r="U61">
            <v>1.010623336815976</v>
          </cell>
          <cell r="V61">
            <v>1.0106457174525985</v>
          </cell>
          <cell r="W61">
            <v>1.0106484038909742</v>
          </cell>
        </row>
        <row r="62">
          <cell r="A62" t="str">
            <v>HVAC</v>
          </cell>
          <cell r="B62" t="str">
            <v>DHP - Retro</v>
          </cell>
          <cell r="C62" t="str">
            <v>Retro5Med</v>
          </cell>
          <cell r="D62">
            <v>4.2999999999999997E-2</v>
          </cell>
          <cell r="E62">
            <v>5.279714228027832E-2</v>
          </cell>
          <cell r="F62">
            <v>6.4608251467478173E-2</v>
          </cell>
          <cell r="G62">
            <v>7.4999999999999997E-2</v>
          </cell>
          <cell r="H62">
            <v>8.5546997470333563E-2</v>
          </cell>
          <cell r="I62">
            <v>0.10001472303820647</v>
          </cell>
          <cell r="J62">
            <v>0.10971770435235073</v>
          </cell>
          <cell r="K62">
            <v>0.11208438511970376</v>
          </cell>
          <cell r="L62">
            <v>0.10562608162722853</v>
          </cell>
          <cell r="M62">
            <v>9.0794563997872335E-2</v>
          </cell>
          <cell r="N62">
            <v>7.0260666991849297E-2</v>
          </cell>
          <cell r="O62">
            <v>4.8218360404944538E-2</v>
          </cell>
          <cell r="P62">
            <v>2.8854234614640095E-2</v>
          </cell>
          <cell r="Q62">
            <v>1.4773964924806759E-2</v>
          </cell>
          <cell r="R62">
            <v>6.3385343681182649E-3</v>
          </cell>
          <cell r="S62">
            <v>2.2268577196306039E-3</v>
          </cell>
          <cell r="T62">
            <v>6.2471001963848583E-4</v>
          </cell>
          <cell r="U62">
            <v>1.3615841889635938E-4</v>
          </cell>
          <cell r="V62">
            <v>2.2380636622298944E-5</v>
          </cell>
          <cell r="W62">
            <v>2.68643837586513E-6</v>
          </cell>
        </row>
        <row r="63">
          <cell r="A63" t="str">
            <v>HVAC</v>
          </cell>
          <cell r="B63" t="str">
            <v>Duct Sealing - New</v>
          </cell>
          <cell r="C63" t="str">
            <v>LO12Med</v>
          </cell>
          <cell r="D63">
            <v>0.10937459468255628</v>
          </cell>
          <cell r="E63">
            <v>0.21874918936511256</v>
          </cell>
          <cell r="F63">
            <v>0.32812378404766884</v>
          </cell>
          <cell r="G63">
            <v>0.43749837873022512</v>
          </cell>
          <cell r="H63">
            <v>0.5468729734127814</v>
          </cell>
          <cell r="I63">
            <v>0.64531010862708205</v>
          </cell>
          <cell r="J63">
            <v>0.7240598167985226</v>
          </cell>
          <cell r="K63">
            <v>0.78705958333567505</v>
          </cell>
          <cell r="L63">
            <v>0.83745939656539703</v>
          </cell>
          <cell r="M63">
            <v>0.87777924714917455</v>
          </cell>
          <cell r="N63">
            <v>0.91003512761619654</v>
          </cell>
          <cell r="O63">
            <v>0.93583983198981413</v>
          </cell>
          <cell r="P63">
            <v>0.9564835954887082</v>
          </cell>
          <cell r="Q63">
            <v>0.97299860628782353</v>
          </cell>
          <cell r="R63">
            <v>0.9862106149271157</v>
          </cell>
          <cell r="S63">
            <v>0.99678022183854953</v>
          </cell>
          <cell r="T63">
            <v>0.99685231466234414</v>
          </cell>
          <cell r="U63">
            <v>0.99687806209941365</v>
          </cell>
          <cell r="V63">
            <v>0.99688683963477831</v>
          </cell>
          <cell r="W63">
            <v>0.99688970187457115</v>
          </cell>
        </row>
        <row r="64">
          <cell r="A64" t="str">
            <v>HVAC</v>
          </cell>
          <cell r="B64" t="str">
            <v>Duct Sealing - Retro</v>
          </cell>
          <cell r="C64" t="str">
            <v>Retro12Med</v>
          </cell>
          <cell r="D64">
            <v>0.10937459468255628</v>
          </cell>
          <cell r="E64">
            <v>0.10937459468255628</v>
          </cell>
          <cell r="F64">
            <v>0.10937459468255628</v>
          </cell>
          <cell r="G64">
            <v>0.10937459468255628</v>
          </cell>
          <cell r="H64">
            <v>0.10937459468255628</v>
          </cell>
          <cell r="I64">
            <v>9.8437135214300656E-2</v>
          </cell>
          <cell r="J64">
            <v>7.874970817144053E-2</v>
          </cell>
          <cell r="K64">
            <v>6.2999766537152418E-2</v>
          </cell>
          <cell r="L64">
            <v>5.0399813229721938E-2</v>
          </cell>
          <cell r="M64">
            <v>4.0319850583777551E-2</v>
          </cell>
          <cell r="N64">
            <v>3.225588046702204E-2</v>
          </cell>
          <cell r="O64">
            <v>2.5804704373617631E-2</v>
          </cell>
          <cell r="P64">
            <v>2.0643763498894106E-2</v>
          </cell>
          <cell r="Q64">
            <v>1.6515010799115284E-2</v>
          </cell>
          <cell r="R64">
            <v>1.3212008639292228E-2</v>
          </cell>
          <cell r="S64">
            <v>1.0569606911433781E-2</v>
          </cell>
          <cell r="T64">
            <v>7.2092823794611682E-5</v>
          </cell>
          <cell r="U64">
            <v>2.5747437069512102E-5</v>
          </cell>
          <cell r="V64">
            <v>8.7775353646568632E-6</v>
          </cell>
          <cell r="W64">
            <v>2.8622397928446119E-6</v>
          </cell>
        </row>
        <row r="65">
          <cell r="A65" t="str">
            <v>HVAC</v>
          </cell>
          <cell r="B65" t="str">
            <v>WIFI enabled tstats - New</v>
          </cell>
          <cell r="C65" t="str">
            <v>LO5Med</v>
          </cell>
          <cell r="D65">
            <v>4.2999999999999997E-2</v>
          </cell>
          <cell r="E65">
            <v>9.5797142280278316E-2</v>
          </cell>
          <cell r="F65">
            <v>0.16040539374775648</v>
          </cell>
          <cell r="G65">
            <v>0.23540539374775649</v>
          </cell>
          <cell r="H65">
            <v>0.32095239121809005</v>
          </cell>
          <cell r="I65">
            <v>0.42096711425629652</v>
          </cell>
          <cell r="J65">
            <v>0.53068481860864725</v>
          </cell>
          <cell r="K65">
            <v>0.642769203728351</v>
          </cell>
          <cell r="L65">
            <v>0.74839528535557953</v>
          </cell>
          <cell r="M65">
            <v>0.83918984935345187</v>
          </cell>
          <cell r="N65">
            <v>0.90945051634530116</v>
          </cell>
          <cell r="O65">
            <v>0.9576688767502457</v>
          </cell>
          <cell r="P65">
            <v>0.9865231113648858</v>
          </cell>
          <cell r="Q65">
            <v>1.0012970762896924</v>
          </cell>
          <cell r="R65">
            <v>1.0076356106578106</v>
          </cell>
          <cell r="S65">
            <v>1.0098624683774413</v>
          </cell>
          <cell r="T65">
            <v>1.0104871783970797</v>
          </cell>
          <cell r="U65">
            <v>1.010623336815976</v>
          </cell>
          <cell r="V65">
            <v>1.0106457174525985</v>
          </cell>
          <cell r="W65">
            <v>1.0106484038909742</v>
          </cell>
        </row>
        <row r="66">
          <cell r="A66" t="str">
            <v>HVAC</v>
          </cell>
          <cell r="B66" t="str">
            <v>WIFI enabled tstats - Retro</v>
          </cell>
          <cell r="C66" t="str">
            <v>Retro5Med</v>
          </cell>
          <cell r="D66">
            <v>4.2999999999999997E-2</v>
          </cell>
          <cell r="E66">
            <v>5.279714228027832E-2</v>
          </cell>
          <cell r="F66">
            <v>6.4608251467478173E-2</v>
          </cell>
          <cell r="G66">
            <v>7.4999999999999997E-2</v>
          </cell>
          <cell r="H66">
            <v>8.5546997470333563E-2</v>
          </cell>
          <cell r="I66">
            <v>0.10001472303820647</v>
          </cell>
          <cell r="J66">
            <v>0.10971770435235073</v>
          </cell>
          <cell r="K66">
            <v>0.11208438511970376</v>
          </cell>
          <cell r="L66">
            <v>0.10562608162722853</v>
          </cell>
          <cell r="M66">
            <v>9.0794563997872335E-2</v>
          </cell>
          <cell r="N66">
            <v>7.0260666991849297E-2</v>
          </cell>
          <cell r="O66">
            <v>4.8218360404944538E-2</v>
          </cell>
          <cell r="P66">
            <v>2.8854234614640095E-2</v>
          </cell>
          <cell r="Q66">
            <v>1.4773964924806759E-2</v>
          </cell>
          <cell r="R66">
            <v>6.3385343681182649E-3</v>
          </cell>
          <cell r="S66">
            <v>2.2268577196306039E-3</v>
          </cell>
          <cell r="T66">
            <v>6.2471001963848583E-4</v>
          </cell>
          <cell r="U66">
            <v>1.3615841889635938E-4</v>
          </cell>
          <cell r="V66">
            <v>2.2380636622298944E-5</v>
          </cell>
          <cell r="W66">
            <v>2.68643837586513E-6</v>
          </cell>
        </row>
        <row r="67">
          <cell r="A67" t="str">
            <v>HVAC</v>
          </cell>
          <cell r="B67" t="str">
            <v>Combo DHP/HPWH units - New</v>
          </cell>
          <cell r="C67" t="str">
            <v>LO5Med</v>
          </cell>
          <cell r="D67">
            <v>4.2999999999999997E-2</v>
          </cell>
          <cell r="E67">
            <v>9.5797142280278316E-2</v>
          </cell>
          <cell r="F67">
            <v>0.16040539374775648</v>
          </cell>
          <cell r="G67">
            <v>0.23540539374775649</v>
          </cell>
          <cell r="H67">
            <v>0.32095239121809005</v>
          </cell>
          <cell r="I67">
            <v>0.42096711425629652</v>
          </cell>
          <cell r="J67">
            <v>0.53068481860864725</v>
          </cell>
          <cell r="K67">
            <v>0.642769203728351</v>
          </cell>
          <cell r="L67">
            <v>0.74839528535557953</v>
          </cell>
          <cell r="M67">
            <v>0.83918984935345187</v>
          </cell>
          <cell r="N67">
            <v>0.90945051634530116</v>
          </cell>
          <cell r="O67">
            <v>0.9576688767502457</v>
          </cell>
          <cell r="P67">
            <v>0.9865231113648858</v>
          </cell>
          <cell r="Q67">
            <v>1.0012970762896924</v>
          </cell>
          <cell r="R67">
            <v>1.0076356106578106</v>
          </cell>
          <cell r="S67">
            <v>1.0098624683774413</v>
          </cell>
          <cell r="T67">
            <v>1.0104871783970797</v>
          </cell>
          <cell r="U67">
            <v>1.010623336815976</v>
          </cell>
          <cell r="V67">
            <v>1.0106457174525985</v>
          </cell>
          <cell r="W67">
            <v>1.0106484038909742</v>
          </cell>
        </row>
        <row r="68">
          <cell r="A68" t="str">
            <v>HVAC</v>
          </cell>
          <cell r="B68" t="str">
            <v>Combo DHP/HPWH units - NR</v>
          </cell>
          <cell r="C68" t="str">
            <v>LO5Med</v>
          </cell>
          <cell r="D68">
            <v>4.2999999999999997E-2</v>
          </cell>
          <cell r="E68">
            <v>9.5797142280278316E-2</v>
          </cell>
          <cell r="F68">
            <v>0.16040539374775648</v>
          </cell>
          <cell r="G68">
            <v>0.23540539374775649</v>
          </cell>
          <cell r="H68">
            <v>0.32095239121809005</v>
          </cell>
          <cell r="I68">
            <v>0.42096711425629652</v>
          </cell>
          <cell r="J68">
            <v>0.53068481860864725</v>
          </cell>
          <cell r="K68">
            <v>0.642769203728351</v>
          </cell>
          <cell r="L68">
            <v>0.74839528535557953</v>
          </cell>
          <cell r="M68">
            <v>0.83918984935345187</v>
          </cell>
          <cell r="N68">
            <v>0.90945051634530116</v>
          </cell>
          <cell r="O68">
            <v>0.9576688767502457</v>
          </cell>
          <cell r="P68">
            <v>0.9865231113648858</v>
          </cell>
          <cell r="Q68">
            <v>1.0012970762896924</v>
          </cell>
          <cell r="R68">
            <v>1.0076356106578106</v>
          </cell>
          <cell r="S68">
            <v>1.0098624683774413</v>
          </cell>
          <cell r="T68">
            <v>1.0104871783970797</v>
          </cell>
          <cell r="U68">
            <v>1.010623336815976</v>
          </cell>
          <cell r="V68">
            <v>1.0106457174525985</v>
          </cell>
          <cell r="W68">
            <v>1.0106484038909742</v>
          </cell>
        </row>
        <row r="69">
          <cell r="A69" t="str">
            <v>HVAC</v>
          </cell>
          <cell r="B69" t="str">
            <v>Combo DHP/HPWH units - Retro</v>
          </cell>
          <cell r="C69" t="str">
            <v>Retro5Med</v>
          </cell>
          <cell r="D69">
            <v>4.2999999999999997E-2</v>
          </cell>
          <cell r="E69">
            <v>5.279714228027832E-2</v>
          </cell>
          <cell r="F69">
            <v>6.4608251467478173E-2</v>
          </cell>
          <cell r="G69">
            <v>7.4999999999999997E-2</v>
          </cell>
          <cell r="H69">
            <v>8.5546997470333563E-2</v>
          </cell>
          <cell r="I69">
            <v>0.10001472303820647</v>
          </cell>
          <cell r="J69">
            <v>0.10971770435235073</v>
          </cell>
          <cell r="K69">
            <v>0.11208438511970376</v>
          </cell>
          <cell r="L69">
            <v>0.10562608162722853</v>
          </cell>
          <cell r="M69">
            <v>9.0794563997872335E-2</v>
          </cell>
          <cell r="N69">
            <v>7.0260666991849297E-2</v>
          </cell>
          <cell r="O69">
            <v>4.8218360404944538E-2</v>
          </cell>
          <cell r="P69">
            <v>2.8854234614640095E-2</v>
          </cell>
          <cell r="Q69">
            <v>1.4773964924806759E-2</v>
          </cell>
          <cell r="R69">
            <v>6.3385343681182649E-3</v>
          </cell>
          <cell r="S69">
            <v>2.2268577196306039E-3</v>
          </cell>
          <cell r="T69">
            <v>6.2471001963848583E-4</v>
          </cell>
          <cell r="U69">
            <v>1.3615841889635938E-4</v>
          </cell>
          <cell r="V69">
            <v>2.2380636622298944E-5</v>
          </cell>
          <cell r="W69">
            <v>2.68643837586513E-6</v>
          </cell>
        </row>
        <row r="70">
          <cell r="A70" t="str">
            <v>Water Heating</v>
          </cell>
          <cell r="B70" t="str">
            <v>Aerator - New</v>
          </cell>
          <cell r="C70" t="str">
            <v>LO3Slow</v>
          </cell>
          <cell r="D70">
            <v>5.5320496977002724E-3</v>
          </cell>
          <cell r="E70">
            <v>1.4227918344261844E-2</v>
          </cell>
          <cell r="F70">
            <v>3.1619655637384989E-2</v>
          </cell>
          <cell r="G70">
            <v>6.2055195900350503E-2</v>
          </cell>
          <cell r="H70">
            <v>0.10939936964274129</v>
          </cell>
          <cell r="I70">
            <v>0.17568121288208835</v>
          </cell>
          <cell r="J70">
            <v>0.26003992245943919</v>
          </cell>
          <cell r="K70">
            <v>0.3584584169663485</v>
          </cell>
          <cell r="L70">
            <v>0.46444756489686617</v>
          </cell>
          <cell r="M70">
            <v>0.57043671282738384</v>
          </cell>
          <cell r="N70">
            <v>0.66935991756253377</v>
          </cell>
          <cell r="O70">
            <v>0.75591772170578986</v>
          </cell>
          <cell r="P70">
            <v>0.82720061923553012</v>
          </cell>
          <cell r="Q70">
            <v>0.88264287286977261</v>
          </cell>
          <cell r="R70">
            <v>0.92349505975816193</v>
          </cell>
          <cell r="S70">
            <v>0.95209159058003434</v>
          </cell>
          <cell r="T70">
            <v>0.97115594446128262</v>
          </cell>
          <cell r="U70">
            <v>0.98328780602207699</v>
          </cell>
          <cell r="V70">
            <v>0.99067241740690848</v>
          </cell>
          <cell r="W70">
            <v>0.99498010738139331</v>
          </cell>
        </row>
        <row r="71">
          <cell r="A71" t="str">
            <v>Water Heating</v>
          </cell>
          <cell r="B71" t="str">
            <v>Aerator - Retro</v>
          </cell>
          <cell r="C71" t="str">
            <v>Retro3Slow</v>
          </cell>
          <cell r="D71">
            <v>5.5320496977002724E-3</v>
          </cell>
          <cell r="E71">
            <v>8.6958686465615706E-3</v>
          </cell>
          <cell r="F71">
            <v>1.7391737293123145E-2</v>
          </cell>
          <cell r="G71">
            <v>3.0435540262965514E-2</v>
          </cell>
          <cell r="H71">
            <v>4.7344173742390784E-2</v>
          </cell>
          <cell r="I71">
            <v>6.6281843239347063E-2</v>
          </cell>
          <cell r="J71">
            <v>8.4358709577350838E-2</v>
          </cell>
          <cell r="K71">
            <v>9.8418494506909315E-2</v>
          </cell>
          <cell r="L71">
            <v>0.10598914793051767</v>
          </cell>
          <cell r="M71">
            <v>0.10598914793051767</v>
          </cell>
          <cell r="N71">
            <v>9.8923204735149928E-2</v>
          </cell>
          <cell r="O71">
            <v>8.655780414325609E-2</v>
          </cell>
          <cell r="P71">
            <v>7.1282897529740263E-2</v>
          </cell>
          <cell r="Q71">
            <v>5.5442253634242489E-2</v>
          </cell>
          <cell r="R71">
            <v>4.0852186888389319E-2</v>
          </cell>
          <cell r="S71">
            <v>2.8596530821872412E-2</v>
          </cell>
          <cell r="T71">
            <v>1.9064353881248275E-2</v>
          </cell>
          <cell r="U71">
            <v>1.2131861560794377E-2</v>
          </cell>
          <cell r="V71">
            <v>7.3846113848314854E-3</v>
          </cell>
          <cell r="W71">
            <v>4.3076899744848296E-3</v>
          </cell>
        </row>
        <row r="72">
          <cell r="A72" t="str">
            <v>Water Heating</v>
          </cell>
          <cell r="B72" t="str">
            <v>Behavior - Retro</v>
          </cell>
          <cell r="C72" t="str">
            <v>Retro5Med</v>
          </cell>
          <cell r="D72">
            <v>4.2999999999999997E-2</v>
          </cell>
          <cell r="E72">
            <v>5.279714228027832E-2</v>
          </cell>
          <cell r="F72">
            <v>6.4608251467478173E-2</v>
          </cell>
          <cell r="G72">
            <v>7.4999999999999997E-2</v>
          </cell>
          <cell r="H72">
            <v>8.5546997470333563E-2</v>
          </cell>
          <cell r="I72">
            <v>0.10001472303820647</v>
          </cell>
          <cell r="J72">
            <v>0.10971770435235073</v>
          </cell>
          <cell r="K72">
            <v>0.11208438511970376</v>
          </cell>
          <cell r="L72">
            <v>0.10562608162722853</v>
          </cell>
          <cell r="M72">
            <v>9.0794563997872335E-2</v>
          </cell>
          <cell r="N72">
            <v>7.0260666991849297E-2</v>
          </cell>
          <cell r="O72">
            <v>4.8218360404944538E-2</v>
          </cell>
          <cell r="P72">
            <v>2.8854234614640095E-2</v>
          </cell>
          <cell r="Q72">
            <v>1.4773964924806759E-2</v>
          </cell>
          <cell r="R72">
            <v>6.3385343681182649E-3</v>
          </cell>
          <cell r="S72">
            <v>2.2268577196306039E-3</v>
          </cell>
          <cell r="T72">
            <v>6.2471001963848583E-4</v>
          </cell>
          <cell r="U72">
            <v>1.3615841889635938E-4</v>
          </cell>
          <cell r="V72">
            <v>2.2380636622298944E-5</v>
          </cell>
          <cell r="W72">
            <v>2.68643837586513E-6</v>
          </cell>
        </row>
        <row r="73">
          <cell r="A73" t="str">
            <v>Water Heating</v>
          </cell>
          <cell r="B73" t="str">
            <v>Behavior - New</v>
          </cell>
          <cell r="C73" t="str">
            <v>LO5Med</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row>
        <row r="74">
          <cell r="A74">
            <v>0</v>
          </cell>
          <cell r="B74">
            <v>0</v>
          </cell>
          <cell r="C74" t="str">
            <v>Retro1Slow</v>
          </cell>
          <cell r="D74">
            <v>2.5643970768378654E-3</v>
          </cell>
          <cell r="E74">
            <v>5.1260615529385989E-3</v>
          </cell>
          <cell r="F74">
            <v>9.1015544176433795E-3</v>
          </cell>
          <cell r="G74">
            <v>1.4804925730045659E-2</v>
          </cell>
          <cell r="H74">
            <v>2.2471809420486211E-2</v>
          </cell>
          <cell r="I74">
            <v>3.2184432813882391E-2</v>
          </cell>
          <cell r="J74">
            <v>4.3779667172004086E-2</v>
          </cell>
          <cell r="K74">
            <v>5.675426075474499E-2</v>
          </cell>
          <cell r="L74">
            <v>7.0195239068707532E-2</v>
          </cell>
          <cell r="M74">
            <v>8.2776861842756788E-2</v>
          </cell>
          <cell r="N74">
            <v>9.2870259507494834E-2</v>
          </cell>
          <cell r="O74">
            <v>9.8796470678915727E-2</v>
          </cell>
          <cell r="P74">
            <v>9.9208932889988999E-2</v>
          </cell>
          <cell r="Q74">
            <v>9.3521150494244254E-2</v>
          </cell>
          <cell r="R74">
            <v>8.2226007896862296E-2</v>
          </cell>
          <cell r="S74">
            <v>6.6933566027365665E-2</v>
          </cell>
          <cell r="T74">
            <v>5.0029565143448806E-2</v>
          </cell>
          <cell r="U74">
            <v>3.402486521893211E-2</v>
          </cell>
          <cell r="V74">
            <v>2.0846059340774659E-2</v>
          </cell>
          <cell r="W74">
            <v>0.01</v>
          </cell>
        </row>
        <row r="75">
          <cell r="A75" t="str">
            <v>HVAC</v>
          </cell>
          <cell r="B75" t="str">
            <v>Heat Recovery Ventilation - New</v>
          </cell>
          <cell r="C75" t="str">
            <v>LO1Slow</v>
          </cell>
          <cell r="D75">
            <v>2.5643970768378654E-3</v>
          </cell>
          <cell r="E75">
            <v>7.6904586297764643E-3</v>
          </cell>
          <cell r="F75">
            <v>1.6792013047419844E-2</v>
          </cell>
          <cell r="G75">
            <v>3.15969387774655E-2</v>
          </cell>
          <cell r="H75">
            <v>5.406874819795171E-2</v>
          </cell>
          <cell r="I75">
            <v>8.6253181011834101E-2</v>
          </cell>
          <cell r="J75">
            <v>0.1300328481838382</v>
          </cell>
          <cell r="K75">
            <v>0.18678710893858319</v>
          </cell>
          <cell r="L75">
            <v>0.2569823480072907</v>
          </cell>
          <cell r="M75">
            <v>0.33975920985004748</v>
          </cell>
          <cell r="N75">
            <v>0.43262946935754232</v>
          </cell>
          <cell r="O75">
            <v>0.53142594003645804</v>
          </cell>
          <cell r="P75">
            <v>0.63063487292644704</v>
          </cell>
          <cell r="Q75">
            <v>0.7241560234206913</v>
          </cell>
          <cell r="R75">
            <v>0.80638203131755359</v>
          </cell>
          <cell r="S75">
            <v>0.87331559734491926</v>
          </cell>
          <cell r="T75">
            <v>0.92334516248836807</v>
          </cell>
          <cell r="U75">
            <v>0.95737002770730018</v>
          </cell>
          <cell r="V75">
            <v>0.97821608704807483</v>
          </cell>
          <cell r="W75">
            <v>0.98821608704807484</v>
          </cell>
        </row>
        <row r="76">
          <cell r="A76" t="str">
            <v>HVAC</v>
          </cell>
          <cell r="B76" t="str">
            <v>GSHP - New</v>
          </cell>
          <cell r="C76" t="str">
            <v>LO1Slow</v>
          </cell>
          <cell r="D76">
            <v>2.5643970768378654E-3</v>
          </cell>
          <cell r="E76">
            <v>7.6904586297764643E-3</v>
          </cell>
          <cell r="F76">
            <v>1.6792013047419844E-2</v>
          </cell>
          <cell r="G76">
            <v>3.15969387774655E-2</v>
          </cell>
          <cell r="H76">
            <v>5.406874819795171E-2</v>
          </cell>
          <cell r="I76">
            <v>8.6253181011834101E-2</v>
          </cell>
          <cell r="J76">
            <v>0.1300328481838382</v>
          </cell>
          <cell r="K76">
            <v>0.18678710893858319</v>
          </cell>
          <cell r="L76">
            <v>0.2569823480072907</v>
          </cell>
          <cell r="M76">
            <v>0.33975920985004748</v>
          </cell>
          <cell r="N76">
            <v>0.43262946935754232</v>
          </cell>
          <cell r="O76">
            <v>0.53142594003645804</v>
          </cell>
          <cell r="P76">
            <v>0.63063487292644704</v>
          </cell>
          <cell r="Q76">
            <v>0.7241560234206913</v>
          </cell>
          <cell r="R76">
            <v>0.80638203131755359</v>
          </cell>
          <cell r="S76">
            <v>0.87331559734491926</v>
          </cell>
          <cell r="T76">
            <v>0.92334516248836807</v>
          </cell>
          <cell r="U76">
            <v>0.95737002770730018</v>
          </cell>
          <cell r="V76">
            <v>0.97821608704807483</v>
          </cell>
          <cell r="W76">
            <v>0.98821608704807484</v>
          </cell>
        </row>
        <row r="77">
          <cell r="A77" t="str">
            <v>HVAC</v>
          </cell>
          <cell r="B77" t="str">
            <v>GSHP - NR</v>
          </cell>
          <cell r="C77" t="str">
            <v>LO1Slow</v>
          </cell>
          <cell r="D77">
            <v>2.5643970768378654E-3</v>
          </cell>
          <cell r="E77">
            <v>7.6904586297764643E-3</v>
          </cell>
          <cell r="F77">
            <v>1.6792013047419844E-2</v>
          </cell>
          <cell r="G77">
            <v>3.15969387774655E-2</v>
          </cell>
          <cell r="H77">
            <v>5.406874819795171E-2</v>
          </cell>
          <cell r="I77">
            <v>8.6253181011834101E-2</v>
          </cell>
          <cell r="J77">
            <v>0.1300328481838382</v>
          </cell>
          <cell r="K77">
            <v>0.18678710893858319</v>
          </cell>
          <cell r="L77">
            <v>0.2569823480072907</v>
          </cell>
          <cell r="M77">
            <v>0.33975920985004748</v>
          </cell>
          <cell r="N77">
            <v>0.43262946935754232</v>
          </cell>
          <cell r="O77">
            <v>0.53142594003645804</v>
          </cell>
          <cell r="P77">
            <v>0.63063487292644704</v>
          </cell>
          <cell r="Q77">
            <v>0.7241560234206913</v>
          </cell>
          <cell r="R77">
            <v>0.80638203131755359</v>
          </cell>
          <cell r="S77">
            <v>0.87331559734491926</v>
          </cell>
          <cell r="T77">
            <v>0.92334516248836807</v>
          </cell>
          <cell r="U77">
            <v>0.95737002770730018</v>
          </cell>
          <cell r="V77">
            <v>0.97821608704807483</v>
          </cell>
          <cell r="W77">
            <v>0.98821608704807484</v>
          </cell>
        </row>
        <row r="78">
          <cell r="A78">
            <v>0</v>
          </cell>
          <cell r="B78">
            <v>0</v>
          </cell>
          <cell r="C78" t="str">
            <v>Retro5Med</v>
          </cell>
          <cell r="D78">
            <v>4.2999999999999997E-2</v>
          </cell>
          <cell r="E78">
            <v>5.279714228027832E-2</v>
          </cell>
          <cell r="F78">
            <v>6.4608251467478173E-2</v>
          </cell>
          <cell r="G78">
            <v>7.4999999999999997E-2</v>
          </cell>
          <cell r="H78">
            <v>8.5546997470333563E-2</v>
          </cell>
          <cell r="I78">
            <v>0.10001472303820647</v>
          </cell>
          <cell r="J78">
            <v>0.10971770435235073</v>
          </cell>
          <cell r="K78">
            <v>0.11208438511970376</v>
          </cell>
          <cell r="L78">
            <v>0.10562608162722853</v>
          </cell>
          <cell r="M78">
            <v>9.0794563997872335E-2</v>
          </cell>
          <cell r="N78">
            <v>7.0260666991849297E-2</v>
          </cell>
          <cell r="O78">
            <v>4.8218360404944538E-2</v>
          </cell>
          <cell r="P78">
            <v>2.8854234614640095E-2</v>
          </cell>
          <cell r="Q78">
            <v>1.4773964924806759E-2</v>
          </cell>
          <cell r="R78">
            <v>6.3385343681182649E-3</v>
          </cell>
          <cell r="S78">
            <v>2.2268577196306039E-3</v>
          </cell>
          <cell r="T78">
            <v>6.2471001963848583E-4</v>
          </cell>
          <cell r="U78">
            <v>1.3615841889635938E-4</v>
          </cell>
          <cell r="V78">
            <v>2.2380636622298944E-5</v>
          </cell>
          <cell r="W78">
            <v>2.68643837586513E-6</v>
          </cell>
        </row>
        <row r="79">
          <cell r="A79" t="str">
            <v>HVAC</v>
          </cell>
          <cell r="B79" t="str">
            <v>ECM for HVAC ventilation - New</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row>
        <row r="80">
          <cell r="A80" t="str">
            <v>HVAC</v>
          </cell>
          <cell r="B80" t="str">
            <v>ECM for HVAC ventilation - NR</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cell r="U80">
            <v>0.99687806209941365</v>
          </cell>
          <cell r="V80">
            <v>0.99688683963477831</v>
          </cell>
          <cell r="W80">
            <v>0.99688970187457115</v>
          </cell>
        </row>
        <row r="81">
          <cell r="A81" t="str">
            <v>HVAC</v>
          </cell>
          <cell r="B81" t="str">
            <v>Whole house/attic fan - New</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cell r="U81">
            <v>0.99687806209941365</v>
          </cell>
          <cell r="V81">
            <v>0.99688683963477831</v>
          </cell>
          <cell r="W81">
            <v>0.99688970187457115</v>
          </cell>
        </row>
        <row r="82">
          <cell r="A82" t="str">
            <v>HVAC</v>
          </cell>
          <cell r="B82" t="str">
            <v>Whole house/attic fan - Retro</v>
          </cell>
          <cell r="C82" t="str">
            <v>Retro12Med</v>
          </cell>
          <cell r="D82">
            <v>0.10937459468255628</v>
          </cell>
          <cell r="E82">
            <v>0.10937459468255628</v>
          </cell>
          <cell r="F82">
            <v>0.10937459468255628</v>
          </cell>
          <cell r="G82">
            <v>0.10937459468255628</v>
          </cell>
          <cell r="H82">
            <v>0.10937459468255628</v>
          </cell>
          <cell r="I82">
            <v>9.8437135214300656E-2</v>
          </cell>
          <cell r="J82">
            <v>7.874970817144053E-2</v>
          </cell>
          <cell r="K82">
            <v>6.2999766537152418E-2</v>
          </cell>
          <cell r="L82">
            <v>5.0399813229721938E-2</v>
          </cell>
          <cell r="M82">
            <v>4.0319850583777551E-2</v>
          </cell>
          <cell r="N82">
            <v>3.225588046702204E-2</v>
          </cell>
          <cell r="O82">
            <v>2.5804704373617631E-2</v>
          </cell>
          <cell r="P82">
            <v>2.0643763498894106E-2</v>
          </cell>
          <cell r="Q82">
            <v>1.6515010799115284E-2</v>
          </cell>
          <cell r="R82">
            <v>1.3212008639292228E-2</v>
          </cell>
          <cell r="S82">
            <v>1.0569606911433781E-2</v>
          </cell>
          <cell r="T82">
            <v>7.2092823794611682E-5</v>
          </cell>
          <cell r="U82">
            <v>2.5747437069512102E-5</v>
          </cell>
          <cell r="V82">
            <v>8.7775353646568632E-6</v>
          </cell>
          <cell r="W82">
            <v>2.8622397928446119E-6</v>
          </cell>
        </row>
        <row r="83">
          <cell r="A83" t="str">
            <v>Water heating</v>
          </cell>
          <cell r="B83" t="str">
            <v>WH Pipe insulation - Retro</v>
          </cell>
          <cell r="C83" t="str">
            <v>Retro12Med</v>
          </cell>
          <cell r="D83">
            <v>0.10937459468255628</v>
          </cell>
          <cell r="E83">
            <v>0.10937459468255628</v>
          </cell>
          <cell r="F83">
            <v>0.10937459468255628</v>
          </cell>
          <cell r="G83">
            <v>0.10937459468255628</v>
          </cell>
          <cell r="H83">
            <v>0.10937459468255628</v>
          </cell>
          <cell r="I83">
            <v>9.8437135214300656E-2</v>
          </cell>
          <cell r="J83">
            <v>7.874970817144053E-2</v>
          </cell>
          <cell r="K83">
            <v>6.2999766537152418E-2</v>
          </cell>
          <cell r="L83">
            <v>5.0399813229721938E-2</v>
          </cell>
          <cell r="M83">
            <v>4.0319850583777551E-2</v>
          </cell>
          <cell r="N83">
            <v>3.225588046702204E-2</v>
          </cell>
          <cell r="O83">
            <v>2.5804704373617631E-2</v>
          </cell>
          <cell r="P83">
            <v>2.0643763498894106E-2</v>
          </cell>
          <cell r="Q83">
            <v>1.6515010799115284E-2</v>
          </cell>
          <cell r="R83">
            <v>1.3212008639292228E-2</v>
          </cell>
          <cell r="S83">
            <v>1.0569606911433781E-2</v>
          </cell>
          <cell r="T83">
            <v>7.2092823794611682E-5</v>
          </cell>
          <cell r="U83">
            <v>2.5747437069512102E-5</v>
          </cell>
          <cell r="V83">
            <v>8.7775353646568632E-6</v>
          </cell>
          <cell r="W83">
            <v>2.8622397928446119E-6</v>
          </cell>
        </row>
        <row r="84">
          <cell r="A84" t="str">
            <v>HVAC</v>
          </cell>
          <cell r="B84" t="str">
            <v>DHP Ducted - 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cell r="U84">
            <v>0.99687806209941365</v>
          </cell>
          <cell r="V84">
            <v>0.99688683963477831</v>
          </cell>
          <cell r="W84">
            <v>0.99688970187457115</v>
          </cell>
        </row>
        <row r="85">
          <cell r="A85" t="str">
            <v>Electronics</v>
          </cell>
          <cell r="B85" t="str">
            <v>Advanced Power Strips - New</v>
          </cell>
          <cell r="C85" t="str">
            <v>LO3Slow</v>
          </cell>
          <cell r="D85">
            <v>5.5320496977002724E-3</v>
          </cell>
          <cell r="E85">
            <v>1.4227918344261844E-2</v>
          </cell>
          <cell r="F85">
            <v>3.1619655637384989E-2</v>
          </cell>
          <cell r="G85">
            <v>6.2055195900350503E-2</v>
          </cell>
          <cell r="H85">
            <v>0.10939936964274129</v>
          </cell>
          <cell r="I85">
            <v>0.17568121288208835</v>
          </cell>
          <cell r="J85">
            <v>0.26003992245943919</v>
          </cell>
          <cell r="K85">
            <v>0.3584584169663485</v>
          </cell>
          <cell r="L85">
            <v>0.46444756489686617</v>
          </cell>
          <cell r="M85">
            <v>0.57043671282738384</v>
          </cell>
          <cell r="N85">
            <v>0.66935991756253377</v>
          </cell>
          <cell r="O85">
            <v>0.75591772170578986</v>
          </cell>
          <cell r="P85">
            <v>0.82720061923553012</v>
          </cell>
          <cell r="Q85">
            <v>0.88264287286977261</v>
          </cell>
          <cell r="R85">
            <v>0.92349505975816193</v>
          </cell>
          <cell r="S85">
            <v>0.95209159058003434</v>
          </cell>
          <cell r="T85">
            <v>0.97115594446128262</v>
          </cell>
          <cell r="U85">
            <v>0.98328780602207699</v>
          </cell>
          <cell r="V85">
            <v>0.99067241740690848</v>
          </cell>
          <cell r="W85">
            <v>0.99498010738139331</v>
          </cell>
        </row>
        <row r="86">
          <cell r="A86" t="str">
            <v>Electronics</v>
          </cell>
          <cell r="B86" t="str">
            <v>Advanced Power Strips - Retro</v>
          </cell>
          <cell r="C86" t="str">
            <v>Retro3Slow</v>
          </cell>
          <cell r="D86">
            <v>5.5320496977002724E-3</v>
          </cell>
          <cell r="E86">
            <v>8.6958686465615706E-3</v>
          </cell>
          <cell r="F86">
            <v>1.7391737293123145E-2</v>
          </cell>
          <cell r="G86">
            <v>3.0435540262965514E-2</v>
          </cell>
          <cell r="H86">
            <v>4.7344173742390784E-2</v>
          </cell>
          <cell r="I86">
            <v>6.6281843239347063E-2</v>
          </cell>
          <cell r="J86">
            <v>8.4358709577350838E-2</v>
          </cell>
          <cell r="K86">
            <v>9.8418494506909315E-2</v>
          </cell>
          <cell r="L86">
            <v>0.10598914793051767</v>
          </cell>
          <cell r="M86">
            <v>0.10598914793051767</v>
          </cell>
          <cell r="N86">
            <v>9.8923204735149928E-2</v>
          </cell>
          <cell r="O86">
            <v>8.655780414325609E-2</v>
          </cell>
          <cell r="P86">
            <v>7.1282897529740263E-2</v>
          </cell>
          <cell r="Q86">
            <v>5.5442253634242489E-2</v>
          </cell>
          <cell r="R86">
            <v>4.0852186888389319E-2</v>
          </cell>
          <cell r="S86">
            <v>2.8596530821872412E-2</v>
          </cell>
          <cell r="T86">
            <v>1.9064353881248275E-2</v>
          </cell>
          <cell r="U86">
            <v>1.2131861560794377E-2</v>
          </cell>
          <cell r="V86">
            <v>7.3846113848314854E-3</v>
          </cell>
          <cell r="W86">
            <v>4.3076899744848296E-3</v>
          </cell>
        </row>
        <row r="87">
          <cell r="A87" t="str">
            <v>HVAC</v>
          </cell>
          <cell r="B87" t="str">
            <v>Controls Commissioning and Sizing - New</v>
          </cell>
          <cell r="C87" t="str">
            <v>LO5Med</v>
          </cell>
          <cell r="D87">
            <v>4.2999999999999997E-2</v>
          </cell>
          <cell r="E87">
            <v>9.5797142280278316E-2</v>
          </cell>
          <cell r="F87">
            <v>0.16040539374775648</v>
          </cell>
          <cell r="G87">
            <v>0.23540539374775649</v>
          </cell>
          <cell r="H87">
            <v>0.32095239121809005</v>
          </cell>
          <cell r="I87">
            <v>0.42096711425629652</v>
          </cell>
          <cell r="J87">
            <v>0.53068481860864725</v>
          </cell>
          <cell r="K87">
            <v>0.642769203728351</v>
          </cell>
          <cell r="L87">
            <v>0.74839528535557953</v>
          </cell>
          <cell r="M87">
            <v>0.83918984935345187</v>
          </cell>
          <cell r="N87">
            <v>0.90945051634530116</v>
          </cell>
          <cell r="O87">
            <v>0.9576688767502457</v>
          </cell>
          <cell r="P87">
            <v>0.9865231113648858</v>
          </cell>
          <cell r="Q87">
            <v>1.0012970762896924</v>
          </cell>
          <cell r="R87">
            <v>1.0076356106578106</v>
          </cell>
          <cell r="S87">
            <v>1.0098624683774413</v>
          </cell>
          <cell r="T87">
            <v>1.0104871783970797</v>
          </cell>
          <cell r="U87">
            <v>1.010623336815976</v>
          </cell>
          <cell r="V87">
            <v>1.0106457174525985</v>
          </cell>
          <cell r="W87">
            <v>1.0106484038909742</v>
          </cell>
        </row>
        <row r="88">
          <cell r="A88" t="str">
            <v>HVAC</v>
          </cell>
          <cell r="B88" t="str">
            <v>Controls Commissioning and Sizing - NR</v>
          </cell>
          <cell r="C88" t="str">
            <v>LO5Med</v>
          </cell>
          <cell r="D88">
            <v>4.2999999999999997E-2</v>
          </cell>
          <cell r="E88">
            <v>9.5797142280278316E-2</v>
          </cell>
          <cell r="F88">
            <v>0.16040539374775648</v>
          </cell>
          <cell r="G88">
            <v>0.23540539374775649</v>
          </cell>
          <cell r="H88">
            <v>0.32095239121809005</v>
          </cell>
          <cell r="I88">
            <v>0.42096711425629652</v>
          </cell>
          <cell r="J88">
            <v>0.53068481860864725</v>
          </cell>
          <cell r="K88">
            <v>0.642769203728351</v>
          </cell>
          <cell r="L88">
            <v>0.74839528535557953</v>
          </cell>
          <cell r="M88">
            <v>0.83918984935345187</v>
          </cell>
          <cell r="N88">
            <v>0.90945051634530116</v>
          </cell>
          <cell r="O88">
            <v>0.9576688767502457</v>
          </cell>
          <cell r="P88">
            <v>0.9865231113648858</v>
          </cell>
          <cell r="Q88">
            <v>1.0012970762896924</v>
          </cell>
          <cell r="R88">
            <v>1.0076356106578106</v>
          </cell>
          <cell r="S88">
            <v>1.0098624683774413</v>
          </cell>
          <cell r="T88">
            <v>1.0104871783970797</v>
          </cell>
          <cell r="U88">
            <v>1.010623336815976</v>
          </cell>
          <cell r="V88">
            <v>1.0106457174525985</v>
          </cell>
          <cell r="W88">
            <v>1.0106484038909742</v>
          </cell>
        </row>
        <row r="89">
          <cell r="A89" t="str">
            <v>HVAC</v>
          </cell>
          <cell r="B89" t="str">
            <v>ResWx - Retro</v>
          </cell>
          <cell r="C89" t="str">
            <v>Retro12Med</v>
          </cell>
          <cell r="D89">
            <v>0.10937459468255628</v>
          </cell>
          <cell r="E89">
            <v>0.10937459468255628</v>
          </cell>
          <cell r="F89">
            <v>0.10937459468255628</v>
          </cell>
          <cell r="G89">
            <v>0.10937459468255628</v>
          </cell>
          <cell r="H89">
            <v>0.10937459468255628</v>
          </cell>
          <cell r="I89">
            <v>9.8437135214300656E-2</v>
          </cell>
          <cell r="J89">
            <v>7.874970817144053E-2</v>
          </cell>
          <cell r="K89">
            <v>6.2999766537152418E-2</v>
          </cell>
          <cell r="L89">
            <v>5.0399813229721938E-2</v>
          </cell>
          <cell r="M89">
            <v>4.0319850583777551E-2</v>
          </cell>
          <cell r="N89">
            <v>3.225588046702204E-2</v>
          </cell>
          <cell r="O89">
            <v>2.5804704373617631E-2</v>
          </cell>
          <cell r="P89">
            <v>2.0643763498894106E-2</v>
          </cell>
          <cell r="Q89">
            <v>1.6515010799115284E-2</v>
          </cell>
          <cell r="R89">
            <v>1.3212008639292228E-2</v>
          </cell>
          <cell r="S89">
            <v>1.0569606911433781E-2</v>
          </cell>
          <cell r="T89">
            <v>7.2092823794611682E-5</v>
          </cell>
          <cell r="U89">
            <v>2.5747437069512102E-5</v>
          </cell>
          <cell r="V89">
            <v>8.7775353646568632E-6</v>
          </cell>
          <cell r="W89">
            <v>2.8622397928446119E-6</v>
          </cell>
        </row>
      </sheetData>
      <sheetData sheetId="10">
        <row r="9">
          <cell r="B9" t="str">
            <v>Measure Index Name</v>
          </cell>
          <cell r="C9" t="str">
            <v>Adjustments Made to Conservation Assessment for Code conditions</v>
          </cell>
        </row>
        <row r="10">
          <cell r="B10" t="str">
            <v>Lighting - New</v>
          </cell>
        </row>
        <row r="11">
          <cell r="B11" t="str">
            <v>Lighting - NR</v>
          </cell>
        </row>
        <row r="12">
          <cell r="B12" t="str">
            <v>Lighting - PPA</v>
          </cell>
        </row>
        <row r="13">
          <cell r="B13" t="str">
            <v>Dishwasher - New</v>
          </cell>
        </row>
        <row r="14">
          <cell r="B14" t="str">
            <v>Dishwasher - NR</v>
          </cell>
        </row>
        <row r="15">
          <cell r="B15" t="str">
            <v>Clothes Washer - New</v>
          </cell>
        </row>
        <row r="16">
          <cell r="B16" t="str">
            <v>Clothes Washer - NR</v>
          </cell>
        </row>
        <row r="17">
          <cell r="B17" t="str">
            <v>WasteWater Heat Recovery - New</v>
          </cell>
        </row>
        <row r="18">
          <cell r="B18" t="str">
            <v>Showerheads - New</v>
          </cell>
        </row>
        <row r="19">
          <cell r="B19" t="str">
            <v>Showerheads - Retro</v>
          </cell>
        </row>
        <row r="20">
          <cell r="B20" t="str">
            <v>HPWH - New</v>
          </cell>
        </row>
        <row r="21">
          <cell r="B21" t="str">
            <v>HPWH - NR</v>
          </cell>
        </row>
        <row r="22">
          <cell r="B22" t="str">
            <v>EV Supply Equip - NR</v>
          </cell>
        </row>
        <row r="23">
          <cell r="B23" t="str">
            <v>Clothes Dryer - New</v>
          </cell>
        </row>
        <row r="24">
          <cell r="B24" t="str">
            <v>Clothes Dryer - NR</v>
          </cell>
        </row>
        <row r="25">
          <cell r="B25" t="str">
            <v>Refrigerator - New</v>
          </cell>
        </row>
        <row r="26">
          <cell r="B26" t="str">
            <v>Refrigerator - NR</v>
          </cell>
        </row>
        <row r="27">
          <cell r="B27" t="str">
            <v>Freezer - New</v>
          </cell>
        </row>
        <row r="28">
          <cell r="B28" t="str">
            <v>Freezer - NR</v>
          </cell>
        </row>
        <row r="29">
          <cell r="B29" t="str">
            <v>Solar Water Heater - New</v>
          </cell>
        </row>
        <row r="30">
          <cell r="B30" t="str">
            <v>Solar Water Heater - NR</v>
          </cell>
        </row>
        <row r="31">
          <cell r="B31" t="str">
            <v>Solar Water Heater - Retro</v>
          </cell>
        </row>
        <row r="32">
          <cell r="B32">
            <v>0</v>
          </cell>
        </row>
        <row r="33">
          <cell r="B33">
            <v>0</v>
          </cell>
        </row>
        <row r="34">
          <cell r="B34" t="str">
            <v>Microwave - New</v>
          </cell>
        </row>
        <row r="35">
          <cell r="B35" t="str">
            <v>Microwave - NR</v>
          </cell>
        </row>
        <row r="36">
          <cell r="B36" t="str">
            <v>Monitor - New</v>
          </cell>
        </row>
        <row r="37">
          <cell r="B37" t="str">
            <v>Monitor - NR</v>
          </cell>
        </row>
        <row r="38">
          <cell r="B38" t="str">
            <v>Desktop - New</v>
          </cell>
        </row>
        <row r="39">
          <cell r="B39" t="str">
            <v>Desktop - NR</v>
          </cell>
        </row>
        <row r="40">
          <cell r="B40" t="str">
            <v>Laptop - New</v>
          </cell>
        </row>
        <row r="41">
          <cell r="B41" t="str">
            <v>Laptop - NR</v>
          </cell>
        </row>
        <row r="42">
          <cell r="B42" t="str">
            <v>Computer - New</v>
          </cell>
        </row>
        <row r="43">
          <cell r="B43" t="str">
            <v>Computer - NR</v>
          </cell>
        </row>
        <row r="44">
          <cell r="B44" t="str">
            <v>ASHP - New</v>
          </cell>
        </row>
        <row r="45">
          <cell r="B45" t="str">
            <v>ASHP - NR</v>
          </cell>
        </row>
        <row r="46">
          <cell r="B46" t="str">
            <v>HP - Retro</v>
          </cell>
        </row>
        <row r="47">
          <cell r="B47" t="str">
            <v>DHP - New</v>
          </cell>
        </row>
        <row r="48">
          <cell r="B48" t="str">
            <v>DHP - NR</v>
          </cell>
        </row>
        <row r="49">
          <cell r="B49" t="str">
            <v>DHP - Retro</v>
          </cell>
        </row>
        <row r="50">
          <cell r="B50" t="str">
            <v>Duct Sealing - New</v>
          </cell>
        </row>
        <row r="51">
          <cell r="B51" t="str">
            <v>Duct Sealing - Retro</v>
          </cell>
        </row>
        <row r="52">
          <cell r="B52" t="str">
            <v>WIFI enabled tstats - New</v>
          </cell>
        </row>
        <row r="53">
          <cell r="B53" t="str">
            <v>WIFI enabled tstats - Retro</v>
          </cell>
        </row>
        <row r="54">
          <cell r="B54" t="str">
            <v>Combo DHP/HPWH units - New</v>
          </cell>
        </row>
        <row r="55">
          <cell r="B55" t="str">
            <v>Combo DHP/HPWH units - NR</v>
          </cell>
        </row>
        <row r="56">
          <cell r="B56" t="str">
            <v>Combo DHP/HPWH units - Retro</v>
          </cell>
        </row>
        <row r="57">
          <cell r="B57" t="str">
            <v>Aerator - New</v>
          </cell>
        </row>
        <row r="58">
          <cell r="B58" t="str">
            <v>Aerator - Retro</v>
          </cell>
        </row>
        <row r="59">
          <cell r="B59" t="str">
            <v>Behavior - Retro</v>
          </cell>
        </row>
        <row r="60">
          <cell r="B60" t="str">
            <v>Behavior - New</v>
          </cell>
        </row>
        <row r="61">
          <cell r="B61">
            <v>0</v>
          </cell>
        </row>
        <row r="62">
          <cell r="B62" t="str">
            <v>Heat Recovery Ventilation - New</v>
          </cell>
        </row>
        <row r="63">
          <cell r="B63" t="str">
            <v>GSHP - New</v>
          </cell>
        </row>
        <row r="64">
          <cell r="B64" t="str">
            <v>GSHP - NR</v>
          </cell>
        </row>
        <row r="65">
          <cell r="B65">
            <v>0</v>
          </cell>
        </row>
        <row r="66">
          <cell r="B66" t="str">
            <v>ECM for HVAC ventilation - New</v>
          </cell>
        </row>
        <row r="67">
          <cell r="B67" t="str">
            <v>ECM for HVAC ventilation - NR</v>
          </cell>
        </row>
        <row r="68">
          <cell r="B68" t="str">
            <v>Whole house/attic fan - New</v>
          </cell>
        </row>
        <row r="69">
          <cell r="B69" t="str">
            <v>Whole house/attic fan - Retro</v>
          </cell>
        </row>
        <row r="70">
          <cell r="B70" t="str">
            <v>WH Pipe insulation - Retro</v>
          </cell>
        </row>
        <row r="71">
          <cell r="B71" t="str">
            <v>DHP Ducted - NR</v>
          </cell>
        </row>
        <row r="72">
          <cell r="B72" t="str">
            <v>Advanced Power Strips - New</v>
          </cell>
        </row>
        <row r="73">
          <cell r="B73" t="str">
            <v>Advanced Power Strips - Retro</v>
          </cell>
        </row>
        <row r="74">
          <cell r="B74" t="str">
            <v>ResWx - Retro</v>
          </cell>
        </row>
        <row r="75">
          <cell r="B75" t="str">
            <v>ATTIC R0 - R19 - Retro</v>
          </cell>
        </row>
        <row r="76">
          <cell r="B76" t="str">
            <v>ATTIC R0 - R38 - Retro</v>
          </cell>
        </row>
        <row r="77">
          <cell r="B77" t="str">
            <v>ATTIC R0 - R49 - Retro</v>
          </cell>
        </row>
        <row r="78">
          <cell r="B78" t="str">
            <v>ATTIC R11 - R38 - Retro</v>
          </cell>
        </row>
        <row r="79">
          <cell r="B79" t="str">
            <v>ATTIC R11 - R49 - Retro</v>
          </cell>
        </row>
        <row r="80">
          <cell r="B80" t="str">
            <v>ATTIC R19 - R30 - Retro</v>
          </cell>
        </row>
        <row r="81">
          <cell r="B81" t="str">
            <v>ATTIC R19 - R38 - Retro</v>
          </cell>
        </row>
        <row r="82">
          <cell r="B82" t="str">
            <v>ATTIC R19 - R49 - Retro</v>
          </cell>
        </row>
        <row r="83">
          <cell r="B83" t="str">
            <v>WALL R0 - R11 - Retro</v>
          </cell>
        </row>
        <row r="84">
          <cell r="B84" t="str">
            <v>FLOOR R0 - R19 - Retro</v>
          </cell>
        </row>
        <row r="85">
          <cell r="B85" t="str">
            <v>FLOOR R0 - R25 - Retro</v>
          </cell>
        </row>
        <row r="86">
          <cell r="B86" t="str">
            <v>FLOOR R0 - R30 - Retro</v>
          </cell>
        </row>
        <row r="87">
          <cell r="B87" t="str">
            <v>WINDOW CL30 Prime Window Replacement of Single Pane Base - Retro</v>
          </cell>
        </row>
        <row r="88">
          <cell r="B88" t="str">
            <v>WINDOW CL30 Prime Window Replacement of Double Pane Base - Retro</v>
          </cell>
        </row>
        <row r="89">
          <cell r="B89" t="e">
            <v>#REF!</v>
          </cell>
        </row>
        <row r="90">
          <cell r="B90" t="str">
            <v>WINDOW CL22 Prime Window Replacement of Single Pane Base - Retro</v>
          </cell>
        </row>
        <row r="91">
          <cell r="B91" t="str">
            <v>WINDOW CL22 Prime Window Replacement of Double Pane Base - Retro</v>
          </cell>
        </row>
        <row r="92">
          <cell r="B92" t="e">
            <v>#REF!</v>
          </cell>
        </row>
        <row r="93">
          <cell r="B93" t="str">
            <v>CFM50 Infiltration Reduction - Retro</v>
          </cell>
        </row>
        <row r="94">
          <cell r="B94" t="str">
            <v>Controls Commissioning and Sizing - New</v>
          </cell>
        </row>
        <row r="95">
          <cell r="B95" t="str">
            <v>Controls Commissioning and Sizing - NR</v>
          </cell>
        </row>
        <row r="96">
          <cell r="B96">
            <v>0</v>
          </cell>
        </row>
      </sheetData>
      <sheetData sheetId="11">
        <row r="9">
          <cell r="B9" t="str">
            <v>All Cohorts RBSA 2012</v>
          </cell>
          <cell r="C9" t="str">
            <v>BLDGTYPE</v>
          </cell>
        </row>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 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F67">
            <v>1216.4209797598855</v>
          </cell>
        </row>
        <row r="68">
          <cell r="B68" t="str">
            <v>AtticSqft</v>
          </cell>
          <cell r="C68">
            <v>1431.3235818765609</v>
          </cell>
          <cell r="D68">
            <v>407</v>
          </cell>
          <cell r="F68">
            <v>1280</v>
          </cell>
        </row>
        <row r="69">
          <cell r="B69" t="str">
            <v>FloorSqft</v>
          </cell>
          <cell r="C69">
            <v>1431.3235818765609</v>
          </cell>
          <cell r="D69">
            <v>390</v>
          </cell>
          <cell r="F69">
            <v>1280</v>
          </cell>
        </row>
        <row r="70">
          <cell r="B70" t="str">
            <v>WindowSqft</v>
          </cell>
          <cell r="C70">
            <v>178.91544773457011</v>
          </cell>
          <cell r="D70">
            <v>174</v>
          </cell>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86">
          <cell r="B86" t="str">
            <v>FORECAST</v>
          </cell>
          <cell r="C86" t="str">
            <v>BLDGTYPE</v>
          </cell>
        </row>
        <row r="87">
          <cell r="B87" t="str">
            <v>Vars</v>
          </cell>
          <cell r="C87" t="str">
            <v>Single Family</v>
          </cell>
          <cell r="D87" t="str">
            <v>Multifamily - Low Rise</v>
          </cell>
          <cell r="E87" t="str">
            <v>Multifamily - High Rise</v>
          </cell>
          <cell r="F87" t="str">
            <v>Manufactured</v>
          </cell>
        </row>
        <row r="88">
          <cell r="B88" t="str">
            <v>Electric FAF - HZ1CZ1</v>
          </cell>
          <cell r="C88">
            <v>1.8379055706406227E-2</v>
          </cell>
          <cell r="D88">
            <v>2.9671514740017984E-2</v>
          </cell>
          <cell r="E88">
            <v>2.9671514740017984E-2</v>
          </cell>
          <cell r="F88">
            <v>0.68310644913823848</v>
          </cell>
        </row>
        <row r="89">
          <cell r="B89" t="str">
            <v>Electric FAF - HZ1CZ23</v>
          </cell>
          <cell r="C89">
            <v>2.412923495568365E-2</v>
          </cell>
          <cell r="D89">
            <v>0</v>
          </cell>
          <cell r="E89">
            <v>0</v>
          </cell>
          <cell r="F89">
            <v>0.53068387215316171</v>
          </cell>
        </row>
        <row r="90">
          <cell r="B90" t="str">
            <v>Electric FAF - HZ23CZ1</v>
          </cell>
          <cell r="C90">
            <v>1.4117647058823532E-2</v>
          </cell>
          <cell r="D90">
            <v>0</v>
          </cell>
          <cell r="E90">
            <v>0</v>
          </cell>
          <cell r="F90">
            <v>0.29641575914254098</v>
          </cell>
        </row>
        <row r="91">
          <cell r="B91" t="str">
            <v>Electric FAF - HZ23CZ23</v>
          </cell>
          <cell r="C91">
            <v>0.14117647058823535</v>
          </cell>
          <cell r="D91">
            <v>0</v>
          </cell>
          <cell r="E91">
            <v>0</v>
          </cell>
          <cell r="F91">
            <v>0.49242118699820225</v>
          </cell>
        </row>
        <row r="92">
          <cell r="B92" t="str">
            <v>Electric FAF - HZ1</v>
          </cell>
          <cell r="C92">
            <v>2.0048426314096562E-2</v>
          </cell>
          <cell r="D92">
            <v>2.279607208754721E-2</v>
          </cell>
          <cell r="E92">
            <v>2.279607208754721E-2</v>
          </cell>
          <cell r="F92">
            <v>0.6103855317692306</v>
          </cell>
        </row>
        <row r="93">
          <cell r="B93" t="str">
            <v>Electric FAF - HZ23</v>
          </cell>
          <cell r="C93">
            <v>8.8458324594873558E-2</v>
          </cell>
          <cell r="D93">
            <v>0</v>
          </cell>
          <cell r="E93">
            <v>0</v>
          </cell>
          <cell r="F93">
            <v>0.42117367880782697</v>
          </cell>
        </row>
        <row r="94">
          <cell r="B94" t="str">
            <v>Electric FAF - Region</v>
          </cell>
          <cell r="C94">
            <v>2.1766292465668989E-2</v>
          </cell>
          <cell r="D94">
            <v>1.96145349060163E-2</v>
          </cell>
          <cell r="E94">
            <v>1.96145349060163E-2</v>
          </cell>
          <cell r="F94">
            <v>0.54052539788177201</v>
          </cell>
        </row>
        <row r="95">
          <cell r="B95" t="str">
            <v>Electric FAF w/ CAC - HZ1CZ1</v>
          </cell>
          <cell r="C95">
            <v>0.13310430527104683</v>
          </cell>
          <cell r="D95">
            <v>0</v>
          </cell>
          <cell r="E95">
            <v>0</v>
          </cell>
          <cell r="F95">
            <v>0.15868069027846163</v>
          </cell>
        </row>
        <row r="96">
          <cell r="B96" t="str">
            <v>Electric FAF w/ CAC - HZ1CZ23</v>
          </cell>
          <cell r="C96">
            <v>0.12117534162825606</v>
          </cell>
          <cell r="D96">
            <v>0</v>
          </cell>
          <cell r="E96">
            <v>0</v>
          </cell>
          <cell r="F96">
            <v>4.8523578535561704E-2</v>
          </cell>
        </row>
        <row r="97">
          <cell r="B97" t="str">
            <v>Electric FAF w/ CAC - HZ23CZ1</v>
          </cell>
          <cell r="C97">
            <v>1.9503476240466618E-2</v>
          </cell>
          <cell r="D97">
            <v>0</v>
          </cell>
          <cell r="E97">
            <v>0</v>
          </cell>
          <cell r="F97">
            <v>8.6847892074621388E-2</v>
          </cell>
        </row>
        <row r="98">
          <cell r="B98" t="str">
            <v>Electric FAF w/ CAC - HZ23CZ23</v>
          </cell>
          <cell r="C98">
            <v>3.0407952417464763E-2</v>
          </cell>
          <cell r="D98">
            <v>0</v>
          </cell>
          <cell r="E98">
            <v>0</v>
          </cell>
          <cell r="F98">
            <v>6.4577174474630405E-2</v>
          </cell>
        </row>
        <row r="99">
          <cell r="B99" t="str">
            <v>Heat Pump - HZ1CZ1</v>
          </cell>
          <cell r="C99">
            <v>7.4095770994953139E-2</v>
          </cell>
          <cell r="D99">
            <v>1.0945836048995988E-3</v>
          </cell>
          <cell r="E99">
            <v>1.0945836048995988E-3</v>
          </cell>
          <cell r="F99">
            <v>0.11042200533666623</v>
          </cell>
        </row>
        <row r="100">
          <cell r="B100" t="str">
            <v>Heat Pump - HZ1CZ23</v>
          </cell>
          <cell r="C100">
            <v>0.1235678638282882</v>
          </cell>
          <cell r="D100">
            <v>4.9999998343195358E-2</v>
          </cell>
          <cell r="E100">
            <v>4.9999998343195358E-2</v>
          </cell>
          <cell r="F100">
            <v>0.3014354043468136</v>
          </cell>
        </row>
        <row r="101">
          <cell r="B101" t="str">
            <v>Heat Pump - HZ23CZ1</v>
          </cell>
          <cell r="C101">
            <v>0.11294117647058827</v>
          </cell>
          <cell r="D101">
            <v>0</v>
          </cell>
          <cell r="E101">
            <v>0</v>
          </cell>
          <cell r="F101">
            <v>1.6598912836278519E-2</v>
          </cell>
        </row>
        <row r="102">
          <cell r="B102" t="str">
            <v>Heat Pump - HZ23CZ23</v>
          </cell>
          <cell r="C102">
            <v>0</v>
          </cell>
          <cell r="D102">
            <v>0</v>
          </cell>
          <cell r="E102">
            <v>0</v>
          </cell>
          <cell r="F102">
            <v>7.8940309013942875E-2</v>
          </cell>
        </row>
        <row r="103">
          <cell r="B103" t="str">
            <v>Heat Pump - HZ1</v>
          </cell>
          <cell r="C103">
            <v>8.8458324594873558E-2</v>
          </cell>
          <cell r="D103">
            <v>1.2426879154171162E-2</v>
          </cell>
          <cell r="E103">
            <v>1.2426879154171162E-2</v>
          </cell>
          <cell r="F103">
            <v>0.20155463070325005</v>
          </cell>
        </row>
        <row r="104">
          <cell r="B104" t="str">
            <v>Heat Pump - HZ23</v>
          </cell>
          <cell r="C104">
            <v>9.6333066453162572E-2</v>
          </cell>
          <cell r="D104">
            <v>0</v>
          </cell>
          <cell r="E104">
            <v>0</v>
          </cell>
          <cell r="F104">
            <v>5.6279359348618191E-2</v>
          </cell>
        </row>
        <row r="105">
          <cell r="B105" t="str">
            <v>Heat Pump - Region</v>
          </cell>
          <cell r="C105">
            <v>8.9373362312324317E-2</v>
          </cell>
          <cell r="D105">
            <v>1.0692519922126772E-2</v>
          </cell>
          <cell r="E105">
            <v>1.0692519922126772E-2</v>
          </cell>
          <cell r="F105">
            <v>0.14791660671834839</v>
          </cell>
        </row>
        <row r="106">
          <cell r="B106" t="str">
            <v>Electric Zonal - HZ1CZ1</v>
          </cell>
          <cell r="C106">
            <v>6.1965327738795109E-2</v>
          </cell>
          <cell r="D106">
            <v>0.85383980263040493</v>
          </cell>
          <cell r="E106">
            <v>0.85383980263040493</v>
          </cell>
          <cell r="F106">
            <v>3.0024948086295324E-2</v>
          </cell>
        </row>
        <row r="107">
          <cell r="B107" t="str">
            <v>Electric Zonal - HZ1CZ23</v>
          </cell>
          <cell r="C107">
            <v>6.7430556561826104E-3</v>
          </cell>
          <cell r="D107">
            <v>0.73333333554240632</v>
          </cell>
          <cell r="E107">
            <v>0.73333333554240632</v>
          </cell>
          <cell r="F107">
            <v>2.9788775817665265E-2</v>
          </cell>
        </row>
        <row r="108">
          <cell r="B108" t="str">
            <v>Electric Zonal - HZ23CZ1</v>
          </cell>
          <cell r="C108">
            <v>1.4117647058823532E-2</v>
          </cell>
          <cell r="D108">
            <v>0.59999998409467525</v>
          </cell>
          <cell r="E108">
            <v>0.59999998409467525</v>
          </cell>
          <cell r="F108">
            <v>3.3197825672557038E-2</v>
          </cell>
        </row>
        <row r="109">
          <cell r="B109" t="str">
            <v>Electric Zonal - HZ23CZ23</v>
          </cell>
          <cell r="C109">
            <v>0</v>
          </cell>
          <cell r="D109">
            <v>0.77777778759587934</v>
          </cell>
          <cell r="E109">
            <v>0.77777778759587934</v>
          </cell>
          <cell r="F109">
            <v>3.9084849826646118E-2</v>
          </cell>
        </row>
        <row r="110">
          <cell r="B110" t="str">
            <v>Electric Zonal - HZ1</v>
          </cell>
          <cell r="C110">
            <v>2.0048426314096562E-2</v>
          </cell>
          <cell r="D110">
            <v>0.82591620954879041</v>
          </cell>
          <cell r="E110">
            <v>0.82591620954879041</v>
          </cell>
          <cell r="F110">
            <v>2.9912270132860779E-2</v>
          </cell>
        </row>
        <row r="111">
          <cell r="B111" t="str">
            <v>Electric Zonal - HZ23</v>
          </cell>
          <cell r="C111">
            <v>1.204163330664532E-2</v>
          </cell>
          <cell r="D111">
            <v>0.71428571563820797</v>
          </cell>
          <cell r="E111">
            <v>0.71428571563820797</v>
          </cell>
          <cell r="F111">
            <v>3.6944930507961368E-2</v>
          </cell>
        </row>
        <row r="112">
          <cell r="B112" t="str">
            <v>Electric Zonal - Region</v>
          </cell>
          <cell r="C112">
            <v>4.1178226016708668E-2</v>
          </cell>
          <cell r="D112">
            <v>0.81033648311148054</v>
          </cell>
          <cell r="E112">
            <v>0.81033648311148054</v>
          </cell>
          <cell r="F112">
            <v>3.2508844225339915E-2</v>
          </cell>
        </row>
        <row r="113">
          <cell r="B113" t="str">
            <v>DHP - HZ1CZ1</v>
          </cell>
          <cell r="C113">
            <v>0</v>
          </cell>
          <cell r="D113">
            <v>2.3692380398754449E-2</v>
          </cell>
          <cell r="E113">
            <v>2.3692380398754449E-2</v>
          </cell>
          <cell r="F113">
            <v>1.2931050080460879E-2</v>
          </cell>
        </row>
        <row r="114">
          <cell r="B114" t="str">
            <v>DHP - HZ1CZ23</v>
          </cell>
          <cell r="C114">
            <v>0</v>
          </cell>
          <cell r="D114">
            <v>0</v>
          </cell>
          <cell r="E114">
            <v>0</v>
          </cell>
          <cell r="F114">
            <v>0</v>
          </cell>
        </row>
        <row r="115">
          <cell r="B115" t="str">
            <v>DHP - HZ23CZ1</v>
          </cell>
          <cell r="C115">
            <v>0</v>
          </cell>
          <cell r="D115">
            <v>0</v>
          </cell>
          <cell r="E115">
            <v>0</v>
          </cell>
          <cell r="F115">
            <v>2.3801185576297144E-2</v>
          </cell>
        </row>
        <row r="116">
          <cell r="B116" t="str">
            <v>DHP - HZ23CZ23</v>
          </cell>
          <cell r="C116">
            <v>0</v>
          </cell>
          <cell r="D116">
            <v>0</v>
          </cell>
          <cell r="E116">
            <v>0</v>
          </cell>
          <cell r="F116">
            <v>9.4794076514498494E-3</v>
          </cell>
        </row>
        <row r="117">
          <cell r="B117" t="str">
            <v>DHP - HZ1</v>
          </cell>
          <cell r="C117">
            <v>0</v>
          </cell>
          <cell r="D117">
            <v>1.8202414545664333E-2</v>
          </cell>
          <cell r="E117">
            <v>1.8202414545664333E-2</v>
          </cell>
          <cell r="F117">
            <v>6.761637103748332E-3</v>
          </cell>
        </row>
        <row r="118">
          <cell r="B118" t="str">
            <v>DHP - HZ23</v>
          </cell>
          <cell r="C118">
            <v>0</v>
          </cell>
          <cell r="D118">
            <v>0</v>
          </cell>
          <cell r="E118">
            <v>0</v>
          </cell>
          <cell r="F118">
            <v>1.4685339962430082E-2</v>
          </cell>
        </row>
        <row r="119">
          <cell r="B119" t="str">
            <v>DHP - Region</v>
          </cell>
          <cell r="C119">
            <v>0</v>
          </cell>
          <cell r="D119">
            <v>1.5661991860200661E-2</v>
          </cell>
          <cell r="E119">
            <v>1.5661991860200661E-2</v>
          </cell>
          <cell r="F119">
            <v>9.6871987634867523E-3</v>
          </cell>
        </row>
      </sheetData>
      <sheetData sheetId="12">
        <row r="8">
          <cell r="B8" t="str">
            <v>Multifamily - Low Rise</v>
          </cell>
        </row>
        <row r="9">
          <cell r="B9" t="str">
            <v>Multifamily - High Rise</v>
          </cell>
        </row>
        <row r="10">
          <cell r="B10" t="str">
            <v>Manufactured</v>
          </cell>
        </row>
        <row r="12">
          <cell r="C12">
            <v>0</v>
          </cell>
          <cell r="D12">
            <v>0</v>
          </cell>
          <cell r="E12">
            <v>0</v>
          </cell>
          <cell r="F12">
            <v>0</v>
          </cell>
        </row>
      </sheetData>
      <sheetData sheetId="13">
        <row r="8">
          <cell r="B8" t="str">
            <v>forced air furnace saturation in heating zone 2&amp;3 cooling zone 1</v>
          </cell>
          <cell r="C8">
            <v>3</v>
          </cell>
        </row>
        <row r="9">
          <cell r="B9" t="str">
            <v>forced air furnace saturation in heating zone 2&amp;3 cooling zone 2&amp;3</v>
          </cell>
          <cell r="C9">
            <v>4</v>
          </cell>
        </row>
        <row r="10">
          <cell r="B10" t="str">
            <v>forced air furnace saturation in heating zone 1</v>
          </cell>
          <cell r="C10">
            <v>5</v>
          </cell>
        </row>
        <row r="11">
          <cell r="B11" t="str">
            <v>forced air furnace saturation in heating zone 2&amp;3</v>
          </cell>
          <cell r="C11">
            <v>6</v>
          </cell>
        </row>
        <row r="12">
          <cell r="B12" t="str">
            <v>forced air furnace saturation across region</v>
          </cell>
        </row>
        <row r="13">
          <cell r="B13" t="str">
            <v>forced air furnace saturation w/CAC in heating zone 1 cooling zone 1</v>
          </cell>
          <cell r="C13">
            <v>8</v>
          </cell>
        </row>
        <row r="14">
          <cell r="B14" t="str">
            <v>forced air furnace saturation w/CAC in heating zone 1 cooling zone 2&amp;3</v>
          </cell>
          <cell r="C14">
            <v>9</v>
          </cell>
        </row>
        <row r="15">
          <cell r="B15" t="str">
            <v>forced air furnace saturation w/CAC in heating zone 2&amp;3 cooling zone 1</v>
          </cell>
          <cell r="C15">
            <v>10</v>
          </cell>
        </row>
        <row r="16">
          <cell r="B16" t="str">
            <v>forced air furnace saturation w/CAC in heating zone 2&amp;3 cooling zone 2&amp;3</v>
          </cell>
          <cell r="C16">
            <v>11</v>
          </cell>
        </row>
        <row r="17">
          <cell r="B17" t="str">
            <v>air source heat pump saturation in heating zone 1 cooling zone 1</v>
          </cell>
          <cell r="C17">
            <v>12</v>
          </cell>
        </row>
        <row r="18">
          <cell r="B18" t="str">
            <v>air source heat pump saturation in heating zone 1 cooling zone 2&amp;3</v>
          </cell>
          <cell r="C18">
            <v>13</v>
          </cell>
        </row>
        <row r="19">
          <cell r="B19" t="str">
            <v>air source heat pump saturation in heating zone 2&amp;3 cooling zone 1</v>
          </cell>
          <cell r="C19">
            <v>14</v>
          </cell>
        </row>
        <row r="20">
          <cell r="B20" t="str">
            <v>air source heat pump saturation in heating zone 2&amp;3 cooling zone 2&amp;3</v>
          </cell>
          <cell r="C20">
            <v>15</v>
          </cell>
        </row>
        <row r="21">
          <cell r="B21" t="str">
            <v>air source heat pump saturation in heating zone 1</v>
          </cell>
        </row>
        <row r="22">
          <cell r="B22" t="str">
            <v>air source heat pump saturation in heating zone 2&amp;3</v>
          </cell>
        </row>
        <row r="23">
          <cell r="B23" t="str">
            <v>air source heat pump saturation across region</v>
          </cell>
        </row>
        <row r="24">
          <cell r="B24" t="str">
            <v>forced air furnace saturation in heating zone 1 cooling zone 1</v>
          </cell>
          <cell r="C24">
            <v>19</v>
          </cell>
        </row>
        <row r="25">
          <cell r="B25" t="str">
            <v>forced air furnace saturation in heating zone 1 cooling zone 2&amp;3</v>
          </cell>
          <cell r="C25">
            <v>20</v>
          </cell>
        </row>
        <row r="26">
          <cell r="B26" t="str">
            <v>forced air furnace saturation in heating zone 2&amp;3 cooling zone 1</v>
          </cell>
          <cell r="C26">
            <v>21</v>
          </cell>
        </row>
        <row r="27">
          <cell r="B27" t="str">
            <v>forced air furnace saturation in heating zone 2&amp;3 cooling zone 2&amp;3</v>
          </cell>
          <cell r="C27">
            <v>22</v>
          </cell>
        </row>
        <row r="28">
          <cell r="B28" t="str">
            <v>forced air furnace saturation in heating zone 1</v>
          </cell>
          <cell r="C28">
            <v>23</v>
          </cell>
        </row>
        <row r="29">
          <cell r="B29" t="str">
            <v>forced air furnace saturation in heating zone 2&amp;3</v>
          </cell>
          <cell r="C29">
            <v>24</v>
          </cell>
        </row>
        <row r="30">
          <cell r="B30" t="str">
            <v>forced air furnace saturation across region</v>
          </cell>
        </row>
        <row r="31">
          <cell r="B31" t="str">
            <v>ductless heat pump saturation in heating zone 1 cooling zone 1</v>
          </cell>
          <cell r="C31">
            <v>26</v>
          </cell>
        </row>
        <row r="32">
          <cell r="B32" t="str">
            <v>ductless heat pump saturation in heating zone 1 cooling zone 2&amp;3</v>
          </cell>
          <cell r="C32">
            <v>27</v>
          </cell>
        </row>
        <row r="33">
          <cell r="B33" t="str">
            <v>ductless heat pump saturation in heating zone 2&amp;3 cooling zone 1</v>
          </cell>
          <cell r="C33">
            <v>28</v>
          </cell>
        </row>
        <row r="34">
          <cell r="B34" t="str">
            <v>ductless heat pump saturation in heating zone 2&amp;3 cooling zone 2&amp;3</v>
          </cell>
          <cell r="C34">
            <v>29</v>
          </cell>
        </row>
        <row r="35">
          <cell r="B35" t="str">
            <v>ductless heat pump saturation in heating zone 1</v>
          </cell>
          <cell r="C35">
            <v>30</v>
          </cell>
        </row>
        <row r="36">
          <cell r="B36" t="str">
            <v>ductless heat pump saturation in heating zone 2&amp;3</v>
          </cell>
          <cell r="C36">
            <v>31</v>
          </cell>
        </row>
        <row r="37">
          <cell r="B37" t="str">
            <v>ductless heat pump saturation across region</v>
          </cell>
        </row>
        <row r="38">
          <cell r="B38" t="str">
            <v>central air conditioner saturation in cooling zone 1</v>
          </cell>
          <cell r="C38">
            <v>33</v>
          </cell>
        </row>
        <row r="39">
          <cell r="B39" t="str">
            <v>central air conditioner saturation in cooling zone 2&amp;3</v>
          </cell>
          <cell r="C39">
            <v>34</v>
          </cell>
        </row>
        <row r="40">
          <cell r="B40" t="str">
            <v>room air conditioner saturation in cooling zone 1</v>
          </cell>
          <cell r="C40">
            <v>35</v>
          </cell>
        </row>
        <row r="41">
          <cell r="B41" t="str">
            <v>room air conditioner saturation in cooling zone 2&amp;3</v>
          </cell>
          <cell r="C41">
            <v>36</v>
          </cell>
        </row>
        <row r="42">
          <cell r="B42" t="str">
            <v>Electric water heater saturation in region</v>
          </cell>
        </row>
        <row r="43">
          <cell r="B43" t="str">
            <v>Electric water heater &lt; 55 gal inside conditioned space</v>
          </cell>
          <cell r="C43">
            <v>38</v>
          </cell>
        </row>
        <row r="44">
          <cell r="B44" t="str">
            <v>Electric water heater &lt; 55 gal in buffered space</v>
          </cell>
          <cell r="C44">
            <v>39</v>
          </cell>
        </row>
        <row r="45">
          <cell r="B45" t="str">
            <v>Electric water heater &lt; 55 gal in unbuffered space</v>
          </cell>
        </row>
        <row r="46">
          <cell r="B46" t="str">
            <v>Electric water heater &gt;= 55 gal inside conditioned space</v>
          </cell>
          <cell r="C46">
            <v>41</v>
          </cell>
        </row>
        <row r="47">
          <cell r="B47" t="str">
            <v>Electric water heater &gt;= 55 gal in buffered space</v>
          </cell>
          <cell r="C47">
            <v>42</v>
          </cell>
        </row>
        <row r="48">
          <cell r="B48" t="str">
            <v>Electric water heater &gt;= 55 gal in unbuffered space</v>
          </cell>
        </row>
        <row r="49">
          <cell r="B49" t="str">
            <v>Saturation of Refrigerator in homes</v>
          </cell>
          <cell r="C49">
            <v>44</v>
          </cell>
        </row>
        <row r="50">
          <cell r="B50" t="str">
            <v>Saturation of Freezer in homes</v>
          </cell>
          <cell r="C50">
            <v>45</v>
          </cell>
        </row>
        <row r="51">
          <cell r="B51" t="str">
            <v>Saturation of Clothes Washer in homes</v>
          </cell>
          <cell r="C51">
            <v>46</v>
          </cell>
        </row>
        <row r="52">
          <cell r="B52" t="str">
            <v>Saturation of Clothes Dryer in homes</v>
          </cell>
          <cell r="C52">
            <v>47</v>
          </cell>
        </row>
        <row r="53">
          <cell r="B53" t="str">
            <v>Saturation of Dishwasher in homes</v>
          </cell>
          <cell r="C53">
            <v>48</v>
          </cell>
        </row>
        <row r="54">
          <cell r="B54" t="str">
            <v>Saturation of Microwave in homes</v>
          </cell>
          <cell r="C54">
            <v>49</v>
          </cell>
        </row>
        <row r="55">
          <cell r="B55" t="str">
            <v>Saturation of Electric Oven in homes</v>
          </cell>
          <cell r="C55">
            <v>50</v>
          </cell>
        </row>
        <row r="56">
          <cell r="B56" t="str">
            <v>Saturation of TV in homes</v>
          </cell>
          <cell r="C56">
            <v>51</v>
          </cell>
        </row>
        <row r="57">
          <cell r="B57" t="str">
            <v>Saturation of Set top box in homes</v>
          </cell>
          <cell r="C57">
            <v>52</v>
          </cell>
        </row>
        <row r="58">
          <cell r="B58" t="str">
            <v>Saturation of Computer in homes</v>
          </cell>
          <cell r="C58">
            <v>53</v>
          </cell>
        </row>
        <row r="59">
          <cell r="B59" t="str">
            <v>Saturation of Monitor in homes</v>
          </cell>
          <cell r="C59">
            <v>54</v>
          </cell>
        </row>
        <row r="60">
          <cell r="B60" t="str">
            <v>Saturation of EISA-nonexempt bulbs in homes</v>
          </cell>
          <cell r="C60">
            <v>55</v>
          </cell>
        </row>
        <row r="61">
          <cell r="B61" t="str">
            <v>Saturation of EISA-exempt bulbs in homes</v>
          </cell>
          <cell r="C61">
            <v>56</v>
          </cell>
        </row>
        <row r="62">
          <cell r="B62" t="str">
            <v>Average square feet of walls</v>
          </cell>
        </row>
        <row r="63">
          <cell r="B63" t="str">
            <v>Average square feet of attic</v>
          </cell>
        </row>
        <row r="64">
          <cell r="B64" t="str">
            <v>Average square feet of floors</v>
          </cell>
        </row>
        <row r="65">
          <cell r="B65" t="str">
            <v>Average square feet of windows</v>
          </cell>
        </row>
        <row r="66">
          <cell r="B66" t="str">
            <v>Averagetotal square feet of homes</v>
          </cell>
        </row>
        <row r="67">
          <cell r="B67" t="str">
            <v>Number of bulbs per house</v>
          </cell>
        </row>
      </sheetData>
      <sheetData sheetId="14">
        <row r="8">
          <cell r="B8" t="str">
            <v>Workshop</v>
          </cell>
          <cell r="C8" t="str">
            <v>Other</v>
          </cell>
          <cell r="D8" t="str">
            <v>Other</v>
          </cell>
          <cell r="E8" t="str">
            <v>Other</v>
          </cell>
        </row>
        <row r="9">
          <cell r="B9" t="str">
            <v>Skilled Nursing</v>
          </cell>
        </row>
        <row r="10">
          <cell r="B10" t="str">
            <v>Warehouse</v>
          </cell>
        </row>
        <row r="11">
          <cell r="B11" t="str">
            <v>Other</v>
          </cell>
        </row>
        <row r="13">
          <cell r="D13" t="str">
            <v>Characteristics</v>
          </cell>
        </row>
        <row r="14">
          <cell r="C14" t="str">
            <v>NPPC BUILDTYPE</v>
          </cell>
          <cell r="D14" t="str">
            <v>Primary Activity</v>
          </cell>
          <cell r="E14" t="str">
            <v>Gross Floor Area</v>
          </cell>
          <cell r="F14" t="str">
            <v>Number of Stories</v>
          </cell>
        </row>
        <row r="15">
          <cell r="C15" t="str">
            <v>Large Off</v>
          </cell>
          <cell r="D15" t="str">
            <v>Office</v>
          </cell>
          <cell r="E15" t="str">
            <v>&gt; 100,000</v>
          </cell>
          <cell r="F15" t="str">
            <v>Any</v>
          </cell>
        </row>
        <row r="16">
          <cell r="C16" t="str">
            <v>Medium Off</v>
          </cell>
          <cell r="D16" t="str">
            <v>Office</v>
          </cell>
          <cell r="E16" t="str">
            <v>20,000 to 100,000</v>
          </cell>
          <cell r="F16" t="str">
            <v>Any</v>
          </cell>
        </row>
        <row r="17">
          <cell r="C17" t="str">
            <v>Small Off</v>
          </cell>
          <cell r="D17" t="str">
            <v>Office</v>
          </cell>
          <cell r="E17" t="str">
            <v>&lt; 20,000</v>
          </cell>
          <cell r="F17" t="str">
            <v>Any</v>
          </cell>
        </row>
        <row r="18">
          <cell r="C18" t="str">
            <v>Big Box</v>
          </cell>
          <cell r="D18" t="str">
            <v>Retail</v>
          </cell>
          <cell r="E18" t="str">
            <v>&gt; 50,000</v>
          </cell>
          <cell r="F18">
            <v>1</v>
          </cell>
        </row>
        <row r="19">
          <cell r="C19" t="str">
            <v>Small Box</v>
          </cell>
          <cell r="D19" t="str">
            <v>Retail</v>
          </cell>
          <cell r="E19" t="str">
            <v>&lt;50,000</v>
          </cell>
          <cell r="F19">
            <v>1</v>
          </cell>
        </row>
        <row r="20">
          <cell r="C20" t="str">
            <v>High End</v>
          </cell>
          <cell r="D20" t="str">
            <v>Retail</v>
          </cell>
          <cell r="E20" t="str">
            <v>&lt; 20,000</v>
          </cell>
          <cell r="F20">
            <v>1</v>
          </cell>
        </row>
        <row r="21">
          <cell r="C21" t="str">
            <v>Anchor</v>
          </cell>
          <cell r="D21" t="str">
            <v>Retail</v>
          </cell>
          <cell r="E21" t="str">
            <v>&gt; 50,000</v>
          </cell>
          <cell r="F21" t="str">
            <v>&gt;1</v>
          </cell>
        </row>
        <row r="22">
          <cell r="C22" t="str">
            <v>K-12</v>
          </cell>
          <cell r="D22" t="str">
            <v>School</v>
          </cell>
          <cell r="E22" t="str">
            <v>Any</v>
          </cell>
          <cell r="F22" t="str">
            <v>Any</v>
          </cell>
        </row>
        <row r="23">
          <cell r="C23" t="str">
            <v>University</v>
          </cell>
          <cell r="D23" t="str">
            <v>School</v>
          </cell>
          <cell r="E23" t="str">
            <v>Any</v>
          </cell>
          <cell r="F23" t="str">
            <v>Any</v>
          </cell>
        </row>
        <row r="24">
          <cell r="C24" t="str">
            <v>Warehouse</v>
          </cell>
          <cell r="D24" t="str">
            <v>Warehouse</v>
          </cell>
          <cell r="E24" t="str">
            <v>Any</v>
          </cell>
          <cell r="F24" t="str">
            <v>Any</v>
          </cell>
        </row>
        <row r="25">
          <cell r="C25" t="str">
            <v>Supermarket</v>
          </cell>
          <cell r="D25" t="str">
            <v>Retail Food</v>
          </cell>
          <cell r="E25" t="str">
            <v>&gt; 5000</v>
          </cell>
          <cell r="F25" t="str">
            <v>Any</v>
          </cell>
        </row>
        <row r="26">
          <cell r="C26" t="str">
            <v>MIniMart</v>
          </cell>
          <cell r="D26" t="str">
            <v>Retail Food</v>
          </cell>
          <cell r="E26" t="str">
            <v>&lt;= 5000</v>
          </cell>
          <cell r="F26" t="str">
            <v>Any</v>
          </cell>
        </row>
        <row r="27">
          <cell r="C27" t="str">
            <v>Restaurant</v>
          </cell>
          <cell r="D27" t="str">
            <v>Retail Food</v>
          </cell>
          <cell r="E27" t="str">
            <v>Any</v>
          </cell>
          <cell r="F27" t="str">
            <v>Any</v>
          </cell>
        </row>
        <row r="28">
          <cell r="C28" t="str">
            <v>Lodging</v>
          </cell>
          <cell r="D28" t="str">
            <v>Lodging</v>
          </cell>
          <cell r="E28" t="str">
            <v>Any</v>
          </cell>
          <cell r="F28" t="str">
            <v>Any</v>
          </cell>
        </row>
        <row r="29">
          <cell r="C29" t="str">
            <v>Hospital</v>
          </cell>
          <cell r="D29" t="str">
            <v>Health Care</v>
          </cell>
          <cell r="E29" t="str">
            <v>Any</v>
          </cell>
          <cell r="F29" t="str">
            <v>Any</v>
          </cell>
        </row>
        <row r="30">
          <cell r="C30" t="str">
            <v>OtherHealth</v>
          </cell>
          <cell r="D30" t="str">
            <v>Health Care</v>
          </cell>
          <cell r="E30" t="str">
            <v>Any</v>
          </cell>
          <cell r="F30" t="str">
            <v>Any</v>
          </cell>
        </row>
        <row r="31">
          <cell r="C31" t="str">
            <v>Other</v>
          </cell>
          <cell r="D31" t="str">
            <v>Other</v>
          </cell>
          <cell r="E31" t="str">
            <v>Any</v>
          </cell>
          <cell r="F31" t="str">
            <v>Any</v>
          </cell>
        </row>
      </sheetData>
      <sheetData sheetId="15">
        <row r="8">
          <cell r="C8" t="str">
            <v>OR new homes</v>
          </cell>
        </row>
        <row r="9">
          <cell r="C9" t="str">
            <v>OR existing homes</v>
          </cell>
        </row>
        <row r="10">
          <cell r="C10" t="str">
            <v>WA new homes</v>
          </cell>
        </row>
        <row r="11">
          <cell r="C11" t="str">
            <v>WA existing homes</v>
          </cell>
        </row>
        <row r="12">
          <cell r="C12" t="str">
            <v>Region new homes</v>
          </cell>
        </row>
        <row r="13">
          <cell r="C13" t="str">
            <v>Region existing homes</v>
          </cell>
        </row>
      </sheetData>
      <sheetData sheetId="16">
        <row r="8">
          <cell r="B8" t="str">
            <v>Electric FAF - HZ1</v>
          </cell>
        </row>
        <row r="9">
          <cell r="B9" t="str">
            <v>Electric FAF - HZ23</v>
          </cell>
        </row>
        <row r="10">
          <cell r="B10" t="str">
            <v>Electric FAF - Region</v>
          </cell>
        </row>
        <row r="11">
          <cell r="B11" t="str">
            <v>Electric FAF w/ CAC - HZ1CZ1</v>
          </cell>
        </row>
        <row r="12">
          <cell r="B12" t="str">
            <v>Electric FAF w/ CAC - HZ1CZ23</v>
          </cell>
        </row>
        <row r="13">
          <cell r="B13" t="str">
            <v>Electric FAF w/ CAC - HZ23CZ1</v>
          </cell>
        </row>
        <row r="14">
          <cell r="B14" t="str">
            <v>Electric FAF w/ CAC - HZ23CZ23</v>
          </cell>
        </row>
        <row r="15">
          <cell r="B15" t="str">
            <v>Heat Pump - HZ1CZ1</v>
          </cell>
        </row>
        <row r="16">
          <cell r="B16" t="str">
            <v>Heat Pump - HZ1CZ23</v>
          </cell>
        </row>
        <row r="17">
          <cell r="B17" t="str">
            <v>Heat Pump - HZ23CZ1</v>
          </cell>
        </row>
        <row r="18">
          <cell r="B18" t="str">
            <v>Heat Pump - HZ23CZ23</v>
          </cell>
        </row>
        <row r="19">
          <cell r="B19" t="str">
            <v>Heat Pump - HZ1</v>
          </cell>
        </row>
        <row r="20">
          <cell r="B20" t="str">
            <v>Heat Pump - HZ23</v>
          </cell>
        </row>
        <row r="21">
          <cell r="B21" t="str">
            <v>Heat Pump - Region</v>
          </cell>
        </row>
        <row r="22">
          <cell r="B22" t="str">
            <v>Electric Zonal - HZ1CZ1</v>
          </cell>
        </row>
        <row r="23">
          <cell r="B23" t="str">
            <v>Electric Zonal - HZ1CZ23</v>
          </cell>
        </row>
        <row r="24">
          <cell r="B24" t="str">
            <v>Electric Zonal - HZ23CZ1</v>
          </cell>
        </row>
        <row r="25">
          <cell r="B25" t="str">
            <v>Electric Zonal - HZ23CZ23</v>
          </cell>
        </row>
        <row r="26">
          <cell r="B26" t="str">
            <v>Electric Zonal - HZ1</v>
          </cell>
        </row>
        <row r="27">
          <cell r="B27" t="str">
            <v>Electric Zonal - HZ23</v>
          </cell>
        </row>
        <row r="28">
          <cell r="B28" t="str">
            <v>Electric Zonal - Region</v>
          </cell>
        </row>
        <row r="29">
          <cell r="B29" t="str">
            <v>DHP - HZ1CZ1</v>
          </cell>
        </row>
        <row r="30">
          <cell r="B30" t="str">
            <v>DHP - HZ1CZ23</v>
          </cell>
        </row>
        <row r="31">
          <cell r="B31" t="str">
            <v>DHP - HZ23CZ1</v>
          </cell>
        </row>
        <row r="32">
          <cell r="B32" t="str">
            <v>DHP - HZ23CZ23</v>
          </cell>
        </row>
        <row r="33">
          <cell r="B33" t="str">
            <v>DHP - HZ1</v>
          </cell>
        </row>
        <row r="34">
          <cell r="B34" t="str">
            <v>DHP - HZ23</v>
          </cell>
        </row>
        <row r="35">
          <cell r="B35" t="str">
            <v>DHP - Region</v>
          </cell>
        </row>
        <row r="36">
          <cell r="B36" t="str">
            <v>Central AC - CZ1</v>
          </cell>
        </row>
        <row r="37">
          <cell r="B37" t="str">
            <v>Central AC - CZ23</v>
          </cell>
        </row>
        <row r="38">
          <cell r="B38" t="str">
            <v>Room A/C - CZ1</v>
          </cell>
        </row>
        <row r="39">
          <cell r="B39" t="str">
            <v>Room A/C - CZ23</v>
          </cell>
        </row>
        <row r="40">
          <cell r="B40" t="str">
            <v>DWH &lt;55 inside</v>
          </cell>
        </row>
        <row r="41">
          <cell r="B41" t="str">
            <v>DHW &lt;55 outside buffer</v>
          </cell>
        </row>
        <row r="42">
          <cell r="B42" t="str">
            <v>DHW &lt; 55 outside unbuffer</v>
          </cell>
        </row>
        <row r="43">
          <cell r="B43" t="str">
            <v>DHW &gt;55 inside</v>
          </cell>
        </row>
        <row r="44">
          <cell r="B44" t="str">
            <v>DHW &gt;55 outside buffer</v>
          </cell>
        </row>
        <row r="45">
          <cell r="B45" t="str">
            <v>DHW &gt;55 outside unbuffer</v>
          </cell>
        </row>
        <row r="46">
          <cell r="B46" t="str">
            <v>Refrigerator</v>
          </cell>
        </row>
        <row r="47">
          <cell r="B47" t="str">
            <v>Freezer</v>
          </cell>
        </row>
        <row r="48">
          <cell r="B48" t="str">
            <v>Clothes Washer</v>
          </cell>
        </row>
        <row r="49">
          <cell r="B49" t="str">
            <v>Clothes Dryer</v>
          </cell>
        </row>
        <row r="50">
          <cell r="B50" t="str">
            <v>Dishwasher</v>
          </cell>
        </row>
        <row r="51">
          <cell r="B51" t="str">
            <v>Microwave</v>
          </cell>
        </row>
        <row r="52">
          <cell r="B52" t="str">
            <v>Electric Oven</v>
          </cell>
        </row>
        <row r="53">
          <cell r="B53" t="str">
            <v>Computer</v>
          </cell>
        </row>
        <row r="54">
          <cell r="B54" t="str">
            <v>Monitor</v>
          </cell>
        </row>
        <row r="55">
          <cell r="B55" t="str">
            <v>EISA nx</v>
          </cell>
        </row>
        <row r="56">
          <cell r="B56" t="str">
            <v>EISA x</v>
          </cell>
        </row>
        <row r="57">
          <cell r="B57" t="str">
            <v>WallSqft</v>
          </cell>
        </row>
        <row r="58">
          <cell r="B58" t="str">
            <v>AtticSqft</v>
          </cell>
        </row>
        <row r="59">
          <cell r="B59" t="str">
            <v>FloorSqft</v>
          </cell>
        </row>
        <row r="60">
          <cell r="B60" t="str">
            <v>WindowSqft</v>
          </cell>
        </row>
        <row r="61">
          <cell r="B61" t="str">
            <v>HomeSqft</v>
          </cell>
        </row>
        <row r="62">
          <cell r="B62" t="str">
            <v>Lighting</v>
          </cell>
        </row>
        <row r="63">
          <cell r="B63">
            <v>0</v>
          </cell>
        </row>
        <row r="64">
          <cell r="B64">
            <v>0</v>
          </cell>
        </row>
        <row r="65">
          <cell r="B65">
            <v>0</v>
          </cell>
        </row>
        <row r="66">
          <cell r="B66">
            <v>0</v>
          </cell>
        </row>
        <row r="67">
          <cell r="B67">
            <v>0</v>
          </cell>
        </row>
        <row r="68">
          <cell r="B68">
            <v>0</v>
          </cell>
        </row>
      </sheetData>
      <sheetData sheetId="17">
        <row r="8">
          <cell r="B8" t="str">
            <v>HVAC</v>
          </cell>
          <cell r="C8" t="str">
            <v>Envelope</v>
          </cell>
          <cell r="D8" t="str">
            <v>Insulation</v>
          </cell>
          <cell r="E8" t="str">
            <v>Attic Insulation</v>
          </cell>
          <cell r="F8" t="str">
            <v>Low/No insulation</v>
          </cell>
        </row>
        <row r="9">
          <cell r="B9" t="str">
            <v>HVAC</v>
          </cell>
          <cell r="C9" t="str">
            <v>Envelope</v>
          </cell>
          <cell r="D9" t="str">
            <v>Insulation</v>
          </cell>
          <cell r="E9" t="str">
            <v>Wall Insulation</v>
          </cell>
          <cell r="F9" t="str">
            <v>Low/No insulation</v>
          </cell>
        </row>
        <row r="10">
          <cell r="B10" t="str">
            <v>HVAC</v>
          </cell>
          <cell r="C10" t="str">
            <v>Envelope</v>
          </cell>
          <cell r="D10" t="str">
            <v>Insulation</v>
          </cell>
          <cell r="E10" t="str">
            <v xml:space="preserve">Floor Insulation </v>
          </cell>
          <cell r="F10" t="str">
            <v>Low/No insulation</v>
          </cell>
        </row>
        <row r="11">
          <cell r="B11" t="str">
            <v>HVAC</v>
          </cell>
          <cell r="C11" t="str">
            <v>Envelope</v>
          </cell>
          <cell r="D11" t="str">
            <v>Insulation</v>
          </cell>
          <cell r="E11" t="str">
            <v>Windows</v>
          </cell>
          <cell r="F11" t="str">
            <v>Single/Double Pane</v>
          </cell>
        </row>
        <row r="12">
          <cell r="B12" t="str">
            <v>HVAC</v>
          </cell>
          <cell r="C12" t="str">
            <v>Envelope</v>
          </cell>
          <cell r="D12" t="str">
            <v>Insulation</v>
          </cell>
          <cell r="E12" t="str">
            <v>Infiltration</v>
          </cell>
          <cell r="F12" t="str">
            <v>High leakage</v>
          </cell>
        </row>
        <row r="13">
          <cell r="B13" t="str">
            <v>HVAC</v>
          </cell>
          <cell r="C13" t="str">
            <v>Envelope</v>
          </cell>
          <cell r="D13" t="str">
            <v>Insulation</v>
          </cell>
          <cell r="E13" t="str">
            <v>Attic Insulation</v>
          </cell>
          <cell r="F13" t="str">
            <v>Code-avg</v>
          </cell>
        </row>
        <row r="14">
          <cell r="B14" t="str">
            <v>HVAC</v>
          </cell>
          <cell r="C14" t="str">
            <v>Envelope</v>
          </cell>
          <cell r="D14" t="str">
            <v>Insulation</v>
          </cell>
          <cell r="E14" t="str">
            <v>Wall Insulation</v>
          </cell>
          <cell r="F14" t="str">
            <v>Code-avg</v>
          </cell>
        </row>
        <row r="15">
          <cell r="B15" t="str">
            <v>HVAC</v>
          </cell>
          <cell r="C15" t="str">
            <v>Envelope</v>
          </cell>
          <cell r="D15" t="str">
            <v>Insulation</v>
          </cell>
          <cell r="E15" t="str">
            <v xml:space="preserve">Floor Insulation </v>
          </cell>
          <cell r="F15" t="str">
            <v>Code-avg</v>
          </cell>
        </row>
        <row r="16">
          <cell r="B16" t="str">
            <v>HVAC</v>
          </cell>
          <cell r="C16" t="str">
            <v>Envelope</v>
          </cell>
          <cell r="D16" t="str">
            <v>Insulation</v>
          </cell>
          <cell r="E16" t="str">
            <v>Windows</v>
          </cell>
          <cell r="F16" t="str">
            <v>Code-avg</v>
          </cell>
        </row>
        <row r="17">
          <cell r="B17" t="str">
            <v>HVAC</v>
          </cell>
          <cell r="C17" t="str">
            <v>Envelope</v>
          </cell>
          <cell r="D17" t="str">
            <v>Insulation</v>
          </cell>
          <cell r="E17" t="str">
            <v>Infiltration</v>
          </cell>
          <cell r="F17" t="str">
            <v>Code-avg</v>
          </cell>
        </row>
        <row r="18">
          <cell r="B18" t="str">
            <v>HVAC</v>
          </cell>
          <cell r="C18" t="str">
            <v>Heat Recovery</v>
          </cell>
          <cell r="D18" t="str">
            <v>Heat Recovery Improvements</v>
          </cell>
          <cell r="E18" t="str">
            <v>HRV</v>
          </cell>
          <cell r="F18" t="str">
            <v>Natural Ventilation</v>
          </cell>
        </row>
        <row r="19">
          <cell r="B19" t="str">
            <v>HVAC</v>
          </cell>
          <cell r="C19" t="str">
            <v>HVAC System</v>
          </cell>
          <cell r="D19" t="str">
            <v>Variable Speed Heat Pumps</v>
          </cell>
          <cell r="E19" t="str">
            <v>VS ASHP 12.0 HSPF/18 SEER + PTCS</v>
          </cell>
          <cell r="F19" t="str">
            <v>8.5HSPF/14SEER</v>
          </cell>
        </row>
        <row r="20">
          <cell r="B20" t="str">
            <v>HVAC</v>
          </cell>
          <cell r="C20" t="str">
            <v>HVAC System</v>
          </cell>
          <cell r="D20" t="str">
            <v>Air Source Heat Pump</v>
          </cell>
          <cell r="E20" t="str">
            <v>ASHP 9.0 HSPF/14 SEER</v>
          </cell>
          <cell r="F20" t="str">
            <v>8.5HSPF/14SEER</v>
          </cell>
        </row>
        <row r="21">
          <cell r="B21" t="str">
            <v>HVAC</v>
          </cell>
          <cell r="C21" t="str">
            <v>HVAC System</v>
          </cell>
          <cell r="D21" t="str">
            <v>Air Source Heat Pump</v>
          </cell>
          <cell r="E21" t="str">
            <v>ASHP 8.5 HSPF/14 SEER</v>
          </cell>
          <cell r="F21" t="str">
            <v>Electric FAF</v>
          </cell>
        </row>
        <row r="22">
          <cell r="B22" t="str">
            <v>HVAC</v>
          </cell>
          <cell r="C22" t="str">
            <v>HVAC System</v>
          </cell>
          <cell r="D22" t="str">
            <v>Ductless Heat Pump</v>
          </cell>
          <cell r="E22" t="str">
            <v>DHP 9.5 HSPF</v>
          </cell>
          <cell r="F22" t="str">
            <v>Zonal</v>
          </cell>
        </row>
        <row r="23">
          <cell r="B23" t="str">
            <v>HVAC</v>
          </cell>
          <cell r="C23" t="str">
            <v>HVAC System</v>
          </cell>
          <cell r="D23" t="str">
            <v>Ductless Heat Pump</v>
          </cell>
          <cell r="E23" t="str">
            <v>DHP 9.5 HSPF</v>
          </cell>
          <cell r="F23" t="str">
            <v>Electric FAF</v>
          </cell>
        </row>
        <row r="24">
          <cell r="B24" t="str">
            <v>HVAC</v>
          </cell>
          <cell r="C24" t="str">
            <v>HVAC System</v>
          </cell>
          <cell r="D24" t="str">
            <v>Duct Sealing</v>
          </cell>
          <cell r="E24" t="str">
            <v>PTCS-level sealing</v>
          </cell>
          <cell r="F24" t="str">
            <v>Leaky ducts</v>
          </cell>
        </row>
        <row r="25">
          <cell r="B25" t="str">
            <v>HVAC</v>
          </cell>
          <cell r="C25" t="str">
            <v>HVAC System</v>
          </cell>
          <cell r="D25" t="str">
            <v>Furnace Fan</v>
          </cell>
          <cell r="E25" t="str">
            <v>BPM motor</v>
          </cell>
          <cell r="F25" t="str">
            <v>PSC motor</v>
          </cell>
        </row>
        <row r="26">
          <cell r="B26" t="str">
            <v>HVAC</v>
          </cell>
          <cell r="C26" t="str">
            <v>HVAC System</v>
          </cell>
          <cell r="D26" t="str">
            <v>Whole House Fan</v>
          </cell>
          <cell r="E26" t="str">
            <v>Whole House Fan</v>
          </cell>
          <cell r="F26" t="str">
            <v>No Fan</v>
          </cell>
        </row>
        <row r="27">
          <cell r="B27" t="str">
            <v>HVAC</v>
          </cell>
          <cell r="C27" t="str">
            <v>HVAC System Controls</v>
          </cell>
          <cell r="D27" t="str">
            <v>Thermostats</v>
          </cell>
          <cell r="E27" t="str">
            <v>WIFI enabled tstats</v>
          </cell>
          <cell r="F27" t="str">
            <v>Manual thermostat</v>
          </cell>
        </row>
        <row r="28">
          <cell r="B28" t="str">
            <v>HVAC/Water Heating</v>
          </cell>
          <cell r="C28" t="str">
            <v>HVAC System/Water Heaters</v>
          </cell>
          <cell r="D28" t="str">
            <v>Combo DHP/HPWH units</v>
          </cell>
          <cell r="E28" t="str">
            <v>DHP + HPWH</v>
          </cell>
          <cell r="F28" t="str">
            <v>ER space heat/0.95 EF WH</v>
          </cell>
        </row>
        <row r="29">
          <cell r="B29" t="str">
            <v>Lighting</v>
          </cell>
          <cell r="C29" t="str">
            <v>Lamps/Fixtures</v>
          </cell>
          <cell r="D29" t="str">
            <v>Lamps</v>
          </cell>
          <cell r="E29" t="str">
            <v>LED/CFL Standard</v>
          </cell>
          <cell r="F29" t="str">
            <v>EISA 2014 &amp; 2020</v>
          </cell>
        </row>
        <row r="30">
          <cell r="B30" t="str">
            <v>Lighting</v>
          </cell>
          <cell r="C30" t="str">
            <v>Lamps/Fixtures</v>
          </cell>
          <cell r="D30" t="str">
            <v>Lamps</v>
          </cell>
          <cell r="E30" t="str">
            <v>LED/CFL Specialty</v>
          </cell>
          <cell r="F30" t="str">
            <v>Incandescent</v>
          </cell>
        </row>
        <row r="31">
          <cell r="B31" t="str">
            <v>Lighting</v>
          </cell>
          <cell r="C31" t="str">
            <v>Lighting Controls</v>
          </cell>
          <cell r="D31" t="str">
            <v>Lighting Controls</v>
          </cell>
          <cell r="E31" t="str">
            <v>Daylighting/Occ Sensors</v>
          </cell>
          <cell r="F31" t="str">
            <v>No Controls</v>
          </cell>
        </row>
        <row r="32">
          <cell r="B32" t="str">
            <v>Motors/Drives</v>
          </cell>
          <cell r="C32" t="str">
            <v>Motors/Drives Controls</v>
          </cell>
          <cell r="D32" t="str">
            <v>Motors/Drives Control Improvements (VFD)</v>
          </cell>
          <cell r="E32" t="str">
            <v>VSD Pump for well water</v>
          </cell>
          <cell r="F32" t="str">
            <v>Single-Speed Motor</v>
          </cell>
        </row>
        <row r="33">
          <cell r="B33" t="str">
            <v>Refrigeration</v>
          </cell>
          <cell r="C33" t="str">
            <v>Freezers</v>
          </cell>
          <cell r="D33" t="str">
            <v>Freezers</v>
          </cell>
          <cell r="E33" t="str">
            <v>ENERGY STAR freezer</v>
          </cell>
          <cell r="F33" t="str">
            <v>Fed Std 2014</v>
          </cell>
        </row>
        <row r="34">
          <cell r="B34" t="str">
            <v>Refrigeration</v>
          </cell>
          <cell r="C34" t="str">
            <v>Refrigerators</v>
          </cell>
          <cell r="D34" t="str">
            <v>Refrigerators</v>
          </cell>
          <cell r="E34" t="str">
            <v>ENERGY STAR fridge</v>
          </cell>
          <cell r="F34" t="str">
            <v>Fed Std 2014</v>
          </cell>
        </row>
        <row r="35">
          <cell r="B35" t="str">
            <v>Water Heating</v>
          </cell>
          <cell r="C35" t="str">
            <v>Pipe Insulation</v>
          </cell>
          <cell r="D35" t="str">
            <v>Pipe Insulation</v>
          </cell>
          <cell r="E35" t="str">
            <v>R4 insulation</v>
          </cell>
          <cell r="F35" t="str">
            <v>No Insulation</v>
          </cell>
        </row>
        <row r="36">
          <cell r="B36" t="str">
            <v>Water Heating</v>
          </cell>
          <cell r="C36" t="str">
            <v>Water Heaters</v>
          </cell>
          <cell r="D36" t="str">
            <v>Drain Water Heat Recovery</v>
          </cell>
          <cell r="E36" t="str">
            <v>Heat recovery unit</v>
          </cell>
          <cell r="F36" t="str">
            <v>No Heat Recovery</v>
          </cell>
        </row>
        <row r="37">
          <cell r="B37" t="str">
            <v>Water Heating</v>
          </cell>
          <cell r="C37" t="str">
            <v>Water Heaters</v>
          </cell>
          <cell r="D37" t="str">
            <v>Heat Pump Water Heaters</v>
          </cell>
          <cell r="E37" t="str">
            <v>HPWH Tier 1+</v>
          </cell>
          <cell r="F37" t="str">
            <v>0.95 EF WH</v>
          </cell>
        </row>
        <row r="38">
          <cell r="B38" t="str">
            <v>Water Heating</v>
          </cell>
          <cell r="C38" t="str">
            <v>Water Heaters</v>
          </cell>
          <cell r="D38" t="str">
            <v>Solar Water Heaters</v>
          </cell>
          <cell r="E38" t="str">
            <v>SRCC certified SWH</v>
          </cell>
          <cell r="F38" t="str">
            <v>Standard WH</v>
          </cell>
        </row>
        <row r="39">
          <cell r="B39" t="str">
            <v>Water Heating</v>
          </cell>
          <cell r="C39" t="str">
            <v>Water Using Devices</v>
          </cell>
          <cell r="D39" t="str">
            <v>Dishwashers</v>
          </cell>
          <cell r="E39" t="str">
            <v>ENERGY STAR Dishwasher</v>
          </cell>
          <cell r="F39" t="str">
            <v>Fed Std 2013</v>
          </cell>
        </row>
        <row r="40">
          <cell r="B40" t="str">
            <v>Water Heating</v>
          </cell>
          <cell r="C40" t="str">
            <v>Water Using Devices</v>
          </cell>
          <cell r="D40" t="str">
            <v>Clothes Washers</v>
          </cell>
          <cell r="E40" t="str">
            <v>ENERGY STAR Clothes Washer</v>
          </cell>
          <cell r="F40" t="str">
            <v>Fed Std 2015</v>
          </cell>
        </row>
        <row r="41">
          <cell r="B41" t="str">
            <v>Water Heating</v>
          </cell>
          <cell r="C41" t="str">
            <v>Water Using Devices</v>
          </cell>
          <cell r="D41" t="str">
            <v>Showerheads</v>
          </cell>
          <cell r="E41" t="str">
            <v>1.5 GPM</v>
          </cell>
          <cell r="F41" t="str">
            <v>2.5 GPM</v>
          </cell>
        </row>
        <row r="42">
          <cell r="B42" t="str">
            <v>Water Heating</v>
          </cell>
          <cell r="C42" t="str">
            <v>Water Using Devices</v>
          </cell>
          <cell r="D42" t="str">
            <v>Aerators</v>
          </cell>
          <cell r="E42" t="str">
            <v>1.0 GPM</v>
          </cell>
          <cell r="F42" t="str">
            <v>2.5 GPM</v>
          </cell>
        </row>
        <row r="43">
          <cell r="B43" t="str">
            <v>Whole Bldg/Meter Level</v>
          </cell>
          <cell r="C43" t="str">
            <v>Whole Bldg/Meter Level System Improvements</v>
          </cell>
          <cell r="D43" t="str">
            <v>Photovoltaics</v>
          </cell>
          <cell r="E43" t="str">
            <v>PV system</v>
          </cell>
          <cell r="F43" t="str">
            <v>No PV system</v>
          </cell>
        </row>
        <row r="44">
          <cell r="B44" t="str">
            <v>Whole Bldg/Meter Level</v>
          </cell>
          <cell r="C44" t="str">
            <v>Whole Bldg/Meter Level System Improvements</v>
          </cell>
          <cell r="D44" t="str">
            <v>Behavioral</v>
          </cell>
          <cell r="E44" t="str">
            <v>Home Energy Reports</v>
          </cell>
          <cell r="F44" t="str">
            <v>No Report</v>
          </cell>
        </row>
        <row r="45">
          <cell r="B45" t="str">
            <v>Whole Bldg/Meter Level</v>
          </cell>
          <cell r="C45" t="str">
            <v>Whole Bldg/Meter Level System Improvements</v>
          </cell>
          <cell r="D45" t="str">
            <v>Automation</v>
          </cell>
          <cell r="E45" t="str">
            <v>Smart Devices</v>
          </cell>
          <cell r="F45" t="str">
            <v>Standard Home</v>
          </cell>
        </row>
        <row r="46">
          <cell r="B46" t="str">
            <v>Electronics</v>
          </cell>
          <cell r="C46" t="str">
            <v>Plug Load</v>
          </cell>
          <cell r="D46" t="str">
            <v>Electric Vehicle Supply Equipment</v>
          </cell>
          <cell r="E46" t="str">
            <v>Efficient EVSE</v>
          </cell>
          <cell r="F46" t="str">
            <v>Standard EVSE</v>
          </cell>
        </row>
        <row r="47">
          <cell r="B47" t="str">
            <v>HVAC</v>
          </cell>
          <cell r="C47" t="str">
            <v>HVAC System</v>
          </cell>
          <cell r="D47" t="str">
            <v>Geothermal Heat Pump</v>
          </cell>
          <cell r="E47" t="str">
            <v>ENERGY STAR qualified</v>
          </cell>
          <cell r="F47" t="str">
            <v>ASHP</v>
          </cell>
        </row>
        <row r="48">
          <cell r="B48" t="str">
            <v>HVAC</v>
          </cell>
          <cell r="C48" t="str">
            <v>HVAC System</v>
          </cell>
          <cell r="D48" t="str">
            <v>Commissioning Controls Sizing</v>
          </cell>
          <cell r="E48" t="str">
            <v>Controls Commissioning &amp; Sizing</v>
          </cell>
          <cell r="F48" t="str">
            <v>Standard installation</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F"/>
      <sheetName val="MF"/>
      <sheetName val="MH"/>
      <sheetName val="SF Estimates"/>
      <sheetName val="MH_Estimates"/>
      <sheetName val="MF_Estimates"/>
      <sheetName val="Estimates"/>
      <sheetName val="RBSA Saturations"/>
    </sheetNames>
    <sheetDataSet>
      <sheetData sheetId="0">
        <row r="12">
          <cell r="I12">
            <v>6.8910359437455118E-2</v>
          </cell>
        </row>
      </sheetData>
      <sheetData sheetId="1">
        <row r="11">
          <cell r="I11">
            <v>2.9671514740017984E-2</v>
          </cell>
        </row>
        <row r="42">
          <cell r="L42">
            <v>2.8699855704800672E-2</v>
          </cell>
        </row>
        <row r="45">
          <cell r="L45">
            <v>6.7745759632013416E-2</v>
          </cell>
        </row>
      </sheetData>
      <sheetData sheetId="2">
        <row r="12">
          <cell r="I12">
            <v>0.68310644913823848</v>
          </cell>
        </row>
      </sheetData>
      <sheetData sheetId="3">
        <row r="4">
          <cell r="T4">
            <v>0.43481214645857158</v>
          </cell>
        </row>
      </sheetData>
      <sheetData sheetId="4"/>
      <sheetData sheetId="5">
        <row r="8">
          <cell r="U8">
            <v>0.88103855953347165</v>
          </cell>
          <cell r="AB8">
            <v>0.92129049708007305</v>
          </cell>
          <cell r="AC8">
            <v>3.6696351091910953E-2</v>
          </cell>
          <cell r="AD8">
            <v>1.8522654825686893E-2</v>
          </cell>
          <cell r="AE8">
            <v>2.3490497002329143E-2</v>
          </cell>
        </row>
        <row r="22">
          <cell r="AB22">
            <v>0.68450854702444841</v>
          </cell>
          <cell r="AC22">
            <v>1</v>
          </cell>
          <cell r="AD22">
            <v>1</v>
          </cell>
          <cell r="AE22">
            <v>0.59792533212714805</v>
          </cell>
        </row>
        <row r="23">
          <cell r="AB23">
            <v>0.22937589745883932</v>
          </cell>
          <cell r="AC23">
            <v>0</v>
          </cell>
          <cell r="AD23">
            <v>0</v>
          </cell>
          <cell r="AE23">
            <v>0.4020746678728519</v>
          </cell>
        </row>
        <row r="24">
          <cell r="AB24">
            <v>8.6115555516712267E-2</v>
          </cell>
          <cell r="AC24">
            <v>0</v>
          </cell>
          <cell r="AD24">
            <v>0</v>
          </cell>
          <cell r="AE24">
            <v>0</v>
          </cell>
        </row>
      </sheetData>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Tina Jayaweera" refreshedDate="41947.617095833331" createdVersion="3" refreshedVersion="3" minRefreshableVersion="3" recordCount="629">
  <cacheSource type="worksheet">
    <worksheetSource ref="A2:K1404" sheet="Attic"/>
  </cacheSource>
  <cacheFields count="12">
    <cacheField name="siteid" numFmtId="0">
      <sharedItems containsString="0" containsBlank="1" containsNumber="1" containsInteger="1" minValue="128" maxValue="80061"/>
    </cacheField>
    <cacheField name="component_it" numFmtId="0">
      <sharedItems containsBlank="1"/>
    </cacheField>
    <cacheField name="atticceil_it" numFmtId="0">
      <sharedItems containsString="0" containsBlank="1" containsNumber="1" containsInteger="1" minValue="1" maxValue="2"/>
    </cacheField>
    <cacheField name="AtticInsLvl" numFmtId="0">
      <sharedItems containsBlank="1" count="9">
        <s v="R31-R40"/>
        <s v="R21-25"/>
        <s v="R16-R20"/>
        <s v="R0-R10"/>
        <s v="R41-R50"/>
        <s v="R11-R15"/>
        <s v="R26-R30"/>
        <s v="R50+"/>
        <m/>
      </sharedItems>
    </cacheField>
    <cacheField name="AtticInsCond" numFmtId="0">
      <sharedItems containsString="0" containsBlank="1" containsNumber="1" minValue="0.25" maxValue="1"/>
    </cacheField>
    <cacheField name="AtticArea" numFmtId="0">
      <sharedItems containsString="0" containsBlank="1" containsNumber="1" containsInteger="1" minValue="750" maxValue="42545"/>
    </cacheField>
    <cacheField name="AtticEstImprovement" numFmtId="0">
      <sharedItems containsString="0" containsBlank="1" containsNumber="1" containsInteger="1" minValue="0" maxValue="50" count="19">
        <n v="30"/>
        <n v="38"/>
        <n v="19"/>
        <n v="0"/>
        <m/>
        <n v="50"/>
        <n v="15"/>
        <n v="21"/>
        <n v="49"/>
        <n v="35"/>
        <n v="10"/>
        <n v="20"/>
        <n v="8"/>
        <n v="12"/>
        <n v="9"/>
        <n v="14"/>
        <n v="13"/>
        <n v="40"/>
        <n v="6"/>
      </sharedItems>
    </cacheField>
    <cacheField name="AtticInsType" numFmtId="0">
      <sharedItems containsBlank="1"/>
    </cacheField>
    <cacheField name="u_ceil" numFmtId="0">
      <sharedItems containsString="0" containsBlank="1" containsNumber="1" minValue="1.9999999552965199E-2" maxValue="0.33000001311302202"/>
    </cacheField>
    <cacheField name="# floors" numFmtId="0">
      <sharedItems containsBlank="1"/>
    </cacheField>
    <cacheField name="Weight" numFmtId="0">
      <sharedItems containsString="0" containsBlank="1" containsNumber="1" minValue="4.1963000297546396" maxValue="1257.44055175781"/>
    </cacheField>
    <cacheField name="LowRiseWght" numFmtId="0">
      <sharedItems containsBlank="1" containsMixedTypes="1" containsNumber="1" minValue="6.93186235427856" maxValue="1257.44055175781"/>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Tina Jayaweera" refreshedDate="41947.617446064818" createdVersion="3" refreshedVersion="3" minRefreshableVersion="3" recordCount="373">
  <cacheSource type="worksheet">
    <worksheetSource ref="A1:M400" sheet="Window"/>
  </cacheSource>
  <cacheFields count="14">
    <cacheField name="siteid" numFmtId="0">
      <sharedItems containsString="0" containsBlank="1" containsNumber="1" containsInteger="1" minValue="128" maxValue="80073"/>
    </cacheField>
    <cacheField name="component_it" numFmtId="0">
      <sharedItems containsBlank="1"/>
    </cacheField>
    <cacheField name="window_it" numFmtId="0">
      <sharedItems containsString="0" containsBlank="1" containsNumber="1" containsInteger="1" minValue="1" maxValue="3"/>
    </cacheField>
    <cacheField name="WindowFrameType" numFmtId="0">
      <sharedItems containsBlank="1" count="3">
        <s v="Wood, Vinyl, or Fiberglass"/>
        <s v="Metal"/>
        <m/>
      </sharedItems>
    </cacheField>
    <cacheField name="WindowGlazingType" numFmtId="0">
      <sharedItems containsBlank="1"/>
    </cacheField>
    <cacheField name="WindowSpaceWidth" numFmtId="0">
      <sharedItems containsBlank="1"/>
    </cacheField>
    <cacheField name="WindowPercentOperable" numFmtId="0">
      <sharedItems containsString="0" containsBlank="1" containsNumber="1" containsInteger="1" minValue="0" maxValue="100"/>
    </cacheField>
    <cacheField name="WindowArea" numFmtId="0">
      <sharedItems containsString="0" containsBlank="1" containsNumber="1" containsInteger="1" minValue="5" maxValue="123090"/>
    </cacheField>
    <cacheField name="u_window" numFmtId="0">
      <sharedItems containsString="0" containsBlank="1" containsNumber="1" minValue="0.44999998807907099" maxValue="1.1000000238418599"/>
    </cacheField>
    <cacheField name="WindowStormsPresent" numFmtId="0">
      <sharedItems containsBlank="1"/>
    </cacheField>
    <cacheField name="WindowLowE" numFmtId="0">
      <sharedItems containsBlank="1"/>
    </cacheField>
    <cacheField name="# floors" numFmtId="0">
      <sharedItems containsBlank="1"/>
    </cacheField>
    <cacheField name="Weight" numFmtId="0">
      <sharedItems containsString="0" containsBlank="1" containsNumber="1" minValue="3.0765006542205802" maxValue="1257.44055175781"/>
    </cacheField>
    <cacheField name="LowRiseWght" numFmtId="0">
      <sharedItems containsBlank="1" containsMixedTypes="1" containsNumber="1" minValue="6.93186235427856" maxValue="1257.44055175781"/>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Tina Jayaweera" refreshedDate="41947.617499537038" createdVersion="3" refreshedVersion="3" minRefreshableVersion="3" recordCount="373">
  <cacheSource type="worksheet">
    <worksheetSource ref="A1:M500" sheet="Window"/>
  </cacheSource>
  <cacheFields count="14">
    <cacheField name="siteid" numFmtId="0">
      <sharedItems containsString="0" containsBlank="1" containsNumber="1" containsInteger="1" minValue="128" maxValue="80073"/>
    </cacheField>
    <cacheField name="component_it" numFmtId="0">
      <sharedItems containsBlank="1"/>
    </cacheField>
    <cacheField name="window_it" numFmtId="0">
      <sharedItems containsString="0" containsBlank="1" containsNumber="1" containsInteger="1" minValue="1" maxValue="3"/>
    </cacheField>
    <cacheField name="WindowFrameType" numFmtId="0">
      <sharedItems containsBlank="1" count="3">
        <s v="Wood, Vinyl, or Fiberglass"/>
        <s v="Metal"/>
        <m/>
      </sharedItems>
    </cacheField>
    <cacheField name="WindowGlazingType" numFmtId="0">
      <sharedItems containsBlank="1"/>
    </cacheField>
    <cacheField name="WindowSpaceWidth" numFmtId="0">
      <sharedItems containsBlank="1"/>
    </cacheField>
    <cacheField name="WindowPercentOperable" numFmtId="0">
      <sharedItems containsString="0" containsBlank="1" containsNumber="1" containsInteger="1" minValue="0" maxValue="100"/>
    </cacheField>
    <cacheField name="WindowArea" numFmtId="0">
      <sharedItems containsString="0" containsBlank="1" containsNumber="1" containsInteger="1" minValue="5" maxValue="123090"/>
    </cacheField>
    <cacheField name="u_window" numFmtId="0">
      <sharedItems containsString="0" containsBlank="1" containsNumber="1" minValue="0.44999998807907099" maxValue="1.1000000238418599" count="10">
        <n v="0.55000001192092896"/>
        <n v="0.85000002384185802"/>
        <n v="0.75"/>
        <n v="0.60000002384185802"/>
        <n v="0.44999998807907099"/>
        <n v="1.1000000238418599"/>
        <n v="0.80000001192092896"/>
        <n v="0.89999997615814198"/>
        <n v="0.94999998807907104"/>
        <m/>
      </sharedItems>
    </cacheField>
    <cacheField name="WindowStormsPresent" numFmtId="0">
      <sharedItems containsBlank="1"/>
    </cacheField>
    <cacheField name="WindowLowE" numFmtId="0">
      <sharedItems containsBlank="1"/>
    </cacheField>
    <cacheField name="# floors" numFmtId="0">
      <sharedItems containsBlank="1"/>
    </cacheField>
    <cacheField name="Weight" numFmtId="0">
      <sharedItems containsString="0" containsBlank="1" containsNumber="1" minValue="3.0765006542205802" maxValue="1257.44055175781"/>
    </cacheField>
    <cacheField name="LowRiseWght" numFmtId="0">
      <sharedItems containsBlank="1" containsMixedTypes="1" containsNumber="1" minValue="6.93186235427856" maxValue="1257.44055175781"/>
    </cacheField>
  </cacheFields>
</pivotCacheDefinition>
</file>

<file path=xl/pivotCache/pivotCacheDefinition4.xml><?xml version="1.0" encoding="utf-8"?>
<pivotCacheDefinition xmlns="http://schemas.openxmlformats.org/spreadsheetml/2006/main" xmlns:r="http://schemas.openxmlformats.org/officeDocument/2006/relationships" r:id="rId1" refreshedBy="Tina Jayaweera" refreshedDate="41947.617826273148" createdVersion="3" refreshedVersion="3" minRefreshableVersion="3" recordCount="46">
  <cacheSource type="worksheet">
    <worksheetSource ref="A1:P100" sheet="FlCrawl"/>
  </cacheSource>
  <cacheFields count="17">
    <cacheField name="siteid" numFmtId="0">
      <sharedItems containsString="0" containsBlank="1" containsNumber="1" containsInteger="1" minValue="10323" maxValue="80073"/>
    </cacheField>
    <cacheField name="component_it" numFmtId="0">
      <sharedItems containsBlank="1"/>
    </cacheField>
    <cacheField name="StdFloorInsulation" numFmtId="0">
      <sharedItems containsBlank="1" count="7">
        <s v="R4-R10"/>
        <s v="R11-R15"/>
        <s v="None"/>
        <s v="R28-R35"/>
        <s v="R16-R22"/>
        <s v="R23-R27"/>
        <m/>
      </sharedItems>
    </cacheField>
    <cacheField name="StdFloorInsulationCondition" numFmtId="0">
      <sharedItems containsString="0" containsBlank="1" containsNumber="1" minValue="0.5" maxValue="1"/>
    </cacheField>
    <cacheField name="CrawlWallInsLevel" numFmtId="0">
      <sharedItems containsBlank="1"/>
    </cacheField>
    <cacheField name="CrawlArea" numFmtId="0">
      <sharedItems containsString="0" containsBlank="1" containsNumber="1" containsInteger="1" minValue="245" maxValue="35836"/>
    </cacheField>
    <cacheField name="CrawlFraming" numFmtId="0">
      <sharedItems containsBlank="1"/>
    </cacheField>
    <cacheField name="CrawlJoistSize" numFmtId="0">
      <sharedItems containsBlank="1" count="5">
        <m/>
        <s v="2x10"/>
        <s v="2x8"/>
        <s v="2x12"/>
        <s v="2x6"/>
      </sharedItems>
    </cacheField>
    <cacheField name="u_floor" numFmtId="0">
      <sharedItems containsString="0" containsBlank="1" containsNumber="1" minValue="2.9999999329447701E-2" maxValue="0.230000004172325"/>
    </cacheField>
    <cacheField name="u_crawl_wall" numFmtId="0">
      <sharedItems containsString="0" containsBlank="1" containsNumber="1" minValue="3.0999999046325701" maxValue="7.5999999046325701"/>
    </cacheField>
    <cacheField name="CrawlWallInsulated" numFmtId="0">
      <sharedItems containsBlank="1"/>
    </cacheField>
    <cacheField name="CrawlVentsPresent" numFmtId="0">
      <sharedItems containsBlank="1"/>
    </cacheField>
    <cacheField name="CrawlVentsBlocked" numFmtId="0">
      <sharedItems containsBlank="1"/>
    </cacheField>
    <cacheField name="CrawlMoreInsulation" numFmtId="0">
      <sharedItems containsBlank="1" count="3">
        <b v="1"/>
        <b v="0"/>
        <m/>
      </sharedItems>
    </cacheField>
    <cacheField name="# floors" numFmtId="0">
      <sharedItems containsBlank="1"/>
    </cacheField>
    <cacheField name="Weight" numFmtId="0">
      <sharedItems containsString="0" containsBlank="1" containsNumber="1" minValue="10.1410579681396" maxValue="1257.44055175781"/>
    </cacheField>
    <cacheField name="LowRiseWght" numFmtId="0">
      <sharedItems containsBlank="1" containsMixedTypes="1" containsNumber="1" minValue="26.7130317687988" maxValue="1257.44055175781"/>
    </cacheField>
  </cacheFields>
</pivotCacheDefinition>
</file>

<file path=xl/pivotCache/pivotCacheRecords1.xml><?xml version="1.0" encoding="utf-8"?>
<pivotCacheRecords xmlns="http://schemas.openxmlformats.org/spreadsheetml/2006/main" xmlns:r="http://schemas.openxmlformats.org/officeDocument/2006/relationships" count="629">
  <r>
    <n v="128"/>
    <s v="ceiling_1"/>
    <n v="1"/>
    <x v="0"/>
    <n v="1"/>
    <n v="3975"/>
    <x v="0"/>
    <s v="Blown FB"/>
    <n v="2.5000000372528999E-2"/>
    <s v="1-3 stories"/>
    <n v="443.80252075195301"/>
    <n v="443.80252075195301"/>
  </r>
  <r>
    <n v="128"/>
    <s v="ceiling_2"/>
    <n v="2"/>
    <x v="0"/>
    <n v="1"/>
    <n v="795"/>
    <x v="0"/>
    <s v="Blown FB"/>
    <n v="2.5000000372528999E-2"/>
    <s v="1-3 stories"/>
    <n v="443.80252075195301"/>
    <n v="443.80252075195301"/>
  </r>
  <r>
    <n v="10137"/>
    <s v="ceiling_1"/>
    <n v="1"/>
    <x v="1"/>
    <n v="0.89999997615814198"/>
    <n v="6460"/>
    <x v="1"/>
    <s v="Batt Fiberglass"/>
    <n v="9.00000035762787E-2"/>
    <s v="1-3 stories"/>
    <n v="300.26898193359398"/>
    <n v="300.26898193359398"/>
  </r>
  <r>
    <n v="10238"/>
    <s v="ceiling_1"/>
    <n v="1"/>
    <x v="2"/>
    <n v="1"/>
    <n v="8658"/>
    <x v="2"/>
    <s v="Batt Fiberglass"/>
    <n v="5.0000000745058101E-2"/>
    <s v="1-3 stories"/>
    <n v="160.14344787597699"/>
    <n v="160.14344787597699"/>
  </r>
  <r>
    <n v="10260"/>
    <s v="ceiling_1"/>
    <n v="1"/>
    <x v="1"/>
    <n v="0.89999997615814198"/>
    <n v="2000"/>
    <x v="3"/>
    <s v="Batt Fiberglass"/>
    <n v="9.00000035762787E-2"/>
    <s v="1-3 stories"/>
    <n v="480.43035888671898"/>
    <n v="480.43035888671898"/>
  </r>
  <r>
    <n v="10400"/>
    <s v="ceiling_1"/>
    <n v="1"/>
    <x v="3"/>
    <n v="0.89999997615814198"/>
    <n v="17064"/>
    <x v="4"/>
    <m/>
    <n v="0.15000000596046401"/>
    <s v="1-3 stories"/>
    <n v="34.345653533935497"/>
    <n v="34.345653533935497"/>
  </r>
  <r>
    <n v="10480"/>
    <s v="ceiling_1"/>
    <n v="1"/>
    <x v="4"/>
    <n v="0.89999997615814198"/>
    <n v="3650"/>
    <x v="4"/>
    <s v="Blown FB"/>
    <n v="7.0000000298023196E-2"/>
    <s v="1-3 stories"/>
    <n v="400.358642578125"/>
    <n v="400.358642578125"/>
  </r>
  <r>
    <n v="10495"/>
    <s v="ceiling_1"/>
    <n v="1"/>
    <x v="5"/>
    <n v="0.89999997615814198"/>
    <n v="4849"/>
    <x v="0"/>
    <s v="Blown FB"/>
    <n v="0.109999999403954"/>
    <s v="1-3 stories"/>
    <n v="206.07391357421901"/>
    <n v="206.07391357421901"/>
  </r>
  <r>
    <n v="10587"/>
    <s v="ceiling_1"/>
    <n v="1"/>
    <x v="3"/>
    <n v="0.89999997615814198"/>
    <n v="4758"/>
    <x v="4"/>
    <m/>
    <n v="0.15000000596046401"/>
    <s v="1-3 stories"/>
    <n v="266.90576171875"/>
    <n v="266.90576171875"/>
  </r>
  <r>
    <n v="10614"/>
    <s v="ceiling_1"/>
    <n v="1"/>
    <x v="0"/>
    <n v="0.89999997615814198"/>
    <n v="16019"/>
    <x v="0"/>
    <s v="Blown FB"/>
    <n v="7.5000002980232197E-2"/>
    <s v="4-6 stories"/>
    <n v="114.388175964355"/>
    <s v=""/>
  </r>
  <r>
    <n v="10805"/>
    <s v="ceiling_1"/>
    <n v="1"/>
    <x v="0"/>
    <n v="0.89999997615814198"/>
    <n v="3531"/>
    <x v="2"/>
    <s v="Blown Cellulose"/>
    <n v="7.5000002980232197E-2"/>
    <s v="1-3 stories"/>
    <n v="686.32904052734398"/>
    <n v="686.32904052734398"/>
  </r>
  <r>
    <n v="10862"/>
    <s v="ceiling_1"/>
    <n v="1"/>
    <x v="1"/>
    <n v="0.5"/>
    <n v="4543"/>
    <x v="0"/>
    <s v="Blown Rock Wool"/>
    <n v="0.245000004768372"/>
    <s v="1-3 stories"/>
    <n v="85.864128112792997"/>
    <n v="85.864128112792997"/>
  </r>
  <r>
    <n v="10871"/>
    <s v="ceiling_1"/>
    <n v="1"/>
    <x v="2"/>
    <n v="1"/>
    <n v="10700"/>
    <x v="3"/>
    <s v="Batt Fiberglass"/>
    <n v="5.0000000745058101E-2"/>
    <s v="1-3 stories"/>
    <n v="200.17932128906301"/>
    <n v="200.17932128906301"/>
  </r>
  <r>
    <n v="10901"/>
    <s v="ceiling_1"/>
    <n v="1"/>
    <x v="3"/>
    <n v="0.89999997615814198"/>
    <n v="6950"/>
    <x v="5"/>
    <s v="Blown Cellulose"/>
    <n v="0.15000000596046401"/>
    <s v="1-3 stories"/>
    <n v="228.97100830078099"/>
    <n v="228.97100830078099"/>
  </r>
  <r>
    <n v="10910"/>
    <s v="ceiling_1"/>
    <n v="1"/>
    <x v="2"/>
    <n v="1"/>
    <n v="7190"/>
    <x v="6"/>
    <s v="Blown FB"/>
    <n v="5.0000000745058101E-2"/>
    <s v="1-3 stories"/>
    <n v="206.07391357421901"/>
    <n v="206.07391357421901"/>
  </r>
  <r>
    <n v="10996"/>
    <s v="ceiling_1"/>
    <n v="1"/>
    <x v="0"/>
    <n v="0.89999997615814198"/>
    <n v="7100"/>
    <x v="4"/>
    <m/>
    <n v="7.5000002980232197E-2"/>
    <s v="1-3 stories"/>
    <n v="112.106643676758"/>
    <n v="112.106643676758"/>
  </r>
  <r>
    <n v="11005"/>
    <s v="ceiling_1"/>
    <n v="1"/>
    <x v="3"/>
    <n v="0.89999997615814198"/>
    <n v="1552"/>
    <x v="4"/>
    <m/>
    <n v="0.15000000596046401"/>
    <s v="1-3 stories"/>
    <n v="358.74127197265602"/>
    <n v="358.74127197265602"/>
  </r>
  <r>
    <n v="11263"/>
    <s v="ceiling_1"/>
    <n v="1"/>
    <x v="5"/>
    <n v="1"/>
    <n v="2520"/>
    <x v="6"/>
    <s v="Blown Cellulose"/>
    <n v="7.0000000298023196E-2"/>
    <s v="1-3 stories"/>
    <n v="343.45651245117199"/>
    <n v="343.45651245117199"/>
  </r>
  <r>
    <n v="11290"/>
    <s v="ceiling_1"/>
    <n v="1"/>
    <x v="3"/>
    <n v="0.89999997615814198"/>
    <n v="7176"/>
    <x v="4"/>
    <m/>
    <n v="0.15000000596046401"/>
    <s v="1-3 stories"/>
    <n v="99.650344848632798"/>
    <n v="99.650344848632798"/>
  </r>
  <r>
    <n v="11413"/>
    <s v="ceiling_1"/>
    <n v="1"/>
    <x v="6"/>
    <n v="0.89999997615814198"/>
    <n v="11595"/>
    <x v="3"/>
    <s v="Batt Fiberglass"/>
    <n v="7.9999998211860698E-2"/>
    <s v="4-6 stories"/>
    <n v="53.381153106689503"/>
    <s v=""/>
  </r>
  <r>
    <n v="11413"/>
    <s v="ceiling_2"/>
    <n v="2"/>
    <x v="0"/>
    <n v="0.89999997615814198"/>
    <n v="12682"/>
    <x v="3"/>
    <s v="Batt Fiberglass"/>
    <n v="7.5000002980232197E-2"/>
    <s v="4-6 stories"/>
    <n v="53.381153106689503"/>
    <s v=""/>
  </r>
  <r>
    <n v="11537"/>
    <s v="ceiling_1"/>
    <n v="1"/>
    <x v="3"/>
    <n v="0.89999997615814198"/>
    <n v="3072"/>
    <x v="4"/>
    <m/>
    <n v="0.15000000596046401"/>
    <s v="1-3 stories"/>
    <n v="149.47552490234401"/>
    <n v="149.47552490234401"/>
  </r>
  <r>
    <n v="11598"/>
    <s v="ceiling_1"/>
    <n v="1"/>
    <x v="6"/>
    <n v="1"/>
    <n v="4008"/>
    <x v="4"/>
    <s v="Batt Fiberglass"/>
    <n v="3.5000000149011598E-2"/>
    <s v="1-3 stories"/>
    <n v="400.358642578125"/>
    <n v="400.358642578125"/>
  </r>
  <r>
    <n v="11879"/>
    <s v="ceiling_1"/>
    <n v="1"/>
    <x v="1"/>
    <n v="0.89999997615814198"/>
    <n v="4600"/>
    <x v="7"/>
    <s v="Blown FB"/>
    <n v="9.00000035762787E-2"/>
    <s v="1-3 stories"/>
    <n v="600.53796386718795"/>
    <n v="600.53796386718795"/>
  </r>
  <r>
    <n v="11887"/>
    <s v="ceiling_1"/>
    <n v="1"/>
    <x v="2"/>
    <n v="0.89999997615814198"/>
    <n v="40240"/>
    <x v="4"/>
    <s v="Batt Fiberglass"/>
    <n v="9.4999998807907104E-2"/>
    <s v="1-3 stories"/>
    <n v="53.381153106689503"/>
    <n v="53.381153106689503"/>
  </r>
  <r>
    <n v="11930"/>
    <s v="ceiling_1"/>
    <n v="1"/>
    <x v="2"/>
    <n v="0.5"/>
    <n v="3667"/>
    <x v="8"/>
    <s v="Blown Cellulose"/>
    <n v="0.25"/>
    <s v="1-3 stories"/>
    <n v="600.53796386718795"/>
    <n v="600.53796386718795"/>
  </r>
  <r>
    <n v="11949"/>
    <s v="ceiling_1"/>
    <n v="1"/>
    <x v="2"/>
    <n v="0.89999997615814198"/>
    <n v="22361"/>
    <x v="4"/>
    <s v="Blown Cellulose"/>
    <n v="9.4999998807907104E-2"/>
    <s v="4-6 stories"/>
    <n v="57.194087982177699"/>
    <s v=""/>
  </r>
  <r>
    <n v="12167"/>
    <s v="ceiling_1"/>
    <n v="1"/>
    <x v="6"/>
    <n v="0.89999997615814198"/>
    <n v="3180"/>
    <x v="0"/>
    <s v="Batt Fiberglass"/>
    <n v="7.9999998211860698E-2"/>
    <s v="1-3 stories"/>
    <n v="400.358642578125"/>
    <n v="400.358642578125"/>
  </r>
  <r>
    <n v="12405"/>
    <s v="ceiling_1"/>
    <n v="1"/>
    <x v="2"/>
    <n v="0.89999997615814198"/>
    <n v="6140"/>
    <x v="4"/>
    <s v="Batt Fiberglass"/>
    <n v="9.4999998807907104E-2"/>
    <s v="1-3 stories"/>
    <n v="165.66564941406301"/>
    <n v="165.66564941406301"/>
  </r>
  <r>
    <n v="12511"/>
    <s v="ceiling_1"/>
    <n v="1"/>
    <x v="3"/>
    <n v="0.89999997615814198"/>
    <n v="12235"/>
    <x v="4"/>
    <m/>
    <n v="0.15000000596046401"/>
    <s v="4-6 stories"/>
    <n v="35.170711517333999"/>
    <s v=""/>
  </r>
  <r>
    <n v="12651"/>
    <s v="ceiling_1"/>
    <n v="1"/>
    <x v="7"/>
    <n v="0.89999997615814198"/>
    <n v="5366"/>
    <x v="3"/>
    <s v="Blown Cellulose"/>
    <n v="7.0000000298023196E-2"/>
    <s v="1-3 stories"/>
    <n v="266.90576171875"/>
    <n v="266.90576171875"/>
  </r>
  <r>
    <n v="12783"/>
    <s v="ceiling_1"/>
    <n v="1"/>
    <x v="0"/>
    <n v="1"/>
    <n v="6867"/>
    <x v="3"/>
    <s v="Batt Fiberglass"/>
    <n v="2.5000000372528999E-2"/>
    <s v="4-6 stories"/>
    <n v="35.330135345458999"/>
    <s v=""/>
  </r>
  <r>
    <n v="12932"/>
    <s v="ceiling_1"/>
    <n v="1"/>
    <x v="3"/>
    <n v="0.89999997615814198"/>
    <n v="6223"/>
    <x v="9"/>
    <s v="Batt Fiberglass"/>
    <n v="0.15000000596046401"/>
    <s v="4-6 stories"/>
    <n v="137.38261413574199"/>
    <s v=""/>
  </r>
  <r>
    <n v="12986"/>
    <s v="ceiling_1"/>
    <n v="1"/>
    <x v="0"/>
    <n v="1"/>
    <n v="27437"/>
    <x v="3"/>
    <s v="Batt Fiberglass"/>
    <n v="2.5000000372528999E-2"/>
    <s v="4-6 stories"/>
    <n v="19.080919265747099"/>
    <s v=""/>
  </r>
  <r>
    <n v="13048"/>
    <s v="ceiling_1"/>
    <n v="1"/>
    <x v="4"/>
    <n v="1"/>
    <n v="4230"/>
    <x v="3"/>
    <s v="Batt Fiberglass"/>
    <n v="1.9999999552965199E-2"/>
    <s v="1-3 stories"/>
    <n v="266.90576171875"/>
    <n v="266.90576171875"/>
  </r>
  <r>
    <n v="13054"/>
    <s v="ceiling_1"/>
    <n v="1"/>
    <x v="0"/>
    <n v="1"/>
    <n v="3575"/>
    <x v="4"/>
    <s v="Blown Cellulose"/>
    <n v="2.5000000372528999E-2"/>
    <s v="1-3 stories"/>
    <n v="149.47552490234401"/>
    <n v="149.47552490234401"/>
  </r>
  <r>
    <n v="13062"/>
    <s v="ceiling_1"/>
    <n v="1"/>
    <x v="2"/>
    <n v="0.89999997615814198"/>
    <n v="2792"/>
    <x v="4"/>
    <m/>
    <n v="9.4999998807907104E-2"/>
    <s v="1-3 stories"/>
    <n v="400.358642578125"/>
    <n v="400.358642578125"/>
  </r>
  <r>
    <n v="13202"/>
    <s v="ceiling_1"/>
    <n v="1"/>
    <x v="1"/>
    <n v="1"/>
    <n v="4200"/>
    <x v="10"/>
    <s v="Blown Cellulose"/>
    <n v="4.5000001788139302E-2"/>
    <s v="1-3 stories"/>
    <n v="480.43035888671898"/>
    <n v="480.43035888671898"/>
  </r>
  <r>
    <n v="13218"/>
    <s v="ceiling_1"/>
    <n v="1"/>
    <x v="6"/>
    <n v="0.75"/>
    <n v="7256"/>
    <x v="8"/>
    <s v="Mixed"/>
    <n v="0.144999995827675"/>
    <s v="1-3 stories"/>
    <n v="128.79620361328099"/>
    <n v="128.79620361328099"/>
  </r>
  <r>
    <n v="13268"/>
    <s v="ceiling_1"/>
    <n v="1"/>
    <x v="6"/>
    <n v="0.89999997615814198"/>
    <n v="2709"/>
    <x v="4"/>
    <s v="Blown FB"/>
    <n v="7.9999998211860698E-2"/>
    <s v="1-3 stories"/>
    <n v="171.72825622558599"/>
    <n v="171.72825622558599"/>
  </r>
  <r>
    <n v="13321"/>
    <s v="ceiling_1"/>
    <n v="1"/>
    <x v="1"/>
    <n v="0.89999997615814198"/>
    <n v="3816"/>
    <x v="10"/>
    <s v="Blown Cellulose"/>
    <n v="9.00000035762787E-2"/>
    <s v="1-3 stories"/>
    <n v="266.90576171875"/>
    <n v="266.90576171875"/>
  </r>
  <r>
    <n v="13360"/>
    <s v="ceiling_1"/>
    <n v="1"/>
    <x v="0"/>
    <n v="1"/>
    <n v="3584"/>
    <x v="3"/>
    <s v="Batt Fiberglass"/>
    <n v="2.5000000372528999E-2"/>
    <s v="1-3 stories"/>
    <n v="343.16452026367199"/>
    <n v="343.16452026367199"/>
  </r>
  <r>
    <n v="13384"/>
    <s v="ceiling_1"/>
    <n v="1"/>
    <x v="1"/>
    <n v="0.5"/>
    <n v="1982"/>
    <x v="4"/>
    <s v="Batt Fiberglass"/>
    <n v="0.245000004768372"/>
    <s v="1-3 stories"/>
    <n v="343.45651245117199"/>
    <n v="343.45651245117199"/>
  </r>
  <r>
    <n v="13628"/>
    <s v="ceiling_1"/>
    <n v="1"/>
    <x v="3"/>
    <n v="0.89999997615814198"/>
    <n v="2128"/>
    <x v="6"/>
    <m/>
    <n v="0.15000000596046401"/>
    <s v="1-3 stories"/>
    <n v="343.45651245117199"/>
    <n v="343.45651245117199"/>
  </r>
  <r>
    <n v="13694"/>
    <s v="ceiling_1"/>
    <n v="1"/>
    <x v="2"/>
    <n v="1"/>
    <n v="4905"/>
    <x v="11"/>
    <s v="Batt Fiberglass"/>
    <n v="5.0000000745058101E-2"/>
    <s v="1-3 stories"/>
    <n v="266.90576171875"/>
    <n v="266.90576171875"/>
  </r>
  <r>
    <n v="13712"/>
    <s v="ceiling_1"/>
    <n v="1"/>
    <x v="3"/>
    <n v="0.89999997615814198"/>
    <n v="2800"/>
    <x v="0"/>
    <m/>
    <n v="0.15000000596046401"/>
    <s v="1-3 stories"/>
    <n v="136.90428161621099"/>
    <n v="136.90428161621099"/>
  </r>
  <r>
    <n v="13899"/>
    <s v="ceiling_1"/>
    <n v="1"/>
    <x v="6"/>
    <n v="0.89999997615814198"/>
    <n v="7744"/>
    <x v="3"/>
    <s v="Blown FB"/>
    <n v="7.9999998211860698E-2"/>
    <s v="1-3 stories"/>
    <n v="42.124393463134801"/>
    <n v="42.124393463134801"/>
  </r>
  <r>
    <n v="14014"/>
    <s v="ceiling_1"/>
    <n v="1"/>
    <x v="6"/>
    <n v="1"/>
    <n v="8280"/>
    <x v="12"/>
    <s v="Batt Fiberglass"/>
    <n v="3.5000000149011598E-2"/>
    <s v="1-3 stories"/>
    <n v="85.864128112792997"/>
    <n v="85.864128112792997"/>
  </r>
  <r>
    <n v="14020"/>
    <s v="ceiling_1"/>
    <n v="1"/>
    <x v="6"/>
    <n v="0.75"/>
    <n v="2510"/>
    <x v="11"/>
    <s v="Blown FB"/>
    <n v="0.144999995827675"/>
    <s v="1-3 stories"/>
    <n v="171.72825622558599"/>
    <n v="171.72825622558599"/>
  </r>
  <r>
    <n v="14240"/>
    <s v="ceiling_1"/>
    <n v="1"/>
    <x v="0"/>
    <n v="1"/>
    <n v="3999"/>
    <x v="4"/>
    <s v="Blown FB"/>
    <n v="2.5000000372528999E-2"/>
    <s v="1-3 stories"/>
    <n v="800.71728515625"/>
    <n v="800.71728515625"/>
  </r>
  <r>
    <n v="14258"/>
    <s v="ceiling_1"/>
    <n v="1"/>
    <x v="0"/>
    <n v="1"/>
    <n v="4350"/>
    <x v="3"/>
    <s v="Blown Cellulose"/>
    <n v="2.5000000372528999E-2"/>
    <s v="1-3 stories"/>
    <n v="436.75485229492199"/>
    <n v="436.75485229492199"/>
  </r>
  <r>
    <n v="14259"/>
    <s v="ceiling_1"/>
    <n v="1"/>
    <x v="0"/>
    <n v="0.89999997615814198"/>
    <n v="9850"/>
    <x v="11"/>
    <s v="Batt Fiberglass"/>
    <n v="7.5000002980232197E-2"/>
    <s v="4-6 stories"/>
    <n v="10.1410579681396"/>
    <s v=""/>
  </r>
  <r>
    <n v="14259"/>
    <s v="ceiling_2"/>
    <n v="2"/>
    <x v="0"/>
    <n v="1"/>
    <n v="23198"/>
    <x v="4"/>
    <s v="Batt Fiberglass"/>
    <n v="2.5000000372528999E-2"/>
    <s v="4-6 stories"/>
    <n v="10.1410579681396"/>
    <s v=""/>
  </r>
  <r>
    <n v="14346"/>
    <s v="ceiling_1"/>
    <n v="1"/>
    <x v="1"/>
    <n v="1"/>
    <n v="7000"/>
    <x v="3"/>
    <s v="Batt Fiberglass"/>
    <n v="4.5000001788139302E-2"/>
    <s v="1-3 stories"/>
    <n v="171.58226013183599"/>
    <n v="171.58226013183599"/>
  </r>
  <r>
    <n v="14507"/>
    <s v="ceiling_1"/>
    <n v="1"/>
    <x v="6"/>
    <n v="0.75"/>
    <n v="2631"/>
    <x v="8"/>
    <s v="Mixed"/>
    <n v="0.144999995827675"/>
    <s v="1-3 stories"/>
    <n v="412.14782714843801"/>
    <n v="412.14782714843801"/>
  </r>
  <r>
    <n v="14613"/>
    <s v="ceiling_1"/>
    <n v="1"/>
    <x v="4"/>
    <n v="1"/>
    <n v="5354"/>
    <x v="3"/>
    <s v="Batt Fiberglass"/>
    <n v="1.9999999552965199E-2"/>
    <s v="1-3 stories"/>
    <n v="99.650344848632798"/>
    <n v="99.650344848632798"/>
  </r>
  <r>
    <n v="14614"/>
    <s v="ceiling_1"/>
    <n v="1"/>
    <x v="4"/>
    <n v="0.89999997615814198"/>
    <n v="4386"/>
    <x v="3"/>
    <s v="Mixed"/>
    <n v="7.0000000298023196E-2"/>
    <s v="1-3 stories"/>
    <n v="320.28689575195301"/>
    <n v="320.28689575195301"/>
  </r>
  <r>
    <n v="20119"/>
    <s v="ceiling_1"/>
    <n v="1"/>
    <x v="0"/>
    <n v="0.89999997615814198"/>
    <n v="17239"/>
    <x v="4"/>
    <s v="Blown Rock Wool"/>
    <n v="7.5000002980232197E-2"/>
    <s v="1-3 stories"/>
    <n v="116.07144165039099"/>
    <n v="116.07144165039099"/>
  </r>
  <r>
    <n v="20165"/>
    <s v="ceiling_1"/>
    <n v="1"/>
    <x v="0"/>
    <n v="0.89999997615814198"/>
    <n v="3382"/>
    <x v="4"/>
    <m/>
    <n v="7.5000002980232197E-2"/>
    <s v="1-3 stories"/>
    <n v="628.72027587890602"/>
    <n v="628.72027587890602"/>
  </r>
  <r>
    <n v="20193"/>
    <s v="ceiling_1"/>
    <n v="1"/>
    <x v="5"/>
    <n v="0.25"/>
    <n v="6048"/>
    <x v="5"/>
    <s v="Blown Rock Wool"/>
    <n v="0.33000001311302202"/>
    <s v="1-3 stories"/>
    <n v="538.903076171875"/>
    <n v="538.903076171875"/>
  </r>
  <r>
    <n v="20566"/>
    <s v="ceiling_1"/>
    <n v="1"/>
    <x v="5"/>
    <n v="1"/>
    <n v="3623"/>
    <x v="13"/>
    <s v="Blown Cellulose"/>
    <n v="7.0000000298023196E-2"/>
    <s v="1-3 stories"/>
    <n v="754.46429443359398"/>
    <n v="754.46429443359398"/>
  </r>
  <r>
    <n v="20581"/>
    <s v="ceiling_1"/>
    <n v="1"/>
    <x v="3"/>
    <n v="0.89999997615814198"/>
    <n v="2943"/>
    <x v="4"/>
    <m/>
    <n v="0.15000000596046401"/>
    <s v="1-3 stories"/>
    <n v="1257.44055175781"/>
    <n v="1257.44055175781"/>
  </r>
  <r>
    <n v="20705"/>
    <s v="ceiling_1"/>
    <n v="1"/>
    <x v="2"/>
    <n v="0.89999997615814198"/>
    <n v="5540"/>
    <x v="4"/>
    <s v="Batt Fiberglass"/>
    <n v="9.4999998807907104E-2"/>
    <s v="1-3 stories"/>
    <n v="1257.44055175781"/>
    <n v="1257.44055175781"/>
  </r>
  <r>
    <n v="20803"/>
    <s v="ceiling_1"/>
    <n v="1"/>
    <x v="0"/>
    <n v="1"/>
    <n v="2825"/>
    <x v="4"/>
    <s v="Blown Cellulose"/>
    <n v="2.5000000372528999E-2"/>
    <s v="1-3 stories"/>
    <n v="838.293701171875"/>
    <n v="838.293701171875"/>
  </r>
  <r>
    <n v="21346"/>
    <s v="ceiling_1"/>
    <n v="1"/>
    <x v="0"/>
    <n v="0.89999997615814198"/>
    <n v="5000"/>
    <x v="11"/>
    <s v="Mixed"/>
    <n v="7.5000002980232197E-2"/>
    <s v="1-3 stories"/>
    <n v="754.46429443359398"/>
    <n v="754.46429443359398"/>
  </r>
  <r>
    <n v="21424"/>
    <s v="ceiling_1"/>
    <n v="1"/>
    <x v="3"/>
    <n v="0.89999997615814198"/>
    <n v="7180"/>
    <x v="4"/>
    <s v="Blown Cellulose"/>
    <n v="0.15000000596046401"/>
    <s v="1-3 stories"/>
    <n v="397.08648681640602"/>
    <n v="397.08648681640602"/>
  </r>
  <r>
    <n v="21488"/>
    <s v="ceiling_1"/>
    <n v="1"/>
    <x v="1"/>
    <n v="0.89999997615814198"/>
    <n v="2924"/>
    <x v="11"/>
    <s v="Mixed"/>
    <n v="9.00000035762787E-2"/>
    <s v="1-3 stories"/>
    <n v="943.08038330078102"/>
    <n v="943.08038330078102"/>
  </r>
  <r>
    <n v="21564"/>
    <s v="ceiling_1"/>
    <n v="1"/>
    <x v="2"/>
    <n v="1"/>
    <n v="5890"/>
    <x v="11"/>
    <s v="Batt Fiberglass"/>
    <n v="5.0000000745058101E-2"/>
    <s v="1-3 stories"/>
    <n v="328.02795410156301"/>
    <n v="328.02795410156301"/>
  </r>
  <r>
    <n v="21627"/>
    <s v="ceiling_1"/>
    <n v="1"/>
    <x v="0"/>
    <n v="0.89999997615814198"/>
    <n v="7400"/>
    <x v="13"/>
    <s v="Blown FB"/>
    <n v="7.5000002980232197E-2"/>
    <s v="1-3 stories"/>
    <n v="314.36013793945301"/>
    <n v="314.36013793945301"/>
  </r>
  <r>
    <n v="21691"/>
    <s v="ceiling_1"/>
    <n v="1"/>
    <x v="0"/>
    <n v="1"/>
    <n v="6726"/>
    <x v="4"/>
    <s v="Batt (other)"/>
    <n v="2.5000000372528999E-2"/>
    <s v="1-3 stories"/>
    <n v="943.08038330078102"/>
    <n v="943.08038330078102"/>
  </r>
  <r>
    <n v="21757"/>
    <s v="ceiling_1"/>
    <n v="1"/>
    <x v="2"/>
    <n v="0.5"/>
    <n v="4588"/>
    <x v="11"/>
    <s v="Batt Fiberglass"/>
    <n v="0.25"/>
    <s v="1-3 stories"/>
    <n v="1257.44055175781"/>
    <n v="1257.44055175781"/>
  </r>
  <r>
    <n v="21839"/>
    <s v="ceiling_1"/>
    <n v="1"/>
    <x v="0"/>
    <n v="1"/>
    <n v="6339"/>
    <x v="14"/>
    <s v="Blown Cellulose"/>
    <n v="2.5000000372528999E-2"/>
    <s v="4-6 stories"/>
    <n v="314.36013793945301"/>
    <s v=""/>
  </r>
  <r>
    <n v="21844"/>
    <s v="ceiling_1"/>
    <n v="1"/>
    <x v="4"/>
    <n v="0.89999997615814198"/>
    <n v="4345"/>
    <x v="4"/>
    <s v="Blown FB"/>
    <n v="7.0000000298023196E-2"/>
    <s v="1-3 stories"/>
    <n v="628.72027587890602"/>
    <n v="628.72027587890602"/>
  </r>
  <r>
    <n v="21910"/>
    <s v="ceiling_1"/>
    <n v="1"/>
    <x v="2"/>
    <n v="1"/>
    <n v="10709"/>
    <x v="4"/>
    <s v="Blown FB"/>
    <n v="5.0000000745058101E-2"/>
    <s v="1-3 stories"/>
    <n v="184.01568603515599"/>
    <n v="184.01568603515599"/>
  </r>
  <r>
    <n v="21952"/>
    <s v="ceiling_1"/>
    <n v="1"/>
    <x v="0"/>
    <n v="1"/>
    <n v="4760"/>
    <x v="4"/>
    <s v="Blown Cellulose"/>
    <n v="2.5000000372528999E-2"/>
    <s v="1-3 stories"/>
    <n v="419.14685058593801"/>
    <n v="419.14685058593801"/>
  </r>
  <r>
    <n v="21985"/>
    <s v="ceiling_1"/>
    <n v="1"/>
    <x v="6"/>
    <n v="0.75"/>
    <n v="3240"/>
    <x v="4"/>
    <s v="Blown Rock Wool"/>
    <n v="0.144999995827675"/>
    <s v="1-3 stories"/>
    <n v="754.46429443359398"/>
    <n v="754.46429443359398"/>
  </r>
  <r>
    <n v="21998"/>
    <s v="ceiling_1"/>
    <n v="1"/>
    <x v="0"/>
    <n v="0.89999997615814198"/>
    <n v="4207"/>
    <x v="4"/>
    <s v="Batt (other)"/>
    <n v="7.5000002980232197E-2"/>
    <s v="1-3 stories"/>
    <n v="943.08038330078102"/>
    <n v="943.08038330078102"/>
  </r>
  <r>
    <n v="22106"/>
    <s v="ceiling_1"/>
    <n v="1"/>
    <x v="2"/>
    <n v="1"/>
    <n v="3200"/>
    <x v="4"/>
    <s v="Blown Cellulose"/>
    <n v="5.0000000745058101E-2"/>
    <s v="1-3 stories"/>
    <n v="235.770095825195"/>
    <n v="235.770095825195"/>
  </r>
  <r>
    <n v="22262"/>
    <s v="ceiling_1"/>
    <n v="1"/>
    <x v="0"/>
    <n v="1"/>
    <n v="4040"/>
    <x v="3"/>
    <s v="Batt Fiberglass"/>
    <n v="2.5000000372528999E-2"/>
    <s v="1-3 stories"/>
    <n v="943.08038330078102"/>
    <n v="943.08038330078102"/>
  </r>
  <r>
    <n v="22371"/>
    <s v="ceiling_1"/>
    <n v="1"/>
    <x v="0"/>
    <n v="0.89999997615814198"/>
    <n v="5400"/>
    <x v="15"/>
    <s v="Blown FB"/>
    <n v="7.5000002980232197E-2"/>
    <s v="1-3 stories"/>
    <n v="1257.44055175781"/>
    <n v="1257.44055175781"/>
  </r>
  <r>
    <n v="22450"/>
    <s v="ceiling_1"/>
    <n v="1"/>
    <x v="2"/>
    <n v="0.75"/>
    <n v="5123"/>
    <x v="13"/>
    <s v="Blown Cellulose"/>
    <n v="0.15500000119209301"/>
    <s v="1-3 stories"/>
    <n v="538.903076171875"/>
    <n v="538.903076171875"/>
  </r>
  <r>
    <n v="22870"/>
    <s v="ceiling_1"/>
    <n v="1"/>
    <x v="5"/>
    <n v="0.89999997615814198"/>
    <n v="7344"/>
    <x v="4"/>
    <s v="Batt Fiberglass"/>
    <n v="0.109999999403954"/>
    <s v="1-3 stories"/>
    <n v="471.54019165039102"/>
    <n v="471.54019165039102"/>
  </r>
  <r>
    <n v="22906"/>
    <s v="ceiling_1"/>
    <n v="1"/>
    <x v="0"/>
    <n v="0.89999997615814198"/>
    <n v="4745"/>
    <x v="4"/>
    <s v="Blown Cellulose"/>
    <n v="7.5000002980232197E-2"/>
    <s v="1-3 stories"/>
    <n v="628.72027587890602"/>
    <n v="628.72027587890602"/>
  </r>
  <r>
    <n v="23425"/>
    <s v="ceiling_1"/>
    <n v="1"/>
    <x v="5"/>
    <n v="0.5"/>
    <n v="3340"/>
    <x v="13"/>
    <s v="Blown Cellulose"/>
    <n v="0.25"/>
    <s v="1-3 stories"/>
    <n v="754.46429443359398"/>
    <n v="754.46429443359398"/>
  </r>
  <r>
    <n v="23531"/>
    <s v="ceiling_1"/>
    <n v="1"/>
    <x v="0"/>
    <n v="0.89999997615814198"/>
    <n v="5274"/>
    <x v="4"/>
    <s v="Blown Cellulose"/>
    <n v="7.5000002980232197E-2"/>
    <s v="1-3 stories"/>
    <n v="419.14685058593801"/>
    <n v="419.14685058593801"/>
  </r>
  <r>
    <n v="23623"/>
    <s v="ceiling_1"/>
    <n v="1"/>
    <x v="3"/>
    <n v="0.89999997615814198"/>
    <n v="4292"/>
    <x v="5"/>
    <m/>
    <n v="0.15000000596046401"/>
    <s v="1-3 stories"/>
    <n v="314.36013793945301"/>
    <n v="314.36013793945301"/>
  </r>
  <r>
    <n v="23681"/>
    <s v="ceiling_1"/>
    <n v="1"/>
    <x v="6"/>
    <n v="0.89999997615814198"/>
    <n v="5024"/>
    <x v="4"/>
    <m/>
    <n v="7.9999998211860698E-2"/>
    <s v="1-3 stories"/>
    <n v="943.08038330078102"/>
    <n v="943.08038330078102"/>
  </r>
  <r>
    <n v="23685"/>
    <s v="ceiling_1"/>
    <n v="1"/>
    <x v="3"/>
    <n v="0.89999997615814198"/>
    <n v="4325"/>
    <x v="4"/>
    <m/>
    <n v="0.15000000596046401"/>
    <s v="1-3 stories"/>
    <n v="754.46429443359398"/>
    <n v="754.46429443359398"/>
  </r>
  <r>
    <n v="23899"/>
    <s v="ceiling_1"/>
    <n v="1"/>
    <x v="2"/>
    <n v="0.89999997615814198"/>
    <n v="16015"/>
    <x v="11"/>
    <s v="Blown Rock Wool"/>
    <n v="9.4999998807907104E-2"/>
    <s v="1-3 stories"/>
    <n v="167.65873718261699"/>
    <n v="167.65873718261699"/>
  </r>
  <r>
    <n v="24009"/>
    <s v="ceiling_1"/>
    <n v="1"/>
    <x v="0"/>
    <n v="0.89999997615814198"/>
    <n v="2136"/>
    <x v="6"/>
    <s v="Blown FB"/>
    <n v="7.5000002980232197E-2"/>
    <s v="1-3 stories"/>
    <n v="943.08038330078102"/>
    <n v="943.08038330078102"/>
  </r>
  <r>
    <n v="24123"/>
    <s v="ceiling_1"/>
    <n v="1"/>
    <x v="3"/>
    <n v="0.89999997615814198"/>
    <n v="1874"/>
    <x v="5"/>
    <m/>
    <n v="0.15000000596046401"/>
    <s v="1-3 stories"/>
    <n v="1257.44055175781"/>
    <n v="1257.44055175781"/>
  </r>
  <r>
    <n v="24139"/>
    <s v="ceiling_1"/>
    <n v="1"/>
    <x v="5"/>
    <n v="0.75"/>
    <n v="7280"/>
    <x v="11"/>
    <s v="Blown Cellulose"/>
    <n v="0.17000000178813901"/>
    <s v="1-3 stories"/>
    <n v="471.54019165039102"/>
    <n v="471.54019165039102"/>
  </r>
  <r>
    <n v="24637"/>
    <s v="ceiling_1"/>
    <n v="1"/>
    <x v="0"/>
    <n v="0.89999997615814198"/>
    <n v="27202"/>
    <x v="11"/>
    <s v="Blown FB"/>
    <n v="7.5000002980232197E-2"/>
    <s v="1-3 stories"/>
    <n v="209.57342529296901"/>
    <n v="209.57342529296901"/>
  </r>
  <r>
    <n v="24802"/>
    <s v="ceiling_1"/>
    <n v="1"/>
    <x v="5"/>
    <n v="1"/>
    <n v="9152"/>
    <x v="13"/>
    <s v="Blown Cellulose"/>
    <n v="7.0000000298023196E-2"/>
    <s v="1-3 stories"/>
    <n v="314.36013793945301"/>
    <n v="314.36013793945301"/>
  </r>
  <r>
    <n v="60051"/>
    <s v="ceiling_1"/>
    <n v="1"/>
    <x v="1"/>
    <n v="0.89999997615814198"/>
    <n v="3110"/>
    <x v="7"/>
    <s v="Blown FB"/>
    <n v="9.00000035762787E-2"/>
    <s v="1-3 stories"/>
    <n v="960.86071777343795"/>
    <n v="960.86071777343795"/>
  </r>
  <r>
    <n v="60071"/>
    <s v="ceiling_1"/>
    <n v="1"/>
    <x v="7"/>
    <n v="1"/>
    <n v="6888"/>
    <x v="4"/>
    <s v="Blown FB"/>
    <n v="1.9999999552965199E-2"/>
    <s v="4-6 stories"/>
    <n v="184.78091430664099"/>
    <s v=""/>
  </r>
  <r>
    <n v="60099"/>
    <s v="ceiling_1"/>
    <n v="1"/>
    <x v="0"/>
    <n v="0.89999997615814198"/>
    <n v="6448"/>
    <x v="16"/>
    <s v="Blown FB"/>
    <n v="7.5000002980232197E-2"/>
    <s v="1-3 stories"/>
    <n v="300.26898193359398"/>
    <n v="300.26898193359398"/>
  </r>
  <r>
    <n v="71003"/>
    <s v="ceiling_1"/>
    <n v="1"/>
    <x v="6"/>
    <n v="0.89999997615814198"/>
    <n v="2290"/>
    <x v="4"/>
    <s v="Blown Cellulose"/>
    <n v="7.9999998211860698E-2"/>
    <s v="1-3 stories"/>
    <n v="182.53904724121099"/>
    <n v="182.53904724121099"/>
  </r>
  <r>
    <n v="71004"/>
    <s v="ceiling_1"/>
    <n v="1"/>
    <x v="4"/>
    <n v="1"/>
    <n v="5012"/>
    <x v="3"/>
    <s v="Blown FB"/>
    <n v="1.9999999552965199E-2"/>
    <s v="1-3 stories"/>
    <n v="136.90428161621099"/>
    <n v="136.90428161621099"/>
  </r>
  <r>
    <n v="71007"/>
    <s v="ceiling_1"/>
    <n v="1"/>
    <x v="3"/>
    <n v="0.89999997615814198"/>
    <n v="1717"/>
    <x v="4"/>
    <m/>
    <n v="0.15000000596046401"/>
    <s v="1-3 stories"/>
    <n v="219.04685974121099"/>
    <n v="219.04685974121099"/>
  </r>
  <r>
    <n v="71008"/>
    <s v="ceiling_1"/>
    <n v="1"/>
    <x v="0"/>
    <n v="1"/>
    <n v="1260"/>
    <x v="11"/>
    <s v="Blown FB"/>
    <n v="2.5000000372528999E-2"/>
    <s v="1-3 stories"/>
    <n v="182.53904724121099"/>
    <n v="182.53904724121099"/>
  </r>
  <r>
    <n v="71009"/>
    <s v="ceiling_1"/>
    <n v="1"/>
    <x v="3"/>
    <n v="0.89999997615814198"/>
    <n v="1560"/>
    <x v="4"/>
    <m/>
    <n v="0.15000000596046401"/>
    <s v="1-3 stories"/>
    <n v="136.90428161621099"/>
    <n v="136.90428161621099"/>
  </r>
  <r>
    <n v="71010"/>
    <s v="ceiling_1"/>
    <n v="1"/>
    <x v="0"/>
    <n v="1"/>
    <n v="2836"/>
    <x v="5"/>
    <s v="Batt Fiberglass"/>
    <n v="2.5000000372528999E-2"/>
    <s v="1-3 stories"/>
    <n v="182.53904724121099"/>
    <n v="182.53904724121099"/>
  </r>
  <r>
    <n v="71011"/>
    <s v="ceiling_1"/>
    <n v="1"/>
    <x v="2"/>
    <n v="1"/>
    <n v="1300"/>
    <x v="10"/>
    <s v="Batt Fiberglass"/>
    <n v="5.0000000745058101E-2"/>
    <s v="1-3 stories"/>
    <n v="136.90428161621099"/>
    <n v="136.90428161621099"/>
  </r>
  <r>
    <n v="71013"/>
    <s v="ceiling_1"/>
    <n v="1"/>
    <x v="3"/>
    <n v="0.75"/>
    <n v="2150"/>
    <x v="0"/>
    <s v="Other"/>
    <n v="0.19499999284744299"/>
    <s v="1-3 stories"/>
    <n v="136.90428161621099"/>
    <n v="136.90428161621099"/>
  </r>
  <r>
    <n v="72001"/>
    <s v="ceiling_1"/>
    <n v="1"/>
    <x v="2"/>
    <n v="0.5"/>
    <n v="4522"/>
    <x v="1"/>
    <s v="Blown Rock Wool"/>
    <n v="0.25"/>
    <s v="1-3 stories"/>
    <n v="78.231018066406307"/>
    <n v="78.231018066406307"/>
  </r>
  <r>
    <n v="72002"/>
    <s v="ceiling_1"/>
    <n v="1"/>
    <x v="6"/>
    <n v="0.89999997615814198"/>
    <n v="3380"/>
    <x v="11"/>
    <m/>
    <n v="7.9999998211860698E-2"/>
    <s v="4-6 stories"/>
    <n v="99.566741943359403"/>
    <s v=""/>
  </r>
  <r>
    <n v="72003"/>
    <s v="ceiling_1"/>
    <n v="1"/>
    <x v="6"/>
    <n v="0.89999997615814198"/>
    <n v="2975"/>
    <x v="5"/>
    <s v="Batt Fiberglass"/>
    <n v="7.9999998211860698E-2"/>
    <s v="4-6 stories"/>
    <n v="109.523429870605"/>
    <s v=""/>
  </r>
  <r>
    <n v="72004"/>
    <s v="ceiling_1"/>
    <n v="1"/>
    <x v="2"/>
    <n v="1"/>
    <n v="3050"/>
    <x v="1"/>
    <s v="Blown Rock Wool"/>
    <n v="5.0000000745058101E-2"/>
    <s v="4-6 stories"/>
    <n v="84.248786926269503"/>
    <s v=""/>
  </r>
  <r>
    <n v="72005"/>
    <s v="ceiling_1"/>
    <n v="1"/>
    <x v="2"/>
    <n v="0.89999997615814198"/>
    <n v="4620"/>
    <x v="4"/>
    <m/>
    <n v="9.4999998807907104E-2"/>
    <s v="1-3 stories"/>
    <n v="91.269523620605497"/>
    <n v="91.269523620605497"/>
  </r>
  <r>
    <n v="72006"/>
    <s v="ceiling_1"/>
    <n v="1"/>
    <x v="4"/>
    <n v="1"/>
    <n v="3168"/>
    <x v="3"/>
    <s v="Batt Fiberglass"/>
    <n v="1.9999999552965199E-2"/>
    <s v="1-3 stories"/>
    <n v="91.269523620605497"/>
    <n v="91.269523620605497"/>
  </r>
  <r>
    <n v="72007"/>
    <s v="ceiling_1"/>
    <n v="1"/>
    <x v="5"/>
    <n v="1"/>
    <n v="4836"/>
    <x v="3"/>
    <s v="Blown Cellulose"/>
    <n v="7.0000000298023196E-2"/>
    <s v="1-3 stories"/>
    <n v="91.269523620605497"/>
    <n v="91.269523620605497"/>
  </r>
  <r>
    <n v="72008"/>
    <s v="ceiling_1"/>
    <n v="1"/>
    <x v="3"/>
    <n v="0.89999997615814198"/>
    <n v="3898"/>
    <x v="4"/>
    <m/>
    <n v="0.15000000596046401"/>
    <s v="1-3 stories"/>
    <n v="99.566741943359403"/>
    <n v="99.566741943359403"/>
  </r>
  <r>
    <n v="73003"/>
    <s v="ceiling_1"/>
    <n v="1"/>
    <x v="0"/>
    <n v="0.89999997615814198"/>
    <n v="5310"/>
    <x v="4"/>
    <s v="Batt Fiberglass"/>
    <n v="7.5000002980232197E-2"/>
    <s v="1-3 stories"/>
    <n v="60.846343994140597"/>
    <n v="60.846343994140597"/>
  </r>
  <r>
    <n v="73007"/>
    <s v="ceiling_1"/>
    <n v="1"/>
    <x v="3"/>
    <n v="0.89999997615814198"/>
    <n v="3764"/>
    <x v="4"/>
    <m/>
    <n v="0.15000000596046401"/>
    <s v="1-3 stories"/>
    <n v="64.425544738769503"/>
    <n v="64.425544738769503"/>
  </r>
  <r>
    <n v="73010"/>
    <s v="ceiling_1"/>
    <n v="1"/>
    <x v="0"/>
    <n v="1"/>
    <n v="5046"/>
    <x v="3"/>
    <s v="Blown Cellulose"/>
    <n v="2.5000000372528999E-2"/>
    <s v="1-3 stories"/>
    <n v="52.154014587402301"/>
    <n v="52.154014587402301"/>
  </r>
  <r>
    <n v="74001"/>
    <s v="ceiling_1"/>
    <n v="1"/>
    <x v="1"/>
    <n v="0.5"/>
    <n v="10859"/>
    <x v="17"/>
    <s v="Blown Cellulose"/>
    <n v="0.245000004768372"/>
    <s v="4-6 stories"/>
    <n v="34.226070404052699"/>
    <s v=""/>
  </r>
  <r>
    <n v="74003"/>
    <s v="ceiling_1"/>
    <n v="1"/>
    <x v="1"/>
    <n v="0.75"/>
    <n v="13355"/>
    <x v="8"/>
    <s v="Blown FB"/>
    <n v="0.15000000596046401"/>
    <s v="1-3 stories"/>
    <n v="36.507808685302699"/>
    <n v="36.507808685302699"/>
  </r>
  <r>
    <n v="74004"/>
    <s v="ceiling_1"/>
    <n v="1"/>
    <x v="6"/>
    <n v="0.75"/>
    <n v="5585"/>
    <x v="0"/>
    <s v="Mixed"/>
    <n v="0.144999995827675"/>
    <s v="1-3 stories"/>
    <n v="45.634761810302699"/>
    <n v="45.634761810302699"/>
  </r>
  <r>
    <n v="74006"/>
    <s v="ceiling_1"/>
    <n v="1"/>
    <x v="1"/>
    <n v="0.89999997615814198"/>
    <n v="7146"/>
    <x v="4"/>
    <s v="Batt Fiberglass"/>
    <n v="9.00000035762787E-2"/>
    <s v="1-3 stories"/>
    <n v="47.6188774108887"/>
    <n v="47.6188774108887"/>
  </r>
  <r>
    <n v="74007"/>
    <s v="ceiling_1"/>
    <n v="1"/>
    <x v="2"/>
    <n v="0.89999997615814198"/>
    <n v="2340"/>
    <x v="3"/>
    <s v="Batt Fiberglass"/>
    <n v="9.4999998807907104E-2"/>
    <s v="4-6 stories"/>
    <n v="45.634761810302699"/>
    <s v=""/>
  </r>
  <r>
    <n v="74010"/>
    <s v="ceiling_1"/>
    <n v="1"/>
    <x v="6"/>
    <n v="1"/>
    <n v="8568"/>
    <x v="18"/>
    <s v="Blown Cellulose"/>
    <n v="3.5000000149011598E-2"/>
    <s v="4-6 stories"/>
    <n v="31.292406082153299"/>
    <s v=""/>
  </r>
  <r>
    <n v="74011"/>
    <s v="ceiling_1"/>
    <n v="1"/>
    <x v="3"/>
    <n v="0.89999997615814198"/>
    <n v="6520"/>
    <x v="4"/>
    <s v="Batt Fiberglass"/>
    <n v="0.15000000596046401"/>
    <s v="1-3 stories"/>
    <n v="31.292406082153299"/>
    <n v="31.292406082153299"/>
  </r>
  <r>
    <n v="74013"/>
    <s v="ceiling_1"/>
    <n v="1"/>
    <x v="6"/>
    <n v="0.89999997615814198"/>
    <n v="7600"/>
    <x v="4"/>
    <s v="Batt Fiberglass"/>
    <n v="7.9999998211860698E-2"/>
    <s v="4-6 stories"/>
    <n v="34.226070404052699"/>
    <s v=""/>
  </r>
  <r>
    <n v="74014"/>
    <s v="ceiling_1"/>
    <n v="1"/>
    <x v="2"/>
    <n v="0.75"/>
    <n v="6664"/>
    <x v="1"/>
    <s v="Blown FB"/>
    <n v="0.15500000119209301"/>
    <s v="4-6 stories"/>
    <n v="42.124393463134801"/>
    <s v=""/>
  </r>
  <r>
    <n v="74015"/>
    <s v="ceiling_1"/>
    <n v="1"/>
    <x v="2"/>
    <n v="0.89999997615814198"/>
    <n v="6690"/>
    <x v="0"/>
    <m/>
    <n v="9.4999998807907104E-2"/>
    <s v="1-3 stories"/>
    <n v="40.564231872558601"/>
    <n v="40.564231872558601"/>
  </r>
  <r>
    <n v="75001"/>
    <s v="ceiling_1"/>
    <n v="1"/>
    <x v="3"/>
    <n v="0.89999997615814198"/>
    <n v="9100"/>
    <x v="4"/>
    <m/>
    <n v="0.15000000596046401"/>
    <s v="1-3 stories"/>
    <n v="28.821952819824201"/>
    <n v="28.821952819824201"/>
  </r>
  <r>
    <n v="75003"/>
    <s v="ceiling_1"/>
    <n v="1"/>
    <x v="0"/>
    <n v="0.89999997615814198"/>
    <n v="9600"/>
    <x v="4"/>
    <s v="Batt Fiberglass"/>
    <n v="7.5000002980232197E-2"/>
    <s v="4-6 stories"/>
    <n v="18.883348464965799"/>
    <s v=""/>
  </r>
  <r>
    <n v="75004"/>
    <s v="ceiling_1"/>
    <n v="1"/>
    <x v="2"/>
    <n v="1"/>
    <n v="12602"/>
    <x v="6"/>
    <s v="Blown Rock Wool"/>
    <n v="5.0000000745058101E-2"/>
    <s v="1-3 stories"/>
    <n v="19.557754516601602"/>
    <n v="19.557754516601602"/>
  </r>
  <r>
    <n v="75006"/>
    <s v="ceiling_1"/>
    <n v="1"/>
    <x v="1"/>
    <n v="1"/>
    <n v="2829"/>
    <x v="16"/>
    <s v="Batt Fiberglass"/>
    <n v="4.5000001788139302E-2"/>
    <s v="4-6 stories"/>
    <n v="22.351718902587901"/>
    <s v=""/>
  </r>
  <r>
    <n v="75008"/>
    <s v="ceiling_1"/>
    <n v="1"/>
    <x v="2"/>
    <n v="0.89999997615814198"/>
    <n v="13130"/>
    <x v="3"/>
    <s v="Batt Fiberglass"/>
    <n v="9.4999998807907104E-2"/>
    <s v="1-3 stories"/>
    <n v="26.7130317687988"/>
    <n v="26.7130317687988"/>
  </r>
  <r>
    <n v="75009"/>
    <s v="ceiling_1"/>
    <n v="1"/>
    <x v="3"/>
    <n v="0.89999997615814198"/>
    <n v="7186"/>
    <x v="1"/>
    <s v="Blown Cellulose"/>
    <n v="0.15000000596046401"/>
    <s v="1-3 stories"/>
    <n v="28.082929611206101"/>
    <n v="28.082929611206101"/>
  </r>
  <r>
    <n v="75010"/>
    <s v="ceiling_1"/>
    <n v="1"/>
    <x v="6"/>
    <n v="0.89999997615814198"/>
    <n v="10296"/>
    <x v="4"/>
    <s v="Batt Fiberglass"/>
    <n v="7.9999998211860698E-2"/>
    <s v="1-3 stories"/>
    <n v="30.423171997070298"/>
    <n v="30.423171997070298"/>
  </r>
  <r>
    <n v="75011"/>
    <s v="ceiling_1"/>
    <n v="1"/>
    <x v="0"/>
    <n v="1"/>
    <n v="7173"/>
    <x v="10"/>
    <s v="Blown FB"/>
    <n v="2.5000000372528999E-2"/>
    <s v="4-6 stories"/>
    <n v="23.3028564453125"/>
    <s v=""/>
  </r>
  <r>
    <n v="75012"/>
    <s v="ceiling_1"/>
    <n v="1"/>
    <x v="1"/>
    <n v="0.89999997615814198"/>
    <n v="3354"/>
    <x v="4"/>
    <s v="Blown Cellulose"/>
    <n v="9.00000035762787E-2"/>
    <s v="1-3 stories"/>
    <n v="24.338537216186499"/>
    <n v="24.338537216186499"/>
  </r>
  <r>
    <n v="76003"/>
    <s v="ceiling_1"/>
    <n v="1"/>
    <x v="3"/>
    <n v="0.89999997615814198"/>
    <n v="3241"/>
    <x v="4"/>
    <m/>
    <n v="0.15000000596046401"/>
    <s v="7+ stories"/>
    <n v="13.195593833923301"/>
    <s v=""/>
  </r>
  <r>
    <n v="76007"/>
    <s v="ceiling_1"/>
    <n v="1"/>
    <x v="0"/>
    <n v="0.89999997615814198"/>
    <n v="6030"/>
    <x v="10"/>
    <s v="Blown Cellulose"/>
    <n v="7.5000002980232197E-2"/>
    <s v="4-6 stories"/>
    <n v="13.195593833923301"/>
    <s v=""/>
  </r>
  <r>
    <n v="76012"/>
    <s v="ceiling_1"/>
    <n v="1"/>
    <x v="4"/>
    <n v="0.89999997615814198"/>
    <n v="18839"/>
    <x v="4"/>
    <s v="Batt Fiberglass"/>
    <n v="7.0000000298023196E-2"/>
    <s v="4-6 stories"/>
    <n v="12.445842742919901"/>
    <s v=""/>
  </r>
  <r>
    <n v="76012"/>
    <s v="ceiling_2"/>
    <n v="2"/>
    <x v="6"/>
    <n v="0.89999997615814198"/>
    <n v="750"/>
    <x v="4"/>
    <s v="Other"/>
    <n v="7.9999998211860698E-2"/>
    <s v="4-6 stories"/>
    <n v="12.445842742919901"/>
    <s v=""/>
  </r>
  <r>
    <n v="76013"/>
    <s v="ceiling_1"/>
    <n v="1"/>
    <x v="0"/>
    <n v="1"/>
    <n v="11621"/>
    <x v="3"/>
    <s v="Batt Fiberglass"/>
    <n v="2.5000000372528999E-2"/>
    <s v="4-6 stories"/>
    <n v="14.2238216400146"/>
    <s v=""/>
  </r>
  <r>
    <n v="77003"/>
    <s v="ceiling_1"/>
    <n v="1"/>
    <x v="0"/>
    <n v="1"/>
    <n v="26760"/>
    <x v="3"/>
    <s v="Blown Cellulose"/>
    <n v="2.5000000372528999E-2"/>
    <s v="4-6 stories"/>
    <n v="8.8325338363647496"/>
    <s v=""/>
  </r>
  <r>
    <n v="77004"/>
    <s v="ceiling_1"/>
    <n v="1"/>
    <x v="6"/>
    <n v="0.89999997615814198"/>
    <n v="42545"/>
    <x v="0"/>
    <s v="Batt Fiberglass"/>
    <n v="7.9999998211860698E-2"/>
    <s v="1-3 stories"/>
    <n v="6.93186235427856"/>
    <n v="6.93186235427856"/>
  </r>
  <r>
    <n v="77006"/>
    <s v="ceiling_1"/>
    <n v="1"/>
    <x v="2"/>
    <n v="1"/>
    <n v="20296"/>
    <x v="3"/>
    <s v="Mixed"/>
    <n v="5.0000000745058101E-2"/>
    <s v="7+ stories"/>
    <n v="6.84521436691284"/>
    <s v=""/>
  </r>
  <r>
    <n v="77006"/>
    <s v="ceiling_2"/>
    <n v="2"/>
    <x v="6"/>
    <n v="1"/>
    <n v="1033"/>
    <x v="3"/>
    <s v="Batt Fiberglass"/>
    <n v="3.5000000149011598E-2"/>
    <s v="7+ stories"/>
    <n v="6.84521436691284"/>
    <s v=""/>
  </r>
  <r>
    <n v="77009"/>
    <s v="ceiling_1"/>
    <n v="1"/>
    <x v="0"/>
    <n v="0.89999997615814198"/>
    <n v="33658"/>
    <x v="4"/>
    <s v="Batt Fiberglass"/>
    <n v="7.5000002980232197E-2"/>
    <s v="4-6 stories"/>
    <n v="7.5016040802001998"/>
    <s v=""/>
  </r>
  <r>
    <n v="78008"/>
    <s v="ceiling_1"/>
    <n v="1"/>
    <x v="2"/>
    <n v="0.89999997615814198"/>
    <n v="40361"/>
    <x v="4"/>
    <s v="Batt Fiberglass"/>
    <n v="9.4999998807907104E-2"/>
    <s v="4-6 stories"/>
    <n v="4.1963000297546396"/>
    <s v=""/>
  </r>
  <r>
    <n v="80061"/>
    <s v="ceiling_1"/>
    <n v="1"/>
    <x v="2"/>
    <n v="0.89999997615814198"/>
    <n v="5758"/>
    <x v="18"/>
    <s v="Blown Cellulose"/>
    <n v="9.4999998807907104E-2"/>
    <s v="1-3 stories"/>
    <n v="85.864128112792997"/>
    <n v="85.864128112792997"/>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pivotCacheRecords>
</file>

<file path=xl/pivotCache/pivotCacheRecords2.xml><?xml version="1.0" encoding="utf-8"?>
<pivotCacheRecords xmlns="http://schemas.openxmlformats.org/spreadsheetml/2006/main" xmlns:r="http://schemas.openxmlformats.org/officeDocument/2006/relationships" count="373">
  <r>
    <n v="128"/>
    <s v="wall_4"/>
    <n v="1"/>
    <x v="0"/>
    <s v="Double"/>
    <s v="&gt;=1/2&quot;"/>
    <n v="18"/>
    <n v="1696"/>
    <n v="0.55000001192092896"/>
    <s v="False"/>
    <s v="False"/>
    <s v="1-3 stories"/>
    <n v="443.80252075195301"/>
    <n v="443.80252075195301"/>
  </r>
  <r>
    <n v="10137"/>
    <s v="wall_3"/>
    <n v="1"/>
    <x v="1"/>
    <s v="Double"/>
    <s v="&lt;1/2&quot;"/>
    <n v="100"/>
    <n v="576"/>
    <n v="0.85000002384185802"/>
    <s v="False"/>
    <s v="False"/>
    <s v="1-3 stories"/>
    <n v="300.26898193359398"/>
    <n v="300.26898193359398"/>
  </r>
  <r>
    <n v="10137"/>
    <s v="wall_4"/>
    <n v="2"/>
    <x v="1"/>
    <s v="Double"/>
    <s v="&lt;1/2&quot;"/>
    <n v="100"/>
    <n v="528"/>
    <n v="0.75"/>
    <s v="False"/>
    <s v="True"/>
    <s v="1-3 stories"/>
    <n v="300.26898193359398"/>
    <n v="300.26898193359398"/>
  </r>
  <r>
    <n v="10137"/>
    <s v="wall_5"/>
    <n v="3"/>
    <x v="0"/>
    <s v="Double"/>
    <s v="&lt;1/2&quot;"/>
    <n v="0"/>
    <n v="80"/>
    <n v="0.60000002384185802"/>
    <s v="False"/>
    <s v="False"/>
    <s v="1-3 stories"/>
    <n v="300.26898193359398"/>
    <n v="300.26898193359398"/>
  </r>
  <r>
    <n v="10238"/>
    <s v="wall_3"/>
    <n v="1"/>
    <x v="0"/>
    <s v="Double"/>
    <s v="&lt;1/2&quot;"/>
    <n v="100"/>
    <n v="2996"/>
    <n v="0.60000002384185802"/>
    <s v="False"/>
    <s v="False"/>
    <s v="1-3 stories"/>
    <n v="160.14344787597699"/>
    <n v="160.14344787597699"/>
  </r>
  <r>
    <n v="10260"/>
    <s v="wall_3"/>
    <n v="1"/>
    <x v="0"/>
    <s v="Double"/>
    <s v="&lt;1/2&quot;"/>
    <n v="100"/>
    <n v="917"/>
    <n v="0.60000002384185802"/>
    <s v="False"/>
    <s v="False"/>
    <s v="1-3 stories"/>
    <n v="480.43035888671898"/>
    <n v="480.43035888671898"/>
  </r>
  <r>
    <n v="10323"/>
    <s v="wall_3"/>
    <n v="1"/>
    <x v="0"/>
    <s v="Double"/>
    <s v="&lt;1/2&quot;"/>
    <n v="100"/>
    <n v="627"/>
    <n v="0.55000001192092896"/>
    <s v="False"/>
    <s v="True"/>
    <s v="1-3 stories"/>
    <n v="256.24374389648398"/>
    <n v="256.24374389648398"/>
  </r>
  <r>
    <n v="10323"/>
    <s v="wall_4"/>
    <n v="2"/>
    <x v="0"/>
    <s v="Double"/>
    <s v="&lt;1/2&quot;"/>
    <n v="8"/>
    <n v="53"/>
    <n v="0.55000001192092896"/>
    <s v="False"/>
    <s v="True"/>
    <s v="1-3 stories"/>
    <n v="256.24374389648398"/>
    <n v="256.24374389648398"/>
  </r>
  <r>
    <n v="10400"/>
    <s v="wall_3"/>
    <n v="1"/>
    <x v="0"/>
    <s v="Double"/>
    <s v="&gt;=1/2&quot;"/>
    <n v="100"/>
    <n v="5666"/>
    <n v="0.44999998807907099"/>
    <s v="False"/>
    <s v="True"/>
    <s v="1-3 stories"/>
    <n v="34.345653533935497"/>
    <n v="34.345653533935497"/>
  </r>
  <r>
    <n v="10477"/>
    <s v="wall_3"/>
    <n v="1"/>
    <x v="1"/>
    <s v="Double"/>
    <s v="&lt;1/2&quot;"/>
    <n v="96"/>
    <n v="3563"/>
    <n v="0.85000002384185802"/>
    <s v="False"/>
    <s v="False"/>
    <s v="4-6 stories"/>
    <n v="30.423171997070298"/>
    <s v=""/>
  </r>
  <r>
    <n v="10480"/>
    <s v="wall_3"/>
    <n v="1"/>
    <x v="0"/>
    <s v="Double"/>
    <s v="&gt;=1/2&quot;"/>
    <n v="100"/>
    <n v="1140"/>
    <n v="0.44999998807907099"/>
    <s v="False"/>
    <s v="True"/>
    <s v="1-3 stories"/>
    <n v="400.358642578125"/>
    <n v="400.358642578125"/>
  </r>
  <r>
    <n v="10495"/>
    <s v="wall_3"/>
    <n v="1"/>
    <x v="1"/>
    <s v="Single"/>
    <m/>
    <n v="100"/>
    <n v="865"/>
    <n v="1.1000000238418599"/>
    <s v="False"/>
    <s v="False"/>
    <s v="1-3 stories"/>
    <n v="206.07391357421901"/>
    <n v="206.07391357421901"/>
  </r>
  <r>
    <n v="10495"/>
    <s v="wall_4"/>
    <n v="2"/>
    <x v="0"/>
    <s v="Double"/>
    <s v="&gt;=1/2&quot;"/>
    <n v="0"/>
    <n v="67"/>
    <n v="0.55000001192092896"/>
    <s v="False"/>
    <s v="False"/>
    <s v="1-3 stories"/>
    <n v="206.07391357421901"/>
    <n v="206.07391357421901"/>
  </r>
  <r>
    <n v="10519"/>
    <s v="wall_5"/>
    <n v="1"/>
    <x v="0"/>
    <s v="Double"/>
    <s v="&gt;=1/2&quot;"/>
    <n v="75"/>
    <n v="16680"/>
    <n v="0.44999998807907099"/>
    <s v="False"/>
    <s v="True"/>
    <s v="4-6 stories"/>
    <n v="8.55651760101318"/>
    <s v=""/>
  </r>
  <r>
    <n v="10587"/>
    <s v="wall_4"/>
    <n v="1"/>
    <x v="1"/>
    <s v="Double"/>
    <s v="&gt;=1/2&quot;"/>
    <n v="100"/>
    <n v="1825"/>
    <n v="0.80000001192092896"/>
    <s v="False"/>
    <s v="False"/>
    <s v="1-3 stories"/>
    <n v="266.90576171875"/>
    <n v="266.90576171875"/>
  </r>
  <r>
    <n v="10587"/>
    <s v="wall_5"/>
    <n v="2"/>
    <x v="0"/>
    <s v="Double"/>
    <s v="&gt;=1/2&quot;"/>
    <n v="100"/>
    <n v="80"/>
    <n v="0.44999998807907099"/>
    <s v="False"/>
    <s v="True"/>
    <s v="1-3 stories"/>
    <n v="266.90576171875"/>
    <n v="266.90576171875"/>
  </r>
  <r>
    <n v="10614"/>
    <s v="wall_4"/>
    <n v="1"/>
    <x v="0"/>
    <s v="Double"/>
    <s v="&gt;=1/2&quot;"/>
    <n v="95"/>
    <n v="5307"/>
    <n v="0.44999998807907099"/>
    <s v="False"/>
    <s v="True"/>
    <s v="4-6 stories"/>
    <n v="114.388175964355"/>
    <s v=""/>
  </r>
  <r>
    <n v="10614"/>
    <s v="wall_5"/>
    <n v="2"/>
    <x v="1"/>
    <s v="Double"/>
    <s v="&gt;=1/2&quot;"/>
    <n v="50"/>
    <n v="200"/>
    <n v="0.75"/>
    <s v="False"/>
    <s v="True"/>
    <s v="4-6 stories"/>
    <n v="114.388175964355"/>
    <s v=""/>
  </r>
  <r>
    <n v="10623"/>
    <s v="wall_4"/>
    <n v="1"/>
    <x v="1"/>
    <s v="Double"/>
    <s v="&gt;=1/2&quot;"/>
    <n v="77"/>
    <n v="1158"/>
    <n v="0.75"/>
    <s v="False"/>
    <s v="True"/>
    <s v="1-3 stories"/>
    <n v="219.04685974121099"/>
    <n v="219.04685974121099"/>
  </r>
  <r>
    <n v="10805"/>
    <s v="wall_3"/>
    <n v="1"/>
    <x v="0"/>
    <s v="Double"/>
    <s v="&gt;=1/2&quot;"/>
    <n v="100"/>
    <n v="701"/>
    <n v="0.55000001192092896"/>
    <s v="False"/>
    <s v="False"/>
    <s v="1-3 stories"/>
    <n v="686.32904052734398"/>
    <n v="686.32904052734398"/>
  </r>
  <r>
    <n v="10862"/>
    <s v="wall_4"/>
    <n v="1"/>
    <x v="1"/>
    <s v="Double"/>
    <s v="&lt;1/2&quot;"/>
    <n v="95"/>
    <n v="3519"/>
    <n v="0.85000002384185802"/>
    <s v="False"/>
    <s v="False"/>
    <s v="1-3 stories"/>
    <n v="85.864128112792997"/>
    <n v="85.864128112792997"/>
  </r>
  <r>
    <n v="10862"/>
    <s v="wall_5"/>
    <n v="2"/>
    <x v="0"/>
    <s v="Double"/>
    <s v="&gt;=1/2&quot;"/>
    <n v="100"/>
    <n v="130"/>
    <n v="0.44999998807907099"/>
    <s v="False"/>
    <s v="True"/>
    <s v="1-3 stories"/>
    <n v="85.864128112792997"/>
    <n v="85.864128112792997"/>
  </r>
  <r>
    <n v="10871"/>
    <s v="wall_3"/>
    <n v="1"/>
    <x v="0"/>
    <s v="Double"/>
    <s v="&lt;1/2&quot;"/>
    <n v="100"/>
    <n v="1640"/>
    <n v="0.55000001192092896"/>
    <s v="False"/>
    <s v="True"/>
    <s v="1-3 stories"/>
    <n v="200.17932128906301"/>
    <n v="200.17932128906301"/>
  </r>
  <r>
    <n v="10901"/>
    <s v="wall_3"/>
    <n v="1"/>
    <x v="1"/>
    <s v="Double"/>
    <s v="&gt;=1/2&quot;"/>
    <n v="60"/>
    <n v="1745"/>
    <n v="0.75"/>
    <s v="False"/>
    <s v="True"/>
    <s v="1-3 stories"/>
    <n v="228.97100830078099"/>
    <n v="228.97100830078099"/>
  </r>
  <r>
    <n v="10901"/>
    <s v="wall_4"/>
    <n v="2"/>
    <x v="0"/>
    <s v="Double"/>
    <s v="&gt;=1/2&quot;"/>
    <n v="100"/>
    <n v="409"/>
    <n v="0.44999998807907099"/>
    <s v="False"/>
    <s v="True"/>
    <s v="1-3 stories"/>
    <n v="228.97100830078099"/>
    <n v="228.97100830078099"/>
  </r>
  <r>
    <n v="10910"/>
    <s v="wall_4"/>
    <n v="1"/>
    <x v="0"/>
    <s v="Double"/>
    <s v="&gt;=1/2&quot;"/>
    <n v="100"/>
    <n v="1038"/>
    <n v="0.44999998807907099"/>
    <s v="False"/>
    <s v="True"/>
    <s v="1-3 stories"/>
    <n v="206.07391357421901"/>
    <n v="206.07391357421901"/>
  </r>
  <r>
    <n v="10996"/>
    <s v="wall_4"/>
    <n v="1"/>
    <x v="0"/>
    <s v="Double"/>
    <s v="&lt;1/2&quot;"/>
    <n v="100"/>
    <n v="993"/>
    <n v="0.55000001192092896"/>
    <s v="False"/>
    <s v="True"/>
    <s v="1-3 stories"/>
    <n v="112.106643676758"/>
    <n v="112.106643676758"/>
  </r>
  <r>
    <n v="11005"/>
    <s v="wall_4"/>
    <n v="1"/>
    <x v="0"/>
    <s v="Double"/>
    <s v="&lt;1/2&quot;"/>
    <n v="70"/>
    <n v="352"/>
    <n v="0.55000001192092896"/>
    <s v="False"/>
    <s v="True"/>
    <s v="1-3 stories"/>
    <n v="358.74127197265602"/>
    <n v="358.74127197265602"/>
  </r>
  <r>
    <n v="11005"/>
    <s v="wall_5"/>
    <n v="2"/>
    <x v="0"/>
    <s v="Single"/>
    <m/>
    <n v="50"/>
    <n v="43"/>
    <n v="0.89999997615814198"/>
    <s v="False"/>
    <s v="True"/>
    <s v="1-3 stories"/>
    <n v="358.74127197265602"/>
    <n v="358.74127197265602"/>
  </r>
  <r>
    <n v="11005"/>
    <s v="wall_6"/>
    <n v="3"/>
    <x v="0"/>
    <s v="Double"/>
    <s v="&lt;1/2&quot;"/>
    <n v="100"/>
    <n v="20"/>
    <n v="0.55000001192092896"/>
    <s v="False"/>
    <s v="True"/>
    <s v="1-3 stories"/>
    <n v="358.74127197265602"/>
    <n v="358.74127197265602"/>
  </r>
  <r>
    <n v="11263"/>
    <s v="wall_3"/>
    <n v="1"/>
    <x v="0"/>
    <s v="Double"/>
    <s v="&lt;1/2&quot;"/>
    <n v="100"/>
    <n v="570"/>
    <n v="0.55000001192092896"/>
    <s v="False"/>
    <s v="True"/>
    <s v="1-3 stories"/>
    <n v="343.45651245117199"/>
    <n v="343.45651245117199"/>
  </r>
  <r>
    <n v="11271"/>
    <s v="wall_4"/>
    <n v="1"/>
    <x v="1"/>
    <s v="Single"/>
    <m/>
    <n v="90"/>
    <n v="1500"/>
    <n v="1.1000000238418599"/>
    <s v="False"/>
    <s v="False"/>
    <s v="1-3 stories"/>
    <n v="54.761714935302699"/>
    <n v="54.761714935302699"/>
  </r>
  <r>
    <n v="11290"/>
    <s v="wall_3"/>
    <n v="1"/>
    <x v="1"/>
    <s v="Single"/>
    <m/>
    <n v="100"/>
    <n v="832"/>
    <n v="1.1000000238418599"/>
    <s v="False"/>
    <s v="False"/>
    <s v="1-3 stories"/>
    <n v="99.650344848632798"/>
    <n v="99.650344848632798"/>
  </r>
  <r>
    <n v="11290"/>
    <s v="wall_4"/>
    <n v="2"/>
    <x v="1"/>
    <s v="Single"/>
    <m/>
    <n v="100"/>
    <n v="592"/>
    <n v="0.94999998807907104"/>
    <s v="False"/>
    <s v="True"/>
    <s v="1-3 stories"/>
    <n v="99.650344848632798"/>
    <n v="99.650344848632798"/>
  </r>
  <r>
    <n v="11297"/>
    <s v="wall_4"/>
    <n v="1"/>
    <x v="0"/>
    <s v="Double"/>
    <s v="&gt;=1/2&quot;"/>
    <n v="67"/>
    <n v="13899"/>
    <n v="0.44999998807907099"/>
    <s v="False"/>
    <s v="True"/>
    <s v="1-3 stories"/>
    <n v="40.372299194335902"/>
    <n v="40.372299194335902"/>
  </r>
  <r>
    <n v="11297"/>
    <s v="wall_5"/>
    <n v="2"/>
    <x v="1"/>
    <s v="Double"/>
    <s v="&gt;=1/2&quot;"/>
    <n v="27"/>
    <n v="352"/>
    <n v="0.75"/>
    <s v="False"/>
    <s v="True"/>
    <s v="1-3 stories"/>
    <n v="40.372299194335902"/>
    <n v="40.372299194335902"/>
  </r>
  <r>
    <n v="11345"/>
    <s v="wall_4"/>
    <n v="1"/>
    <x v="0"/>
    <s v="Double"/>
    <s v="&gt;=1/2&quot;"/>
    <n v="98"/>
    <n v="1627"/>
    <n v="0.44999998807907099"/>
    <s v="False"/>
    <s v="True"/>
    <s v="1-3 stories"/>
    <n v="78.231018066406307"/>
    <n v="78.231018066406307"/>
  </r>
  <r>
    <n v="11413"/>
    <s v="wall_6"/>
    <n v="1"/>
    <x v="0"/>
    <s v="Double"/>
    <s v="&gt;=1/2&quot;"/>
    <n v="95"/>
    <n v="19214"/>
    <n v="0.44999998807907099"/>
    <s v="False"/>
    <s v="True"/>
    <s v="4-6 stories"/>
    <n v="53.381153106689503"/>
    <s v=""/>
  </r>
  <r>
    <n v="11413"/>
    <s v="wall_7"/>
    <n v="2"/>
    <x v="1"/>
    <s v="Single"/>
    <m/>
    <n v="95"/>
    <n v="2620"/>
    <n v="1.1000000238418599"/>
    <s v="False"/>
    <s v="False"/>
    <s v="4-6 stories"/>
    <n v="53.381153106689503"/>
    <s v=""/>
  </r>
  <r>
    <n v="11413"/>
    <s v="wall_8"/>
    <n v="3"/>
    <x v="1"/>
    <s v="Double"/>
    <s v="&gt;=1/2&quot;"/>
    <n v="72"/>
    <n v="296"/>
    <n v="0.80000001192092896"/>
    <s v="False"/>
    <s v="False"/>
    <s v="4-6 stories"/>
    <n v="53.381153106689503"/>
    <s v=""/>
  </r>
  <r>
    <n v="11537"/>
    <s v="wall_4"/>
    <n v="1"/>
    <x v="1"/>
    <s v="Single"/>
    <m/>
    <n v="100"/>
    <n v="421"/>
    <n v="1.1000000238418599"/>
    <s v="False"/>
    <s v="False"/>
    <s v="1-3 stories"/>
    <n v="149.47552490234401"/>
    <n v="149.47552490234401"/>
  </r>
  <r>
    <n v="11537"/>
    <s v="wall_5"/>
    <n v="2"/>
    <x v="1"/>
    <s v="Double"/>
    <s v="&lt;1/2&quot;"/>
    <n v="100"/>
    <n v="480"/>
    <n v="0.75"/>
    <s v="False"/>
    <s v="True"/>
    <s v="1-3 stories"/>
    <n v="149.47552490234401"/>
    <n v="149.47552490234401"/>
  </r>
  <r>
    <n v="11537"/>
    <s v="wall_6"/>
    <n v="3"/>
    <x v="0"/>
    <s v="Double"/>
    <s v="&gt;=1/2&quot;"/>
    <n v="100"/>
    <n v="42"/>
    <n v="0.44999998807907099"/>
    <s v="False"/>
    <s v="True"/>
    <s v="1-3 stories"/>
    <n v="149.47552490234401"/>
    <n v="149.47552490234401"/>
  </r>
  <r>
    <n v="11598"/>
    <s v="wall_4"/>
    <n v="1"/>
    <x v="1"/>
    <s v="Double"/>
    <s v="&gt;=1/2&quot;"/>
    <n v="100"/>
    <n v="1848"/>
    <n v="0.80000001192092896"/>
    <s v="False"/>
    <s v="False"/>
    <s v="1-3 stories"/>
    <n v="400.358642578125"/>
    <n v="400.358642578125"/>
  </r>
  <r>
    <n v="11879"/>
    <s v="wall_3"/>
    <n v="1"/>
    <x v="0"/>
    <s v="Double"/>
    <s v="&gt;=1/2&quot;"/>
    <n v="80"/>
    <n v="1452"/>
    <n v="0.55000001192092896"/>
    <s v="False"/>
    <s v="False"/>
    <s v="1-3 stories"/>
    <n v="600.53796386718795"/>
    <n v="600.53796386718795"/>
  </r>
  <r>
    <n v="11887"/>
    <s v="wall_3"/>
    <n v="1"/>
    <x v="1"/>
    <s v="Double"/>
    <s v="&gt;=1/2&quot;"/>
    <n v="100"/>
    <n v="5960"/>
    <n v="0.80000001192092896"/>
    <s v="False"/>
    <s v="False"/>
    <s v="1-3 stories"/>
    <n v="53.381153106689503"/>
    <n v="53.381153106689503"/>
  </r>
  <r>
    <n v="11887"/>
    <s v="wall_4"/>
    <n v="2"/>
    <x v="0"/>
    <s v="Double"/>
    <s v="&gt;=1/2&quot;"/>
    <n v="100"/>
    <n v="106"/>
    <n v="0.44999998807907099"/>
    <s v="False"/>
    <s v="True"/>
    <s v="1-3 stories"/>
    <n v="53.381153106689503"/>
    <n v="53.381153106689503"/>
  </r>
  <r>
    <n v="11930"/>
    <s v="wall_3"/>
    <n v="1"/>
    <x v="1"/>
    <s v="Double"/>
    <s v="&lt;1/2&quot;"/>
    <n v="100"/>
    <n v="562"/>
    <n v="0.85000002384185802"/>
    <s v="False"/>
    <s v="False"/>
    <s v="1-3 stories"/>
    <n v="600.53796386718795"/>
    <n v="600.53796386718795"/>
  </r>
  <r>
    <n v="11949"/>
    <s v="wall_3"/>
    <n v="1"/>
    <x v="0"/>
    <s v="Double"/>
    <s v="&gt;=1/2&quot;"/>
    <n v="65"/>
    <n v="8708"/>
    <n v="0.44999998807907099"/>
    <s v="False"/>
    <s v="True"/>
    <s v="4-6 stories"/>
    <n v="57.194087982177699"/>
    <s v=""/>
  </r>
  <r>
    <n v="12167"/>
    <s v="wall_4"/>
    <n v="1"/>
    <x v="1"/>
    <s v="Double"/>
    <s v="&lt;1/2&quot;"/>
    <n v="95"/>
    <n v="914"/>
    <n v="0.85000002384185802"/>
    <s v="False"/>
    <s v="False"/>
    <s v="1-3 stories"/>
    <n v="400.358642578125"/>
    <n v="400.358642578125"/>
  </r>
  <r>
    <n v="12192"/>
    <s v="wall_5"/>
    <n v="1"/>
    <x v="0"/>
    <s v="Double"/>
    <s v="&gt;=1/2&quot;"/>
    <n v="95"/>
    <n v="5017"/>
    <n v="0.44999998807907099"/>
    <s v="False"/>
    <s v="True"/>
    <s v="4-6 stories"/>
    <n v="62.4466361999512"/>
    <s v=""/>
  </r>
  <r>
    <n v="12192"/>
    <s v="wall_6"/>
    <n v="2"/>
    <x v="1"/>
    <s v="Single"/>
    <m/>
    <n v="50"/>
    <n v="95"/>
    <n v="0.94999998807907104"/>
    <s v="False"/>
    <s v="True"/>
    <s v="4-6 stories"/>
    <n v="62.4466361999512"/>
    <s v=""/>
  </r>
  <r>
    <n v="12405"/>
    <s v="wall_3"/>
    <n v="1"/>
    <x v="1"/>
    <s v="Double"/>
    <s v="&lt;1/2&quot;"/>
    <n v="100"/>
    <n v="2639"/>
    <n v="0.85000002384185802"/>
    <s v="False"/>
    <s v="False"/>
    <s v="1-3 stories"/>
    <n v="165.66564941406301"/>
    <n v="165.66564941406301"/>
  </r>
  <r>
    <n v="12511"/>
    <s v="wall_3"/>
    <n v="1"/>
    <x v="1"/>
    <s v="Double"/>
    <s v="&lt;1/2&quot;"/>
    <n v="100"/>
    <n v="2800"/>
    <n v="0.85000002384185802"/>
    <s v="False"/>
    <s v="False"/>
    <s v="4-6 stories"/>
    <n v="35.170711517333999"/>
    <s v=""/>
  </r>
  <r>
    <n v="12511"/>
    <s v="wall_4"/>
    <n v="2"/>
    <x v="1"/>
    <s v="Double"/>
    <s v="&lt;1/2&quot;"/>
    <n v="0"/>
    <n v="256"/>
    <n v="0.75"/>
    <s v="False"/>
    <s v="True"/>
    <s v="4-6 stories"/>
    <n v="35.170711517333999"/>
    <s v=""/>
  </r>
  <r>
    <n v="12623"/>
    <s v="wall_3"/>
    <n v="1"/>
    <x v="1"/>
    <s v="Single"/>
    <m/>
    <n v="100"/>
    <n v="953"/>
    <n v="1.1000000238418599"/>
    <s v="False"/>
    <s v="False"/>
    <s v="1-3 stories"/>
    <n v="600.53796386718795"/>
    <n v="600.53796386718795"/>
  </r>
  <r>
    <n v="12651"/>
    <s v="wall_4"/>
    <n v="1"/>
    <x v="0"/>
    <s v="Double"/>
    <s v="&gt;=1/2&quot;"/>
    <n v="82"/>
    <n v="2140"/>
    <n v="0.44999998807907099"/>
    <s v="False"/>
    <s v="True"/>
    <s v="1-3 stories"/>
    <n v="266.90576171875"/>
    <n v="266.90576171875"/>
  </r>
  <r>
    <n v="12783"/>
    <s v="wall_3"/>
    <n v="1"/>
    <x v="1"/>
    <s v="Double"/>
    <s v="&lt;1/2&quot;"/>
    <n v="97"/>
    <n v="2768"/>
    <n v="0.85000002384185802"/>
    <s v="False"/>
    <s v="False"/>
    <s v="4-6 stories"/>
    <n v="35.330135345458999"/>
    <s v=""/>
  </r>
  <r>
    <n v="12932"/>
    <s v="wall_6"/>
    <n v="1"/>
    <x v="1"/>
    <s v="Double"/>
    <s v="&lt;1/2&quot;"/>
    <n v="100"/>
    <n v="1783"/>
    <n v="0.85000002384185802"/>
    <s v="False"/>
    <s v="False"/>
    <s v="4-6 stories"/>
    <n v="137.38261413574199"/>
    <s v=""/>
  </r>
  <r>
    <n v="12932"/>
    <s v="wall_7"/>
    <n v="2"/>
    <x v="0"/>
    <s v="Double"/>
    <s v="&lt;1/2&quot;"/>
    <n v="0"/>
    <n v="658"/>
    <n v="0.60000002384185802"/>
    <s v="False"/>
    <s v="False"/>
    <s v="4-6 stories"/>
    <n v="137.38261413574199"/>
    <s v=""/>
  </r>
  <r>
    <n v="12932"/>
    <s v="wall_8"/>
    <n v="3"/>
    <x v="0"/>
    <s v="Single"/>
    <m/>
    <n v="0"/>
    <n v="150"/>
    <n v="0.94999998807907104"/>
    <s v="False"/>
    <s v="False"/>
    <s v="4-6 stories"/>
    <n v="137.38261413574199"/>
    <s v=""/>
  </r>
  <r>
    <n v="12986"/>
    <s v="wall_5"/>
    <n v="1"/>
    <x v="0"/>
    <s v="Double"/>
    <s v="&gt;=1/2&quot;"/>
    <n v="100"/>
    <n v="9684"/>
    <n v="0.44999998807907099"/>
    <s v="False"/>
    <s v="True"/>
    <s v="4-6 stories"/>
    <n v="19.080919265747099"/>
    <s v=""/>
  </r>
  <r>
    <n v="12986"/>
    <s v="wall_6"/>
    <n v="2"/>
    <x v="1"/>
    <s v="Double"/>
    <s v="&gt;=1/2&quot;"/>
    <n v="8"/>
    <n v="84"/>
    <n v="0.75"/>
    <s v="False"/>
    <s v="True"/>
    <s v="4-6 stories"/>
    <n v="19.080919265747099"/>
    <s v=""/>
  </r>
  <r>
    <n v="12998"/>
    <s v="wall_3"/>
    <n v="1"/>
    <x v="1"/>
    <s v="Double"/>
    <s v="&gt;=1/2&quot;"/>
    <n v="95"/>
    <n v="2030"/>
    <n v="0.80000001192092896"/>
    <s v="False"/>
    <s v="False"/>
    <s v="1-3 stories"/>
    <n v="34.226070404052699"/>
    <n v="34.226070404052699"/>
  </r>
  <r>
    <n v="12998"/>
    <s v="wall_4"/>
    <n v="2"/>
    <x v="0"/>
    <s v="Double"/>
    <s v="&gt;=1/2&quot;"/>
    <n v="95"/>
    <n v="1354"/>
    <n v="0.44999998807907099"/>
    <s v="False"/>
    <s v="True"/>
    <s v="1-3 stories"/>
    <n v="34.226070404052699"/>
    <n v="34.226070404052699"/>
  </r>
  <r>
    <n v="13039"/>
    <s v="wall_4"/>
    <n v="1"/>
    <x v="0"/>
    <s v="Double"/>
    <s v="&gt;=1/2&quot;"/>
    <n v="51"/>
    <n v="7042"/>
    <n v="0.44999998807907099"/>
    <s v="False"/>
    <s v="True"/>
    <s v="4-6 stories"/>
    <n v="66.475456237792997"/>
    <s v=""/>
  </r>
  <r>
    <n v="13039"/>
    <s v="wall_5"/>
    <n v="2"/>
    <x v="1"/>
    <s v="Double"/>
    <s v="&lt;1/2&quot;"/>
    <n v="90"/>
    <n v="626"/>
    <n v="0.75"/>
    <s v="False"/>
    <s v="True"/>
    <s v="4-6 stories"/>
    <n v="66.475456237792997"/>
    <s v=""/>
  </r>
  <r>
    <n v="13039"/>
    <s v="wall_6"/>
    <n v="3"/>
    <x v="0"/>
    <s v="Single"/>
    <m/>
    <n v="100"/>
    <n v="156"/>
    <n v="0.94999998807907104"/>
    <s v="False"/>
    <s v="False"/>
    <s v="4-6 stories"/>
    <n v="66.475456237792997"/>
    <s v=""/>
  </r>
  <r>
    <n v="13048"/>
    <s v="wall_4"/>
    <n v="1"/>
    <x v="1"/>
    <s v="Double"/>
    <s v="&gt;=1/2&quot;"/>
    <n v="100"/>
    <n v="1578"/>
    <n v="0.80000001192092896"/>
    <s v="False"/>
    <s v="False"/>
    <s v="1-3 stories"/>
    <n v="266.90576171875"/>
    <n v="266.90576171875"/>
  </r>
  <r>
    <n v="13048"/>
    <s v="wall_5"/>
    <n v="2"/>
    <x v="0"/>
    <s v="Double"/>
    <s v="&gt;=1/2&quot;"/>
    <n v="100"/>
    <n v="240"/>
    <n v="0.55000001192092896"/>
    <s v="False"/>
    <s v="False"/>
    <s v="1-3 stories"/>
    <n v="266.90576171875"/>
    <n v="266.90576171875"/>
  </r>
  <r>
    <n v="13054"/>
    <s v="wall_3"/>
    <n v="1"/>
    <x v="0"/>
    <s v="Double"/>
    <s v="&gt;=1/2&quot;"/>
    <n v="100"/>
    <n v="670"/>
    <n v="0.44999998807907099"/>
    <s v="False"/>
    <s v="True"/>
    <s v="1-3 stories"/>
    <n v="149.47552490234401"/>
    <n v="149.47552490234401"/>
  </r>
  <r>
    <n v="13054"/>
    <s v="wall_4"/>
    <n v="2"/>
    <x v="0"/>
    <s v="Double"/>
    <s v="&lt;1/2&quot;"/>
    <n v="37"/>
    <n v="384"/>
    <n v="0.55000001192092896"/>
    <s v="False"/>
    <s v="True"/>
    <s v="1-3 stories"/>
    <n v="149.47552490234401"/>
    <n v="149.47552490234401"/>
  </r>
  <r>
    <n v="13062"/>
    <s v="wall_4"/>
    <n v="1"/>
    <x v="1"/>
    <s v="Double"/>
    <s v="&gt;=1/2&quot;"/>
    <n v="100"/>
    <n v="1448"/>
    <n v="0.80000001192092896"/>
    <s v="False"/>
    <s v="False"/>
    <s v="1-3 stories"/>
    <n v="400.358642578125"/>
    <n v="400.358642578125"/>
  </r>
  <r>
    <n v="13126"/>
    <s v="wall_4"/>
    <n v="1"/>
    <x v="1"/>
    <s v="Single"/>
    <m/>
    <n v="80"/>
    <n v="9930"/>
    <n v="1.1000000238418599"/>
    <s v="False"/>
    <s v="False"/>
    <s v="7+ stories"/>
    <n v="19.557754516601602"/>
    <s v=""/>
  </r>
  <r>
    <n v="13126"/>
    <s v="wall_5"/>
    <n v="2"/>
    <x v="0"/>
    <s v="Double"/>
    <s v="&gt;=1/2&quot;"/>
    <n v="0"/>
    <n v="135"/>
    <n v="0.44999998807907099"/>
    <s v="False"/>
    <s v="True"/>
    <s v="7+ stories"/>
    <n v="19.557754516601602"/>
    <s v=""/>
  </r>
  <r>
    <n v="13202"/>
    <s v="wall_3"/>
    <n v="1"/>
    <x v="0"/>
    <s v="Double"/>
    <s v="&lt;1/2&quot;"/>
    <n v="100"/>
    <n v="1116"/>
    <n v="0.60000002384185802"/>
    <s v="False"/>
    <s v="False"/>
    <s v="1-3 stories"/>
    <n v="480.43035888671898"/>
    <n v="480.43035888671898"/>
  </r>
  <r>
    <n v="13218"/>
    <s v="wall_3"/>
    <n v="1"/>
    <x v="1"/>
    <s v="Double"/>
    <s v="&lt;1/2&quot;"/>
    <n v="100"/>
    <n v="1261"/>
    <n v="0.85000002384185802"/>
    <s v="False"/>
    <s v="False"/>
    <s v="1-3 stories"/>
    <n v="128.79620361328099"/>
    <n v="128.79620361328099"/>
  </r>
  <r>
    <n v="13268"/>
    <s v="wall_4"/>
    <n v="1"/>
    <x v="0"/>
    <s v="Double"/>
    <s v="&gt;=1/2&quot;"/>
    <n v="100"/>
    <n v="1176"/>
    <n v="0.44999998807907099"/>
    <s v="False"/>
    <s v="True"/>
    <s v="1-3 stories"/>
    <n v="171.72825622558599"/>
    <n v="171.72825622558599"/>
  </r>
  <r>
    <n v="13321"/>
    <s v="wall_3"/>
    <n v="1"/>
    <x v="0"/>
    <s v="Double"/>
    <s v="&gt;=1/2&quot;"/>
    <n v="100"/>
    <n v="870"/>
    <n v="0.55000001192092896"/>
    <s v="False"/>
    <s v="False"/>
    <s v="1-3 stories"/>
    <n v="266.90576171875"/>
    <n v="266.90576171875"/>
  </r>
  <r>
    <n v="13321"/>
    <s v="wall_4"/>
    <n v="2"/>
    <x v="0"/>
    <s v="Double"/>
    <s v="&gt;=1/2&quot;"/>
    <n v="100"/>
    <n v="585"/>
    <n v="0.44999998807907099"/>
    <s v="False"/>
    <s v="True"/>
    <s v="1-3 stories"/>
    <n v="266.90576171875"/>
    <n v="266.90576171875"/>
  </r>
  <r>
    <n v="13321"/>
    <s v="wall_5"/>
    <n v="3"/>
    <x v="0"/>
    <s v="Single"/>
    <m/>
    <n v="0"/>
    <n v="81"/>
    <n v="0.94999998807907104"/>
    <s v="False"/>
    <s v="False"/>
    <s v="1-3 stories"/>
    <n v="266.90576171875"/>
    <n v="266.90576171875"/>
  </r>
  <r>
    <n v="13360"/>
    <s v="wall_3"/>
    <n v="1"/>
    <x v="1"/>
    <s v="Single"/>
    <m/>
    <n v="100"/>
    <n v="800"/>
    <n v="1.1000000238418599"/>
    <s v="False"/>
    <s v="False"/>
    <s v="1-3 stories"/>
    <n v="343.16452026367199"/>
    <n v="343.16452026367199"/>
  </r>
  <r>
    <n v="13384"/>
    <s v="wall_3"/>
    <n v="1"/>
    <x v="1"/>
    <s v="Double"/>
    <s v="&gt;=1/2&quot;"/>
    <n v="100"/>
    <n v="615"/>
    <n v="0.80000001192092896"/>
    <s v="False"/>
    <s v="False"/>
    <s v="1-3 stories"/>
    <n v="343.45651245117199"/>
    <n v="343.45651245117199"/>
  </r>
  <r>
    <n v="13384"/>
    <s v="wall_4"/>
    <n v="2"/>
    <x v="2"/>
    <m/>
    <m/>
    <n v="100"/>
    <n v="53"/>
    <m/>
    <m/>
    <m/>
    <s v="1-3 stories"/>
    <n v="343.45651245117199"/>
    <n v="343.45651245117199"/>
  </r>
  <r>
    <n v="13384"/>
    <s v="wall_5"/>
    <n v="3"/>
    <x v="1"/>
    <s v="Single"/>
    <m/>
    <n v="0"/>
    <n v="16"/>
    <n v="1.1000000238418599"/>
    <s v="False"/>
    <s v="False"/>
    <s v="1-3 stories"/>
    <n v="343.45651245117199"/>
    <n v="343.45651245117199"/>
  </r>
  <r>
    <n v="13520"/>
    <s v="wall_4"/>
    <n v="1"/>
    <x v="1"/>
    <s v="Double"/>
    <s v="&gt;=1/2&quot;"/>
    <n v="100"/>
    <n v="2134"/>
    <n v="0.80000001192092896"/>
    <s v="False"/>
    <s v="False"/>
    <s v="1-3 stories"/>
    <n v="114.48550415039099"/>
    <n v="114.48550415039099"/>
  </r>
  <r>
    <n v="13628"/>
    <s v="wall_3"/>
    <n v="1"/>
    <x v="1"/>
    <s v="Double"/>
    <s v="&lt;1/2&quot;"/>
    <n v="100"/>
    <n v="419"/>
    <n v="0.85000002384185802"/>
    <s v="False"/>
    <s v="False"/>
    <s v="1-3 stories"/>
    <n v="343.45651245117199"/>
    <n v="343.45651245117199"/>
  </r>
  <r>
    <n v="13694"/>
    <s v="wall_4"/>
    <n v="1"/>
    <x v="0"/>
    <s v="Double"/>
    <s v="&lt;1/2&quot;"/>
    <n v="100"/>
    <n v="1626"/>
    <n v="0.60000002384185802"/>
    <s v="False"/>
    <s v="False"/>
    <s v="1-3 stories"/>
    <n v="266.90576171875"/>
    <n v="266.90576171875"/>
  </r>
  <r>
    <n v="13712"/>
    <s v="wall_3"/>
    <n v="1"/>
    <x v="0"/>
    <s v="Double"/>
    <s v="&gt;=1/2&quot;"/>
    <n v="100"/>
    <n v="604"/>
    <n v="0.44999998807907099"/>
    <s v="False"/>
    <s v="True"/>
    <s v="1-3 stories"/>
    <n v="136.90428161621099"/>
    <n v="136.90428161621099"/>
  </r>
  <r>
    <n v="13861"/>
    <s v="wall_4"/>
    <n v="1"/>
    <x v="0"/>
    <s v="Double"/>
    <s v="&lt;1/2&quot;"/>
    <n v="99"/>
    <n v="3953"/>
    <n v="0.55000001192092896"/>
    <s v="False"/>
    <s v="True"/>
    <s v="1-3 stories"/>
    <n v="18.253904342651399"/>
    <n v="18.253904342651399"/>
  </r>
  <r>
    <n v="13899"/>
    <s v="wall_5"/>
    <n v="1"/>
    <x v="1"/>
    <s v="Double"/>
    <s v="&gt;=1/2&quot;"/>
    <n v="100"/>
    <n v="1528"/>
    <n v="0.80000001192092896"/>
    <s v="False"/>
    <s v="False"/>
    <s v="1-3 stories"/>
    <n v="42.124393463134801"/>
    <n v="42.124393463134801"/>
  </r>
  <r>
    <n v="13988"/>
    <s v="wall_3"/>
    <n v="1"/>
    <x v="1"/>
    <s v="Single"/>
    <m/>
    <n v="100"/>
    <n v="754"/>
    <n v="1.1000000238418599"/>
    <s v="False"/>
    <s v="False"/>
    <s v="1-3 stories"/>
    <n v="114.48550415039099"/>
    <n v="114.48550415039099"/>
  </r>
  <r>
    <n v="13988"/>
    <s v="wall_4"/>
    <n v="2"/>
    <x v="0"/>
    <s v="Double"/>
    <s v="&lt;1/2&quot;"/>
    <n v="100"/>
    <n v="56"/>
    <n v="0.60000002384185802"/>
    <s v="False"/>
    <s v="False"/>
    <s v="1-3 stories"/>
    <n v="114.48550415039099"/>
    <n v="114.48550415039099"/>
  </r>
  <r>
    <n v="13988"/>
    <s v="wall_5"/>
    <n v="3"/>
    <x v="1"/>
    <s v="Double"/>
    <s v="&lt;1/2&quot;"/>
    <n v="8"/>
    <n v="56"/>
    <n v="0.85000002384185802"/>
    <s v="False"/>
    <s v="False"/>
    <s v="1-3 stories"/>
    <n v="114.48550415039099"/>
    <n v="114.48550415039099"/>
  </r>
  <r>
    <n v="14014"/>
    <s v="wall_3"/>
    <n v="1"/>
    <x v="0"/>
    <s v="Double"/>
    <s v="&gt;=1/2&quot;"/>
    <n v="100"/>
    <n v="1602"/>
    <n v="0.44999998807907099"/>
    <s v="False"/>
    <s v="True"/>
    <s v="1-3 stories"/>
    <n v="85.864128112792997"/>
    <n v="85.864128112792997"/>
  </r>
  <r>
    <n v="14020"/>
    <s v="wall_4"/>
    <n v="1"/>
    <x v="1"/>
    <s v="Double"/>
    <s v="&gt;=1/2&quot;"/>
    <n v="97"/>
    <n v="1156"/>
    <n v="0.80000001192092896"/>
    <s v="False"/>
    <s v="False"/>
    <s v="1-3 stories"/>
    <n v="171.72825622558599"/>
    <n v="171.72825622558599"/>
  </r>
  <r>
    <n v="14059"/>
    <s v="wall_4"/>
    <n v="1"/>
    <x v="0"/>
    <s v="Double"/>
    <s v="&lt;1/2&quot;"/>
    <n v="100"/>
    <n v="3022"/>
    <n v="0.55000001192092896"/>
    <s v="False"/>
    <s v="True"/>
    <s v="4-6 stories"/>
    <n v="47.924167633056598"/>
    <s v=""/>
  </r>
  <r>
    <n v="14059"/>
    <s v="wall_5"/>
    <n v="2"/>
    <x v="1"/>
    <s v="Double"/>
    <s v="&gt;=1/2&quot;"/>
    <n v="0"/>
    <n v="224"/>
    <n v="0.75"/>
    <s v="False"/>
    <s v="True"/>
    <s v="4-6 stories"/>
    <n v="47.924167633056598"/>
    <s v=""/>
  </r>
  <r>
    <n v="14059"/>
    <s v="wall_6"/>
    <n v="3"/>
    <x v="0"/>
    <s v="Double"/>
    <s v="&lt;1/2&quot;"/>
    <n v="100"/>
    <n v="20"/>
    <n v="0.55000001192092896"/>
    <s v="False"/>
    <s v="True"/>
    <s v="4-6 stories"/>
    <n v="47.924167633056598"/>
    <s v=""/>
  </r>
  <r>
    <n v="14163"/>
    <s v="wall_3"/>
    <n v="1"/>
    <x v="1"/>
    <s v="Single"/>
    <m/>
    <n v="100"/>
    <n v="5665"/>
    <n v="1.1000000238418599"/>
    <s v="False"/>
    <s v="False"/>
    <s v="4-6 stories"/>
    <n v="38.881870269775398"/>
    <s v=""/>
  </r>
  <r>
    <n v="14163"/>
    <s v="wall_4"/>
    <n v="2"/>
    <x v="0"/>
    <s v="Double"/>
    <s v="&gt;=1/2&quot;"/>
    <n v="4"/>
    <n v="216"/>
    <n v="0.55000001192092896"/>
    <s v="False"/>
    <s v="False"/>
    <s v="4-6 stories"/>
    <n v="38.881870269775398"/>
    <s v=""/>
  </r>
  <r>
    <n v="14240"/>
    <s v="wall_3"/>
    <n v="1"/>
    <x v="0"/>
    <s v="Double"/>
    <s v="&gt;=1/2&quot;"/>
    <n v="86"/>
    <n v="769"/>
    <n v="0.44999998807907099"/>
    <s v="False"/>
    <s v="True"/>
    <s v="1-3 stories"/>
    <n v="800.71728515625"/>
    <n v="800.71728515625"/>
  </r>
  <r>
    <n v="14258"/>
    <s v="wall_3"/>
    <n v="1"/>
    <x v="0"/>
    <s v="Double"/>
    <s v="&lt;1/2&quot;"/>
    <n v="100"/>
    <n v="1439"/>
    <n v="0.55000001192092896"/>
    <s v="False"/>
    <s v="True"/>
    <s v="1-3 stories"/>
    <n v="436.75485229492199"/>
    <n v="436.75485229492199"/>
  </r>
  <r>
    <n v="14259"/>
    <s v="wall_4"/>
    <n v="1"/>
    <x v="1"/>
    <s v="Double"/>
    <s v="&gt;=1/2&quot;"/>
    <n v="90"/>
    <n v="6433"/>
    <n v="0.80000001192092896"/>
    <s v="False"/>
    <s v="False"/>
    <s v="4-6 stories"/>
    <n v="10.1410579681396"/>
    <s v=""/>
  </r>
  <r>
    <n v="14346"/>
    <s v="wall_4"/>
    <n v="1"/>
    <x v="1"/>
    <s v="Double"/>
    <s v="&gt;=1/2&quot;"/>
    <n v="91"/>
    <n v="4114"/>
    <n v="0.75"/>
    <s v="False"/>
    <s v="True"/>
    <s v="1-3 stories"/>
    <n v="171.58226013183599"/>
    <n v="171.58226013183599"/>
  </r>
  <r>
    <n v="14346"/>
    <s v="wall_5"/>
    <n v="2"/>
    <x v="1"/>
    <s v="Single"/>
    <m/>
    <n v="24"/>
    <n v="196"/>
    <n v="1.1000000238418599"/>
    <s v="False"/>
    <s v="False"/>
    <s v="1-3 stories"/>
    <n v="171.58226013183599"/>
    <n v="171.58226013183599"/>
  </r>
  <r>
    <n v="14507"/>
    <s v="wall_4"/>
    <n v="1"/>
    <x v="1"/>
    <s v="Double"/>
    <s v="&lt;1/2&quot;"/>
    <n v="100"/>
    <n v="640"/>
    <n v="0.85000002384185802"/>
    <s v="False"/>
    <s v="False"/>
    <s v="1-3 stories"/>
    <n v="412.14782714843801"/>
    <n v="412.14782714843801"/>
  </r>
  <r>
    <n v="14507"/>
    <s v="wall_5"/>
    <n v="2"/>
    <x v="0"/>
    <s v="Single"/>
    <m/>
    <n v="0"/>
    <n v="65"/>
    <n v="0.94999998807907104"/>
    <s v="False"/>
    <s v="False"/>
    <s v="1-3 stories"/>
    <n v="412.14782714843801"/>
    <n v="412.14782714843801"/>
  </r>
  <r>
    <n v="14613"/>
    <s v="wall_3"/>
    <n v="1"/>
    <x v="0"/>
    <s v="Double"/>
    <s v="&gt;=1/2&quot;"/>
    <n v="100"/>
    <n v="1116"/>
    <n v="0.44999998807907099"/>
    <s v="False"/>
    <s v="True"/>
    <s v="1-3 stories"/>
    <n v="99.650344848632798"/>
    <n v="99.650344848632798"/>
  </r>
  <r>
    <n v="14613"/>
    <s v="wall_4"/>
    <n v="2"/>
    <x v="1"/>
    <s v="Double"/>
    <s v="&gt;=1/2&quot;"/>
    <n v="100"/>
    <n v="594"/>
    <n v="0.75"/>
    <s v="False"/>
    <s v="True"/>
    <s v="1-3 stories"/>
    <n v="99.650344848632798"/>
    <n v="99.650344848632798"/>
  </r>
  <r>
    <n v="14614"/>
    <s v="wall_5"/>
    <n v="1"/>
    <x v="0"/>
    <s v="Double"/>
    <s v="&gt;=1/2&quot;"/>
    <n v="100"/>
    <n v="731"/>
    <n v="0.44999998807907099"/>
    <s v="False"/>
    <s v="True"/>
    <s v="1-3 stories"/>
    <n v="320.28689575195301"/>
    <n v="320.28689575195301"/>
  </r>
  <r>
    <n v="20021"/>
    <s v="wall_4"/>
    <n v="1"/>
    <x v="1"/>
    <s v="Double"/>
    <s v="&gt;=1/2&quot;"/>
    <n v="100"/>
    <n v="12347"/>
    <n v="0.80000001192092896"/>
    <s v="False"/>
    <s v="False"/>
    <s v="7+ stories"/>
    <n v="61.841342926025398"/>
    <s v=""/>
  </r>
  <r>
    <n v="20021"/>
    <s v="wall_5"/>
    <n v="2"/>
    <x v="1"/>
    <s v="Double"/>
    <s v="&gt;=1/2&quot;"/>
    <n v="0"/>
    <n v="556"/>
    <n v="0.75"/>
    <s v="False"/>
    <s v="True"/>
    <s v="7+ stories"/>
    <n v="61.841342926025398"/>
    <s v=""/>
  </r>
  <r>
    <n v="20101"/>
    <s v="wall_7"/>
    <n v="1"/>
    <x v="0"/>
    <s v="Single"/>
    <m/>
    <n v="69"/>
    <n v="654"/>
    <n v="0.89999997615814198"/>
    <s v="False"/>
    <s v="True"/>
    <s v="1-3 stories"/>
    <n v="167.65873718261699"/>
    <n v="167.65873718261699"/>
  </r>
  <r>
    <n v="20101"/>
    <s v="wall_8"/>
    <n v="2"/>
    <x v="1"/>
    <s v="Single"/>
    <m/>
    <n v="53"/>
    <n v="732"/>
    <n v="0.94999998807907104"/>
    <s v="False"/>
    <s v="True"/>
    <s v="1-3 stories"/>
    <n v="167.65873718261699"/>
    <n v="167.65873718261699"/>
  </r>
  <r>
    <n v="20101"/>
    <s v="wall_9"/>
    <n v="3"/>
    <x v="1"/>
    <s v="Single"/>
    <m/>
    <m/>
    <n v="3206"/>
    <n v="0.94999998807907104"/>
    <s v="False"/>
    <s v="True"/>
    <s v="1-3 stories"/>
    <n v="167.65873718261699"/>
    <n v="167.65873718261699"/>
  </r>
  <r>
    <n v="20119"/>
    <s v="wall_5"/>
    <n v="1"/>
    <x v="0"/>
    <s v="Double"/>
    <s v="&gt;=1/2&quot;"/>
    <n v="100"/>
    <n v="4068"/>
    <n v="0.44999998807907099"/>
    <s v="False"/>
    <s v="True"/>
    <s v="1-3 stories"/>
    <n v="116.07144165039099"/>
    <n v="116.07144165039099"/>
  </r>
  <r>
    <n v="20119"/>
    <s v="wall_6"/>
    <n v="2"/>
    <x v="1"/>
    <s v="Double"/>
    <s v="&gt;=1/2&quot;"/>
    <n v="0"/>
    <n v="89"/>
    <n v="0.75"/>
    <s v="False"/>
    <s v="True"/>
    <s v="1-3 stories"/>
    <n v="116.07144165039099"/>
    <n v="116.07144165039099"/>
  </r>
  <r>
    <n v="20119"/>
    <s v="wall_7"/>
    <n v="3"/>
    <x v="0"/>
    <s v="Double"/>
    <s v="&gt;=1/2&quot;"/>
    <n v="0"/>
    <n v="168"/>
    <n v="0.44999998807907099"/>
    <s v="False"/>
    <s v="True"/>
    <s v="1-3 stories"/>
    <n v="116.07144165039099"/>
    <n v="116.07144165039099"/>
  </r>
  <r>
    <n v="20165"/>
    <s v="wall_3"/>
    <n v="1"/>
    <x v="0"/>
    <s v="Double"/>
    <s v="&gt;=1/2&quot;"/>
    <n v="100"/>
    <n v="576"/>
    <n v="0.44999998807907099"/>
    <s v="False"/>
    <s v="True"/>
    <s v="1-3 stories"/>
    <n v="628.72027587890602"/>
    <n v="628.72027587890602"/>
  </r>
  <r>
    <n v="20165"/>
    <s v="wall_4"/>
    <n v="2"/>
    <x v="0"/>
    <s v="Double"/>
    <s v="&gt;=1/2&quot;"/>
    <n v="35"/>
    <n v="312"/>
    <n v="0.44999998807907099"/>
    <s v="False"/>
    <s v="True"/>
    <s v="1-3 stories"/>
    <n v="628.72027587890602"/>
    <n v="628.72027587890602"/>
  </r>
  <r>
    <n v="20193"/>
    <s v="wall_3"/>
    <n v="1"/>
    <x v="1"/>
    <s v="Single"/>
    <m/>
    <n v="100"/>
    <n v="1310"/>
    <n v="1.1000000238418599"/>
    <s v="False"/>
    <s v="False"/>
    <s v="1-3 stories"/>
    <n v="538.903076171875"/>
    <n v="538.903076171875"/>
  </r>
  <r>
    <n v="20193"/>
    <s v="wall_4"/>
    <n v="2"/>
    <x v="1"/>
    <s v="Single"/>
    <m/>
    <n v="0"/>
    <n v="260"/>
    <n v="1.1000000238418599"/>
    <s v="False"/>
    <s v="False"/>
    <s v="1-3 stories"/>
    <n v="538.903076171875"/>
    <n v="538.903076171875"/>
  </r>
  <r>
    <n v="20195"/>
    <s v="wall_10"/>
    <n v="3"/>
    <x v="1"/>
    <s v="Double"/>
    <s v="&lt;1/2&quot;"/>
    <n v="0"/>
    <n v="576"/>
    <n v="0.85000002384185802"/>
    <s v="False"/>
    <s v="False"/>
    <s v="4-6 stories"/>
    <n v="580.357177734375"/>
    <s v=""/>
  </r>
  <r>
    <n v="20195"/>
    <s v="wall_8"/>
    <n v="1"/>
    <x v="0"/>
    <s v="Double"/>
    <s v="&gt;=1/2&quot;"/>
    <n v="50"/>
    <n v="984"/>
    <n v="0.44999998807907099"/>
    <s v="False"/>
    <s v="True"/>
    <s v="4-6 stories"/>
    <n v="580.357177734375"/>
    <s v=""/>
  </r>
  <r>
    <n v="20195"/>
    <s v="wall_9"/>
    <n v="2"/>
    <x v="1"/>
    <s v="Single"/>
    <m/>
    <n v="20"/>
    <n v="690"/>
    <n v="1.1000000238418599"/>
    <s v="False"/>
    <s v="False"/>
    <s v="4-6 stories"/>
    <n v="580.357177734375"/>
    <s v=""/>
  </r>
  <r>
    <n v="20241"/>
    <s v="wall_5"/>
    <n v="1"/>
    <x v="1"/>
    <s v="Single"/>
    <m/>
    <n v="52"/>
    <n v="463"/>
    <n v="1.1000000238418599"/>
    <s v="False"/>
    <s v="False"/>
    <s v="1-3 stories"/>
    <n v="1257.44055175781"/>
    <n v="1257.44055175781"/>
  </r>
  <r>
    <n v="20241"/>
    <s v="wall_6"/>
    <n v="2"/>
    <x v="1"/>
    <s v="Single"/>
    <m/>
    <n v="100"/>
    <n v="26"/>
    <n v="1.1000000238418599"/>
    <s v="False"/>
    <s v="False"/>
    <s v="1-3 stories"/>
    <n v="1257.44055175781"/>
    <n v="1257.44055175781"/>
  </r>
  <r>
    <n v="20241"/>
    <s v="wall_7"/>
    <n v="3"/>
    <x v="1"/>
    <s v="Double"/>
    <s v="&lt;1/2&quot;"/>
    <n v="100"/>
    <n v="84"/>
    <n v="0.85000002384185802"/>
    <s v="False"/>
    <s v="False"/>
    <s v="1-3 stories"/>
    <n v="1257.44055175781"/>
    <n v="1257.44055175781"/>
  </r>
  <r>
    <n v="20289"/>
    <s v="wall_3"/>
    <n v="1"/>
    <x v="1"/>
    <s v="Double"/>
    <s v="&lt;1/2&quot;"/>
    <n v="100"/>
    <n v="544"/>
    <n v="0.75"/>
    <s v="False"/>
    <s v="True"/>
    <s v="1-3 stories"/>
    <n v="943.08038330078102"/>
    <n v="943.08038330078102"/>
  </r>
  <r>
    <n v="20532"/>
    <s v="wall_4"/>
    <n v="1"/>
    <x v="1"/>
    <s v="Single"/>
    <m/>
    <n v="100"/>
    <n v="729"/>
    <n v="1.1000000238418599"/>
    <s v="False"/>
    <s v="False"/>
    <s v="1-3 stories"/>
    <n v="502.97622680664102"/>
    <n v="502.97622680664102"/>
  </r>
  <r>
    <n v="20532"/>
    <s v="wall_5"/>
    <n v="2"/>
    <x v="0"/>
    <s v="Double"/>
    <s v="&lt;1/2&quot;"/>
    <n v="100"/>
    <n v="58"/>
    <n v="0.60000002384185802"/>
    <s v="False"/>
    <s v="False"/>
    <s v="1-3 stories"/>
    <n v="502.97622680664102"/>
    <n v="502.97622680664102"/>
  </r>
  <r>
    <n v="20566"/>
    <s v="wall_3"/>
    <n v="1"/>
    <x v="1"/>
    <s v="Single"/>
    <m/>
    <n v="100"/>
    <n v="880"/>
    <n v="1.1000000238418599"/>
    <s v="False"/>
    <s v="False"/>
    <s v="1-3 stories"/>
    <n v="754.46429443359398"/>
    <n v="754.46429443359398"/>
  </r>
  <r>
    <n v="20581"/>
    <s v="wall_3"/>
    <n v="1"/>
    <x v="1"/>
    <s v="Double"/>
    <s v="&lt;1/2&quot;"/>
    <n v="100"/>
    <n v="596"/>
    <n v="0.75"/>
    <s v="False"/>
    <s v="True"/>
    <s v="1-3 stories"/>
    <n v="1257.44055175781"/>
    <n v="1257.44055175781"/>
  </r>
  <r>
    <n v="20665"/>
    <s v="wall_3"/>
    <n v="1"/>
    <x v="0"/>
    <s v="Double"/>
    <s v="&lt;1/2&quot;"/>
    <n v="100"/>
    <n v="471"/>
    <n v="0.55000001192092896"/>
    <s v="False"/>
    <s v="True"/>
    <s v="1-3 stories"/>
    <n v="685.87664794921898"/>
    <n v="685.87664794921898"/>
  </r>
  <r>
    <n v="20665"/>
    <s v="wall_4"/>
    <n v="2"/>
    <x v="1"/>
    <s v="Double"/>
    <s v="&lt;1/2&quot;"/>
    <n v="80"/>
    <n v="1257"/>
    <n v="0.75"/>
    <s v="False"/>
    <s v="True"/>
    <s v="1-3 stories"/>
    <n v="685.87664794921898"/>
    <n v="685.87664794921898"/>
  </r>
  <r>
    <n v="20705"/>
    <s v="wall_3"/>
    <n v="1"/>
    <x v="0"/>
    <s v="Double"/>
    <s v="&gt;=1/2&quot;"/>
    <n v="100"/>
    <n v="426"/>
    <n v="0.44999998807907099"/>
    <s v="False"/>
    <s v="True"/>
    <s v="1-3 stories"/>
    <n v="1257.44055175781"/>
    <n v="1257.44055175781"/>
  </r>
  <r>
    <n v="20803"/>
    <s v="wall_3"/>
    <n v="1"/>
    <x v="0"/>
    <s v="Double"/>
    <s v="&gt;=1/2&quot;"/>
    <n v="100"/>
    <n v="438"/>
    <n v="0.44999998807907099"/>
    <s v="False"/>
    <s v="True"/>
    <s v="1-3 stories"/>
    <n v="838.293701171875"/>
    <n v="838.293701171875"/>
  </r>
  <r>
    <n v="21000"/>
    <s v="wall_5"/>
    <n v="1"/>
    <x v="1"/>
    <s v="Double"/>
    <s v="&lt;1/2&quot;"/>
    <n v="75"/>
    <n v="1528"/>
    <n v="0.75"/>
    <s v="False"/>
    <s v="True"/>
    <s v="1-3 stories"/>
    <n v="251.48811340332"/>
    <n v="251.48811340332"/>
  </r>
  <r>
    <n v="21000"/>
    <s v="wall_6"/>
    <n v="2"/>
    <x v="1"/>
    <s v="Double"/>
    <s v="&gt;=1/2&quot;"/>
    <n v="47"/>
    <n v="77"/>
    <n v="0.75"/>
    <s v="False"/>
    <s v="True"/>
    <s v="1-3 stories"/>
    <n v="251.48811340332"/>
    <n v="251.48811340332"/>
  </r>
  <r>
    <n v="21000"/>
    <s v="wall_7"/>
    <n v="3"/>
    <x v="2"/>
    <m/>
    <m/>
    <m/>
    <n v="36"/>
    <m/>
    <m/>
    <m/>
    <s v="1-3 stories"/>
    <n v="251.48811340332"/>
    <n v="251.48811340332"/>
  </r>
  <r>
    <n v="21268"/>
    <s v="wall_3"/>
    <n v="1"/>
    <x v="1"/>
    <s v="Single"/>
    <m/>
    <n v="100"/>
    <n v="600"/>
    <n v="1.1000000238418599"/>
    <s v="False"/>
    <s v="False"/>
    <s v="1-3 stories"/>
    <n v="1257.44055175781"/>
    <n v="1257.44055175781"/>
  </r>
  <r>
    <n v="21346"/>
    <s v="wall_12"/>
    <n v="1"/>
    <x v="0"/>
    <s v="Double"/>
    <s v="&lt;1/2&quot;"/>
    <n v="80"/>
    <n v="766"/>
    <n v="0.55000001192092896"/>
    <s v="False"/>
    <s v="True"/>
    <s v="1-3 stories"/>
    <n v="754.46429443359398"/>
    <n v="754.46429443359398"/>
  </r>
  <r>
    <n v="21424"/>
    <s v="wall_4"/>
    <n v="1"/>
    <x v="1"/>
    <s v="Single"/>
    <m/>
    <n v="100"/>
    <n v="1220"/>
    <n v="0.94999998807907104"/>
    <s v="False"/>
    <s v="True"/>
    <s v="1-3 stories"/>
    <n v="397.08648681640602"/>
    <n v="397.08648681640602"/>
  </r>
  <r>
    <n v="21424"/>
    <s v="wall_5"/>
    <n v="2"/>
    <x v="1"/>
    <s v="Single"/>
    <m/>
    <n v="43"/>
    <n v="812"/>
    <n v="0.94999998807907104"/>
    <s v="False"/>
    <s v="True"/>
    <s v="1-3 stories"/>
    <n v="397.08648681640602"/>
    <n v="397.08648681640602"/>
  </r>
  <r>
    <n v="21424"/>
    <s v="wall_6"/>
    <n v="3"/>
    <x v="1"/>
    <s v="Single"/>
    <m/>
    <n v="100"/>
    <n v="96"/>
    <n v="1.1000000238418599"/>
    <s v="False"/>
    <s v="False"/>
    <s v="1-3 stories"/>
    <n v="397.08648681640602"/>
    <n v="397.08648681640602"/>
  </r>
  <r>
    <n v="21488"/>
    <s v="wall_3"/>
    <n v="1"/>
    <x v="0"/>
    <s v="Double"/>
    <s v="&gt;=1/2&quot;"/>
    <n v="100"/>
    <n v="656"/>
    <n v="0.44999998807907099"/>
    <s v="False"/>
    <s v="True"/>
    <s v="1-3 stories"/>
    <n v="943.08038330078102"/>
    <n v="943.08038330078102"/>
  </r>
  <r>
    <n v="21505"/>
    <s v="wall_3"/>
    <n v="1"/>
    <x v="1"/>
    <s v="Single"/>
    <m/>
    <n v="50"/>
    <n v="1400"/>
    <n v="1.1000000238418599"/>
    <s v="False"/>
    <s v="False"/>
    <s v="1-3 stories"/>
    <n v="628.72027587890602"/>
    <n v="628.72027587890602"/>
  </r>
  <r>
    <n v="21564"/>
    <s v="wall_4"/>
    <n v="1"/>
    <x v="1"/>
    <s v="Double"/>
    <s v="&lt;1/2&quot;"/>
    <n v="99"/>
    <n v="1973"/>
    <n v="0.75"/>
    <s v="False"/>
    <s v="True"/>
    <s v="1-3 stories"/>
    <n v="328.02795410156301"/>
    <n v="328.02795410156301"/>
  </r>
  <r>
    <n v="21564"/>
    <s v="wall_5"/>
    <n v="2"/>
    <x v="1"/>
    <s v="Single"/>
    <m/>
    <n v="100"/>
    <n v="64"/>
    <n v="1.1000000238418599"/>
    <s v="False"/>
    <s v="False"/>
    <s v="1-3 stories"/>
    <n v="328.02795410156301"/>
    <n v="328.02795410156301"/>
  </r>
  <r>
    <n v="21576"/>
    <s v="wall_3"/>
    <n v="1"/>
    <x v="1"/>
    <s v="Single"/>
    <m/>
    <n v="100"/>
    <n v="2688"/>
    <n v="1.1000000238418599"/>
    <s v="False"/>
    <s v="False"/>
    <s v="1-3 stories"/>
    <n v="314.36013793945301"/>
    <n v="314.36013793945301"/>
  </r>
  <r>
    <n v="21576"/>
    <s v="wall_4"/>
    <n v="2"/>
    <x v="2"/>
    <m/>
    <m/>
    <m/>
    <n v="180"/>
    <m/>
    <s v="False"/>
    <s v="False"/>
    <s v="1-3 stories"/>
    <n v="314.36013793945301"/>
    <n v="314.36013793945301"/>
  </r>
  <r>
    <n v="21627"/>
    <s v="wall_4"/>
    <n v="1"/>
    <x v="0"/>
    <s v="Double"/>
    <s v="&lt;1/2&quot;"/>
    <n v="50"/>
    <n v="1992"/>
    <n v="0.60000002384185802"/>
    <s v="False"/>
    <s v="False"/>
    <s v="1-3 stories"/>
    <n v="314.36013793945301"/>
    <n v="314.36013793945301"/>
  </r>
  <r>
    <n v="21642"/>
    <s v="wall_3"/>
    <n v="1"/>
    <x v="0"/>
    <s v="Double"/>
    <s v="&lt;1/2&quot;"/>
    <n v="22"/>
    <n v="724"/>
    <n v="0.55000001192092896"/>
    <s v="False"/>
    <s v="True"/>
    <s v="1-3 stories"/>
    <n v="943.08038330078102"/>
    <n v="943.08038330078102"/>
  </r>
  <r>
    <n v="21691"/>
    <s v="wall_4"/>
    <n v="1"/>
    <x v="0"/>
    <s v="Double"/>
    <s v="&gt;=1/2&quot;"/>
    <n v="75"/>
    <n v="200"/>
    <n v="0.44999998807907099"/>
    <s v="False"/>
    <s v="True"/>
    <s v="1-3 stories"/>
    <n v="943.08038330078102"/>
    <n v="943.08038330078102"/>
  </r>
  <r>
    <n v="21691"/>
    <s v="wall_5"/>
    <n v="2"/>
    <x v="0"/>
    <s v="Double"/>
    <s v="&lt;1/2&quot;"/>
    <n v="100"/>
    <n v="15"/>
    <n v="0.55000001192092896"/>
    <s v="False"/>
    <s v="True"/>
    <s v="1-3 stories"/>
    <n v="943.08038330078102"/>
    <n v="943.08038330078102"/>
  </r>
  <r>
    <n v="21757"/>
    <s v="wall_3"/>
    <n v="1"/>
    <x v="0"/>
    <s v="Double"/>
    <s v="&gt;=1/2&quot;"/>
    <n v="100"/>
    <n v="672"/>
    <n v="0.44999998807907099"/>
    <s v="False"/>
    <s v="True"/>
    <s v="1-3 stories"/>
    <n v="1257.44055175781"/>
    <n v="1257.44055175781"/>
  </r>
  <r>
    <n v="21839"/>
    <s v="wall_3"/>
    <n v="1"/>
    <x v="0"/>
    <s v="Double"/>
    <s v="&gt;=1/2&quot;"/>
    <n v="100"/>
    <n v="2424"/>
    <n v="0.44999998807907099"/>
    <s v="False"/>
    <s v="True"/>
    <s v="4-6 stories"/>
    <n v="314.36013793945301"/>
    <s v=""/>
  </r>
  <r>
    <n v="21844"/>
    <s v="wall_4"/>
    <n v="1"/>
    <x v="0"/>
    <s v="Double"/>
    <s v="&lt;1/2&quot;"/>
    <n v="100"/>
    <n v="885"/>
    <n v="0.55000001192092896"/>
    <s v="False"/>
    <s v="True"/>
    <s v="1-3 stories"/>
    <n v="628.72027587890602"/>
    <n v="628.72027587890602"/>
  </r>
  <r>
    <n v="21844"/>
    <s v="wall_5"/>
    <n v="2"/>
    <x v="0"/>
    <s v="Double"/>
    <s v="&lt;1/2&quot;"/>
    <n v="0"/>
    <n v="132"/>
    <n v="0.55000001192092896"/>
    <s v="False"/>
    <s v="True"/>
    <s v="1-3 stories"/>
    <n v="628.72027587890602"/>
    <n v="628.72027587890602"/>
  </r>
  <r>
    <n v="21910"/>
    <s v="wall_4"/>
    <n v="1"/>
    <x v="0"/>
    <s v="Double"/>
    <s v="&gt;=1/2&quot;"/>
    <n v="50"/>
    <n v="1008"/>
    <n v="0.44999998807907099"/>
    <s v="False"/>
    <s v="True"/>
    <s v="1-3 stories"/>
    <n v="184.01568603515599"/>
    <n v="184.01568603515599"/>
  </r>
  <r>
    <n v="21910"/>
    <s v="wall_5"/>
    <n v="2"/>
    <x v="0"/>
    <s v="Double"/>
    <s v="&gt;=1/2&quot;"/>
    <n v="50"/>
    <n v="1008"/>
    <n v="0.44999998807907099"/>
    <s v="False"/>
    <s v="True"/>
    <s v="1-3 stories"/>
    <n v="184.01568603515599"/>
    <n v="184.01568603515599"/>
  </r>
  <r>
    <n v="21952"/>
    <s v="wall_3"/>
    <n v="1"/>
    <x v="1"/>
    <s v="Single"/>
    <m/>
    <n v="100"/>
    <n v="1626"/>
    <n v="0.94999998807907104"/>
    <s v="False"/>
    <s v="True"/>
    <s v="1-3 stories"/>
    <n v="419.14685058593801"/>
    <n v="419.14685058593801"/>
  </r>
  <r>
    <n v="21985"/>
    <s v="wall_3"/>
    <n v="1"/>
    <x v="0"/>
    <s v="Double"/>
    <s v="&lt;1/2&quot;"/>
    <n v="0"/>
    <n v="33"/>
    <n v="0.55000001192092896"/>
    <s v="False"/>
    <s v="True"/>
    <s v="1-3 stories"/>
    <n v="754.46429443359398"/>
    <n v="754.46429443359398"/>
  </r>
  <r>
    <n v="21985"/>
    <s v="wall_4"/>
    <n v="2"/>
    <x v="0"/>
    <s v="Double"/>
    <s v="&lt;1/2&quot;"/>
    <n v="97"/>
    <n v="1032"/>
    <n v="0.55000001192092896"/>
    <s v="False"/>
    <s v="True"/>
    <s v="1-3 stories"/>
    <n v="754.46429443359398"/>
    <n v="754.46429443359398"/>
  </r>
  <r>
    <n v="21998"/>
    <s v="wall_6"/>
    <n v="1"/>
    <x v="0"/>
    <s v="Double"/>
    <s v="&lt;1/2&quot;"/>
    <n v="75"/>
    <n v="549"/>
    <n v="0.55000001192092896"/>
    <s v="False"/>
    <s v="True"/>
    <s v="1-3 stories"/>
    <n v="943.08038330078102"/>
    <n v="943.08038330078102"/>
  </r>
  <r>
    <n v="22058"/>
    <s v="wall_3"/>
    <n v="1"/>
    <x v="0"/>
    <s v="Double"/>
    <s v="&gt;=1/2&quot;"/>
    <n v="88"/>
    <n v="2143"/>
    <n v="0.55000001192092896"/>
    <s v="False"/>
    <s v="False"/>
    <s v="1-3 stories"/>
    <n v="251.48811340332"/>
    <n v="251.48811340332"/>
  </r>
  <r>
    <n v="22058"/>
    <s v="wall_4"/>
    <n v="2"/>
    <x v="0"/>
    <s v="Double"/>
    <s v="&gt;=1/2&quot;"/>
    <n v="100"/>
    <n v="640"/>
    <n v="0.55000001192092896"/>
    <s v="False"/>
    <s v="False"/>
    <s v="1-3 stories"/>
    <n v="251.48811340332"/>
    <n v="251.48811340332"/>
  </r>
  <r>
    <n v="22106"/>
    <s v="wall_3"/>
    <n v="1"/>
    <x v="0"/>
    <s v="Double"/>
    <s v="&gt;=1/2&quot;"/>
    <n v="100"/>
    <n v="1620"/>
    <n v="0.44999998807907099"/>
    <s v="False"/>
    <s v="True"/>
    <s v="1-3 stories"/>
    <n v="235.770095825195"/>
    <n v="235.770095825195"/>
  </r>
  <r>
    <n v="22262"/>
    <s v="wall_3"/>
    <n v="1"/>
    <x v="0"/>
    <s v="Double"/>
    <s v="&lt;1/2&quot;"/>
    <n v="9"/>
    <n v="720"/>
    <n v="0.60000002384185802"/>
    <s v="False"/>
    <s v="False"/>
    <s v="1-3 stories"/>
    <n v="943.08038330078102"/>
    <n v="943.08038330078102"/>
  </r>
  <r>
    <n v="22262"/>
    <s v="wall_4"/>
    <n v="2"/>
    <x v="1"/>
    <s v="Double"/>
    <s v="&gt;=1/2&quot;"/>
    <n v="40"/>
    <n v="288"/>
    <n v="0.80000001192092896"/>
    <s v="False"/>
    <s v="False"/>
    <s v="1-3 stories"/>
    <n v="943.08038330078102"/>
    <n v="943.08038330078102"/>
  </r>
  <r>
    <n v="22371"/>
    <s v="wall_3"/>
    <n v="1"/>
    <x v="0"/>
    <s v="Double"/>
    <s v="&lt;1/2&quot;"/>
    <n v="100"/>
    <n v="630"/>
    <n v="0.60000002384185802"/>
    <s v="False"/>
    <s v="False"/>
    <s v="1-3 stories"/>
    <n v="1257.44055175781"/>
    <n v="1257.44055175781"/>
  </r>
  <r>
    <n v="22450"/>
    <s v="wall_3"/>
    <n v="1"/>
    <x v="1"/>
    <s v="Double"/>
    <s v="&lt;1/2&quot;"/>
    <n v="100"/>
    <n v="1150"/>
    <n v="0.85000002384185802"/>
    <s v="False"/>
    <s v="False"/>
    <s v="1-3 stories"/>
    <n v="538.903076171875"/>
    <n v="538.903076171875"/>
  </r>
  <r>
    <n v="22536"/>
    <s v="wall_3"/>
    <n v="1"/>
    <x v="1"/>
    <s v="Single"/>
    <m/>
    <n v="99"/>
    <n v="3279"/>
    <n v="1.1000000238418599"/>
    <s v="False"/>
    <s v="False"/>
    <s v="1-3 stories"/>
    <n v="100.59523773193401"/>
    <n v="100.59523773193401"/>
  </r>
  <r>
    <n v="22536"/>
    <s v="wall_4"/>
    <n v="2"/>
    <x v="0"/>
    <s v="Double"/>
    <s v="&gt;=1/2&quot;"/>
    <n v="99"/>
    <n v="1232"/>
    <n v="0.55000001192092896"/>
    <s v="False"/>
    <s v="False"/>
    <s v="1-3 stories"/>
    <n v="100.59523773193401"/>
    <n v="100.59523773193401"/>
  </r>
  <r>
    <n v="22536"/>
    <s v="wall_5"/>
    <n v="3"/>
    <x v="1"/>
    <s v="Single"/>
    <m/>
    <n v="100"/>
    <n v="2100"/>
    <n v="1.1000000238418599"/>
    <s v="False"/>
    <s v="False"/>
    <s v="1-3 stories"/>
    <n v="100.59523773193401"/>
    <n v="100.59523773193401"/>
  </r>
  <r>
    <n v="22870"/>
    <s v="wall_3"/>
    <n v="1"/>
    <x v="0"/>
    <s v="Double"/>
    <s v="&gt;=1/2&quot;"/>
    <n v="100"/>
    <n v="1228"/>
    <n v="0.44999998807907099"/>
    <s v="False"/>
    <s v="True"/>
    <s v="1-3 stories"/>
    <n v="471.54019165039102"/>
    <n v="471.54019165039102"/>
  </r>
  <r>
    <n v="22870"/>
    <s v="wall_4"/>
    <n v="2"/>
    <x v="0"/>
    <s v="Double"/>
    <s v="&gt;=1/2&quot;"/>
    <n v="100"/>
    <n v="208"/>
    <n v="0.44999998807907099"/>
    <s v="False"/>
    <s v="True"/>
    <s v="1-3 stories"/>
    <n v="471.54019165039102"/>
    <n v="471.54019165039102"/>
  </r>
  <r>
    <n v="22870"/>
    <s v="wall_5"/>
    <n v="3"/>
    <x v="1"/>
    <s v="Single"/>
    <m/>
    <n v="0"/>
    <n v="60"/>
    <n v="1.1000000238418599"/>
    <s v="False"/>
    <s v="False"/>
    <s v="1-3 stories"/>
    <n v="471.54019165039102"/>
    <n v="471.54019165039102"/>
  </r>
  <r>
    <n v="22906"/>
    <s v="wall_3"/>
    <n v="1"/>
    <x v="0"/>
    <s v="Double"/>
    <s v="&gt;=1/2&quot;"/>
    <n v="100"/>
    <n v="1279"/>
    <n v="0.44999998807907099"/>
    <s v="False"/>
    <s v="True"/>
    <s v="1-3 stories"/>
    <n v="628.72027587890602"/>
    <n v="628.72027587890602"/>
  </r>
  <r>
    <n v="23106"/>
    <s v="wall_5"/>
    <n v="1"/>
    <x v="1"/>
    <s v="Double"/>
    <s v="&lt;1/2&quot;"/>
    <n v="10"/>
    <n v="12939"/>
    <n v="0.75"/>
    <s v="False"/>
    <s v="True"/>
    <s v="7+ stories"/>
    <n v="123.68268585205099"/>
    <s v=""/>
  </r>
  <r>
    <n v="23425"/>
    <s v="wall_3"/>
    <n v="1"/>
    <x v="1"/>
    <s v="Single"/>
    <m/>
    <n v="100"/>
    <n v="596"/>
    <n v="1.1000000238418599"/>
    <s v="False"/>
    <s v="False"/>
    <s v="1-3 stories"/>
    <n v="754.46429443359398"/>
    <n v="754.46429443359398"/>
  </r>
  <r>
    <n v="23531"/>
    <s v="wall_3"/>
    <n v="1"/>
    <x v="0"/>
    <s v="Double"/>
    <s v="&gt;=1/2&quot;"/>
    <n v="100"/>
    <n v="774"/>
    <n v="0.44999998807907099"/>
    <s v="False"/>
    <s v="True"/>
    <s v="1-3 stories"/>
    <n v="419.14685058593801"/>
    <n v="419.14685058593801"/>
  </r>
  <r>
    <n v="23531"/>
    <s v="wall_4"/>
    <n v="2"/>
    <x v="1"/>
    <s v="Double"/>
    <s v="&gt;=1/2&quot;"/>
    <n v="41"/>
    <n v="540"/>
    <n v="0.75"/>
    <s v="False"/>
    <s v="True"/>
    <s v="1-3 stories"/>
    <n v="419.14685058593801"/>
    <n v="419.14685058593801"/>
  </r>
  <r>
    <n v="23623"/>
    <s v="wall_3"/>
    <n v="1"/>
    <x v="1"/>
    <s v="Single"/>
    <m/>
    <n v="100"/>
    <n v="576"/>
    <n v="0.85000002384185802"/>
    <s v="True"/>
    <s v="False"/>
    <s v="1-3 stories"/>
    <n v="314.36013793945301"/>
    <n v="314.36013793945301"/>
  </r>
  <r>
    <n v="23623"/>
    <s v="wall_4"/>
    <n v="2"/>
    <x v="0"/>
    <s v="Double"/>
    <s v="&lt;1/2&quot;"/>
    <n v="43"/>
    <n v="432"/>
    <n v="0.55000001192092896"/>
    <s v="False"/>
    <s v="True"/>
    <s v="1-3 stories"/>
    <n v="314.36013793945301"/>
    <n v="314.36013793945301"/>
  </r>
  <r>
    <n v="23681"/>
    <s v="wall_3"/>
    <n v="1"/>
    <x v="0"/>
    <s v="Double"/>
    <s v="&gt;=1/2&quot;"/>
    <n v="100"/>
    <n v="1240"/>
    <n v="0.44999998807907099"/>
    <s v="False"/>
    <s v="True"/>
    <s v="1-3 stories"/>
    <n v="943.08038330078102"/>
    <n v="943.08038330078102"/>
  </r>
  <r>
    <n v="23681"/>
    <s v="wall_4"/>
    <n v="2"/>
    <x v="0"/>
    <s v="Double"/>
    <s v="&gt;=1/2&quot;"/>
    <n v="0"/>
    <n v="80"/>
    <n v="0.44999998807907099"/>
    <s v="False"/>
    <s v="True"/>
    <s v="1-3 stories"/>
    <n v="943.08038330078102"/>
    <n v="943.08038330078102"/>
  </r>
  <r>
    <n v="23685"/>
    <s v="wall_3"/>
    <n v="1"/>
    <x v="0"/>
    <s v="Double"/>
    <s v="&gt;=1/2&quot;"/>
    <n v="100"/>
    <n v="597"/>
    <n v="0.44999998807907099"/>
    <s v="False"/>
    <s v="True"/>
    <s v="1-3 stories"/>
    <n v="754.46429443359398"/>
    <n v="754.46429443359398"/>
  </r>
  <r>
    <n v="23685"/>
    <s v="wall_4"/>
    <n v="2"/>
    <x v="1"/>
    <s v="Double"/>
    <s v="&gt;=1/2&quot;"/>
    <n v="100"/>
    <n v="380"/>
    <n v="0.75"/>
    <s v="False"/>
    <s v="True"/>
    <s v="1-3 stories"/>
    <n v="754.46429443359398"/>
    <n v="754.46429443359398"/>
  </r>
  <r>
    <n v="23800"/>
    <s v="wall_6"/>
    <n v="1"/>
    <x v="0"/>
    <s v="Double"/>
    <s v="&gt;=1/2&quot;"/>
    <n v="50"/>
    <n v="1413"/>
    <n v="0.55000001192092896"/>
    <s v="False"/>
    <s v="False"/>
    <s v="1-3 stories"/>
    <n v="188.61607360839801"/>
    <n v="188.61607360839801"/>
  </r>
  <r>
    <n v="23899"/>
    <s v="wall_4"/>
    <n v="1"/>
    <x v="0"/>
    <s v="Double"/>
    <s v="&gt;=1/2&quot;"/>
    <n v="100"/>
    <n v="2745"/>
    <n v="0.44999998807907099"/>
    <s v="False"/>
    <s v="True"/>
    <s v="1-3 stories"/>
    <n v="167.65873718261699"/>
    <n v="167.65873718261699"/>
  </r>
  <r>
    <n v="23899"/>
    <s v="wall_5"/>
    <n v="2"/>
    <x v="0"/>
    <s v="Double"/>
    <s v="&gt;=1/2&quot;"/>
    <n v="0"/>
    <n v="280"/>
    <n v="0.44999998807907099"/>
    <s v="False"/>
    <s v="True"/>
    <s v="1-3 stories"/>
    <n v="167.65873718261699"/>
    <n v="167.65873718261699"/>
  </r>
  <r>
    <n v="23996"/>
    <s v="wall_3"/>
    <n v="1"/>
    <x v="1"/>
    <s v="Double"/>
    <s v="&lt;1/2&quot;"/>
    <n v="84"/>
    <n v="9808"/>
    <n v="0.75"/>
    <s v="False"/>
    <s v="True"/>
    <s v="7+ stories"/>
    <n v="89.817184448242202"/>
    <s v=""/>
  </r>
  <r>
    <n v="23996"/>
    <s v="wall_4"/>
    <n v="2"/>
    <x v="2"/>
    <m/>
    <m/>
    <n v="100"/>
    <n v="105"/>
    <m/>
    <s v="False"/>
    <m/>
    <s v="7+ stories"/>
    <n v="89.817184448242202"/>
    <s v=""/>
  </r>
  <r>
    <n v="24009"/>
    <s v="wall_3"/>
    <n v="1"/>
    <x v="0"/>
    <s v="Double"/>
    <s v="&lt;1/2&quot;"/>
    <n v="100"/>
    <n v="752"/>
    <n v="0.55000001192092896"/>
    <s v="False"/>
    <s v="True"/>
    <s v="1-3 stories"/>
    <n v="943.08038330078102"/>
    <n v="943.08038330078102"/>
  </r>
  <r>
    <n v="24123"/>
    <s v="wall_5"/>
    <n v="1"/>
    <x v="0"/>
    <s v="Single"/>
    <m/>
    <n v="100"/>
    <n v="286"/>
    <n v="0.94999998807907104"/>
    <s v="False"/>
    <s v="False"/>
    <s v="1-3 stories"/>
    <n v="1257.44055175781"/>
    <n v="1257.44055175781"/>
  </r>
  <r>
    <n v="24123"/>
    <s v="wall_6"/>
    <n v="2"/>
    <x v="0"/>
    <s v="Single"/>
    <m/>
    <n v="0"/>
    <n v="62"/>
    <n v="0.75"/>
    <s v="True"/>
    <s v="False"/>
    <s v="1-3 stories"/>
    <n v="1257.44055175781"/>
    <n v="1257.44055175781"/>
  </r>
  <r>
    <n v="24123"/>
    <s v="wall_7"/>
    <n v="3"/>
    <x v="0"/>
    <s v="Double"/>
    <s v="&gt;=1/2&quot;"/>
    <n v="100"/>
    <n v="10"/>
    <n v="0.55000001192092896"/>
    <s v="False"/>
    <s v="False"/>
    <s v="1-3 stories"/>
    <n v="1257.44055175781"/>
    <n v="1257.44055175781"/>
  </r>
  <r>
    <n v="24139"/>
    <s v="wall_3"/>
    <n v="1"/>
    <x v="1"/>
    <s v="Double"/>
    <s v="&gt;=1/2&quot;"/>
    <n v="100"/>
    <n v="1152"/>
    <n v="0.75"/>
    <s v="False"/>
    <s v="True"/>
    <s v="1-3 stories"/>
    <n v="471.54019165039102"/>
    <n v="471.54019165039102"/>
  </r>
  <r>
    <n v="24637"/>
    <s v="wall_3"/>
    <n v="1"/>
    <x v="1"/>
    <s v="Double"/>
    <s v="&lt;1/2&quot;"/>
    <n v="100"/>
    <n v="3313"/>
    <n v="0.85000002384185802"/>
    <s v="False"/>
    <s v="False"/>
    <s v="1-3 stories"/>
    <n v="209.57342529296901"/>
    <n v="209.57342529296901"/>
  </r>
  <r>
    <n v="24802"/>
    <s v="wall_3"/>
    <n v="1"/>
    <x v="0"/>
    <s v="Double"/>
    <s v="&lt;1/2&quot;"/>
    <n v="100"/>
    <n v="2300"/>
    <n v="0.55000001192092896"/>
    <s v="False"/>
    <s v="True"/>
    <s v="1-3 stories"/>
    <n v="314.36013793945301"/>
    <n v="314.36013793945301"/>
  </r>
  <r>
    <n v="29940"/>
    <s v="wall_3"/>
    <n v="1"/>
    <x v="0"/>
    <s v="Double"/>
    <s v="&gt;=1/2&quot;"/>
    <n v="52"/>
    <n v="7854"/>
    <n v="0.44999998807907099"/>
    <s v="False"/>
    <s v="True"/>
    <s v="4-6 stories"/>
    <n v="21.904685974121101"/>
    <s v=""/>
  </r>
  <r>
    <n v="60022"/>
    <s v="wall_3"/>
    <n v="1"/>
    <x v="0"/>
    <s v="Double"/>
    <s v="&gt;=1/2&quot;"/>
    <n v="100"/>
    <n v="636"/>
    <n v="0.44999998807907099"/>
    <s v="False"/>
    <s v="True"/>
    <s v="1-3 stories"/>
    <n v="600.53796386718795"/>
    <n v="600.53796386718795"/>
  </r>
  <r>
    <n v="60051"/>
    <s v="wall_3"/>
    <n v="1"/>
    <x v="0"/>
    <s v="Double"/>
    <s v="&gt;=1/2&quot;"/>
    <n v="86"/>
    <n v="647"/>
    <n v="0.44999998807907099"/>
    <s v="False"/>
    <s v="True"/>
    <s v="1-3 stories"/>
    <n v="960.86071777343795"/>
    <n v="960.86071777343795"/>
  </r>
  <r>
    <n v="60051"/>
    <s v="wall_4"/>
    <n v="2"/>
    <x v="1"/>
    <s v="Double"/>
    <s v="&gt;=1/2&quot;"/>
    <n v="100"/>
    <n v="255"/>
    <n v="0.75"/>
    <s v="False"/>
    <s v="True"/>
    <s v="1-3 stories"/>
    <n v="960.86071777343795"/>
    <n v="960.86071777343795"/>
  </r>
  <r>
    <n v="60071"/>
    <s v="wall_5"/>
    <n v="1"/>
    <x v="0"/>
    <s v="Double"/>
    <s v="&gt;=1/2&quot;"/>
    <n v="97"/>
    <n v="2802"/>
    <n v="0.55000001192092896"/>
    <s v="False"/>
    <s v="False"/>
    <s v="4-6 stories"/>
    <n v="184.78091430664099"/>
    <s v=""/>
  </r>
  <r>
    <n v="60071"/>
    <s v="wall_6"/>
    <n v="2"/>
    <x v="0"/>
    <s v="Double"/>
    <s v="&gt;=1/2&quot;"/>
    <n v="100"/>
    <n v="442"/>
    <n v="0.44999998807907099"/>
    <s v="False"/>
    <s v="True"/>
    <s v="4-6 stories"/>
    <n v="184.78091430664099"/>
    <s v=""/>
  </r>
  <r>
    <n v="60099"/>
    <s v="wall_3"/>
    <n v="1"/>
    <x v="1"/>
    <s v="Double"/>
    <s v="&lt;1/2&quot;"/>
    <n v="100"/>
    <n v="1036"/>
    <n v="0.85000002384185802"/>
    <s v="False"/>
    <s v="False"/>
    <s v="1-3 stories"/>
    <n v="300.26898193359398"/>
    <n v="300.26898193359398"/>
  </r>
  <r>
    <n v="71001"/>
    <s v="wall_3"/>
    <n v="1"/>
    <x v="0"/>
    <s v="Double"/>
    <s v="&lt;1/2&quot;"/>
    <n v="100"/>
    <n v="540"/>
    <n v="0.55000001192092896"/>
    <s v="False"/>
    <s v="True"/>
    <s v="1-3 stories"/>
    <n v="136.90428161621099"/>
    <n v="136.90428161621099"/>
  </r>
  <r>
    <n v="71001"/>
    <s v="wall_4"/>
    <n v="2"/>
    <x v="1"/>
    <s v="Single"/>
    <m/>
    <n v="0"/>
    <n v="9"/>
    <n v="1.1000000238418599"/>
    <s v="False"/>
    <s v="False"/>
    <s v="1-3 stories"/>
    <n v="136.90428161621099"/>
    <n v="136.90428161621099"/>
  </r>
  <r>
    <n v="71002"/>
    <s v="wall_3"/>
    <n v="1"/>
    <x v="0"/>
    <s v="Double"/>
    <s v="&gt;=1/2&quot;"/>
    <n v="100"/>
    <n v="1366"/>
    <n v="0.44999998807907099"/>
    <s v="False"/>
    <s v="True"/>
    <s v="4-6 stories"/>
    <n v="136.90428161621099"/>
    <s v=""/>
  </r>
  <r>
    <n v="71002"/>
    <s v="wall_4"/>
    <n v="2"/>
    <x v="0"/>
    <s v="Double"/>
    <s v="&lt;1/2&quot;"/>
    <n v="100"/>
    <n v="14"/>
    <n v="0.55000001192092896"/>
    <s v="False"/>
    <s v="True"/>
    <s v="4-6 stories"/>
    <n v="136.90428161621099"/>
    <s v=""/>
  </r>
  <r>
    <n v="71002"/>
    <s v="wall_5"/>
    <n v="3"/>
    <x v="0"/>
    <s v="Double"/>
    <s v="&gt;=1/2&quot;"/>
    <n v="0"/>
    <n v="13"/>
    <n v="0.55000001192092896"/>
    <s v="False"/>
    <s v="False"/>
    <s v="4-6 stories"/>
    <n v="136.90428161621099"/>
    <s v=""/>
  </r>
  <r>
    <n v="71003"/>
    <s v="wall_3"/>
    <n v="1"/>
    <x v="1"/>
    <s v="Double"/>
    <s v="&gt;=1/2&quot;"/>
    <n v="100"/>
    <n v="413"/>
    <n v="0.80000001192092896"/>
    <s v="False"/>
    <s v="False"/>
    <s v="1-3 stories"/>
    <n v="182.53904724121099"/>
    <n v="182.53904724121099"/>
  </r>
  <r>
    <n v="71003"/>
    <s v="wall_4"/>
    <n v="2"/>
    <x v="0"/>
    <s v="Double"/>
    <s v="&gt;=1/2&quot;"/>
    <n v="10"/>
    <n v="24"/>
    <n v="0.44999998807907099"/>
    <s v="False"/>
    <s v="True"/>
    <s v="1-3 stories"/>
    <n v="182.53904724121099"/>
    <n v="182.53904724121099"/>
  </r>
  <r>
    <n v="71004"/>
    <s v="wall_3"/>
    <n v="1"/>
    <x v="1"/>
    <s v="Double"/>
    <s v="&lt;1/2&quot;"/>
    <n v="98"/>
    <n v="790"/>
    <n v="0.85000002384185802"/>
    <s v="False"/>
    <s v="False"/>
    <s v="1-3 stories"/>
    <n v="136.90428161621099"/>
    <n v="136.90428161621099"/>
  </r>
  <r>
    <n v="71005"/>
    <s v="wall_4"/>
    <n v="1"/>
    <x v="1"/>
    <s v="Single"/>
    <m/>
    <n v="100"/>
    <n v="1026"/>
    <n v="1.1000000238418599"/>
    <s v="False"/>
    <s v="False"/>
    <s v="1-3 stories"/>
    <n v="121.69268798828099"/>
    <n v="121.69268798828099"/>
  </r>
  <r>
    <n v="71005"/>
    <s v="wall_5"/>
    <n v="2"/>
    <x v="0"/>
    <s v="Double"/>
    <s v="&gt;=1/2&quot;"/>
    <n v="100"/>
    <n v="51"/>
    <n v="0.44999998807907099"/>
    <s v="False"/>
    <s v="True"/>
    <s v="1-3 stories"/>
    <n v="121.69268798828099"/>
    <n v="121.69268798828099"/>
  </r>
  <r>
    <n v="71006"/>
    <s v="wall_4"/>
    <n v="1"/>
    <x v="0"/>
    <s v="Double"/>
    <s v="&gt;=1/2&quot;"/>
    <n v="100"/>
    <n v="361"/>
    <n v="0.44999998807907099"/>
    <s v="False"/>
    <s v="True"/>
    <s v="1-3 stories"/>
    <n v="219.04685974121099"/>
    <n v="219.04685974121099"/>
  </r>
  <r>
    <n v="71007"/>
    <s v="wall_3"/>
    <n v="1"/>
    <x v="1"/>
    <s v="Single"/>
    <s v="&gt;=1/2&quot;"/>
    <n v="97"/>
    <n v="794"/>
    <n v="1.1000000238418599"/>
    <s v="False"/>
    <s v="False"/>
    <s v="1-3 stories"/>
    <n v="219.04685974121099"/>
    <n v="219.04685974121099"/>
  </r>
  <r>
    <n v="71007"/>
    <s v="wall_4"/>
    <n v="2"/>
    <x v="0"/>
    <s v="Single"/>
    <m/>
    <n v="100"/>
    <n v="20"/>
    <n v="0.94999998807907104"/>
    <s v="False"/>
    <s v="False"/>
    <s v="1-3 stories"/>
    <n v="219.04685974121099"/>
    <n v="219.04685974121099"/>
  </r>
  <r>
    <n v="71008"/>
    <s v="wall_5"/>
    <n v="1"/>
    <x v="0"/>
    <s v="Double"/>
    <s v="&gt;=1/2&quot;"/>
    <n v="100"/>
    <n v="767"/>
    <n v="0.44999998807907099"/>
    <s v="False"/>
    <s v="True"/>
    <s v="1-3 stories"/>
    <n v="182.53904724121099"/>
    <n v="182.53904724121099"/>
  </r>
  <r>
    <n v="71009"/>
    <s v="wall_4"/>
    <n v="1"/>
    <x v="1"/>
    <s v="Double"/>
    <s v="&gt;=1/2&quot;"/>
    <n v="100"/>
    <n v="484"/>
    <n v="0.80000001192092896"/>
    <s v="False"/>
    <s v="False"/>
    <s v="1-3 stories"/>
    <n v="136.90428161621099"/>
    <n v="136.90428161621099"/>
  </r>
  <r>
    <n v="71009"/>
    <s v="wall_5"/>
    <n v="2"/>
    <x v="1"/>
    <s v="Single"/>
    <m/>
    <n v="0"/>
    <n v="9"/>
    <n v="1.1000000238418599"/>
    <s v="False"/>
    <s v="False"/>
    <s v="1-3 stories"/>
    <n v="136.90428161621099"/>
    <n v="136.90428161621099"/>
  </r>
  <r>
    <n v="71010"/>
    <s v="wall_4"/>
    <n v="1"/>
    <x v="1"/>
    <s v="Double"/>
    <s v="&gt;=1/2&quot;"/>
    <n v="100"/>
    <n v="813"/>
    <n v="0.80000001192092896"/>
    <s v="False"/>
    <s v="False"/>
    <s v="1-3 stories"/>
    <n v="182.53904724121099"/>
    <n v="182.53904724121099"/>
  </r>
  <r>
    <n v="71010"/>
    <s v="wall_5"/>
    <n v="2"/>
    <x v="0"/>
    <s v="Double"/>
    <s v="&lt;1/2&quot;"/>
    <n v="100"/>
    <n v="20"/>
    <n v="0.60000002384185802"/>
    <s v="False"/>
    <s v="False"/>
    <s v="1-3 stories"/>
    <n v="182.53904724121099"/>
    <n v="182.53904724121099"/>
  </r>
  <r>
    <n v="71011"/>
    <s v="wall_5"/>
    <n v="1"/>
    <x v="1"/>
    <s v="Double"/>
    <s v="&lt;1/2&quot;"/>
    <n v="90"/>
    <n v="674"/>
    <n v="0.75"/>
    <s v="False"/>
    <s v="True"/>
    <s v="1-3 stories"/>
    <n v="136.90428161621099"/>
    <n v="136.90428161621099"/>
  </r>
  <r>
    <n v="71012"/>
    <s v="wall_4"/>
    <n v="1"/>
    <x v="1"/>
    <s v="Double"/>
    <s v="&lt;1/2&quot;"/>
    <n v="90"/>
    <n v="497"/>
    <n v="0.85000002384185802"/>
    <s v="False"/>
    <s v="False"/>
    <s v="1-3 stories"/>
    <n v="182.53904724121099"/>
    <n v="182.53904724121099"/>
  </r>
  <r>
    <n v="71013"/>
    <s v="wall_4"/>
    <n v="1"/>
    <x v="0"/>
    <s v="Double"/>
    <s v="&gt;=1/2&quot;"/>
    <n v="94"/>
    <n v="834"/>
    <n v="0.55000001192092896"/>
    <s v="False"/>
    <s v="False"/>
    <s v="1-3 stories"/>
    <n v="136.90428161621099"/>
    <n v="136.90428161621099"/>
  </r>
  <r>
    <n v="71013"/>
    <s v="wall_5"/>
    <n v="2"/>
    <x v="1"/>
    <s v="Single"/>
    <s v="&lt;1/2&quot;"/>
    <n v="100"/>
    <n v="24"/>
    <n v="1.1000000238418599"/>
    <s v="False"/>
    <s v="False"/>
    <s v="1-3 stories"/>
    <n v="136.90428161621099"/>
    <n v="136.90428161621099"/>
  </r>
  <r>
    <n v="71014"/>
    <s v="wall_3"/>
    <n v="1"/>
    <x v="0"/>
    <s v="Double"/>
    <s v="&gt;=1/2&quot;"/>
    <n v="100"/>
    <n v="729"/>
    <n v="0.44999998807907099"/>
    <s v="False"/>
    <s v="True"/>
    <s v="1-3 stories"/>
    <n v="136.90428161621099"/>
    <n v="136.90428161621099"/>
  </r>
  <r>
    <n v="72001"/>
    <s v="wall_3"/>
    <n v="1"/>
    <x v="0"/>
    <s v="Double"/>
    <s v="&gt;=1/2&quot;"/>
    <n v="100"/>
    <n v="1490"/>
    <n v="0.44999998807907099"/>
    <s v="False"/>
    <s v="True"/>
    <s v="1-3 stories"/>
    <n v="78.231018066406307"/>
    <n v="78.231018066406307"/>
  </r>
  <r>
    <n v="72001"/>
    <s v="wall_4"/>
    <n v="2"/>
    <x v="0"/>
    <s v="Single"/>
    <m/>
    <n v="0"/>
    <n v="68"/>
    <n v="0.94999998807907104"/>
    <s v="False"/>
    <s v="False"/>
    <s v="1-3 stories"/>
    <n v="78.231018066406307"/>
    <n v="78.231018066406307"/>
  </r>
  <r>
    <n v="72002"/>
    <s v="wall_3"/>
    <n v="1"/>
    <x v="0"/>
    <s v="Double"/>
    <s v="&gt;=1/2&quot;"/>
    <n v="100"/>
    <n v="1576"/>
    <n v="0.44999998807907099"/>
    <s v="False"/>
    <s v="True"/>
    <s v="4-6 stories"/>
    <n v="99.566741943359403"/>
    <s v=""/>
  </r>
  <r>
    <n v="72002"/>
    <s v="wall_4"/>
    <n v="2"/>
    <x v="1"/>
    <s v="Double"/>
    <s v="&gt;=1/2&quot;"/>
    <n v="50"/>
    <n v="70"/>
    <n v="0.75"/>
    <s v="False"/>
    <s v="True"/>
    <s v="4-6 stories"/>
    <n v="99.566741943359403"/>
    <s v=""/>
  </r>
  <r>
    <n v="72002"/>
    <s v="wall_5"/>
    <n v="3"/>
    <x v="0"/>
    <s v="Double"/>
    <s v="&gt;=1/2&quot;"/>
    <n v="0"/>
    <n v="24"/>
    <n v="0.55000001192092896"/>
    <s v="False"/>
    <s v="False"/>
    <s v="4-6 stories"/>
    <n v="99.566741943359403"/>
    <s v=""/>
  </r>
  <r>
    <n v="72003"/>
    <s v="wall_4"/>
    <n v="1"/>
    <x v="1"/>
    <s v="Double"/>
    <s v="&lt;1/2&quot;"/>
    <n v="96"/>
    <n v="1363"/>
    <n v="0.75"/>
    <s v="False"/>
    <s v="True"/>
    <s v="4-6 stories"/>
    <n v="109.523429870605"/>
    <s v=""/>
  </r>
  <r>
    <n v="72004"/>
    <s v="wall_4"/>
    <n v="1"/>
    <x v="0"/>
    <s v="Double"/>
    <s v="&gt;=1/2&quot;"/>
    <n v="69"/>
    <n v="1520"/>
    <n v="0.55000001192092896"/>
    <s v="False"/>
    <s v="False"/>
    <s v="4-6 stories"/>
    <n v="84.248786926269503"/>
    <s v=""/>
  </r>
  <r>
    <n v="72004"/>
    <s v="wall_5"/>
    <n v="2"/>
    <x v="1"/>
    <s v="Single"/>
    <m/>
    <n v="100"/>
    <n v="26"/>
    <n v="1.1000000238418599"/>
    <s v="False"/>
    <s v="False"/>
    <s v="4-6 stories"/>
    <n v="84.248786926269503"/>
    <s v=""/>
  </r>
  <r>
    <n v="72005"/>
    <s v="wall_3"/>
    <n v="1"/>
    <x v="0"/>
    <s v="Double"/>
    <s v="&lt;1/2&quot;"/>
    <n v="100"/>
    <n v="1128"/>
    <n v="0.55000001192092896"/>
    <s v="False"/>
    <s v="True"/>
    <s v="1-3 stories"/>
    <n v="91.269523620605497"/>
    <n v="91.269523620605497"/>
  </r>
  <r>
    <n v="72006"/>
    <s v="wall_4"/>
    <n v="1"/>
    <x v="0"/>
    <s v="Double"/>
    <s v="&gt;=1/2&quot;"/>
    <n v="93"/>
    <n v="1106"/>
    <n v="0.44999998807907099"/>
    <s v="False"/>
    <s v="True"/>
    <s v="1-3 stories"/>
    <n v="91.269523620605497"/>
    <n v="91.269523620605497"/>
  </r>
  <r>
    <n v="72007"/>
    <s v="wall_3"/>
    <n v="1"/>
    <x v="0"/>
    <s v="Double"/>
    <s v="&gt;=1/2&quot;"/>
    <n v="100"/>
    <n v="1296"/>
    <n v="0.44999998807907099"/>
    <s v="False"/>
    <s v="True"/>
    <s v="1-3 stories"/>
    <n v="91.269523620605497"/>
    <n v="91.269523620605497"/>
  </r>
  <r>
    <n v="72008"/>
    <s v="wall_4"/>
    <n v="1"/>
    <x v="1"/>
    <s v="Double"/>
    <s v="&gt;=1/2&quot;"/>
    <n v="100"/>
    <n v="853"/>
    <n v="0.75"/>
    <s v="False"/>
    <s v="True"/>
    <s v="1-3 stories"/>
    <n v="99.566741943359403"/>
    <n v="99.566741943359403"/>
  </r>
  <r>
    <n v="72009"/>
    <s v="wall_6"/>
    <n v="1"/>
    <x v="0"/>
    <s v="Double"/>
    <s v="&gt;=1/2&quot;"/>
    <n v="100"/>
    <n v="1198"/>
    <n v="0.44999998807907099"/>
    <s v="False"/>
    <s v="True"/>
    <s v="1-3 stories"/>
    <n v="91.269523620605497"/>
    <n v="91.269523620605497"/>
  </r>
  <r>
    <n v="72009"/>
    <s v="wall_7"/>
    <n v="2"/>
    <x v="1"/>
    <s v="Single"/>
    <m/>
    <n v="17"/>
    <n v="167"/>
    <n v="1.1000000238418599"/>
    <s v="False"/>
    <s v="False"/>
    <s v="1-3 stories"/>
    <n v="91.269523620605497"/>
    <n v="91.269523620605497"/>
  </r>
  <r>
    <n v="72010"/>
    <s v="wall_4"/>
    <n v="1"/>
    <x v="1"/>
    <s v="Single"/>
    <m/>
    <n v="100"/>
    <n v="1272"/>
    <n v="1.1000000238418599"/>
    <s v="False"/>
    <s v="False"/>
    <s v="4-6 stories"/>
    <n v="91.269523620605497"/>
    <s v=""/>
  </r>
  <r>
    <n v="73001"/>
    <s v="wall_3"/>
    <n v="1"/>
    <x v="1"/>
    <s v="Single"/>
    <m/>
    <n v="100"/>
    <n v="1013"/>
    <n v="1.1000000238418599"/>
    <s v="False"/>
    <s v="False"/>
    <s v="4-6 stories"/>
    <n v="60.846343994140597"/>
    <s v=""/>
  </r>
  <r>
    <n v="73001"/>
    <s v="wall_4"/>
    <n v="2"/>
    <x v="0"/>
    <s v="Double"/>
    <s v="&gt;=1/2&quot;"/>
    <n v="100"/>
    <n v="856"/>
    <n v="0.44999998807907099"/>
    <s v="False"/>
    <s v="True"/>
    <s v="4-6 stories"/>
    <n v="60.846343994140597"/>
    <s v=""/>
  </r>
  <r>
    <n v="73002"/>
    <s v="wall_5"/>
    <n v="1"/>
    <x v="0"/>
    <s v="Double"/>
    <s v="&gt;=1/2&quot;"/>
    <n v="100"/>
    <n v="1528"/>
    <n v="0.44999998807907099"/>
    <s v="False"/>
    <s v="True"/>
    <s v="4-6 stories"/>
    <n v="49.783370971679702"/>
    <s v=""/>
  </r>
  <r>
    <n v="73002"/>
    <s v="wall_6"/>
    <n v="2"/>
    <x v="1"/>
    <s v="Single"/>
    <m/>
    <n v="11"/>
    <n v="161"/>
    <n v="1.1000000238418599"/>
    <s v="False"/>
    <s v="False"/>
    <s v="4-6 stories"/>
    <n v="49.783370971679702"/>
    <s v=""/>
  </r>
  <r>
    <n v="73002"/>
    <s v="wall_7"/>
    <n v="3"/>
    <x v="1"/>
    <s v="Double"/>
    <s v="&lt;1/2&quot;"/>
    <n v="100"/>
    <n v="60"/>
    <n v="0.75"/>
    <s v="False"/>
    <s v="True"/>
    <s v="4-6 stories"/>
    <n v="49.783370971679702"/>
    <s v=""/>
  </r>
  <r>
    <n v="73003"/>
    <s v="wall_4"/>
    <n v="1"/>
    <x v="0"/>
    <s v="Double"/>
    <s v="&gt;=1/2&quot;"/>
    <n v="100"/>
    <n v="1678"/>
    <n v="0.55000001192092896"/>
    <s v="False"/>
    <s v="False"/>
    <s v="1-3 stories"/>
    <n v="60.846343994140597"/>
    <n v="60.846343994140597"/>
  </r>
  <r>
    <n v="73004"/>
    <s v="wall_3"/>
    <n v="1"/>
    <x v="0"/>
    <s v="Double"/>
    <s v="&gt;=1/2&quot;"/>
    <n v="100"/>
    <n v="1567"/>
    <n v="0.55000001192092896"/>
    <s v="False"/>
    <s v="False"/>
    <s v="1-3 stories"/>
    <n v="57.643905639648402"/>
    <n v="57.643905639648402"/>
  </r>
  <r>
    <n v="73005"/>
    <s v="wall_3"/>
    <n v="1"/>
    <x v="1"/>
    <s v="Double"/>
    <s v="&gt;=1/2&quot;"/>
    <n v="90"/>
    <n v="1645"/>
    <n v="0.80000001192092896"/>
    <s v="False"/>
    <s v="False"/>
    <s v="1-3 stories"/>
    <n v="54.761714935302699"/>
    <n v="54.761714935302699"/>
  </r>
  <r>
    <n v="73006"/>
    <s v="wall_3"/>
    <n v="1"/>
    <x v="0"/>
    <s v="Double"/>
    <s v="&gt;=1/2&quot;"/>
    <n v="96"/>
    <n v="906"/>
    <n v="0.55000001192092896"/>
    <s v="False"/>
    <s v="False"/>
    <s v="1-3 stories"/>
    <n v="73.015617370605497"/>
    <n v="73.015617370605497"/>
  </r>
  <r>
    <n v="73006"/>
    <s v="wall_4"/>
    <n v="2"/>
    <x v="1"/>
    <s v="Single"/>
    <m/>
    <n v="58"/>
    <n v="781"/>
    <n v="1.1000000238418599"/>
    <s v="False"/>
    <s v="False"/>
    <s v="1-3 stories"/>
    <n v="73.015617370605497"/>
    <n v="73.015617370605497"/>
  </r>
  <r>
    <n v="73007"/>
    <s v="wall_4"/>
    <n v="1"/>
    <x v="0"/>
    <s v="Double"/>
    <s v="&gt;=1/2&quot;"/>
    <n v="100"/>
    <n v="1720"/>
    <n v="0.55000001192092896"/>
    <s v="False"/>
    <s v="False"/>
    <s v="1-3 stories"/>
    <n v="64.425544738769503"/>
    <n v="64.425544738769503"/>
  </r>
  <r>
    <n v="73008"/>
    <s v="wall_4"/>
    <n v="1"/>
    <x v="1"/>
    <s v="Double"/>
    <s v="&lt;1/2&quot;"/>
    <n v="100"/>
    <n v="1250"/>
    <n v="0.85000002384185802"/>
    <s v="False"/>
    <s v="False"/>
    <s v="1-3 stories"/>
    <n v="52.154014587402301"/>
    <n v="52.154014587402301"/>
  </r>
  <r>
    <n v="73009"/>
    <s v="wall_3"/>
    <n v="1"/>
    <x v="0"/>
    <s v="Double"/>
    <s v="&lt;1/2&quot;"/>
    <n v="100"/>
    <n v="1802"/>
    <n v="0.55000001192092896"/>
    <s v="False"/>
    <s v="True"/>
    <s v="4-6 stories"/>
    <n v="60.846343994140597"/>
    <s v=""/>
  </r>
  <r>
    <n v="73010"/>
    <s v="wall_5"/>
    <n v="1"/>
    <x v="0"/>
    <s v="Double"/>
    <s v="&gt;=1/2&quot;"/>
    <n v="100"/>
    <n v="1934"/>
    <n v="0.55000001192092896"/>
    <s v="False"/>
    <s v="False"/>
    <s v="1-3 stories"/>
    <n v="52.154014587402301"/>
    <n v="52.154014587402301"/>
  </r>
  <r>
    <n v="73010"/>
    <s v="wall_6"/>
    <n v="2"/>
    <x v="1"/>
    <s v="Single"/>
    <m/>
    <n v="0"/>
    <n v="9"/>
    <n v="1.1000000238418599"/>
    <s v="False"/>
    <s v="False"/>
    <s v="1-3 stories"/>
    <n v="52.154014587402301"/>
    <n v="52.154014587402301"/>
  </r>
  <r>
    <n v="74001"/>
    <s v="wall_4"/>
    <n v="1"/>
    <x v="0"/>
    <s v="Double"/>
    <s v="&lt;1/2&quot;"/>
    <n v="99"/>
    <n v="5150"/>
    <n v="0.60000002384185802"/>
    <s v="False"/>
    <s v="False"/>
    <s v="4-6 stories"/>
    <n v="34.226070404052699"/>
    <s v=""/>
  </r>
  <r>
    <n v="74002"/>
    <s v="wall_5"/>
    <n v="1"/>
    <x v="0"/>
    <s v="Double"/>
    <s v="&lt;1/2&quot;"/>
    <n v="100"/>
    <n v="2280"/>
    <n v="0.55000001192092896"/>
    <s v="False"/>
    <s v="True"/>
    <s v="4-6 stories"/>
    <n v="43.809371948242202"/>
    <s v=""/>
  </r>
  <r>
    <n v="74002"/>
    <s v="wall_6"/>
    <n v="3"/>
    <x v="0"/>
    <s v="Double"/>
    <s v="&gt;=1/2&quot;"/>
    <n v="0"/>
    <n v="112"/>
    <n v="0.44999998807907099"/>
    <s v="False"/>
    <s v="True"/>
    <s v="4-6 stories"/>
    <n v="43.809371948242202"/>
    <s v=""/>
  </r>
  <r>
    <n v="74003"/>
    <s v="wall_3"/>
    <n v="1"/>
    <x v="1"/>
    <s v="Double"/>
    <s v="&lt;1/2&quot;"/>
    <n v="90"/>
    <n v="3161"/>
    <n v="0.75"/>
    <s v="False"/>
    <s v="True"/>
    <s v="1-3 stories"/>
    <n v="36.507808685302699"/>
    <n v="36.507808685302699"/>
  </r>
  <r>
    <n v="74003"/>
    <s v="wall_4"/>
    <n v="2"/>
    <x v="1"/>
    <s v="Double"/>
    <s v="&gt;=1/2&quot;"/>
    <n v="0"/>
    <n v="56"/>
    <n v="0.75"/>
    <s v="False"/>
    <s v="True"/>
    <s v="1-3 stories"/>
    <n v="36.507808685302699"/>
    <n v="36.507808685302699"/>
  </r>
  <r>
    <n v="74004"/>
    <s v="wall_3"/>
    <n v="1"/>
    <x v="1"/>
    <s v="Double"/>
    <s v="&lt;1/2&quot;"/>
    <n v="6"/>
    <n v="1726"/>
    <n v="0.75"/>
    <s v="False"/>
    <s v="True"/>
    <s v="1-3 stories"/>
    <n v="45.634761810302699"/>
    <n v="45.634761810302699"/>
  </r>
  <r>
    <n v="74005"/>
    <s v="wall_4"/>
    <n v="1"/>
    <x v="0"/>
    <s v="Double"/>
    <s v="&gt;=1/2&quot;"/>
    <n v="83"/>
    <n v="3399"/>
    <n v="0.55000001192092896"/>
    <s v="False"/>
    <s v="False"/>
    <s v="1-3 stories"/>
    <n v="40.564231872558601"/>
    <n v="40.564231872558601"/>
  </r>
  <r>
    <n v="74005"/>
    <s v="wall_5"/>
    <n v="2"/>
    <x v="1"/>
    <s v="Double"/>
    <s v="&gt;=1/2&quot;"/>
    <n v="0"/>
    <n v="5"/>
    <n v="0.80000001192092896"/>
    <s v="False"/>
    <s v="False"/>
    <s v="1-3 stories"/>
    <n v="40.564231872558601"/>
    <n v="40.564231872558601"/>
  </r>
  <r>
    <n v="74006"/>
    <s v="wall_3"/>
    <n v="1"/>
    <x v="0"/>
    <s v="Double"/>
    <s v="&gt;=1/2&quot;"/>
    <n v="100"/>
    <n v="1866"/>
    <n v="0.44999998807907099"/>
    <s v="False"/>
    <s v="True"/>
    <s v="1-3 stories"/>
    <n v="47.6188774108887"/>
    <n v="47.6188774108887"/>
  </r>
  <r>
    <n v="74007"/>
    <s v="wall_4"/>
    <n v="1"/>
    <x v="1"/>
    <s v="Double"/>
    <s v="&lt;1/2&quot;"/>
    <n v="100"/>
    <n v="3918"/>
    <n v="0.85000002384185802"/>
    <s v="False"/>
    <s v="False"/>
    <s v="4-6 stories"/>
    <n v="45.634761810302699"/>
    <s v=""/>
  </r>
  <r>
    <n v="74008"/>
    <s v="wall_4"/>
    <n v="1"/>
    <x v="0"/>
    <s v="Double"/>
    <s v="&gt;=1/2&quot;"/>
    <n v="95"/>
    <n v="1774"/>
    <n v="0.44999998807907099"/>
    <s v="False"/>
    <s v="True"/>
    <s v="4-6 stories"/>
    <n v="33.188915252685497"/>
    <s v=""/>
  </r>
  <r>
    <n v="74008"/>
    <s v="wall_5"/>
    <n v="2"/>
    <x v="1"/>
    <s v="Double"/>
    <s v="&lt;1/2&quot;"/>
    <n v="50"/>
    <n v="90"/>
    <n v="0.75"/>
    <s v="False"/>
    <s v="True"/>
    <s v="4-6 stories"/>
    <n v="33.188915252685497"/>
    <s v=""/>
  </r>
  <r>
    <n v="74009"/>
    <s v="wall_3"/>
    <n v="1"/>
    <x v="1"/>
    <s v="Double"/>
    <s v="&lt;1/2&quot;"/>
    <n v="85"/>
    <n v="4496"/>
    <n v="0.85000002384185802"/>
    <s v="False"/>
    <s v="False"/>
    <s v="4-6 stories"/>
    <n v="34.226070404052699"/>
    <s v=""/>
  </r>
  <r>
    <n v="74010"/>
    <s v="wall_4"/>
    <n v="1"/>
    <x v="1"/>
    <s v="Double"/>
    <s v="&gt;=1/2&quot;"/>
    <n v="100"/>
    <n v="3451"/>
    <n v="0.75"/>
    <s v="False"/>
    <s v="True"/>
    <s v="4-6 stories"/>
    <n v="31.292406082153299"/>
    <s v=""/>
  </r>
  <r>
    <n v="74011"/>
    <s v="wall_6"/>
    <n v="1"/>
    <x v="0"/>
    <s v="Double"/>
    <s v="&gt;=1/2&quot;"/>
    <n v="100"/>
    <n v="1424"/>
    <n v="0.55000001192092896"/>
    <s v="False"/>
    <s v="False"/>
    <s v="1-3 stories"/>
    <n v="31.292406082153299"/>
    <n v="31.292406082153299"/>
  </r>
  <r>
    <n v="74011"/>
    <s v="wall_7"/>
    <n v="2"/>
    <x v="1"/>
    <s v="Double"/>
    <s v="&gt;=1/2&quot;"/>
    <n v="48"/>
    <n v="138"/>
    <n v="0.80000001192092896"/>
    <s v="False"/>
    <s v="False"/>
    <s v="1-3 stories"/>
    <n v="31.292406082153299"/>
    <n v="31.292406082153299"/>
  </r>
  <r>
    <n v="74012"/>
    <s v="wall_4"/>
    <n v="1"/>
    <x v="1"/>
    <s v="Single"/>
    <m/>
    <n v="100"/>
    <n v="3939"/>
    <n v="1.1000000238418599"/>
    <s v="False"/>
    <s v="False"/>
    <s v="4-6 stories"/>
    <n v="36.507808685302699"/>
    <s v=""/>
  </r>
  <r>
    <n v="74012"/>
    <s v="wall_5"/>
    <n v="2"/>
    <x v="0"/>
    <s v="Double"/>
    <s v="&gt;=1/2&quot;"/>
    <n v="0"/>
    <n v="84"/>
    <n v="0.55000001192092896"/>
    <s v="False"/>
    <s v="False"/>
    <s v="4-6 stories"/>
    <n v="36.507808685302699"/>
    <s v=""/>
  </r>
  <r>
    <n v="74013"/>
    <s v="wall_5"/>
    <n v="1"/>
    <x v="0"/>
    <s v="Double"/>
    <s v="&gt;=1/2&quot;"/>
    <n v="88"/>
    <n v="4318"/>
    <n v="0.44999998807907099"/>
    <s v="False"/>
    <s v="True"/>
    <s v="4-6 stories"/>
    <n v="34.226070404052699"/>
    <s v=""/>
  </r>
  <r>
    <n v="74013"/>
    <s v="wall_6"/>
    <n v="2"/>
    <x v="1"/>
    <s v="Double"/>
    <s v="&gt;=1/2&quot;"/>
    <n v="50"/>
    <n v="785"/>
    <n v="0.75"/>
    <s v="False"/>
    <s v="True"/>
    <s v="4-6 stories"/>
    <n v="34.226070404052699"/>
    <s v=""/>
  </r>
  <r>
    <n v="74014"/>
    <s v="wall_5"/>
    <n v="1"/>
    <x v="1"/>
    <s v="Single"/>
    <m/>
    <n v="95"/>
    <n v="3513"/>
    <n v="1.1000000238418599"/>
    <s v="False"/>
    <s v="False"/>
    <s v="4-6 stories"/>
    <n v="42.124393463134801"/>
    <s v=""/>
  </r>
  <r>
    <n v="74015"/>
    <s v="wall_3"/>
    <n v="1"/>
    <x v="1"/>
    <s v="Double"/>
    <s v="&lt;1/2&quot;"/>
    <n v="100"/>
    <n v="1460"/>
    <n v="0.85000002384185802"/>
    <s v="False"/>
    <s v="False"/>
    <s v="1-3 stories"/>
    <n v="40.564231872558601"/>
    <n v="40.564231872558601"/>
  </r>
  <r>
    <n v="75001"/>
    <s v="wall_3"/>
    <n v="1"/>
    <x v="1"/>
    <s v="Double"/>
    <s v="&gt;=1/2&quot;"/>
    <n v="100"/>
    <n v="1414"/>
    <n v="0.80000001192092896"/>
    <s v="False"/>
    <s v="False"/>
    <s v="1-3 stories"/>
    <n v="28.821952819824201"/>
    <n v="28.821952819824201"/>
  </r>
  <r>
    <n v="75001"/>
    <s v="wall_4"/>
    <n v="2"/>
    <x v="1"/>
    <s v="Double"/>
    <s v="&gt;=1/2&quot;"/>
    <n v="13"/>
    <n v="332"/>
    <n v="0.75"/>
    <s v="False"/>
    <s v="True"/>
    <s v="1-3 stories"/>
    <n v="28.821952819824201"/>
    <n v="28.821952819824201"/>
  </r>
  <r>
    <n v="75002"/>
    <s v="wall_3"/>
    <n v="1"/>
    <x v="1"/>
    <s v="Double"/>
    <s v="&gt;=1/2&quot;"/>
    <n v="94"/>
    <n v="5930"/>
    <n v="0.75"/>
    <s v="False"/>
    <s v="True"/>
    <s v="7+ stories"/>
    <n v="20.2821159362793"/>
    <s v=""/>
  </r>
  <r>
    <n v="75002"/>
    <s v="wall_4"/>
    <n v="2"/>
    <x v="0"/>
    <s v="Double"/>
    <s v="&gt;=1/2&quot;"/>
    <n v="94"/>
    <n v="3591"/>
    <n v="0.44999998807907099"/>
    <s v="False"/>
    <s v="True"/>
    <s v="7+ stories"/>
    <n v="20.2821159362793"/>
    <s v=""/>
  </r>
  <r>
    <n v="75002"/>
    <s v="wall_5"/>
    <n v="3"/>
    <x v="1"/>
    <s v="Single"/>
    <m/>
    <n v="8"/>
    <n v="773"/>
    <n v="1.1000000238418599"/>
    <s v="False"/>
    <s v="False"/>
    <s v="7+ stories"/>
    <n v="20.2821159362793"/>
    <s v=""/>
  </r>
  <r>
    <n v="75003"/>
    <s v="wall_4"/>
    <n v="1"/>
    <x v="1"/>
    <s v="Double"/>
    <s v="&lt;1/2&quot;"/>
    <n v="100"/>
    <n v="3680"/>
    <n v="0.75"/>
    <s v="False"/>
    <s v="True"/>
    <s v="4-6 stories"/>
    <n v="18.883348464965799"/>
    <s v=""/>
  </r>
  <r>
    <n v="75003"/>
    <s v="wall_5"/>
    <n v="2"/>
    <x v="0"/>
    <s v="Double"/>
    <s v="&lt;1/2&quot;"/>
    <n v="100"/>
    <n v="112"/>
    <n v="0.55000001192092896"/>
    <s v="False"/>
    <s v="True"/>
    <s v="4-6 stories"/>
    <n v="18.883348464965799"/>
    <s v=""/>
  </r>
  <r>
    <n v="75004"/>
    <s v="wall_4"/>
    <n v="1"/>
    <x v="1"/>
    <s v="Double"/>
    <s v="&gt;=1/2&quot;"/>
    <n v="60"/>
    <n v="4240"/>
    <n v="0.75"/>
    <s v="False"/>
    <s v="True"/>
    <s v="1-3 stories"/>
    <n v="19.557754516601602"/>
    <n v="19.557754516601602"/>
  </r>
  <r>
    <n v="75005"/>
    <s v="wall_5"/>
    <n v="1"/>
    <x v="1"/>
    <s v="Double"/>
    <s v="&gt;=1/2&quot;"/>
    <n v="100"/>
    <n v="4553"/>
    <n v="0.80000001192092896"/>
    <s v="False"/>
    <s v="False"/>
    <s v="4-6 stories"/>
    <n v="22.817380905151399"/>
    <s v=""/>
  </r>
  <r>
    <n v="75005"/>
    <s v="wall_6"/>
    <n v="2"/>
    <x v="0"/>
    <s v="Double"/>
    <s v="&gt;=1/2&quot;"/>
    <n v="100"/>
    <n v="128"/>
    <n v="0.44999998807907099"/>
    <s v="False"/>
    <s v="True"/>
    <s v="4-6 stories"/>
    <n v="22.817380905151399"/>
    <s v=""/>
  </r>
  <r>
    <n v="75006"/>
    <s v="wall_4"/>
    <n v="1"/>
    <x v="1"/>
    <s v="Double"/>
    <s v="&gt;=1/2&quot;"/>
    <n v="100"/>
    <n v="2898"/>
    <n v="0.80000001192092896"/>
    <s v="False"/>
    <s v="False"/>
    <s v="4-6 stories"/>
    <n v="22.351718902587901"/>
    <s v=""/>
  </r>
  <r>
    <n v="75006"/>
    <s v="wall_5"/>
    <n v="2"/>
    <x v="0"/>
    <s v="Single"/>
    <m/>
    <n v="12"/>
    <n v="414"/>
    <n v="0.94999998807907104"/>
    <s v="False"/>
    <s v="False"/>
    <s v="4-6 stories"/>
    <n v="22.351718902587901"/>
    <s v=""/>
  </r>
  <r>
    <n v="75007"/>
    <s v="wall_5"/>
    <n v="1"/>
    <x v="0"/>
    <s v="Double"/>
    <s v="&gt;=1/2&quot;"/>
    <n v="90"/>
    <n v="4164"/>
    <n v="0.44999998807907099"/>
    <s v="False"/>
    <s v="True"/>
    <s v="4-6 stories"/>
    <n v="21.062196731567401"/>
    <s v=""/>
  </r>
  <r>
    <n v="75007"/>
    <s v="wall_6"/>
    <n v="2"/>
    <x v="1"/>
    <s v="Double"/>
    <s v="&lt;1/2&quot;"/>
    <n v="20"/>
    <n v="1156"/>
    <n v="0.75"/>
    <s v="False"/>
    <s v="True"/>
    <s v="4-6 stories"/>
    <n v="21.062196731567401"/>
    <s v=""/>
  </r>
  <r>
    <n v="75008"/>
    <s v="wall_5"/>
    <n v="1"/>
    <x v="0"/>
    <s v="Double"/>
    <s v="&gt;=1/2&quot;"/>
    <n v="81"/>
    <n v="3632"/>
    <n v="0.44999998807907099"/>
    <s v="False"/>
    <s v="True"/>
    <s v="1-3 stories"/>
    <n v="26.7130317687988"/>
    <n v="26.7130317687988"/>
  </r>
  <r>
    <n v="75009"/>
    <s v="wall_6"/>
    <n v="1"/>
    <x v="0"/>
    <s v="Double"/>
    <s v="&gt;=1/2&quot;"/>
    <n v="100"/>
    <n v="2000"/>
    <n v="0.44999998807907099"/>
    <s v="False"/>
    <s v="True"/>
    <s v="1-3 stories"/>
    <n v="28.082929611206101"/>
    <n v="28.082929611206101"/>
  </r>
  <r>
    <n v="75009"/>
    <s v="wall_7"/>
    <n v="2"/>
    <x v="0"/>
    <s v="Single"/>
    <m/>
    <n v="80"/>
    <n v="1333"/>
    <n v="0.94999998807907104"/>
    <s v="False"/>
    <s v="False"/>
    <s v="1-3 stories"/>
    <n v="28.082929611206101"/>
    <n v="28.082929611206101"/>
  </r>
  <r>
    <n v="75010"/>
    <s v="wall_4"/>
    <n v="1"/>
    <x v="1"/>
    <s v="Double"/>
    <s v="&lt;1/2&quot;"/>
    <n v="98"/>
    <n v="3483"/>
    <n v="0.85000002384185802"/>
    <s v="False"/>
    <s v="False"/>
    <s v="1-3 stories"/>
    <n v="30.423171997070298"/>
    <n v="30.423171997070298"/>
  </r>
  <r>
    <n v="75011"/>
    <s v="wall_4"/>
    <n v="1"/>
    <x v="0"/>
    <s v="Double"/>
    <s v="&gt;=1/2&quot;"/>
    <n v="95"/>
    <n v="4690"/>
    <n v="0.44999998807907099"/>
    <s v="False"/>
    <s v="True"/>
    <s v="4-6 stories"/>
    <n v="23.3028564453125"/>
    <s v=""/>
  </r>
  <r>
    <n v="75011"/>
    <s v="wall_5"/>
    <n v="2"/>
    <x v="1"/>
    <s v="Double"/>
    <s v="&gt;=1/2&quot;"/>
    <n v="100"/>
    <n v="40"/>
    <n v="0.80000001192092896"/>
    <s v="False"/>
    <s v="False"/>
    <s v="4-6 stories"/>
    <n v="23.3028564453125"/>
    <s v=""/>
  </r>
  <r>
    <n v="75012"/>
    <s v="wall_4"/>
    <n v="1"/>
    <x v="0"/>
    <s v="Double"/>
    <s v="&gt;=1/2&quot;"/>
    <n v="100"/>
    <n v="1455"/>
    <n v="0.55000001192092896"/>
    <s v="False"/>
    <s v="False"/>
    <s v="1-3 stories"/>
    <n v="24.338537216186499"/>
    <n v="24.338537216186499"/>
  </r>
  <r>
    <n v="75012"/>
    <s v="wall_5"/>
    <n v="2"/>
    <x v="0"/>
    <s v="Single"/>
    <m/>
    <n v="0"/>
    <n v="87"/>
    <n v="0.94999998807907104"/>
    <s v="False"/>
    <s v="False"/>
    <s v="1-3 stories"/>
    <n v="24.338537216186499"/>
    <n v="24.338537216186499"/>
  </r>
  <r>
    <n v="75013"/>
    <s v="wall_4"/>
    <n v="1"/>
    <x v="0"/>
    <s v="Double"/>
    <s v="&gt;=1/2&quot;"/>
    <n v="100"/>
    <n v="2221"/>
    <n v="0.44999998807907099"/>
    <s v="False"/>
    <s v="True"/>
    <s v="4-6 stories"/>
    <n v="19.214635848998999"/>
    <s v=""/>
  </r>
  <r>
    <n v="75013"/>
    <s v="wall_5"/>
    <n v="2"/>
    <x v="1"/>
    <s v="Double"/>
    <s v="&lt;1/2&quot;"/>
    <n v="61"/>
    <n v="1141"/>
    <n v="0.85000002384185802"/>
    <s v="False"/>
    <s v="False"/>
    <s v="4-6 stories"/>
    <n v="19.214635848998999"/>
    <s v=""/>
  </r>
  <r>
    <n v="76001"/>
    <s v="wall_3"/>
    <n v="1"/>
    <x v="0"/>
    <s v="Single"/>
    <m/>
    <n v="97"/>
    <n v="7066"/>
    <n v="0.94999998807907104"/>
    <s v="False"/>
    <s v="False"/>
    <s v="4-6 stories"/>
    <n v="14.800462722778301"/>
    <s v=""/>
  </r>
  <r>
    <n v="76002"/>
    <s v="wall_3"/>
    <n v="1"/>
    <x v="1"/>
    <s v="Single"/>
    <m/>
    <n v="32"/>
    <n v="19224"/>
    <n v="1.1000000238418599"/>
    <s v="False"/>
    <s v="False"/>
    <s v="4-6 stories"/>
    <n v="13.0385036468506"/>
    <s v=""/>
  </r>
  <r>
    <n v="76003"/>
    <s v="wall_5"/>
    <n v="1"/>
    <x v="1"/>
    <s v="Double"/>
    <s v="&gt;=1/2&quot;"/>
    <n v="99"/>
    <n v="8993"/>
    <n v="0.75"/>
    <s v="False"/>
    <s v="True"/>
    <s v="7+ stories"/>
    <n v="13.195593833923301"/>
    <s v=""/>
  </r>
  <r>
    <n v="76003"/>
    <s v="wall_6"/>
    <n v="2"/>
    <x v="0"/>
    <s v="Single"/>
    <m/>
    <n v="25"/>
    <n v="163"/>
    <n v="0.94999998807907104"/>
    <s v="False"/>
    <s v="False"/>
    <s v="7+ stories"/>
    <n v="13.195593833923301"/>
    <s v=""/>
  </r>
  <r>
    <n v="76004"/>
    <s v="wall_5"/>
    <n v="1"/>
    <x v="0"/>
    <s v="Double"/>
    <s v="&gt;=1/2&quot;"/>
    <n v="42"/>
    <n v="10443"/>
    <n v="0.44999998807907099"/>
    <s v="False"/>
    <s v="True"/>
    <s v="4-6 stories"/>
    <n v="11.6514282226563"/>
    <s v=""/>
  </r>
  <r>
    <n v="76004"/>
    <s v="wall_6"/>
    <n v="2"/>
    <x v="1"/>
    <s v="Double"/>
    <s v="&lt;1/2&quot;"/>
    <n v="2"/>
    <n v="132"/>
    <n v="0.75"/>
    <s v="False"/>
    <s v="True"/>
    <s v="4-6 stories"/>
    <n v="11.6514282226563"/>
    <s v=""/>
  </r>
  <r>
    <n v="76004"/>
    <s v="wall_7"/>
    <n v="3"/>
    <x v="2"/>
    <m/>
    <m/>
    <n v="0"/>
    <n v="33"/>
    <m/>
    <s v="False"/>
    <s v="False"/>
    <s v="4-6 stories"/>
    <n v="11.6514282226563"/>
    <s v=""/>
  </r>
  <r>
    <n v="76005"/>
    <s v="wall_3"/>
    <n v="1"/>
    <x v="0"/>
    <s v="Double"/>
    <s v="&gt;=1/2&quot;"/>
    <n v="93"/>
    <n v="5373"/>
    <n v="0.44999998807907099"/>
    <s v="False"/>
    <s v="True"/>
    <s v="4-6 stories"/>
    <n v="17.665067672729499"/>
    <s v=""/>
  </r>
  <r>
    <n v="76006"/>
    <s v="wall_4"/>
    <n v="1"/>
    <x v="0"/>
    <s v="Double"/>
    <s v="&gt;=1/2&quot;"/>
    <n v="100"/>
    <n v="4760"/>
    <n v="0.44999998807907099"/>
    <s v="False"/>
    <s v="True"/>
    <s v="7+ stories"/>
    <n v="13.3565158843994"/>
    <s v=""/>
  </r>
  <r>
    <n v="76006"/>
    <s v="wall_5"/>
    <n v="2"/>
    <x v="1"/>
    <s v="Double"/>
    <s v="&gt;=1/2&quot;"/>
    <n v="100"/>
    <n v="430"/>
    <n v="0.75"/>
    <s v="False"/>
    <s v="True"/>
    <s v="7+ stories"/>
    <n v="13.3565158843994"/>
    <s v=""/>
  </r>
  <r>
    <n v="76006"/>
    <s v="wall_6"/>
    <n v="3"/>
    <x v="1"/>
    <s v="Single"/>
    <m/>
    <n v="18"/>
    <n v="724"/>
    <n v="1.1000000238418599"/>
    <s v="False"/>
    <s v="False"/>
    <s v="7+ stories"/>
    <n v="13.3565158843994"/>
    <s v=""/>
  </r>
  <r>
    <n v="76007"/>
    <s v="wall_6"/>
    <n v="1"/>
    <x v="0"/>
    <s v="Double"/>
    <s v="&gt;=1/2&quot;"/>
    <n v="90"/>
    <n v="3350"/>
    <n v="0.44999998807907099"/>
    <s v="False"/>
    <s v="True"/>
    <s v="4-6 stories"/>
    <n v="13.195593833923301"/>
    <s v=""/>
  </r>
  <r>
    <n v="76007"/>
    <s v="wall_7"/>
    <n v="2"/>
    <x v="1"/>
    <s v="Double"/>
    <s v="&gt;=1/2&quot;"/>
    <n v="9"/>
    <n v="1100"/>
    <n v="0.75"/>
    <s v="False"/>
    <s v="True"/>
    <s v="4-6 stories"/>
    <n v="13.195593833923301"/>
    <s v=""/>
  </r>
  <r>
    <n v="76007"/>
    <s v="wall_8"/>
    <n v="3"/>
    <x v="0"/>
    <s v="Double"/>
    <s v="&gt;=1/2&quot;"/>
    <n v="0"/>
    <n v="50"/>
    <n v="0.55000001192092896"/>
    <s v="False"/>
    <s v="False"/>
    <s v="4-6 stories"/>
    <n v="13.195593833923301"/>
    <s v=""/>
  </r>
  <r>
    <n v="76008"/>
    <s v="wall_4"/>
    <n v="1"/>
    <x v="0"/>
    <s v="Double"/>
    <s v="&gt;=1/2&quot;"/>
    <n v="95"/>
    <n v="6700"/>
    <n v="0.44999998807907099"/>
    <s v="False"/>
    <s v="True"/>
    <s v="7+ stories"/>
    <n v="12.169268608093301"/>
    <s v=""/>
  </r>
  <r>
    <n v="76009"/>
    <s v="wall_3"/>
    <n v="1"/>
    <x v="1"/>
    <s v="Double"/>
    <s v="&gt;=1/2&quot;"/>
    <n v="100"/>
    <n v="3488"/>
    <n v="0.80000001192092896"/>
    <s v="False"/>
    <s v="False"/>
    <s v="1-3 stories"/>
    <n v="16.346778869628899"/>
    <n v="16.346778869628899"/>
  </r>
  <r>
    <n v="76010"/>
    <s v="wall_6"/>
    <n v="1"/>
    <x v="0"/>
    <s v="Double"/>
    <s v="&gt;=1/2&quot;"/>
    <n v="100"/>
    <n v="8839"/>
    <n v="0.44999998807907099"/>
    <s v="False"/>
    <s v="True"/>
    <s v="1-3 stories"/>
    <n v="16.106386184692401"/>
    <n v="16.106386184692401"/>
  </r>
  <r>
    <n v="76010"/>
    <s v="wall_7"/>
    <n v="3"/>
    <x v="1"/>
    <s v="Single"/>
    <m/>
    <n v="15"/>
    <n v="665"/>
    <n v="1.1000000238418599"/>
    <s v="False"/>
    <s v="False"/>
    <s v="1-3 stories"/>
    <n v="16.106386184692401"/>
    <n v="16.106386184692401"/>
  </r>
  <r>
    <n v="76011"/>
    <s v="wall_4"/>
    <n v="1"/>
    <x v="0"/>
    <s v="Double"/>
    <s v="&gt;=1/2&quot;"/>
    <n v="95"/>
    <n v="6491"/>
    <n v="0.44999998807907099"/>
    <s v="False"/>
    <s v="True"/>
    <s v="7+ stories"/>
    <n v="12.169268608093301"/>
    <s v=""/>
  </r>
  <r>
    <n v="76012"/>
    <s v="wall_4"/>
    <n v="1"/>
    <x v="0"/>
    <s v="Double"/>
    <s v="&gt;=1/2&quot;"/>
    <n v="96"/>
    <n v="11674"/>
    <n v="0.44999998807907099"/>
    <s v="False"/>
    <s v="True"/>
    <s v="4-6 stories"/>
    <n v="12.445842742919901"/>
    <s v=""/>
  </r>
  <r>
    <n v="76012"/>
    <s v="wall_5"/>
    <n v="2"/>
    <x v="1"/>
    <s v="Double"/>
    <s v="&gt;=1/2&quot;"/>
    <n v="62"/>
    <n v="65"/>
    <n v="0.75"/>
    <s v="False"/>
    <s v="True"/>
    <s v="4-6 stories"/>
    <n v="12.445842742919901"/>
    <s v=""/>
  </r>
  <r>
    <n v="76013"/>
    <s v="wall_5"/>
    <n v="1"/>
    <x v="0"/>
    <s v="Double"/>
    <s v="&gt;=1/2&quot;"/>
    <n v="85"/>
    <n v="7410"/>
    <n v="0.44999998807907099"/>
    <s v="False"/>
    <s v="True"/>
    <s v="4-6 stories"/>
    <n v="14.2238216400146"/>
    <s v=""/>
  </r>
  <r>
    <n v="77001"/>
    <s v="wall_4"/>
    <n v="1"/>
    <x v="0"/>
    <s v="Double"/>
    <s v="&gt;=1/2&quot;"/>
    <n v="99"/>
    <n v="6549"/>
    <n v="0.44999998807907099"/>
    <s v="False"/>
    <s v="True"/>
    <s v="4-6 stories"/>
    <n v="8.6923351287841797"/>
    <s v=""/>
  </r>
  <r>
    <n v="77001"/>
    <s v="wall_5"/>
    <n v="2"/>
    <x v="1"/>
    <s v="Double"/>
    <s v="&gt;=1/2&quot;"/>
    <n v="8"/>
    <n v="2083"/>
    <n v="0.75"/>
    <s v="False"/>
    <s v="True"/>
    <s v="4-6 stories"/>
    <n v="8.6923351287841797"/>
    <s v=""/>
  </r>
  <r>
    <n v="77001"/>
    <s v="wall_6"/>
    <n v="3"/>
    <x v="0"/>
    <s v="Double"/>
    <s v="&gt;=1/2&quot;"/>
    <n v="100"/>
    <n v="20"/>
    <n v="0.55000001192092896"/>
    <s v="False"/>
    <s v="False"/>
    <s v="4-6 stories"/>
    <n v="8.6923351287841797"/>
    <s v=""/>
  </r>
  <r>
    <n v="77002"/>
    <s v="wall_4"/>
    <n v="1"/>
    <x v="1"/>
    <s v="Single"/>
    <m/>
    <n v="99"/>
    <n v="21658"/>
    <n v="1.1000000238418599"/>
    <s v="False"/>
    <s v="False"/>
    <s v="7+ stories"/>
    <n v="8.0531930923461896"/>
    <s v=""/>
  </r>
  <r>
    <n v="77003"/>
    <s v="wall_5"/>
    <n v="1"/>
    <x v="0"/>
    <s v="Double"/>
    <s v="&gt;=1/2&quot;"/>
    <n v="100"/>
    <n v="14290"/>
    <n v="0.44999998807907099"/>
    <s v="False"/>
    <s v="True"/>
    <s v="4-6 stories"/>
    <n v="8.8325338363647496"/>
    <s v=""/>
  </r>
  <r>
    <n v="77003"/>
    <s v="wall_6"/>
    <n v="2"/>
    <x v="1"/>
    <s v="Double"/>
    <s v="&gt;=1/2&quot;"/>
    <n v="75"/>
    <n v="381"/>
    <n v="0.80000001192092896"/>
    <s v="False"/>
    <s v="False"/>
    <s v="4-6 stories"/>
    <n v="8.8325338363647496"/>
    <s v=""/>
  </r>
  <r>
    <n v="77003"/>
    <s v="wall_7"/>
    <n v="3"/>
    <x v="1"/>
    <s v="Single"/>
    <m/>
    <n v="0"/>
    <n v="672"/>
    <n v="1.1000000238418599"/>
    <s v="False"/>
    <s v="False"/>
    <s v="4-6 stories"/>
    <n v="8.8325338363647496"/>
    <s v=""/>
  </r>
  <r>
    <n v="77004"/>
    <s v="wall_5"/>
    <n v="1"/>
    <x v="0"/>
    <s v="Double"/>
    <s v="&gt;=1/2&quot;"/>
    <n v="78"/>
    <n v="10813"/>
    <n v="0.44999998807907099"/>
    <s v="False"/>
    <s v="True"/>
    <s v="1-3 stories"/>
    <n v="6.93186235427856"/>
    <n v="6.93186235427856"/>
  </r>
  <r>
    <n v="77005"/>
    <s v="wall_6"/>
    <n v="1"/>
    <x v="1"/>
    <s v="Double"/>
    <s v="&gt;=1/2&quot;"/>
    <n v="50"/>
    <n v="18753"/>
    <n v="0.75"/>
    <s v="False"/>
    <s v="True"/>
    <s v="7+ stories"/>
    <n v="6.4425539970397896"/>
    <s v=""/>
  </r>
  <r>
    <n v="77006"/>
    <s v="wall_3"/>
    <n v="1"/>
    <x v="0"/>
    <s v="Double"/>
    <s v="&gt;=1/2&quot;"/>
    <n v="77"/>
    <n v="17230"/>
    <n v="0.44999998807907099"/>
    <s v="False"/>
    <s v="True"/>
    <s v="7+ stories"/>
    <n v="6.84521436691284"/>
    <s v=""/>
  </r>
  <r>
    <n v="77006"/>
    <s v="wall_4"/>
    <n v="2"/>
    <x v="1"/>
    <s v="Double"/>
    <s v="&gt;=1/2&quot;"/>
    <n v="22"/>
    <n v="978"/>
    <n v="0.75"/>
    <s v="False"/>
    <s v="True"/>
    <s v="7+ stories"/>
    <n v="6.84521436691284"/>
    <s v=""/>
  </r>
  <r>
    <n v="77007"/>
    <s v="wall_5"/>
    <n v="1"/>
    <x v="0"/>
    <s v="Double"/>
    <s v="&gt;=1/2&quot;"/>
    <n v="84"/>
    <n v="11581"/>
    <n v="0.44999998807907099"/>
    <s v="False"/>
    <s v="True"/>
    <s v="4-6 stories"/>
    <n v="8.1733894348144496"/>
    <s v=""/>
  </r>
  <r>
    <n v="77008"/>
    <s v="wall_4"/>
    <n v="1"/>
    <x v="1"/>
    <s v="Single"/>
    <m/>
    <n v="100"/>
    <n v="6164"/>
    <n v="1.1000000238418599"/>
    <s v="False"/>
    <s v="False"/>
    <s v="7+ stories"/>
    <n v="9.7788772583007795"/>
    <s v=""/>
  </r>
  <r>
    <n v="77008"/>
    <s v="wall_5"/>
    <n v="2"/>
    <x v="1"/>
    <s v="Single"/>
    <m/>
    <n v="7"/>
    <n v="495"/>
    <n v="1.1000000238418599"/>
    <s v="False"/>
    <s v="False"/>
    <s v="7+ stories"/>
    <n v="9.7788772583007795"/>
    <s v=""/>
  </r>
  <r>
    <n v="77009"/>
    <s v="wall_5"/>
    <n v="1"/>
    <x v="0"/>
    <s v="Double"/>
    <s v="&gt;=1/2&quot;"/>
    <n v="94"/>
    <n v="16265"/>
    <n v="0.44999998807907099"/>
    <s v="False"/>
    <s v="True"/>
    <s v="4-6 stories"/>
    <n v="7.5016040802001998"/>
    <s v=""/>
  </r>
  <r>
    <n v="77009"/>
    <s v="wall_6"/>
    <n v="2"/>
    <x v="0"/>
    <s v="Double"/>
    <s v="&gt;=1/2&quot;"/>
    <n v="5"/>
    <n v="1487"/>
    <n v="0.44999998807907099"/>
    <s v="False"/>
    <s v="True"/>
    <s v="4-6 stories"/>
    <n v="7.5016040802001998"/>
    <s v=""/>
  </r>
  <r>
    <n v="77009"/>
    <s v="wall_7"/>
    <n v="3"/>
    <x v="1"/>
    <s v="Double"/>
    <s v="&gt;=1/2&quot;"/>
    <n v="100"/>
    <n v="84"/>
    <n v="0.75"/>
    <s v="False"/>
    <s v="True"/>
    <s v="4-6 stories"/>
    <n v="7.5016040802001998"/>
    <s v=""/>
  </r>
  <r>
    <n v="77010"/>
    <s v="wall_6"/>
    <n v="1"/>
    <x v="0"/>
    <s v="Double"/>
    <s v="&gt;=1/2&quot;"/>
    <n v="95"/>
    <n v="20335"/>
    <n v="0.44999998807907099"/>
    <s v="False"/>
    <s v="True"/>
    <s v="7+ stories"/>
    <n v="9.3609762191772496"/>
    <s v=""/>
  </r>
  <r>
    <n v="77010"/>
    <s v="wall_7"/>
    <n v="2"/>
    <x v="1"/>
    <s v="Double"/>
    <s v="&gt;=1/2&quot;"/>
    <n v="15"/>
    <n v="2432"/>
    <n v="0.75"/>
    <s v="False"/>
    <s v="True"/>
    <s v="7+ stories"/>
    <n v="9.3609762191772496"/>
    <s v=""/>
  </r>
  <r>
    <n v="77011"/>
    <s v="wall_5"/>
    <n v="1"/>
    <x v="0"/>
    <s v="Double"/>
    <s v="&gt;=1/2&quot;"/>
    <n v="100"/>
    <n v="7149"/>
    <n v="0.44999998807907099"/>
    <s v="False"/>
    <s v="True"/>
    <s v="7+ stories"/>
    <n v="8.8325338363647496"/>
    <s v=""/>
  </r>
  <r>
    <n v="78001"/>
    <s v="wall_3"/>
    <n v="1"/>
    <x v="1"/>
    <s v="Double"/>
    <s v="&gt;=1/2&quot;"/>
    <n v="9"/>
    <n v="115562"/>
    <n v="0.75"/>
    <s v="False"/>
    <s v="True"/>
    <s v="7+ stories"/>
    <n v="4.0715026855468803"/>
    <s v=""/>
  </r>
  <r>
    <n v="78001"/>
    <s v="wall_4"/>
    <n v="2"/>
    <x v="1"/>
    <s v="Double"/>
    <s v="&gt;=1/2&quot;"/>
    <n v="4"/>
    <n v="3266"/>
    <n v="0.75"/>
    <s v="False"/>
    <s v="True"/>
    <s v="7+ stories"/>
    <n v="4.0715026855468803"/>
    <s v=""/>
  </r>
  <r>
    <n v="78002"/>
    <s v="wall_5"/>
    <n v="1"/>
    <x v="0"/>
    <s v="Double"/>
    <s v="&gt;=1/2&quot;"/>
    <n v="90"/>
    <n v="41747"/>
    <n v="0.44999998807907099"/>
    <s v="False"/>
    <s v="True"/>
    <s v="7+ stories"/>
    <n v="4.95581102371216"/>
    <s v=""/>
  </r>
  <r>
    <n v="78002"/>
    <s v="wall_6"/>
    <n v="2"/>
    <x v="1"/>
    <s v="Double"/>
    <s v="&gt;=1/2&quot;"/>
    <n v="48"/>
    <n v="2378"/>
    <n v="0.75"/>
    <s v="False"/>
    <s v="True"/>
    <s v="7+ stories"/>
    <n v="4.95581102371216"/>
    <s v=""/>
  </r>
  <r>
    <n v="78003"/>
    <s v="wall_5"/>
    <n v="1"/>
    <x v="0"/>
    <s v="Double"/>
    <s v="&gt;=1/2&quot;"/>
    <n v="90"/>
    <n v="14106"/>
    <n v="0.44999998807907099"/>
    <s v="False"/>
    <s v="True"/>
    <s v="7+ stories"/>
    <n v="5.8568677902221697"/>
    <s v=""/>
  </r>
  <r>
    <n v="78004"/>
    <s v="wall_5"/>
    <n v="1"/>
    <x v="0"/>
    <s v="Double"/>
    <s v="&gt;=1/2&quot;"/>
    <n v="5"/>
    <n v="14126"/>
    <n v="0.44999998807907099"/>
    <s v="False"/>
    <s v="True"/>
    <s v="7+ stories"/>
    <n v="4.3634829521179199"/>
    <s v=""/>
  </r>
  <r>
    <n v="78005"/>
    <s v="wall_4"/>
    <n v="1"/>
    <x v="1"/>
    <s v="Double"/>
    <s v="&gt;=1/2&quot;"/>
    <n v="10"/>
    <n v="123090"/>
    <n v="0.75"/>
    <s v="False"/>
    <s v="True"/>
    <s v="7+ stories"/>
    <n v="3.0765006542205802"/>
    <s v=""/>
  </r>
  <r>
    <n v="78006"/>
    <s v="wall_4"/>
    <n v="1"/>
    <x v="0"/>
    <s v="Double"/>
    <s v="&gt;=1/2&quot;"/>
    <n v="93"/>
    <n v="31011"/>
    <n v="0.44999998807907099"/>
    <s v="False"/>
    <s v="True"/>
    <s v="7+ stories"/>
    <n v="3.1203253269195601"/>
    <s v=""/>
  </r>
  <r>
    <n v="78006"/>
    <s v="wall_5"/>
    <n v="2"/>
    <x v="1"/>
    <s v="Double"/>
    <s v="&lt;1/2&quot;"/>
    <n v="25"/>
    <n v="1356"/>
    <n v="0.75"/>
    <s v="False"/>
    <s v="True"/>
    <s v="7+ stories"/>
    <n v="3.1203253269195601"/>
    <s v=""/>
  </r>
  <r>
    <n v="78007"/>
    <s v="wall_4"/>
    <n v="1"/>
    <x v="0"/>
    <s v="Double"/>
    <s v="&gt;=1/2&quot;"/>
    <n v="88"/>
    <n v="14502"/>
    <n v="0.44999998807907099"/>
    <s v="False"/>
    <s v="True"/>
    <s v="4-6 stories"/>
    <n v="5.31667137145996"/>
    <s v=""/>
  </r>
  <r>
    <n v="78007"/>
    <s v="wall_5"/>
    <n v="2"/>
    <x v="1"/>
    <s v="Double"/>
    <s v="&gt;=1/2&quot;"/>
    <n v="20"/>
    <n v="1135"/>
    <n v="0.75"/>
    <s v="False"/>
    <s v="True"/>
    <s v="4-6 stories"/>
    <n v="5.31667137145996"/>
    <s v=""/>
  </r>
  <r>
    <n v="78008"/>
    <s v="wall_5"/>
    <n v="1"/>
    <x v="0"/>
    <s v="Double"/>
    <s v="&gt;=1/2&quot;"/>
    <n v="95"/>
    <n v="18682"/>
    <n v="0.44999998807907099"/>
    <s v="False"/>
    <s v="True"/>
    <s v="4-6 stories"/>
    <n v="4.1963000297546396"/>
    <s v=""/>
  </r>
  <r>
    <n v="78008"/>
    <s v="wall_6"/>
    <n v="2"/>
    <x v="1"/>
    <s v="Double"/>
    <s v="&gt;=1/2&quot;"/>
    <n v="18"/>
    <n v="3294"/>
    <n v="0.75"/>
    <s v="False"/>
    <s v="True"/>
    <s v="4-6 stories"/>
    <n v="4.1963000297546396"/>
    <s v=""/>
  </r>
  <r>
    <n v="78009"/>
    <s v="wall_5"/>
    <n v="1"/>
    <x v="1"/>
    <s v="Double"/>
    <s v="&gt;=1/2&quot;"/>
    <n v="80"/>
    <n v="18100"/>
    <n v="0.75"/>
    <s v="False"/>
    <s v="True"/>
    <s v="4-6 stories"/>
    <n v="4.6804881095886204"/>
    <s v=""/>
  </r>
  <r>
    <n v="78009"/>
    <s v="wall_6"/>
    <n v="2"/>
    <x v="1"/>
    <s v="Double"/>
    <s v="&gt;=1/2&quot;"/>
    <n v="30"/>
    <n v="8565"/>
    <n v="0.75"/>
    <s v="False"/>
    <s v="True"/>
    <s v="4-6 stories"/>
    <n v="4.6804881095886204"/>
    <s v=""/>
  </r>
  <r>
    <n v="78010"/>
    <s v="wall_3"/>
    <n v="1"/>
    <x v="0"/>
    <s v="Double"/>
    <s v="&gt;=1/2&quot;"/>
    <n v="100"/>
    <n v="12096"/>
    <n v="0.44999998807907099"/>
    <s v="False"/>
    <s v="True"/>
    <s v="7+ stories"/>
    <n v="5.5314860343933097"/>
    <s v=""/>
  </r>
  <r>
    <n v="78010"/>
    <s v="wall_4"/>
    <n v="2"/>
    <x v="1"/>
    <s v="Double"/>
    <s v="&gt;=1/2&quot;"/>
    <n v="12"/>
    <n v="849"/>
    <n v="0.80000001192092896"/>
    <s v="False"/>
    <s v="False"/>
    <s v="7+ stories"/>
    <n v="5.5314860343933097"/>
    <s v=""/>
  </r>
  <r>
    <n v="78011"/>
    <s v="wall_5"/>
    <n v="1"/>
    <x v="0"/>
    <s v="Single"/>
    <m/>
    <n v="88"/>
    <n v="10094"/>
    <n v="0.94999998807907104"/>
    <s v="False"/>
    <s v="False"/>
    <s v="7+ stories"/>
    <n v="4.6804881095886204"/>
    <s v=""/>
  </r>
  <r>
    <n v="78011"/>
    <s v="wall_6"/>
    <n v="2"/>
    <x v="1"/>
    <s v="Single"/>
    <m/>
    <n v="0"/>
    <n v="54"/>
    <n v="1.1000000238418599"/>
    <s v="False"/>
    <s v="False"/>
    <s v="7+ stories"/>
    <n v="4.6804881095886204"/>
    <s v=""/>
  </r>
  <r>
    <n v="78012"/>
    <s v="wall_5"/>
    <n v="1"/>
    <x v="0"/>
    <s v="Double"/>
    <s v="&gt;=1/2&quot;"/>
    <n v="30"/>
    <n v="13721"/>
    <n v="0.44999998807907099"/>
    <s v="False"/>
    <s v="True"/>
    <s v="7+ stories"/>
    <n v="5.2655491828918501"/>
    <s v=""/>
  </r>
  <r>
    <n v="80061"/>
    <s v="wall_3"/>
    <n v="1"/>
    <x v="0"/>
    <s v="Double"/>
    <s v="&gt;=1/2&quot;"/>
    <n v="100"/>
    <n v="2648"/>
    <n v="0.44999998807907099"/>
    <s v="False"/>
    <s v="True"/>
    <s v="1-3 stories"/>
    <n v="85.864128112792997"/>
    <n v="85.864128112792997"/>
  </r>
  <r>
    <n v="80073"/>
    <s v="wall_5"/>
    <n v="1"/>
    <x v="0"/>
    <s v="Double"/>
    <s v="&gt;=1/2&quot;"/>
    <n v="100"/>
    <n v="1708"/>
    <n v="0.44999998807907099"/>
    <s v="False"/>
    <s v="True"/>
    <s v="1-3 stories"/>
    <n v="128.79620361328099"/>
    <n v="128.79620361328099"/>
  </r>
  <r>
    <m/>
    <m/>
    <m/>
    <x v="2"/>
    <m/>
    <m/>
    <m/>
    <m/>
    <m/>
    <m/>
    <m/>
    <m/>
    <m/>
    <m/>
  </r>
</pivotCacheRecords>
</file>

<file path=xl/pivotCache/pivotCacheRecords3.xml><?xml version="1.0" encoding="utf-8"?>
<pivotCacheRecords xmlns="http://schemas.openxmlformats.org/spreadsheetml/2006/main" xmlns:r="http://schemas.openxmlformats.org/officeDocument/2006/relationships" count="373">
  <r>
    <n v="128"/>
    <s v="wall_4"/>
    <n v="1"/>
    <x v="0"/>
    <s v="Double"/>
    <s v="&gt;=1/2&quot;"/>
    <n v="18"/>
    <n v="1696"/>
    <x v="0"/>
    <s v="False"/>
    <s v="False"/>
    <s v="1-3 stories"/>
    <n v="443.80252075195301"/>
    <n v="443.80252075195301"/>
  </r>
  <r>
    <n v="10137"/>
    <s v="wall_3"/>
    <n v="1"/>
    <x v="1"/>
    <s v="Double"/>
    <s v="&lt;1/2&quot;"/>
    <n v="100"/>
    <n v="576"/>
    <x v="1"/>
    <s v="False"/>
    <s v="False"/>
    <s v="1-3 stories"/>
    <n v="300.26898193359398"/>
    <n v="300.26898193359398"/>
  </r>
  <r>
    <n v="10137"/>
    <s v="wall_4"/>
    <n v="2"/>
    <x v="1"/>
    <s v="Double"/>
    <s v="&lt;1/2&quot;"/>
    <n v="100"/>
    <n v="528"/>
    <x v="2"/>
    <s v="False"/>
    <s v="True"/>
    <s v="1-3 stories"/>
    <n v="300.26898193359398"/>
    <n v="300.26898193359398"/>
  </r>
  <r>
    <n v="10137"/>
    <s v="wall_5"/>
    <n v="3"/>
    <x v="0"/>
    <s v="Double"/>
    <s v="&lt;1/2&quot;"/>
    <n v="0"/>
    <n v="80"/>
    <x v="3"/>
    <s v="False"/>
    <s v="False"/>
    <s v="1-3 stories"/>
    <n v="300.26898193359398"/>
    <n v="300.26898193359398"/>
  </r>
  <r>
    <n v="10238"/>
    <s v="wall_3"/>
    <n v="1"/>
    <x v="0"/>
    <s v="Double"/>
    <s v="&lt;1/2&quot;"/>
    <n v="100"/>
    <n v="2996"/>
    <x v="3"/>
    <s v="False"/>
    <s v="False"/>
    <s v="1-3 stories"/>
    <n v="160.14344787597699"/>
    <n v="160.14344787597699"/>
  </r>
  <r>
    <n v="10260"/>
    <s v="wall_3"/>
    <n v="1"/>
    <x v="0"/>
    <s v="Double"/>
    <s v="&lt;1/2&quot;"/>
    <n v="100"/>
    <n v="917"/>
    <x v="3"/>
    <s v="False"/>
    <s v="False"/>
    <s v="1-3 stories"/>
    <n v="480.43035888671898"/>
    <n v="480.43035888671898"/>
  </r>
  <r>
    <n v="10323"/>
    <s v="wall_3"/>
    <n v="1"/>
    <x v="0"/>
    <s v="Double"/>
    <s v="&lt;1/2&quot;"/>
    <n v="100"/>
    <n v="627"/>
    <x v="0"/>
    <s v="False"/>
    <s v="True"/>
    <s v="1-3 stories"/>
    <n v="256.24374389648398"/>
    <n v="256.24374389648398"/>
  </r>
  <r>
    <n v="10323"/>
    <s v="wall_4"/>
    <n v="2"/>
    <x v="0"/>
    <s v="Double"/>
    <s v="&lt;1/2&quot;"/>
    <n v="8"/>
    <n v="53"/>
    <x v="0"/>
    <s v="False"/>
    <s v="True"/>
    <s v="1-3 stories"/>
    <n v="256.24374389648398"/>
    <n v="256.24374389648398"/>
  </r>
  <r>
    <n v="10400"/>
    <s v="wall_3"/>
    <n v="1"/>
    <x v="0"/>
    <s v="Double"/>
    <s v="&gt;=1/2&quot;"/>
    <n v="100"/>
    <n v="5666"/>
    <x v="4"/>
    <s v="False"/>
    <s v="True"/>
    <s v="1-3 stories"/>
    <n v="34.345653533935497"/>
    <n v="34.345653533935497"/>
  </r>
  <r>
    <n v="10477"/>
    <s v="wall_3"/>
    <n v="1"/>
    <x v="1"/>
    <s v="Double"/>
    <s v="&lt;1/2&quot;"/>
    <n v="96"/>
    <n v="3563"/>
    <x v="1"/>
    <s v="False"/>
    <s v="False"/>
    <s v="4-6 stories"/>
    <n v="30.423171997070298"/>
    <s v=""/>
  </r>
  <r>
    <n v="10480"/>
    <s v="wall_3"/>
    <n v="1"/>
    <x v="0"/>
    <s v="Double"/>
    <s v="&gt;=1/2&quot;"/>
    <n v="100"/>
    <n v="1140"/>
    <x v="4"/>
    <s v="False"/>
    <s v="True"/>
    <s v="1-3 stories"/>
    <n v="400.358642578125"/>
    <n v="400.358642578125"/>
  </r>
  <r>
    <n v="10495"/>
    <s v="wall_3"/>
    <n v="1"/>
    <x v="1"/>
    <s v="Single"/>
    <m/>
    <n v="100"/>
    <n v="865"/>
    <x v="5"/>
    <s v="False"/>
    <s v="False"/>
    <s v="1-3 stories"/>
    <n v="206.07391357421901"/>
    <n v="206.07391357421901"/>
  </r>
  <r>
    <n v="10495"/>
    <s v="wall_4"/>
    <n v="2"/>
    <x v="0"/>
    <s v="Double"/>
    <s v="&gt;=1/2&quot;"/>
    <n v="0"/>
    <n v="67"/>
    <x v="0"/>
    <s v="False"/>
    <s v="False"/>
    <s v="1-3 stories"/>
    <n v="206.07391357421901"/>
    <n v="206.07391357421901"/>
  </r>
  <r>
    <n v="10519"/>
    <s v="wall_5"/>
    <n v="1"/>
    <x v="0"/>
    <s v="Double"/>
    <s v="&gt;=1/2&quot;"/>
    <n v="75"/>
    <n v="16680"/>
    <x v="4"/>
    <s v="False"/>
    <s v="True"/>
    <s v="4-6 stories"/>
    <n v="8.55651760101318"/>
    <s v=""/>
  </r>
  <r>
    <n v="10587"/>
    <s v="wall_4"/>
    <n v="1"/>
    <x v="1"/>
    <s v="Double"/>
    <s v="&gt;=1/2&quot;"/>
    <n v="100"/>
    <n v="1825"/>
    <x v="6"/>
    <s v="False"/>
    <s v="False"/>
    <s v="1-3 stories"/>
    <n v="266.90576171875"/>
    <n v="266.90576171875"/>
  </r>
  <r>
    <n v="10587"/>
    <s v="wall_5"/>
    <n v="2"/>
    <x v="0"/>
    <s v="Double"/>
    <s v="&gt;=1/2&quot;"/>
    <n v="100"/>
    <n v="80"/>
    <x v="4"/>
    <s v="False"/>
    <s v="True"/>
    <s v="1-3 stories"/>
    <n v="266.90576171875"/>
    <n v="266.90576171875"/>
  </r>
  <r>
    <n v="10614"/>
    <s v="wall_4"/>
    <n v="1"/>
    <x v="0"/>
    <s v="Double"/>
    <s v="&gt;=1/2&quot;"/>
    <n v="95"/>
    <n v="5307"/>
    <x v="4"/>
    <s v="False"/>
    <s v="True"/>
    <s v="4-6 stories"/>
    <n v="114.388175964355"/>
    <s v=""/>
  </r>
  <r>
    <n v="10614"/>
    <s v="wall_5"/>
    <n v="2"/>
    <x v="1"/>
    <s v="Double"/>
    <s v="&gt;=1/2&quot;"/>
    <n v="50"/>
    <n v="200"/>
    <x v="2"/>
    <s v="False"/>
    <s v="True"/>
    <s v="4-6 stories"/>
    <n v="114.388175964355"/>
    <s v=""/>
  </r>
  <r>
    <n v="10623"/>
    <s v="wall_4"/>
    <n v="1"/>
    <x v="1"/>
    <s v="Double"/>
    <s v="&gt;=1/2&quot;"/>
    <n v="77"/>
    <n v="1158"/>
    <x v="2"/>
    <s v="False"/>
    <s v="True"/>
    <s v="1-3 stories"/>
    <n v="219.04685974121099"/>
    <n v="219.04685974121099"/>
  </r>
  <r>
    <n v="10805"/>
    <s v="wall_3"/>
    <n v="1"/>
    <x v="0"/>
    <s v="Double"/>
    <s v="&gt;=1/2&quot;"/>
    <n v="100"/>
    <n v="701"/>
    <x v="0"/>
    <s v="False"/>
    <s v="False"/>
    <s v="1-3 stories"/>
    <n v="686.32904052734398"/>
    <n v="686.32904052734398"/>
  </r>
  <r>
    <n v="10862"/>
    <s v="wall_4"/>
    <n v="1"/>
    <x v="1"/>
    <s v="Double"/>
    <s v="&lt;1/2&quot;"/>
    <n v="95"/>
    <n v="3519"/>
    <x v="1"/>
    <s v="False"/>
    <s v="False"/>
    <s v="1-3 stories"/>
    <n v="85.864128112792997"/>
    <n v="85.864128112792997"/>
  </r>
  <r>
    <n v="10862"/>
    <s v="wall_5"/>
    <n v="2"/>
    <x v="0"/>
    <s v="Double"/>
    <s v="&gt;=1/2&quot;"/>
    <n v="100"/>
    <n v="130"/>
    <x v="4"/>
    <s v="False"/>
    <s v="True"/>
    <s v="1-3 stories"/>
    <n v="85.864128112792997"/>
    <n v="85.864128112792997"/>
  </r>
  <r>
    <n v="10871"/>
    <s v="wall_3"/>
    <n v="1"/>
    <x v="0"/>
    <s v="Double"/>
    <s v="&lt;1/2&quot;"/>
    <n v="100"/>
    <n v="1640"/>
    <x v="0"/>
    <s v="False"/>
    <s v="True"/>
    <s v="1-3 stories"/>
    <n v="200.17932128906301"/>
    <n v="200.17932128906301"/>
  </r>
  <r>
    <n v="10901"/>
    <s v="wall_3"/>
    <n v="1"/>
    <x v="1"/>
    <s v="Double"/>
    <s v="&gt;=1/2&quot;"/>
    <n v="60"/>
    <n v="1745"/>
    <x v="2"/>
    <s v="False"/>
    <s v="True"/>
    <s v="1-3 stories"/>
    <n v="228.97100830078099"/>
    <n v="228.97100830078099"/>
  </r>
  <r>
    <n v="10901"/>
    <s v="wall_4"/>
    <n v="2"/>
    <x v="0"/>
    <s v="Double"/>
    <s v="&gt;=1/2&quot;"/>
    <n v="100"/>
    <n v="409"/>
    <x v="4"/>
    <s v="False"/>
    <s v="True"/>
    <s v="1-3 stories"/>
    <n v="228.97100830078099"/>
    <n v="228.97100830078099"/>
  </r>
  <r>
    <n v="10910"/>
    <s v="wall_4"/>
    <n v="1"/>
    <x v="0"/>
    <s v="Double"/>
    <s v="&gt;=1/2&quot;"/>
    <n v="100"/>
    <n v="1038"/>
    <x v="4"/>
    <s v="False"/>
    <s v="True"/>
    <s v="1-3 stories"/>
    <n v="206.07391357421901"/>
    <n v="206.07391357421901"/>
  </r>
  <r>
    <n v="10996"/>
    <s v="wall_4"/>
    <n v="1"/>
    <x v="0"/>
    <s v="Double"/>
    <s v="&lt;1/2&quot;"/>
    <n v="100"/>
    <n v="993"/>
    <x v="0"/>
    <s v="False"/>
    <s v="True"/>
    <s v="1-3 stories"/>
    <n v="112.106643676758"/>
    <n v="112.106643676758"/>
  </r>
  <r>
    <n v="11005"/>
    <s v="wall_4"/>
    <n v="1"/>
    <x v="0"/>
    <s v="Double"/>
    <s v="&lt;1/2&quot;"/>
    <n v="70"/>
    <n v="352"/>
    <x v="0"/>
    <s v="False"/>
    <s v="True"/>
    <s v="1-3 stories"/>
    <n v="358.74127197265602"/>
    <n v="358.74127197265602"/>
  </r>
  <r>
    <n v="11005"/>
    <s v="wall_5"/>
    <n v="2"/>
    <x v="0"/>
    <s v="Single"/>
    <m/>
    <n v="50"/>
    <n v="43"/>
    <x v="7"/>
    <s v="False"/>
    <s v="True"/>
    <s v="1-3 stories"/>
    <n v="358.74127197265602"/>
    <n v="358.74127197265602"/>
  </r>
  <r>
    <n v="11005"/>
    <s v="wall_6"/>
    <n v="3"/>
    <x v="0"/>
    <s v="Double"/>
    <s v="&lt;1/2&quot;"/>
    <n v="100"/>
    <n v="20"/>
    <x v="0"/>
    <s v="False"/>
    <s v="True"/>
    <s v="1-3 stories"/>
    <n v="358.74127197265602"/>
    <n v="358.74127197265602"/>
  </r>
  <r>
    <n v="11263"/>
    <s v="wall_3"/>
    <n v="1"/>
    <x v="0"/>
    <s v="Double"/>
    <s v="&lt;1/2&quot;"/>
    <n v="100"/>
    <n v="570"/>
    <x v="0"/>
    <s v="False"/>
    <s v="True"/>
    <s v="1-3 stories"/>
    <n v="343.45651245117199"/>
    <n v="343.45651245117199"/>
  </r>
  <r>
    <n v="11271"/>
    <s v="wall_4"/>
    <n v="1"/>
    <x v="1"/>
    <s v="Single"/>
    <m/>
    <n v="90"/>
    <n v="1500"/>
    <x v="5"/>
    <s v="False"/>
    <s v="False"/>
    <s v="1-3 stories"/>
    <n v="54.761714935302699"/>
    <n v="54.761714935302699"/>
  </r>
  <r>
    <n v="11290"/>
    <s v="wall_3"/>
    <n v="1"/>
    <x v="1"/>
    <s v="Single"/>
    <m/>
    <n v="100"/>
    <n v="832"/>
    <x v="5"/>
    <s v="False"/>
    <s v="False"/>
    <s v="1-3 stories"/>
    <n v="99.650344848632798"/>
    <n v="99.650344848632798"/>
  </r>
  <r>
    <n v="11290"/>
    <s v="wall_4"/>
    <n v="2"/>
    <x v="1"/>
    <s v="Single"/>
    <m/>
    <n v="100"/>
    <n v="592"/>
    <x v="8"/>
    <s v="False"/>
    <s v="True"/>
    <s v="1-3 stories"/>
    <n v="99.650344848632798"/>
    <n v="99.650344848632798"/>
  </r>
  <r>
    <n v="11297"/>
    <s v="wall_4"/>
    <n v="1"/>
    <x v="0"/>
    <s v="Double"/>
    <s v="&gt;=1/2&quot;"/>
    <n v="67"/>
    <n v="13899"/>
    <x v="4"/>
    <s v="False"/>
    <s v="True"/>
    <s v="1-3 stories"/>
    <n v="40.372299194335902"/>
    <n v="40.372299194335902"/>
  </r>
  <r>
    <n v="11297"/>
    <s v="wall_5"/>
    <n v="2"/>
    <x v="1"/>
    <s v="Double"/>
    <s v="&gt;=1/2&quot;"/>
    <n v="27"/>
    <n v="352"/>
    <x v="2"/>
    <s v="False"/>
    <s v="True"/>
    <s v="1-3 stories"/>
    <n v="40.372299194335902"/>
    <n v="40.372299194335902"/>
  </r>
  <r>
    <n v="11345"/>
    <s v="wall_4"/>
    <n v="1"/>
    <x v="0"/>
    <s v="Double"/>
    <s v="&gt;=1/2&quot;"/>
    <n v="98"/>
    <n v="1627"/>
    <x v="4"/>
    <s v="False"/>
    <s v="True"/>
    <s v="1-3 stories"/>
    <n v="78.231018066406307"/>
    <n v="78.231018066406307"/>
  </r>
  <r>
    <n v="11413"/>
    <s v="wall_6"/>
    <n v="1"/>
    <x v="0"/>
    <s v="Double"/>
    <s v="&gt;=1/2&quot;"/>
    <n v="95"/>
    <n v="19214"/>
    <x v="4"/>
    <s v="False"/>
    <s v="True"/>
    <s v="4-6 stories"/>
    <n v="53.381153106689503"/>
    <s v=""/>
  </r>
  <r>
    <n v="11413"/>
    <s v="wall_7"/>
    <n v="2"/>
    <x v="1"/>
    <s v="Single"/>
    <m/>
    <n v="95"/>
    <n v="2620"/>
    <x v="5"/>
    <s v="False"/>
    <s v="False"/>
    <s v="4-6 stories"/>
    <n v="53.381153106689503"/>
    <s v=""/>
  </r>
  <r>
    <n v="11413"/>
    <s v="wall_8"/>
    <n v="3"/>
    <x v="1"/>
    <s v="Double"/>
    <s v="&gt;=1/2&quot;"/>
    <n v="72"/>
    <n v="296"/>
    <x v="6"/>
    <s v="False"/>
    <s v="False"/>
    <s v="4-6 stories"/>
    <n v="53.381153106689503"/>
    <s v=""/>
  </r>
  <r>
    <n v="11537"/>
    <s v="wall_4"/>
    <n v="1"/>
    <x v="1"/>
    <s v="Single"/>
    <m/>
    <n v="100"/>
    <n v="421"/>
    <x v="5"/>
    <s v="False"/>
    <s v="False"/>
    <s v="1-3 stories"/>
    <n v="149.47552490234401"/>
    <n v="149.47552490234401"/>
  </r>
  <r>
    <n v="11537"/>
    <s v="wall_5"/>
    <n v="2"/>
    <x v="1"/>
    <s v="Double"/>
    <s v="&lt;1/2&quot;"/>
    <n v="100"/>
    <n v="480"/>
    <x v="2"/>
    <s v="False"/>
    <s v="True"/>
    <s v="1-3 stories"/>
    <n v="149.47552490234401"/>
    <n v="149.47552490234401"/>
  </r>
  <r>
    <n v="11537"/>
    <s v="wall_6"/>
    <n v="3"/>
    <x v="0"/>
    <s v="Double"/>
    <s v="&gt;=1/2&quot;"/>
    <n v="100"/>
    <n v="42"/>
    <x v="4"/>
    <s v="False"/>
    <s v="True"/>
    <s v="1-3 stories"/>
    <n v="149.47552490234401"/>
    <n v="149.47552490234401"/>
  </r>
  <r>
    <n v="11598"/>
    <s v="wall_4"/>
    <n v="1"/>
    <x v="1"/>
    <s v="Double"/>
    <s v="&gt;=1/2&quot;"/>
    <n v="100"/>
    <n v="1848"/>
    <x v="6"/>
    <s v="False"/>
    <s v="False"/>
    <s v="1-3 stories"/>
    <n v="400.358642578125"/>
    <n v="400.358642578125"/>
  </r>
  <r>
    <n v="11879"/>
    <s v="wall_3"/>
    <n v="1"/>
    <x v="0"/>
    <s v="Double"/>
    <s v="&gt;=1/2&quot;"/>
    <n v="80"/>
    <n v="1452"/>
    <x v="0"/>
    <s v="False"/>
    <s v="False"/>
    <s v="1-3 stories"/>
    <n v="600.53796386718795"/>
    <n v="600.53796386718795"/>
  </r>
  <r>
    <n v="11887"/>
    <s v="wall_3"/>
    <n v="1"/>
    <x v="1"/>
    <s v="Double"/>
    <s v="&gt;=1/2&quot;"/>
    <n v="100"/>
    <n v="5960"/>
    <x v="6"/>
    <s v="False"/>
    <s v="False"/>
    <s v="1-3 stories"/>
    <n v="53.381153106689503"/>
    <n v="53.381153106689503"/>
  </r>
  <r>
    <n v="11887"/>
    <s v="wall_4"/>
    <n v="2"/>
    <x v="0"/>
    <s v="Double"/>
    <s v="&gt;=1/2&quot;"/>
    <n v="100"/>
    <n v="106"/>
    <x v="4"/>
    <s v="False"/>
    <s v="True"/>
    <s v="1-3 stories"/>
    <n v="53.381153106689503"/>
    <n v="53.381153106689503"/>
  </r>
  <r>
    <n v="11930"/>
    <s v="wall_3"/>
    <n v="1"/>
    <x v="1"/>
    <s v="Double"/>
    <s v="&lt;1/2&quot;"/>
    <n v="100"/>
    <n v="562"/>
    <x v="1"/>
    <s v="False"/>
    <s v="False"/>
    <s v="1-3 stories"/>
    <n v="600.53796386718795"/>
    <n v="600.53796386718795"/>
  </r>
  <r>
    <n v="11949"/>
    <s v="wall_3"/>
    <n v="1"/>
    <x v="0"/>
    <s v="Double"/>
    <s v="&gt;=1/2&quot;"/>
    <n v="65"/>
    <n v="8708"/>
    <x v="4"/>
    <s v="False"/>
    <s v="True"/>
    <s v="4-6 stories"/>
    <n v="57.194087982177699"/>
    <s v=""/>
  </r>
  <r>
    <n v="12167"/>
    <s v="wall_4"/>
    <n v="1"/>
    <x v="1"/>
    <s v="Double"/>
    <s v="&lt;1/2&quot;"/>
    <n v="95"/>
    <n v="914"/>
    <x v="1"/>
    <s v="False"/>
    <s v="False"/>
    <s v="1-3 stories"/>
    <n v="400.358642578125"/>
    <n v="400.358642578125"/>
  </r>
  <r>
    <n v="12192"/>
    <s v="wall_5"/>
    <n v="1"/>
    <x v="0"/>
    <s v="Double"/>
    <s v="&gt;=1/2&quot;"/>
    <n v="95"/>
    <n v="5017"/>
    <x v="4"/>
    <s v="False"/>
    <s v="True"/>
    <s v="4-6 stories"/>
    <n v="62.4466361999512"/>
    <s v=""/>
  </r>
  <r>
    <n v="12192"/>
    <s v="wall_6"/>
    <n v="2"/>
    <x v="1"/>
    <s v="Single"/>
    <m/>
    <n v="50"/>
    <n v="95"/>
    <x v="8"/>
    <s v="False"/>
    <s v="True"/>
    <s v="4-6 stories"/>
    <n v="62.4466361999512"/>
    <s v=""/>
  </r>
  <r>
    <n v="12405"/>
    <s v="wall_3"/>
    <n v="1"/>
    <x v="1"/>
    <s v="Double"/>
    <s v="&lt;1/2&quot;"/>
    <n v="100"/>
    <n v="2639"/>
    <x v="1"/>
    <s v="False"/>
    <s v="False"/>
    <s v="1-3 stories"/>
    <n v="165.66564941406301"/>
    <n v="165.66564941406301"/>
  </r>
  <r>
    <n v="12511"/>
    <s v="wall_3"/>
    <n v="1"/>
    <x v="1"/>
    <s v="Double"/>
    <s v="&lt;1/2&quot;"/>
    <n v="100"/>
    <n v="2800"/>
    <x v="1"/>
    <s v="False"/>
    <s v="False"/>
    <s v="4-6 stories"/>
    <n v="35.170711517333999"/>
    <s v=""/>
  </r>
  <r>
    <n v="12511"/>
    <s v="wall_4"/>
    <n v="2"/>
    <x v="1"/>
    <s v="Double"/>
    <s v="&lt;1/2&quot;"/>
    <n v="0"/>
    <n v="256"/>
    <x v="2"/>
    <s v="False"/>
    <s v="True"/>
    <s v="4-6 stories"/>
    <n v="35.170711517333999"/>
    <s v=""/>
  </r>
  <r>
    <n v="12623"/>
    <s v="wall_3"/>
    <n v="1"/>
    <x v="1"/>
    <s v="Single"/>
    <m/>
    <n v="100"/>
    <n v="953"/>
    <x v="5"/>
    <s v="False"/>
    <s v="False"/>
    <s v="1-3 stories"/>
    <n v="600.53796386718795"/>
    <n v="600.53796386718795"/>
  </r>
  <r>
    <n v="12651"/>
    <s v="wall_4"/>
    <n v="1"/>
    <x v="0"/>
    <s v="Double"/>
    <s v="&gt;=1/2&quot;"/>
    <n v="82"/>
    <n v="2140"/>
    <x v="4"/>
    <s v="False"/>
    <s v="True"/>
    <s v="1-3 stories"/>
    <n v="266.90576171875"/>
    <n v="266.90576171875"/>
  </r>
  <r>
    <n v="12783"/>
    <s v="wall_3"/>
    <n v="1"/>
    <x v="1"/>
    <s v="Double"/>
    <s v="&lt;1/2&quot;"/>
    <n v="97"/>
    <n v="2768"/>
    <x v="1"/>
    <s v="False"/>
    <s v="False"/>
    <s v="4-6 stories"/>
    <n v="35.330135345458999"/>
    <s v=""/>
  </r>
  <r>
    <n v="12932"/>
    <s v="wall_6"/>
    <n v="1"/>
    <x v="1"/>
    <s v="Double"/>
    <s v="&lt;1/2&quot;"/>
    <n v="100"/>
    <n v="1783"/>
    <x v="1"/>
    <s v="False"/>
    <s v="False"/>
    <s v="4-6 stories"/>
    <n v="137.38261413574199"/>
    <s v=""/>
  </r>
  <r>
    <n v="12932"/>
    <s v="wall_7"/>
    <n v="2"/>
    <x v="0"/>
    <s v="Double"/>
    <s v="&lt;1/2&quot;"/>
    <n v="0"/>
    <n v="658"/>
    <x v="3"/>
    <s v="False"/>
    <s v="False"/>
    <s v="4-6 stories"/>
    <n v="137.38261413574199"/>
    <s v=""/>
  </r>
  <r>
    <n v="12932"/>
    <s v="wall_8"/>
    <n v="3"/>
    <x v="0"/>
    <s v="Single"/>
    <m/>
    <n v="0"/>
    <n v="150"/>
    <x v="8"/>
    <s v="False"/>
    <s v="False"/>
    <s v="4-6 stories"/>
    <n v="137.38261413574199"/>
    <s v=""/>
  </r>
  <r>
    <n v="12986"/>
    <s v="wall_5"/>
    <n v="1"/>
    <x v="0"/>
    <s v="Double"/>
    <s v="&gt;=1/2&quot;"/>
    <n v="100"/>
    <n v="9684"/>
    <x v="4"/>
    <s v="False"/>
    <s v="True"/>
    <s v="4-6 stories"/>
    <n v="19.080919265747099"/>
    <s v=""/>
  </r>
  <r>
    <n v="12986"/>
    <s v="wall_6"/>
    <n v="2"/>
    <x v="1"/>
    <s v="Double"/>
    <s v="&gt;=1/2&quot;"/>
    <n v="8"/>
    <n v="84"/>
    <x v="2"/>
    <s v="False"/>
    <s v="True"/>
    <s v="4-6 stories"/>
    <n v="19.080919265747099"/>
    <s v=""/>
  </r>
  <r>
    <n v="12998"/>
    <s v="wall_3"/>
    <n v="1"/>
    <x v="1"/>
    <s v="Double"/>
    <s v="&gt;=1/2&quot;"/>
    <n v="95"/>
    <n v="2030"/>
    <x v="6"/>
    <s v="False"/>
    <s v="False"/>
    <s v="1-3 stories"/>
    <n v="34.226070404052699"/>
    <n v="34.226070404052699"/>
  </r>
  <r>
    <n v="12998"/>
    <s v="wall_4"/>
    <n v="2"/>
    <x v="0"/>
    <s v="Double"/>
    <s v="&gt;=1/2&quot;"/>
    <n v="95"/>
    <n v="1354"/>
    <x v="4"/>
    <s v="False"/>
    <s v="True"/>
    <s v="1-3 stories"/>
    <n v="34.226070404052699"/>
    <n v="34.226070404052699"/>
  </r>
  <r>
    <n v="13039"/>
    <s v="wall_4"/>
    <n v="1"/>
    <x v="0"/>
    <s v="Double"/>
    <s v="&gt;=1/2&quot;"/>
    <n v="51"/>
    <n v="7042"/>
    <x v="4"/>
    <s v="False"/>
    <s v="True"/>
    <s v="4-6 stories"/>
    <n v="66.475456237792997"/>
    <s v=""/>
  </r>
  <r>
    <n v="13039"/>
    <s v="wall_5"/>
    <n v="2"/>
    <x v="1"/>
    <s v="Double"/>
    <s v="&lt;1/2&quot;"/>
    <n v="90"/>
    <n v="626"/>
    <x v="2"/>
    <s v="False"/>
    <s v="True"/>
    <s v="4-6 stories"/>
    <n v="66.475456237792997"/>
    <s v=""/>
  </r>
  <r>
    <n v="13039"/>
    <s v="wall_6"/>
    <n v="3"/>
    <x v="0"/>
    <s v="Single"/>
    <m/>
    <n v="100"/>
    <n v="156"/>
    <x v="8"/>
    <s v="False"/>
    <s v="False"/>
    <s v="4-6 stories"/>
    <n v="66.475456237792997"/>
    <s v=""/>
  </r>
  <r>
    <n v="13048"/>
    <s v="wall_4"/>
    <n v="1"/>
    <x v="1"/>
    <s v="Double"/>
    <s v="&gt;=1/2&quot;"/>
    <n v="100"/>
    <n v="1578"/>
    <x v="6"/>
    <s v="False"/>
    <s v="False"/>
    <s v="1-3 stories"/>
    <n v="266.90576171875"/>
    <n v="266.90576171875"/>
  </r>
  <r>
    <n v="13048"/>
    <s v="wall_5"/>
    <n v="2"/>
    <x v="0"/>
    <s v="Double"/>
    <s v="&gt;=1/2&quot;"/>
    <n v="100"/>
    <n v="240"/>
    <x v="0"/>
    <s v="False"/>
    <s v="False"/>
    <s v="1-3 stories"/>
    <n v="266.90576171875"/>
    <n v="266.90576171875"/>
  </r>
  <r>
    <n v="13054"/>
    <s v="wall_3"/>
    <n v="1"/>
    <x v="0"/>
    <s v="Double"/>
    <s v="&gt;=1/2&quot;"/>
    <n v="100"/>
    <n v="670"/>
    <x v="4"/>
    <s v="False"/>
    <s v="True"/>
    <s v="1-3 stories"/>
    <n v="149.47552490234401"/>
    <n v="149.47552490234401"/>
  </r>
  <r>
    <n v="13054"/>
    <s v="wall_4"/>
    <n v="2"/>
    <x v="0"/>
    <s v="Double"/>
    <s v="&lt;1/2&quot;"/>
    <n v="37"/>
    <n v="384"/>
    <x v="0"/>
    <s v="False"/>
    <s v="True"/>
    <s v="1-3 stories"/>
    <n v="149.47552490234401"/>
    <n v="149.47552490234401"/>
  </r>
  <r>
    <n v="13062"/>
    <s v="wall_4"/>
    <n v="1"/>
    <x v="1"/>
    <s v="Double"/>
    <s v="&gt;=1/2&quot;"/>
    <n v="100"/>
    <n v="1448"/>
    <x v="6"/>
    <s v="False"/>
    <s v="False"/>
    <s v="1-3 stories"/>
    <n v="400.358642578125"/>
    <n v="400.358642578125"/>
  </r>
  <r>
    <n v="13126"/>
    <s v="wall_4"/>
    <n v="1"/>
    <x v="1"/>
    <s v="Single"/>
    <m/>
    <n v="80"/>
    <n v="9930"/>
    <x v="5"/>
    <s v="False"/>
    <s v="False"/>
    <s v="7+ stories"/>
    <n v="19.557754516601602"/>
    <s v=""/>
  </r>
  <r>
    <n v="13126"/>
    <s v="wall_5"/>
    <n v="2"/>
    <x v="0"/>
    <s v="Double"/>
    <s v="&gt;=1/2&quot;"/>
    <n v="0"/>
    <n v="135"/>
    <x v="4"/>
    <s v="False"/>
    <s v="True"/>
    <s v="7+ stories"/>
    <n v="19.557754516601602"/>
    <s v=""/>
  </r>
  <r>
    <n v="13202"/>
    <s v="wall_3"/>
    <n v="1"/>
    <x v="0"/>
    <s v="Double"/>
    <s v="&lt;1/2&quot;"/>
    <n v="100"/>
    <n v="1116"/>
    <x v="3"/>
    <s v="False"/>
    <s v="False"/>
    <s v="1-3 stories"/>
    <n v="480.43035888671898"/>
    <n v="480.43035888671898"/>
  </r>
  <r>
    <n v="13218"/>
    <s v="wall_3"/>
    <n v="1"/>
    <x v="1"/>
    <s v="Double"/>
    <s v="&lt;1/2&quot;"/>
    <n v="100"/>
    <n v="1261"/>
    <x v="1"/>
    <s v="False"/>
    <s v="False"/>
    <s v="1-3 stories"/>
    <n v="128.79620361328099"/>
    <n v="128.79620361328099"/>
  </r>
  <r>
    <n v="13268"/>
    <s v="wall_4"/>
    <n v="1"/>
    <x v="0"/>
    <s v="Double"/>
    <s v="&gt;=1/2&quot;"/>
    <n v="100"/>
    <n v="1176"/>
    <x v="4"/>
    <s v="False"/>
    <s v="True"/>
    <s v="1-3 stories"/>
    <n v="171.72825622558599"/>
    <n v="171.72825622558599"/>
  </r>
  <r>
    <n v="13321"/>
    <s v="wall_3"/>
    <n v="1"/>
    <x v="0"/>
    <s v="Double"/>
    <s v="&gt;=1/2&quot;"/>
    <n v="100"/>
    <n v="870"/>
    <x v="0"/>
    <s v="False"/>
    <s v="False"/>
    <s v="1-3 stories"/>
    <n v="266.90576171875"/>
    <n v="266.90576171875"/>
  </r>
  <r>
    <n v="13321"/>
    <s v="wall_4"/>
    <n v="2"/>
    <x v="0"/>
    <s v="Double"/>
    <s v="&gt;=1/2&quot;"/>
    <n v="100"/>
    <n v="585"/>
    <x v="4"/>
    <s v="False"/>
    <s v="True"/>
    <s v="1-3 stories"/>
    <n v="266.90576171875"/>
    <n v="266.90576171875"/>
  </r>
  <r>
    <n v="13321"/>
    <s v="wall_5"/>
    <n v="3"/>
    <x v="0"/>
    <s v="Single"/>
    <m/>
    <n v="0"/>
    <n v="81"/>
    <x v="8"/>
    <s v="False"/>
    <s v="False"/>
    <s v="1-3 stories"/>
    <n v="266.90576171875"/>
    <n v="266.90576171875"/>
  </r>
  <r>
    <n v="13360"/>
    <s v="wall_3"/>
    <n v="1"/>
    <x v="1"/>
    <s v="Single"/>
    <m/>
    <n v="100"/>
    <n v="800"/>
    <x v="5"/>
    <s v="False"/>
    <s v="False"/>
    <s v="1-3 stories"/>
    <n v="343.16452026367199"/>
    <n v="343.16452026367199"/>
  </r>
  <r>
    <n v="13384"/>
    <s v="wall_3"/>
    <n v="1"/>
    <x v="1"/>
    <s v="Double"/>
    <s v="&gt;=1/2&quot;"/>
    <n v="100"/>
    <n v="615"/>
    <x v="6"/>
    <s v="False"/>
    <s v="False"/>
    <s v="1-3 stories"/>
    <n v="343.45651245117199"/>
    <n v="343.45651245117199"/>
  </r>
  <r>
    <n v="13384"/>
    <s v="wall_4"/>
    <n v="2"/>
    <x v="2"/>
    <m/>
    <m/>
    <n v="100"/>
    <n v="53"/>
    <x v="9"/>
    <m/>
    <m/>
    <s v="1-3 stories"/>
    <n v="343.45651245117199"/>
    <n v="343.45651245117199"/>
  </r>
  <r>
    <n v="13384"/>
    <s v="wall_5"/>
    <n v="3"/>
    <x v="1"/>
    <s v="Single"/>
    <m/>
    <n v="0"/>
    <n v="16"/>
    <x v="5"/>
    <s v="False"/>
    <s v="False"/>
    <s v="1-3 stories"/>
    <n v="343.45651245117199"/>
    <n v="343.45651245117199"/>
  </r>
  <r>
    <n v="13520"/>
    <s v="wall_4"/>
    <n v="1"/>
    <x v="1"/>
    <s v="Double"/>
    <s v="&gt;=1/2&quot;"/>
    <n v="100"/>
    <n v="2134"/>
    <x v="6"/>
    <s v="False"/>
    <s v="False"/>
    <s v="1-3 stories"/>
    <n v="114.48550415039099"/>
    <n v="114.48550415039099"/>
  </r>
  <r>
    <n v="13628"/>
    <s v="wall_3"/>
    <n v="1"/>
    <x v="1"/>
    <s v="Double"/>
    <s v="&lt;1/2&quot;"/>
    <n v="100"/>
    <n v="419"/>
    <x v="1"/>
    <s v="False"/>
    <s v="False"/>
    <s v="1-3 stories"/>
    <n v="343.45651245117199"/>
    <n v="343.45651245117199"/>
  </r>
  <r>
    <n v="13694"/>
    <s v="wall_4"/>
    <n v="1"/>
    <x v="0"/>
    <s v="Double"/>
    <s v="&lt;1/2&quot;"/>
    <n v="100"/>
    <n v="1626"/>
    <x v="3"/>
    <s v="False"/>
    <s v="False"/>
    <s v="1-3 stories"/>
    <n v="266.90576171875"/>
    <n v="266.90576171875"/>
  </r>
  <r>
    <n v="13712"/>
    <s v="wall_3"/>
    <n v="1"/>
    <x v="0"/>
    <s v="Double"/>
    <s v="&gt;=1/2&quot;"/>
    <n v="100"/>
    <n v="604"/>
    <x v="4"/>
    <s v="False"/>
    <s v="True"/>
    <s v="1-3 stories"/>
    <n v="136.90428161621099"/>
    <n v="136.90428161621099"/>
  </r>
  <r>
    <n v="13861"/>
    <s v="wall_4"/>
    <n v="1"/>
    <x v="0"/>
    <s v="Double"/>
    <s v="&lt;1/2&quot;"/>
    <n v="99"/>
    <n v="3953"/>
    <x v="0"/>
    <s v="False"/>
    <s v="True"/>
    <s v="1-3 stories"/>
    <n v="18.253904342651399"/>
    <n v="18.253904342651399"/>
  </r>
  <r>
    <n v="13899"/>
    <s v="wall_5"/>
    <n v="1"/>
    <x v="1"/>
    <s v="Double"/>
    <s v="&gt;=1/2&quot;"/>
    <n v="100"/>
    <n v="1528"/>
    <x v="6"/>
    <s v="False"/>
    <s v="False"/>
    <s v="1-3 stories"/>
    <n v="42.124393463134801"/>
    <n v="42.124393463134801"/>
  </r>
  <r>
    <n v="13988"/>
    <s v="wall_3"/>
    <n v="1"/>
    <x v="1"/>
    <s v="Single"/>
    <m/>
    <n v="100"/>
    <n v="754"/>
    <x v="5"/>
    <s v="False"/>
    <s v="False"/>
    <s v="1-3 stories"/>
    <n v="114.48550415039099"/>
    <n v="114.48550415039099"/>
  </r>
  <r>
    <n v="13988"/>
    <s v="wall_4"/>
    <n v="2"/>
    <x v="0"/>
    <s v="Double"/>
    <s v="&lt;1/2&quot;"/>
    <n v="100"/>
    <n v="56"/>
    <x v="3"/>
    <s v="False"/>
    <s v="False"/>
    <s v="1-3 stories"/>
    <n v="114.48550415039099"/>
    <n v="114.48550415039099"/>
  </r>
  <r>
    <n v="13988"/>
    <s v="wall_5"/>
    <n v="3"/>
    <x v="1"/>
    <s v="Double"/>
    <s v="&lt;1/2&quot;"/>
    <n v="8"/>
    <n v="56"/>
    <x v="1"/>
    <s v="False"/>
    <s v="False"/>
    <s v="1-3 stories"/>
    <n v="114.48550415039099"/>
    <n v="114.48550415039099"/>
  </r>
  <r>
    <n v="14014"/>
    <s v="wall_3"/>
    <n v="1"/>
    <x v="0"/>
    <s v="Double"/>
    <s v="&gt;=1/2&quot;"/>
    <n v="100"/>
    <n v="1602"/>
    <x v="4"/>
    <s v="False"/>
    <s v="True"/>
    <s v="1-3 stories"/>
    <n v="85.864128112792997"/>
    <n v="85.864128112792997"/>
  </r>
  <r>
    <n v="14020"/>
    <s v="wall_4"/>
    <n v="1"/>
    <x v="1"/>
    <s v="Double"/>
    <s v="&gt;=1/2&quot;"/>
    <n v="97"/>
    <n v="1156"/>
    <x v="6"/>
    <s v="False"/>
    <s v="False"/>
    <s v="1-3 stories"/>
    <n v="171.72825622558599"/>
    <n v="171.72825622558599"/>
  </r>
  <r>
    <n v="14059"/>
    <s v="wall_4"/>
    <n v="1"/>
    <x v="0"/>
    <s v="Double"/>
    <s v="&lt;1/2&quot;"/>
    <n v="100"/>
    <n v="3022"/>
    <x v="0"/>
    <s v="False"/>
    <s v="True"/>
    <s v="4-6 stories"/>
    <n v="47.924167633056598"/>
    <s v=""/>
  </r>
  <r>
    <n v="14059"/>
    <s v="wall_5"/>
    <n v="2"/>
    <x v="1"/>
    <s v="Double"/>
    <s v="&gt;=1/2&quot;"/>
    <n v="0"/>
    <n v="224"/>
    <x v="2"/>
    <s v="False"/>
    <s v="True"/>
    <s v="4-6 stories"/>
    <n v="47.924167633056598"/>
    <s v=""/>
  </r>
  <r>
    <n v="14059"/>
    <s v="wall_6"/>
    <n v="3"/>
    <x v="0"/>
    <s v="Double"/>
    <s v="&lt;1/2&quot;"/>
    <n v="100"/>
    <n v="20"/>
    <x v="0"/>
    <s v="False"/>
    <s v="True"/>
    <s v="4-6 stories"/>
    <n v="47.924167633056598"/>
    <s v=""/>
  </r>
  <r>
    <n v="14163"/>
    <s v="wall_3"/>
    <n v="1"/>
    <x v="1"/>
    <s v="Single"/>
    <m/>
    <n v="100"/>
    <n v="5665"/>
    <x v="5"/>
    <s v="False"/>
    <s v="False"/>
    <s v="4-6 stories"/>
    <n v="38.881870269775398"/>
    <s v=""/>
  </r>
  <r>
    <n v="14163"/>
    <s v="wall_4"/>
    <n v="2"/>
    <x v="0"/>
    <s v="Double"/>
    <s v="&gt;=1/2&quot;"/>
    <n v="4"/>
    <n v="216"/>
    <x v="0"/>
    <s v="False"/>
    <s v="False"/>
    <s v="4-6 stories"/>
    <n v="38.881870269775398"/>
    <s v=""/>
  </r>
  <r>
    <n v="14240"/>
    <s v="wall_3"/>
    <n v="1"/>
    <x v="0"/>
    <s v="Double"/>
    <s v="&gt;=1/2&quot;"/>
    <n v="86"/>
    <n v="769"/>
    <x v="4"/>
    <s v="False"/>
    <s v="True"/>
    <s v="1-3 stories"/>
    <n v="800.71728515625"/>
    <n v="800.71728515625"/>
  </r>
  <r>
    <n v="14258"/>
    <s v="wall_3"/>
    <n v="1"/>
    <x v="0"/>
    <s v="Double"/>
    <s v="&lt;1/2&quot;"/>
    <n v="100"/>
    <n v="1439"/>
    <x v="0"/>
    <s v="False"/>
    <s v="True"/>
    <s v="1-3 stories"/>
    <n v="436.75485229492199"/>
    <n v="436.75485229492199"/>
  </r>
  <r>
    <n v="14259"/>
    <s v="wall_4"/>
    <n v="1"/>
    <x v="1"/>
    <s v="Double"/>
    <s v="&gt;=1/2&quot;"/>
    <n v="90"/>
    <n v="6433"/>
    <x v="6"/>
    <s v="False"/>
    <s v="False"/>
    <s v="4-6 stories"/>
    <n v="10.1410579681396"/>
    <s v=""/>
  </r>
  <r>
    <n v="14346"/>
    <s v="wall_4"/>
    <n v="1"/>
    <x v="1"/>
    <s v="Double"/>
    <s v="&gt;=1/2&quot;"/>
    <n v="91"/>
    <n v="4114"/>
    <x v="2"/>
    <s v="False"/>
    <s v="True"/>
    <s v="1-3 stories"/>
    <n v="171.58226013183599"/>
    <n v="171.58226013183599"/>
  </r>
  <r>
    <n v="14346"/>
    <s v="wall_5"/>
    <n v="2"/>
    <x v="1"/>
    <s v="Single"/>
    <m/>
    <n v="24"/>
    <n v="196"/>
    <x v="5"/>
    <s v="False"/>
    <s v="False"/>
    <s v="1-3 stories"/>
    <n v="171.58226013183599"/>
    <n v="171.58226013183599"/>
  </r>
  <r>
    <n v="14507"/>
    <s v="wall_4"/>
    <n v="1"/>
    <x v="1"/>
    <s v="Double"/>
    <s v="&lt;1/2&quot;"/>
    <n v="100"/>
    <n v="640"/>
    <x v="1"/>
    <s v="False"/>
    <s v="False"/>
    <s v="1-3 stories"/>
    <n v="412.14782714843801"/>
    <n v="412.14782714843801"/>
  </r>
  <r>
    <n v="14507"/>
    <s v="wall_5"/>
    <n v="2"/>
    <x v="0"/>
    <s v="Single"/>
    <m/>
    <n v="0"/>
    <n v="65"/>
    <x v="8"/>
    <s v="False"/>
    <s v="False"/>
    <s v="1-3 stories"/>
    <n v="412.14782714843801"/>
    <n v="412.14782714843801"/>
  </r>
  <r>
    <n v="14613"/>
    <s v="wall_3"/>
    <n v="1"/>
    <x v="0"/>
    <s v="Double"/>
    <s v="&gt;=1/2&quot;"/>
    <n v="100"/>
    <n v="1116"/>
    <x v="4"/>
    <s v="False"/>
    <s v="True"/>
    <s v="1-3 stories"/>
    <n v="99.650344848632798"/>
    <n v="99.650344848632798"/>
  </r>
  <r>
    <n v="14613"/>
    <s v="wall_4"/>
    <n v="2"/>
    <x v="1"/>
    <s v="Double"/>
    <s v="&gt;=1/2&quot;"/>
    <n v="100"/>
    <n v="594"/>
    <x v="2"/>
    <s v="False"/>
    <s v="True"/>
    <s v="1-3 stories"/>
    <n v="99.650344848632798"/>
    <n v="99.650344848632798"/>
  </r>
  <r>
    <n v="14614"/>
    <s v="wall_5"/>
    <n v="1"/>
    <x v="0"/>
    <s v="Double"/>
    <s v="&gt;=1/2&quot;"/>
    <n v="100"/>
    <n v="731"/>
    <x v="4"/>
    <s v="False"/>
    <s v="True"/>
    <s v="1-3 stories"/>
    <n v="320.28689575195301"/>
    <n v="320.28689575195301"/>
  </r>
  <r>
    <n v="20021"/>
    <s v="wall_4"/>
    <n v="1"/>
    <x v="1"/>
    <s v="Double"/>
    <s v="&gt;=1/2&quot;"/>
    <n v="100"/>
    <n v="12347"/>
    <x v="6"/>
    <s v="False"/>
    <s v="False"/>
    <s v="7+ stories"/>
    <n v="61.841342926025398"/>
    <s v=""/>
  </r>
  <r>
    <n v="20021"/>
    <s v="wall_5"/>
    <n v="2"/>
    <x v="1"/>
    <s v="Double"/>
    <s v="&gt;=1/2&quot;"/>
    <n v="0"/>
    <n v="556"/>
    <x v="2"/>
    <s v="False"/>
    <s v="True"/>
    <s v="7+ stories"/>
    <n v="61.841342926025398"/>
    <s v=""/>
  </r>
  <r>
    <n v="20101"/>
    <s v="wall_7"/>
    <n v="1"/>
    <x v="0"/>
    <s v="Single"/>
    <m/>
    <n v="69"/>
    <n v="654"/>
    <x v="7"/>
    <s v="False"/>
    <s v="True"/>
    <s v="1-3 stories"/>
    <n v="167.65873718261699"/>
    <n v="167.65873718261699"/>
  </r>
  <r>
    <n v="20101"/>
    <s v="wall_8"/>
    <n v="2"/>
    <x v="1"/>
    <s v="Single"/>
    <m/>
    <n v="53"/>
    <n v="732"/>
    <x v="8"/>
    <s v="False"/>
    <s v="True"/>
    <s v="1-3 stories"/>
    <n v="167.65873718261699"/>
    <n v="167.65873718261699"/>
  </r>
  <r>
    <n v="20101"/>
    <s v="wall_9"/>
    <n v="3"/>
    <x v="1"/>
    <s v="Single"/>
    <m/>
    <m/>
    <n v="3206"/>
    <x v="8"/>
    <s v="False"/>
    <s v="True"/>
    <s v="1-3 stories"/>
    <n v="167.65873718261699"/>
    <n v="167.65873718261699"/>
  </r>
  <r>
    <n v="20119"/>
    <s v="wall_5"/>
    <n v="1"/>
    <x v="0"/>
    <s v="Double"/>
    <s v="&gt;=1/2&quot;"/>
    <n v="100"/>
    <n v="4068"/>
    <x v="4"/>
    <s v="False"/>
    <s v="True"/>
    <s v="1-3 stories"/>
    <n v="116.07144165039099"/>
    <n v="116.07144165039099"/>
  </r>
  <r>
    <n v="20119"/>
    <s v="wall_6"/>
    <n v="2"/>
    <x v="1"/>
    <s v="Double"/>
    <s v="&gt;=1/2&quot;"/>
    <n v="0"/>
    <n v="89"/>
    <x v="2"/>
    <s v="False"/>
    <s v="True"/>
    <s v="1-3 stories"/>
    <n v="116.07144165039099"/>
    <n v="116.07144165039099"/>
  </r>
  <r>
    <n v="20119"/>
    <s v="wall_7"/>
    <n v="3"/>
    <x v="0"/>
    <s v="Double"/>
    <s v="&gt;=1/2&quot;"/>
    <n v="0"/>
    <n v="168"/>
    <x v="4"/>
    <s v="False"/>
    <s v="True"/>
    <s v="1-3 stories"/>
    <n v="116.07144165039099"/>
    <n v="116.07144165039099"/>
  </r>
  <r>
    <n v="20165"/>
    <s v="wall_3"/>
    <n v="1"/>
    <x v="0"/>
    <s v="Double"/>
    <s v="&gt;=1/2&quot;"/>
    <n v="100"/>
    <n v="576"/>
    <x v="4"/>
    <s v="False"/>
    <s v="True"/>
    <s v="1-3 stories"/>
    <n v="628.72027587890602"/>
    <n v="628.72027587890602"/>
  </r>
  <r>
    <n v="20165"/>
    <s v="wall_4"/>
    <n v="2"/>
    <x v="0"/>
    <s v="Double"/>
    <s v="&gt;=1/2&quot;"/>
    <n v="35"/>
    <n v="312"/>
    <x v="4"/>
    <s v="False"/>
    <s v="True"/>
    <s v="1-3 stories"/>
    <n v="628.72027587890602"/>
    <n v="628.72027587890602"/>
  </r>
  <r>
    <n v="20193"/>
    <s v="wall_3"/>
    <n v="1"/>
    <x v="1"/>
    <s v="Single"/>
    <m/>
    <n v="100"/>
    <n v="1310"/>
    <x v="5"/>
    <s v="False"/>
    <s v="False"/>
    <s v="1-3 stories"/>
    <n v="538.903076171875"/>
    <n v="538.903076171875"/>
  </r>
  <r>
    <n v="20193"/>
    <s v="wall_4"/>
    <n v="2"/>
    <x v="1"/>
    <s v="Single"/>
    <m/>
    <n v="0"/>
    <n v="260"/>
    <x v="5"/>
    <s v="False"/>
    <s v="False"/>
    <s v="1-3 stories"/>
    <n v="538.903076171875"/>
    <n v="538.903076171875"/>
  </r>
  <r>
    <n v="20195"/>
    <s v="wall_10"/>
    <n v="3"/>
    <x v="1"/>
    <s v="Double"/>
    <s v="&lt;1/2&quot;"/>
    <n v="0"/>
    <n v="576"/>
    <x v="1"/>
    <s v="False"/>
    <s v="False"/>
    <s v="4-6 stories"/>
    <n v="580.357177734375"/>
    <s v=""/>
  </r>
  <r>
    <n v="20195"/>
    <s v="wall_8"/>
    <n v="1"/>
    <x v="0"/>
    <s v="Double"/>
    <s v="&gt;=1/2&quot;"/>
    <n v="50"/>
    <n v="984"/>
    <x v="4"/>
    <s v="False"/>
    <s v="True"/>
    <s v="4-6 stories"/>
    <n v="580.357177734375"/>
    <s v=""/>
  </r>
  <r>
    <n v="20195"/>
    <s v="wall_9"/>
    <n v="2"/>
    <x v="1"/>
    <s v="Single"/>
    <m/>
    <n v="20"/>
    <n v="690"/>
    <x v="5"/>
    <s v="False"/>
    <s v="False"/>
    <s v="4-6 stories"/>
    <n v="580.357177734375"/>
    <s v=""/>
  </r>
  <r>
    <n v="20241"/>
    <s v="wall_5"/>
    <n v="1"/>
    <x v="1"/>
    <s v="Single"/>
    <m/>
    <n v="52"/>
    <n v="463"/>
    <x v="5"/>
    <s v="False"/>
    <s v="False"/>
    <s v="1-3 stories"/>
    <n v="1257.44055175781"/>
    <n v="1257.44055175781"/>
  </r>
  <r>
    <n v="20241"/>
    <s v="wall_6"/>
    <n v="2"/>
    <x v="1"/>
    <s v="Single"/>
    <m/>
    <n v="100"/>
    <n v="26"/>
    <x v="5"/>
    <s v="False"/>
    <s v="False"/>
    <s v="1-3 stories"/>
    <n v="1257.44055175781"/>
    <n v="1257.44055175781"/>
  </r>
  <r>
    <n v="20241"/>
    <s v="wall_7"/>
    <n v="3"/>
    <x v="1"/>
    <s v="Double"/>
    <s v="&lt;1/2&quot;"/>
    <n v="100"/>
    <n v="84"/>
    <x v="1"/>
    <s v="False"/>
    <s v="False"/>
    <s v="1-3 stories"/>
    <n v="1257.44055175781"/>
    <n v="1257.44055175781"/>
  </r>
  <r>
    <n v="20289"/>
    <s v="wall_3"/>
    <n v="1"/>
    <x v="1"/>
    <s v="Double"/>
    <s v="&lt;1/2&quot;"/>
    <n v="100"/>
    <n v="544"/>
    <x v="2"/>
    <s v="False"/>
    <s v="True"/>
    <s v="1-3 stories"/>
    <n v="943.08038330078102"/>
    <n v="943.08038330078102"/>
  </r>
  <r>
    <n v="20532"/>
    <s v="wall_4"/>
    <n v="1"/>
    <x v="1"/>
    <s v="Single"/>
    <m/>
    <n v="100"/>
    <n v="729"/>
    <x v="5"/>
    <s v="False"/>
    <s v="False"/>
    <s v="1-3 stories"/>
    <n v="502.97622680664102"/>
    <n v="502.97622680664102"/>
  </r>
  <r>
    <n v="20532"/>
    <s v="wall_5"/>
    <n v="2"/>
    <x v="0"/>
    <s v="Double"/>
    <s v="&lt;1/2&quot;"/>
    <n v="100"/>
    <n v="58"/>
    <x v="3"/>
    <s v="False"/>
    <s v="False"/>
    <s v="1-3 stories"/>
    <n v="502.97622680664102"/>
    <n v="502.97622680664102"/>
  </r>
  <r>
    <n v="20566"/>
    <s v="wall_3"/>
    <n v="1"/>
    <x v="1"/>
    <s v="Single"/>
    <m/>
    <n v="100"/>
    <n v="880"/>
    <x v="5"/>
    <s v="False"/>
    <s v="False"/>
    <s v="1-3 stories"/>
    <n v="754.46429443359398"/>
    <n v="754.46429443359398"/>
  </r>
  <r>
    <n v="20581"/>
    <s v="wall_3"/>
    <n v="1"/>
    <x v="1"/>
    <s v="Double"/>
    <s v="&lt;1/2&quot;"/>
    <n v="100"/>
    <n v="596"/>
    <x v="2"/>
    <s v="False"/>
    <s v="True"/>
    <s v="1-3 stories"/>
    <n v="1257.44055175781"/>
    <n v="1257.44055175781"/>
  </r>
  <r>
    <n v="20665"/>
    <s v="wall_3"/>
    <n v="1"/>
    <x v="0"/>
    <s v="Double"/>
    <s v="&lt;1/2&quot;"/>
    <n v="100"/>
    <n v="471"/>
    <x v="0"/>
    <s v="False"/>
    <s v="True"/>
    <s v="1-3 stories"/>
    <n v="685.87664794921898"/>
    <n v="685.87664794921898"/>
  </r>
  <r>
    <n v="20665"/>
    <s v="wall_4"/>
    <n v="2"/>
    <x v="1"/>
    <s v="Double"/>
    <s v="&lt;1/2&quot;"/>
    <n v="80"/>
    <n v="1257"/>
    <x v="2"/>
    <s v="False"/>
    <s v="True"/>
    <s v="1-3 stories"/>
    <n v="685.87664794921898"/>
    <n v="685.87664794921898"/>
  </r>
  <r>
    <n v="20705"/>
    <s v="wall_3"/>
    <n v="1"/>
    <x v="0"/>
    <s v="Double"/>
    <s v="&gt;=1/2&quot;"/>
    <n v="100"/>
    <n v="426"/>
    <x v="4"/>
    <s v="False"/>
    <s v="True"/>
    <s v="1-3 stories"/>
    <n v="1257.44055175781"/>
    <n v="1257.44055175781"/>
  </r>
  <r>
    <n v="20803"/>
    <s v="wall_3"/>
    <n v="1"/>
    <x v="0"/>
    <s v="Double"/>
    <s v="&gt;=1/2&quot;"/>
    <n v="100"/>
    <n v="438"/>
    <x v="4"/>
    <s v="False"/>
    <s v="True"/>
    <s v="1-3 stories"/>
    <n v="838.293701171875"/>
    <n v="838.293701171875"/>
  </r>
  <r>
    <n v="21000"/>
    <s v="wall_5"/>
    <n v="1"/>
    <x v="1"/>
    <s v="Double"/>
    <s v="&lt;1/2&quot;"/>
    <n v="75"/>
    <n v="1528"/>
    <x v="2"/>
    <s v="False"/>
    <s v="True"/>
    <s v="1-3 stories"/>
    <n v="251.48811340332"/>
    <n v="251.48811340332"/>
  </r>
  <r>
    <n v="21000"/>
    <s v="wall_6"/>
    <n v="2"/>
    <x v="1"/>
    <s v="Double"/>
    <s v="&gt;=1/2&quot;"/>
    <n v="47"/>
    <n v="77"/>
    <x v="2"/>
    <s v="False"/>
    <s v="True"/>
    <s v="1-3 stories"/>
    <n v="251.48811340332"/>
    <n v="251.48811340332"/>
  </r>
  <r>
    <n v="21000"/>
    <s v="wall_7"/>
    <n v="3"/>
    <x v="2"/>
    <m/>
    <m/>
    <m/>
    <n v="36"/>
    <x v="9"/>
    <m/>
    <m/>
    <s v="1-3 stories"/>
    <n v="251.48811340332"/>
    <n v="251.48811340332"/>
  </r>
  <r>
    <n v="21268"/>
    <s v="wall_3"/>
    <n v="1"/>
    <x v="1"/>
    <s v="Single"/>
    <m/>
    <n v="100"/>
    <n v="600"/>
    <x v="5"/>
    <s v="False"/>
    <s v="False"/>
    <s v="1-3 stories"/>
    <n v="1257.44055175781"/>
    <n v="1257.44055175781"/>
  </r>
  <r>
    <n v="21346"/>
    <s v="wall_12"/>
    <n v="1"/>
    <x v="0"/>
    <s v="Double"/>
    <s v="&lt;1/2&quot;"/>
    <n v="80"/>
    <n v="766"/>
    <x v="0"/>
    <s v="False"/>
    <s v="True"/>
    <s v="1-3 stories"/>
    <n v="754.46429443359398"/>
    <n v="754.46429443359398"/>
  </r>
  <r>
    <n v="21424"/>
    <s v="wall_4"/>
    <n v="1"/>
    <x v="1"/>
    <s v="Single"/>
    <m/>
    <n v="100"/>
    <n v="1220"/>
    <x v="8"/>
    <s v="False"/>
    <s v="True"/>
    <s v="1-3 stories"/>
    <n v="397.08648681640602"/>
    <n v="397.08648681640602"/>
  </r>
  <r>
    <n v="21424"/>
    <s v="wall_5"/>
    <n v="2"/>
    <x v="1"/>
    <s v="Single"/>
    <m/>
    <n v="43"/>
    <n v="812"/>
    <x v="8"/>
    <s v="False"/>
    <s v="True"/>
    <s v="1-3 stories"/>
    <n v="397.08648681640602"/>
    <n v="397.08648681640602"/>
  </r>
  <r>
    <n v="21424"/>
    <s v="wall_6"/>
    <n v="3"/>
    <x v="1"/>
    <s v="Single"/>
    <m/>
    <n v="100"/>
    <n v="96"/>
    <x v="5"/>
    <s v="False"/>
    <s v="False"/>
    <s v="1-3 stories"/>
    <n v="397.08648681640602"/>
    <n v="397.08648681640602"/>
  </r>
  <r>
    <n v="21488"/>
    <s v="wall_3"/>
    <n v="1"/>
    <x v="0"/>
    <s v="Double"/>
    <s v="&gt;=1/2&quot;"/>
    <n v="100"/>
    <n v="656"/>
    <x v="4"/>
    <s v="False"/>
    <s v="True"/>
    <s v="1-3 stories"/>
    <n v="943.08038330078102"/>
    <n v="943.08038330078102"/>
  </r>
  <r>
    <n v="21505"/>
    <s v="wall_3"/>
    <n v="1"/>
    <x v="1"/>
    <s v="Single"/>
    <m/>
    <n v="50"/>
    <n v="1400"/>
    <x v="5"/>
    <s v="False"/>
    <s v="False"/>
    <s v="1-3 stories"/>
    <n v="628.72027587890602"/>
    <n v="628.72027587890602"/>
  </r>
  <r>
    <n v="21564"/>
    <s v="wall_4"/>
    <n v="1"/>
    <x v="1"/>
    <s v="Double"/>
    <s v="&lt;1/2&quot;"/>
    <n v="99"/>
    <n v="1973"/>
    <x v="2"/>
    <s v="False"/>
    <s v="True"/>
    <s v="1-3 stories"/>
    <n v="328.02795410156301"/>
    <n v="328.02795410156301"/>
  </r>
  <r>
    <n v="21564"/>
    <s v="wall_5"/>
    <n v="2"/>
    <x v="1"/>
    <s v="Single"/>
    <m/>
    <n v="100"/>
    <n v="64"/>
    <x v="5"/>
    <s v="False"/>
    <s v="False"/>
    <s v="1-3 stories"/>
    <n v="328.02795410156301"/>
    <n v="328.02795410156301"/>
  </r>
  <r>
    <n v="21576"/>
    <s v="wall_3"/>
    <n v="1"/>
    <x v="1"/>
    <s v="Single"/>
    <m/>
    <n v="100"/>
    <n v="2688"/>
    <x v="5"/>
    <s v="False"/>
    <s v="False"/>
    <s v="1-3 stories"/>
    <n v="314.36013793945301"/>
    <n v="314.36013793945301"/>
  </r>
  <r>
    <n v="21576"/>
    <s v="wall_4"/>
    <n v="2"/>
    <x v="2"/>
    <m/>
    <m/>
    <m/>
    <n v="180"/>
    <x v="9"/>
    <s v="False"/>
    <s v="False"/>
    <s v="1-3 stories"/>
    <n v="314.36013793945301"/>
    <n v="314.36013793945301"/>
  </r>
  <r>
    <n v="21627"/>
    <s v="wall_4"/>
    <n v="1"/>
    <x v="0"/>
    <s v="Double"/>
    <s v="&lt;1/2&quot;"/>
    <n v="50"/>
    <n v="1992"/>
    <x v="3"/>
    <s v="False"/>
    <s v="False"/>
    <s v="1-3 stories"/>
    <n v="314.36013793945301"/>
    <n v="314.36013793945301"/>
  </r>
  <r>
    <n v="21642"/>
    <s v="wall_3"/>
    <n v="1"/>
    <x v="0"/>
    <s v="Double"/>
    <s v="&lt;1/2&quot;"/>
    <n v="22"/>
    <n v="724"/>
    <x v="0"/>
    <s v="False"/>
    <s v="True"/>
    <s v="1-3 stories"/>
    <n v="943.08038330078102"/>
    <n v="943.08038330078102"/>
  </r>
  <r>
    <n v="21691"/>
    <s v="wall_4"/>
    <n v="1"/>
    <x v="0"/>
    <s v="Double"/>
    <s v="&gt;=1/2&quot;"/>
    <n v="75"/>
    <n v="200"/>
    <x v="4"/>
    <s v="False"/>
    <s v="True"/>
    <s v="1-3 stories"/>
    <n v="943.08038330078102"/>
    <n v="943.08038330078102"/>
  </r>
  <r>
    <n v="21691"/>
    <s v="wall_5"/>
    <n v="2"/>
    <x v="0"/>
    <s v="Double"/>
    <s v="&lt;1/2&quot;"/>
    <n v="100"/>
    <n v="15"/>
    <x v="0"/>
    <s v="False"/>
    <s v="True"/>
    <s v="1-3 stories"/>
    <n v="943.08038330078102"/>
    <n v="943.08038330078102"/>
  </r>
  <r>
    <n v="21757"/>
    <s v="wall_3"/>
    <n v="1"/>
    <x v="0"/>
    <s v="Double"/>
    <s v="&gt;=1/2&quot;"/>
    <n v="100"/>
    <n v="672"/>
    <x v="4"/>
    <s v="False"/>
    <s v="True"/>
    <s v="1-3 stories"/>
    <n v="1257.44055175781"/>
    <n v="1257.44055175781"/>
  </r>
  <r>
    <n v="21839"/>
    <s v="wall_3"/>
    <n v="1"/>
    <x v="0"/>
    <s v="Double"/>
    <s v="&gt;=1/2&quot;"/>
    <n v="100"/>
    <n v="2424"/>
    <x v="4"/>
    <s v="False"/>
    <s v="True"/>
    <s v="4-6 stories"/>
    <n v="314.36013793945301"/>
    <s v=""/>
  </r>
  <r>
    <n v="21844"/>
    <s v="wall_4"/>
    <n v="1"/>
    <x v="0"/>
    <s v="Double"/>
    <s v="&lt;1/2&quot;"/>
    <n v="100"/>
    <n v="885"/>
    <x v="0"/>
    <s v="False"/>
    <s v="True"/>
    <s v="1-3 stories"/>
    <n v="628.72027587890602"/>
    <n v="628.72027587890602"/>
  </r>
  <r>
    <n v="21844"/>
    <s v="wall_5"/>
    <n v="2"/>
    <x v="0"/>
    <s v="Double"/>
    <s v="&lt;1/2&quot;"/>
    <n v="0"/>
    <n v="132"/>
    <x v="0"/>
    <s v="False"/>
    <s v="True"/>
    <s v="1-3 stories"/>
    <n v="628.72027587890602"/>
    <n v="628.72027587890602"/>
  </r>
  <r>
    <n v="21910"/>
    <s v="wall_4"/>
    <n v="1"/>
    <x v="0"/>
    <s v="Double"/>
    <s v="&gt;=1/2&quot;"/>
    <n v="50"/>
    <n v="1008"/>
    <x v="4"/>
    <s v="False"/>
    <s v="True"/>
    <s v="1-3 stories"/>
    <n v="184.01568603515599"/>
    <n v="184.01568603515599"/>
  </r>
  <r>
    <n v="21910"/>
    <s v="wall_5"/>
    <n v="2"/>
    <x v="0"/>
    <s v="Double"/>
    <s v="&gt;=1/2&quot;"/>
    <n v="50"/>
    <n v="1008"/>
    <x v="4"/>
    <s v="False"/>
    <s v="True"/>
    <s v="1-3 stories"/>
    <n v="184.01568603515599"/>
    <n v="184.01568603515599"/>
  </r>
  <r>
    <n v="21952"/>
    <s v="wall_3"/>
    <n v="1"/>
    <x v="1"/>
    <s v="Single"/>
    <m/>
    <n v="100"/>
    <n v="1626"/>
    <x v="8"/>
    <s v="False"/>
    <s v="True"/>
    <s v="1-3 stories"/>
    <n v="419.14685058593801"/>
    <n v="419.14685058593801"/>
  </r>
  <r>
    <n v="21985"/>
    <s v="wall_3"/>
    <n v="1"/>
    <x v="0"/>
    <s v="Double"/>
    <s v="&lt;1/2&quot;"/>
    <n v="0"/>
    <n v="33"/>
    <x v="0"/>
    <s v="False"/>
    <s v="True"/>
    <s v="1-3 stories"/>
    <n v="754.46429443359398"/>
    <n v="754.46429443359398"/>
  </r>
  <r>
    <n v="21985"/>
    <s v="wall_4"/>
    <n v="2"/>
    <x v="0"/>
    <s v="Double"/>
    <s v="&lt;1/2&quot;"/>
    <n v="97"/>
    <n v="1032"/>
    <x v="0"/>
    <s v="False"/>
    <s v="True"/>
    <s v="1-3 stories"/>
    <n v="754.46429443359398"/>
    <n v="754.46429443359398"/>
  </r>
  <r>
    <n v="21998"/>
    <s v="wall_6"/>
    <n v="1"/>
    <x v="0"/>
    <s v="Double"/>
    <s v="&lt;1/2&quot;"/>
    <n v="75"/>
    <n v="549"/>
    <x v="0"/>
    <s v="False"/>
    <s v="True"/>
    <s v="1-3 stories"/>
    <n v="943.08038330078102"/>
    <n v="943.08038330078102"/>
  </r>
  <r>
    <n v="22058"/>
    <s v="wall_3"/>
    <n v="1"/>
    <x v="0"/>
    <s v="Double"/>
    <s v="&gt;=1/2&quot;"/>
    <n v="88"/>
    <n v="2143"/>
    <x v="0"/>
    <s v="False"/>
    <s v="False"/>
    <s v="1-3 stories"/>
    <n v="251.48811340332"/>
    <n v="251.48811340332"/>
  </r>
  <r>
    <n v="22058"/>
    <s v="wall_4"/>
    <n v="2"/>
    <x v="0"/>
    <s v="Double"/>
    <s v="&gt;=1/2&quot;"/>
    <n v="100"/>
    <n v="640"/>
    <x v="0"/>
    <s v="False"/>
    <s v="False"/>
    <s v="1-3 stories"/>
    <n v="251.48811340332"/>
    <n v="251.48811340332"/>
  </r>
  <r>
    <n v="22106"/>
    <s v="wall_3"/>
    <n v="1"/>
    <x v="0"/>
    <s v="Double"/>
    <s v="&gt;=1/2&quot;"/>
    <n v="100"/>
    <n v="1620"/>
    <x v="4"/>
    <s v="False"/>
    <s v="True"/>
    <s v="1-3 stories"/>
    <n v="235.770095825195"/>
    <n v="235.770095825195"/>
  </r>
  <r>
    <n v="22262"/>
    <s v="wall_3"/>
    <n v="1"/>
    <x v="0"/>
    <s v="Double"/>
    <s v="&lt;1/2&quot;"/>
    <n v="9"/>
    <n v="720"/>
    <x v="3"/>
    <s v="False"/>
    <s v="False"/>
    <s v="1-3 stories"/>
    <n v="943.08038330078102"/>
    <n v="943.08038330078102"/>
  </r>
  <r>
    <n v="22262"/>
    <s v="wall_4"/>
    <n v="2"/>
    <x v="1"/>
    <s v="Double"/>
    <s v="&gt;=1/2&quot;"/>
    <n v="40"/>
    <n v="288"/>
    <x v="6"/>
    <s v="False"/>
    <s v="False"/>
    <s v="1-3 stories"/>
    <n v="943.08038330078102"/>
    <n v="943.08038330078102"/>
  </r>
  <r>
    <n v="22371"/>
    <s v="wall_3"/>
    <n v="1"/>
    <x v="0"/>
    <s v="Double"/>
    <s v="&lt;1/2&quot;"/>
    <n v="100"/>
    <n v="630"/>
    <x v="3"/>
    <s v="False"/>
    <s v="False"/>
    <s v="1-3 stories"/>
    <n v="1257.44055175781"/>
    <n v="1257.44055175781"/>
  </r>
  <r>
    <n v="22450"/>
    <s v="wall_3"/>
    <n v="1"/>
    <x v="1"/>
    <s v="Double"/>
    <s v="&lt;1/2&quot;"/>
    <n v="100"/>
    <n v="1150"/>
    <x v="1"/>
    <s v="False"/>
    <s v="False"/>
    <s v="1-3 stories"/>
    <n v="538.903076171875"/>
    <n v="538.903076171875"/>
  </r>
  <r>
    <n v="22536"/>
    <s v="wall_3"/>
    <n v="1"/>
    <x v="1"/>
    <s v="Single"/>
    <m/>
    <n v="99"/>
    <n v="3279"/>
    <x v="5"/>
    <s v="False"/>
    <s v="False"/>
    <s v="1-3 stories"/>
    <n v="100.59523773193401"/>
    <n v="100.59523773193401"/>
  </r>
  <r>
    <n v="22536"/>
    <s v="wall_4"/>
    <n v="2"/>
    <x v="0"/>
    <s v="Double"/>
    <s v="&gt;=1/2&quot;"/>
    <n v="99"/>
    <n v="1232"/>
    <x v="0"/>
    <s v="False"/>
    <s v="False"/>
    <s v="1-3 stories"/>
    <n v="100.59523773193401"/>
    <n v="100.59523773193401"/>
  </r>
  <r>
    <n v="22536"/>
    <s v="wall_5"/>
    <n v="3"/>
    <x v="1"/>
    <s v="Single"/>
    <m/>
    <n v="100"/>
    <n v="2100"/>
    <x v="5"/>
    <s v="False"/>
    <s v="False"/>
    <s v="1-3 stories"/>
    <n v="100.59523773193401"/>
    <n v="100.59523773193401"/>
  </r>
  <r>
    <n v="22870"/>
    <s v="wall_3"/>
    <n v="1"/>
    <x v="0"/>
    <s v="Double"/>
    <s v="&gt;=1/2&quot;"/>
    <n v="100"/>
    <n v="1228"/>
    <x v="4"/>
    <s v="False"/>
    <s v="True"/>
    <s v="1-3 stories"/>
    <n v="471.54019165039102"/>
    <n v="471.54019165039102"/>
  </r>
  <r>
    <n v="22870"/>
    <s v="wall_4"/>
    <n v="2"/>
    <x v="0"/>
    <s v="Double"/>
    <s v="&gt;=1/2&quot;"/>
    <n v="100"/>
    <n v="208"/>
    <x v="4"/>
    <s v="False"/>
    <s v="True"/>
    <s v="1-3 stories"/>
    <n v="471.54019165039102"/>
    <n v="471.54019165039102"/>
  </r>
  <r>
    <n v="22870"/>
    <s v="wall_5"/>
    <n v="3"/>
    <x v="1"/>
    <s v="Single"/>
    <m/>
    <n v="0"/>
    <n v="60"/>
    <x v="5"/>
    <s v="False"/>
    <s v="False"/>
    <s v="1-3 stories"/>
    <n v="471.54019165039102"/>
    <n v="471.54019165039102"/>
  </r>
  <r>
    <n v="22906"/>
    <s v="wall_3"/>
    <n v="1"/>
    <x v="0"/>
    <s v="Double"/>
    <s v="&gt;=1/2&quot;"/>
    <n v="100"/>
    <n v="1279"/>
    <x v="4"/>
    <s v="False"/>
    <s v="True"/>
    <s v="1-3 stories"/>
    <n v="628.72027587890602"/>
    <n v="628.72027587890602"/>
  </r>
  <r>
    <n v="23106"/>
    <s v="wall_5"/>
    <n v="1"/>
    <x v="1"/>
    <s v="Double"/>
    <s v="&lt;1/2&quot;"/>
    <n v="10"/>
    <n v="12939"/>
    <x v="2"/>
    <s v="False"/>
    <s v="True"/>
    <s v="7+ stories"/>
    <n v="123.68268585205099"/>
    <s v=""/>
  </r>
  <r>
    <n v="23425"/>
    <s v="wall_3"/>
    <n v="1"/>
    <x v="1"/>
    <s v="Single"/>
    <m/>
    <n v="100"/>
    <n v="596"/>
    <x v="5"/>
    <s v="False"/>
    <s v="False"/>
    <s v="1-3 stories"/>
    <n v="754.46429443359398"/>
    <n v="754.46429443359398"/>
  </r>
  <r>
    <n v="23531"/>
    <s v="wall_3"/>
    <n v="1"/>
    <x v="0"/>
    <s v="Double"/>
    <s v="&gt;=1/2&quot;"/>
    <n v="100"/>
    <n v="774"/>
    <x v="4"/>
    <s v="False"/>
    <s v="True"/>
    <s v="1-3 stories"/>
    <n v="419.14685058593801"/>
    <n v="419.14685058593801"/>
  </r>
  <r>
    <n v="23531"/>
    <s v="wall_4"/>
    <n v="2"/>
    <x v="1"/>
    <s v="Double"/>
    <s v="&gt;=1/2&quot;"/>
    <n v="41"/>
    <n v="540"/>
    <x v="2"/>
    <s v="False"/>
    <s v="True"/>
    <s v="1-3 stories"/>
    <n v="419.14685058593801"/>
    <n v="419.14685058593801"/>
  </r>
  <r>
    <n v="23623"/>
    <s v="wall_3"/>
    <n v="1"/>
    <x v="1"/>
    <s v="Single"/>
    <m/>
    <n v="100"/>
    <n v="576"/>
    <x v="1"/>
    <s v="True"/>
    <s v="False"/>
    <s v="1-3 stories"/>
    <n v="314.36013793945301"/>
    <n v="314.36013793945301"/>
  </r>
  <r>
    <n v="23623"/>
    <s v="wall_4"/>
    <n v="2"/>
    <x v="0"/>
    <s v="Double"/>
    <s v="&lt;1/2&quot;"/>
    <n v="43"/>
    <n v="432"/>
    <x v="0"/>
    <s v="False"/>
    <s v="True"/>
    <s v="1-3 stories"/>
    <n v="314.36013793945301"/>
    <n v="314.36013793945301"/>
  </r>
  <r>
    <n v="23681"/>
    <s v="wall_3"/>
    <n v="1"/>
    <x v="0"/>
    <s v="Double"/>
    <s v="&gt;=1/2&quot;"/>
    <n v="100"/>
    <n v="1240"/>
    <x v="4"/>
    <s v="False"/>
    <s v="True"/>
    <s v="1-3 stories"/>
    <n v="943.08038330078102"/>
    <n v="943.08038330078102"/>
  </r>
  <r>
    <n v="23681"/>
    <s v="wall_4"/>
    <n v="2"/>
    <x v="0"/>
    <s v="Double"/>
    <s v="&gt;=1/2&quot;"/>
    <n v="0"/>
    <n v="80"/>
    <x v="4"/>
    <s v="False"/>
    <s v="True"/>
    <s v="1-3 stories"/>
    <n v="943.08038330078102"/>
    <n v="943.08038330078102"/>
  </r>
  <r>
    <n v="23685"/>
    <s v="wall_3"/>
    <n v="1"/>
    <x v="0"/>
    <s v="Double"/>
    <s v="&gt;=1/2&quot;"/>
    <n v="100"/>
    <n v="597"/>
    <x v="4"/>
    <s v="False"/>
    <s v="True"/>
    <s v="1-3 stories"/>
    <n v="754.46429443359398"/>
    <n v="754.46429443359398"/>
  </r>
  <r>
    <n v="23685"/>
    <s v="wall_4"/>
    <n v="2"/>
    <x v="1"/>
    <s v="Double"/>
    <s v="&gt;=1/2&quot;"/>
    <n v="100"/>
    <n v="380"/>
    <x v="2"/>
    <s v="False"/>
    <s v="True"/>
    <s v="1-3 stories"/>
    <n v="754.46429443359398"/>
    <n v="754.46429443359398"/>
  </r>
  <r>
    <n v="23800"/>
    <s v="wall_6"/>
    <n v="1"/>
    <x v="0"/>
    <s v="Double"/>
    <s v="&gt;=1/2&quot;"/>
    <n v="50"/>
    <n v="1413"/>
    <x v="0"/>
    <s v="False"/>
    <s v="False"/>
    <s v="1-3 stories"/>
    <n v="188.61607360839801"/>
    <n v="188.61607360839801"/>
  </r>
  <r>
    <n v="23899"/>
    <s v="wall_4"/>
    <n v="1"/>
    <x v="0"/>
    <s v="Double"/>
    <s v="&gt;=1/2&quot;"/>
    <n v="100"/>
    <n v="2745"/>
    <x v="4"/>
    <s v="False"/>
    <s v="True"/>
    <s v="1-3 stories"/>
    <n v="167.65873718261699"/>
    <n v="167.65873718261699"/>
  </r>
  <r>
    <n v="23899"/>
    <s v="wall_5"/>
    <n v="2"/>
    <x v="0"/>
    <s v="Double"/>
    <s v="&gt;=1/2&quot;"/>
    <n v="0"/>
    <n v="280"/>
    <x v="4"/>
    <s v="False"/>
    <s v="True"/>
    <s v="1-3 stories"/>
    <n v="167.65873718261699"/>
    <n v="167.65873718261699"/>
  </r>
  <r>
    <n v="23996"/>
    <s v="wall_3"/>
    <n v="1"/>
    <x v="1"/>
    <s v="Double"/>
    <s v="&lt;1/2&quot;"/>
    <n v="84"/>
    <n v="9808"/>
    <x v="2"/>
    <s v="False"/>
    <s v="True"/>
    <s v="7+ stories"/>
    <n v="89.817184448242202"/>
    <s v=""/>
  </r>
  <r>
    <n v="23996"/>
    <s v="wall_4"/>
    <n v="2"/>
    <x v="2"/>
    <m/>
    <m/>
    <n v="100"/>
    <n v="105"/>
    <x v="9"/>
    <s v="False"/>
    <m/>
    <s v="7+ stories"/>
    <n v="89.817184448242202"/>
    <s v=""/>
  </r>
  <r>
    <n v="24009"/>
    <s v="wall_3"/>
    <n v="1"/>
    <x v="0"/>
    <s v="Double"/>
    <s v="&lt;1/2&quot;"/>
    <n v="100"/>
    <n v="752"/>
    <x v="0"/>
    <s v="False"/>
    <s v="True"/>
    <s v="1-3 stories"/>
    <n v="943.08038330078102"/>
    <n v="943.08038330078102"/>
  </r>
  <r>
    <n v="24123"/>
    <s v="wall_5"/>
    <n v="1"/>
    <x v="0"/>
    <s v="Single"/>
    <m/>
    <n v="100"/>
    <n v="286"/>
    <x v="8"/>
    <s v="False"/>
    <s v="False"/>
    <s v="1-3 stories"/>
    <n v="1257.44055175781"/>
    <n v="1257.44055175781"/>
  </r>
  <r>
    <n v="24123"/>
    <s v="wall_6"/>
    <n v="2"/>
    <x v="0"/>
    <s v="Single"/>
    <m/>
    <n v="0"/>
    <n v="62"/>
    <x v="2"/>
    <s v="True"/>
    <s v="False"/>
    <s v="1-3 stories"/>
    <n v="1257.44055175781"/>
    <n v="1257.44055175781"/>
  </r>
  <r>
    <n v="24123"/>
    <s v="wall_7"/>
    <n v="3"/>
    <x v="0"/>
    <s v="Double"/>
    <s v="&gt;=1/2&quot;"/>
    <n v="100"/>
    <n v="10"/>
    <x v="0"/>
    <s v="False"/>
    <s v="False"/>
    <s v="1-3 stories"/>
    <n v="1257.44055175781"/>
    <n v="1257.44055175781"/>
  </r>
  <r>
    <n v="24139"/>
    <s v="wall_3"/>
    <n v="1"/>
    <x v="1"/>
    <s v="Double"/>
    <s v="&gt;=1/2&quot;"/>
    <n v="100"/>
    <n v="1152"/>
    <x v="2"/>
    <s v="False"/>
    <s v="True"/>
    <s v="1-3 stories"/>
    <n v="471.54019165039102"/>
    <n v="471.54019165039102"/>
  </r>
  <r>
    <n v="24637"/>
    <s v="wall_3"/>
    <n v="1"/>
    <x v="1"/>
    <s v="Double"/>
    <s v="&lt;1/2&quot;"/>
    <n v="100"/>
    <n v="3313"/>
    <x v="1"/>
    <s v="False"/>
    <s v="False"/>
    <s v="1-3 stories"/>
    <n v="209.57342529296901"/>
    <n v="209.57342529296901"/>
  </r>
  <r>
    <n v="24802"/>
    <s v="wall_3"/>
    <n v="1"/>
    <x v="0"/>
    <s v="Double"/>
    <s v="&lt;1/2&quot;"/>
    <n v="100"/>
    <n v="2300"/>
    <x v="0"/>
    <s v="False"/>
    <s v="True"/>
    <s v="1-3 stories"/>
    <n v="314.36013793945301"/>
    <n v="314.36013793945301"/>
  </r>
  <r>
    <n v="29940"/>
    <s v="wall_3"/>
    <n v="1"/>
    <x v="0"/>
    <s v="Double"/>
    <s v="&gt;=1/2&quot;"/>
    <n v="52"/>
    <n v="7854"/>
    <x v="4"/>
    <s v="False"/>
    <s v="True"/>
    <s v="4-6 stories"/>
    <n v="21.904685974121101"/>
    <s v=""/>
  </r>
  <r>
    <n v="60022"/>
    <s v="wall_3"/>
    <n v="1"/>
    <x v="0"/>
    <s v="Double"/>
    <s v="&gt;=1/2&quot;"/>
    <n v="100"/>
    <n v="636"/>
    <x v="4"/>
    <s v="False"/>
    <s v="True"/>
    <s v="1-3 stories"/>
    <n v="600.53796386718795"/>
    <n v="600.53796386718795"/>
  </r>
  <r>
    <n v="60051"/>
    <s v="wall_3"/>
    <n v="1"/>
    <x v="0"/>
    <s v="Double"/>
    <s v="&gt;=1/2&quot;"/>
    <n v="86"/>
    <n v="647"/>
    <x v="4"/>
    <s v="False"/>
    <s v="True"/>
    <s v="1-3 stories"/>
    <n v="960.86071777343795"/>
    <n v="960.86071777343795"/>
  </r>
  <r>
    <n v="60051"/>
    <s v="wall_4"/>
    <n v="2"/>
    <x v="1"/>
    <s v="Double"/>
    <s v="&gt;=1/2&quot;"/>
    <n v="100"/>
    <n v="255"/>
    <x v="2"/>
    <s v="False"/>
    <s v="True"/>
    <s v="1-3 stories"/>
    <n v="960.86071777343795"/>
    <n v="960.86071777343795"/>
  </r>
  <r>
    <n v="60071"/>
    <s v="wall_5"/>
    <n v="1"/>
    <x v="0"/>
    <s v="Double"/>
    <s v="&gt;=1/2&quot;"/>
    <n v="97"/>
    <n v="2802"/>
    <x v="0"/>
    <s v="False"/>
    <s v="False"/>
    <s v="4-6 stories"/>
    <n v="184.78091430664099"/>
    <s v=""/>
  </r>
  <r>
    <n v="60071"/>
    <s v="wall_6"/>
    <n v="2"/>
    <x v="0"/>
    <s v="Double"/>
    <s v="&gt;=1/2&quot;"/>
    <n v="100"/>
    <n v="442"/>
    <x v="4"/>
    <s v="False"/>
    <s v="True"/>
    <s v="4-6 stories"/>
    <n v="184.78091430664099"/>
    <s v=""/>
  </r>
  <r>
    <n v="60099"/>
    <s v="wall_3"/>
    <n v="1"/>
    <x v="1"/>
    <s v="Double"/>
    <s v="&lt;1/2&quot;"/>
    <n v="100"/>
    <n v="1036"/>
    <x v="1"/>
    <s v="False"/>
    <s v="False"/>
    <s v="1-3 stories"/>
    <n v="300.26898193359398"/>
    <n v="300.26898193359398"/>
  </r>
  <r>
    <n v="71001"/>
    <s v="wall_3"/>
    <n v="1"/>
    <x v="0"/>
    <s v="Double"/>
    <s v="&lt;1/2&quot;"/>
    <n v="100"/>
    <n v="540"/>
    <x v="0"/>
    <s v="False"/>
    <s v="True"/>
    <s v="1-3 stories"/>
    <n v="136.90428161621099"/>
    <n v="136.90428161621099"/>
  </r>
  <r>
    <n v="71001"/>
    <s v="wall_4"/>
    <n v="2"/>
    <x v="1"/>
    <s v="Single"/>
    <m/>
    <n v="0"/>
    <n v="9"/>
    <x v="5"/>
    <s v="False"/>
    <s v="False"/>
    <s v="1-3 stories"/>
    <n v="136.90428161621099"/>
    <n v="136.90428161621099"/>
  </r>
  <r>
    <n v="71002"/>
    <s v="wall_3"/>
    <n v="1"/>
    <x v="0"/>
    <s v="Double"/>
    <s v="&gt;=1/2&quot;"/>
    <n v="100"/>
    <n v="1366"/>
    <x v="4"/>
    <s v="False"/>
    <s v="True"/>
    <s v="4-6 stories"/>
    <n v="136.90428161621099"/>
    <s v=""/>
  </r>
  <r>
    <n v="71002"/>
    <s v="wall_4"/>
    <n v="2"/>
    <x v="0"/>
    <s v="Double"/>
    <s v="&lt;1/2&quot;"/>
    <n v="100"/>
    <n v="14"/>
    <x v="0"/>
    <s v="False"/>
    <s v="True"/>
    <s v="4-6 stories"/>
    <n v="136.90428161621099"/>
    <s v=""/>
  </r>
  <r>
    <n v="71002"/>
    <s v="wall_5"/>
    <n v="3"/>
    <x v="0"/>
    <s v="Double"/>
    <s v="&gt;=1/2&quot;"/>
    <n v="0"/>
    <n v="13"/>
    <x v="0"/>
    <s v="False"/>
    <s v="False"/>
    <s v="4-6 stories"/>
    <n v="136.90428161621099"/>
    <s v=""/>
  </r>
  <r>
    <n v="71003"/>
    <s v="wall_3"/>
    <n v="1"/>
    <x v="1"/>
    <s v="Double"/>
    <s v="&gt;=1/2&quot;"/>
    <n v="100"/>
    <n v="413"/>
    <x v="6"/>
    <s v="False"/>
    <s v="False"/>
    <s v="1-3 stories"/>
    <n v="182.53904724121099"/>
    <n v="182.53904724121099"/>
  </r>
  <r>
    <n v="71003"/>
    <s v="wall_4"/>
    <n v="2"/>
    <x v="0"/>
    <s v="Double"/>
    <s v="&gt;=1/2&quot;"/>
    <n v="10"/>
    <n v="24"/>
    <x v="4"/>
    <s v="False"/>
    <s v="True"/>
    <s v="1-3 stories"/>
    <n v="182.53904724121099"/>
    <n v="182.53904724121099"/>
  </r>
  <r>
    <n v="71004"/>
    <s v="wall_3"/>
    <n v="1"/>
    <x v="1"/>
    <s v="Double"/>
    <s v="&lt;1/2&quot;"/>
    <n v="98"/>
    <n v="790"/>
    <x v="1"/>
    <s v="False"/>
    <s v="False"/>
    <s v="1-3 stories"/>
    <n v="136.90428161621099"/>
    <n v="136.90428161621099"/>
  </r>
  <r>
    <n v="71005"/>
    <s v="wall_4"/>
    <n v="1"/>
    <x v="1"/>
    <s v="Single"/>
    <m/>
    <n v="100"/>
    <n v="1026"/>
    <x v="5"/>
    <s v="False"/>
    <s v="False"/>
    <s v="1-3 stories"/>
    <n v="121.69268798828099"/>
    <n v="121.69268798828099"/>
  </r>
  <r>
    <n v="71005"/>
    <s v="wall_5"/>
    <n v="2"/>
    <x v="0"/>
    <s v="Double"/>
    <s v="&gt;=1/2&quot;"/>
    <n v="100"/>
    <n v="51"/>
    <x v="4"/>
    <s v="False"/>
    <s v="True"/>
    <s v="1-3 stories"/>
    <n v="121.69268798828099"/>
    <n v="121.69268798828099"/>
  </r>
  <r>
    <n v="71006"/>
    <s v="wall_4"/>
    <n v="1"/>
    <x v="0"/>
    <s v="Double"/>
    <s v="&gt;=1/2&quot;"/>
    <n v="100"/>
    <n v="361"/>
    <x v="4"/>
    <s v="False"/>
    <s v="True"/>
    <s v="1-3 stories"/>
    <n v="219.04685974121099"/>
    <n v="219.04685974121099"/>
  </r>
  <r>
    <n v="71007"/>
    <s v="wall_3"/>
    <n v="1"/>
    <x v="1"/>
    <s v="Single"/>
    <s v="&gt;=1/2&quot;"/>
    <n v="97"/>
    <n v="794"/>
    <x v="5"/>
    <s v="False"/>
    <s v="False"/>
    <s v="1-3 stories"/>
    <n v="219.04685974121099"/>
    <n v="219.04685974121099"/>
  </r>
  <r>
    <n v="71007"/>
    <s v="wall_4"/>
    <n v="2"/>
    <x v="0"/>
    <s v="Single"/>
    <m/>
    <n v="100"/>
    <n v="20"/>
    <x v="8"/>
    <s v="False"/>
    <s v="False"/>
    <s v="1-3 stories"/>
    <n v="219.04685974121099"/>
    <n v="219.04685974121099"/>
  </r>
  <r>
    <n v="71008"/>
    <s v="wall_5"/>
    <n v="1"/>
    <x v="0"/>
    <s v="Double"/>
    <s v="&gt;=1/2&quot;"/>
    <n v="100"/>
    <n v="767"/>
    <x v="4"/>
    <s v="False"/>
    <s v="True"/>
    <s v="1-3 stories"/>
    <n v="182.53904724121099"/>
    <n v="182.53904724121099"/>
  </r>
  <r>
    <n v="71009"/>
    <s v="wall_4"/>
    <n v="1"/>
    <x v="1"/>
    <s v="Double"/>
    <s v="&gt;=1/2&quot;"/>
    <n v="100"/>
    <n v="484"/>
    <x v="6"/>
    <s v="False"/>
    <s v="False"/>
    <s v="1-3 stories"/>
    <n v="136.90428161621099"/>
    <n v="136.90428161621099"/>
  </r>
  <r>
    <n v="71009"/>
    <s v="wall_5"/>
    <n v="2"/>
    <x v="1"/>
    <s v="Single"/>
    <m/>
    <n v="0"/>
    <n v="9"/>
    <x v="5"/>
    <s v="False"/>
    <s v="False"/>
    <s v="1-3 stories"/>
    <n v="136.90428161621099"/>
    <n v="136.90428161621099"/>
  </r>
  <r>
    <n v="71010"/>
    <s v="wall_4"/>
    <n v="1"/>
    <x v="1"/>
    <s v="Double"/>
    <s v="&gt;=1/2&quot;"/>
    <n v="100"/>
    <n v="813"/>
    <x v="6"/>
    <s v="False"/>
    <s v="False"/>
    <s v="1-3 stories"/>
    <n v="182.53904724121099"/>
    <n v="182.53904724121099"/>
  </r>
  <r>
    <n v="71010"/>
    <s v="wall_5"/>
    <n v="2"/>
    <x v="0"/>
    <s v="Double"/>
    <s v="&lt;1/2&quot;"/>
    <n v="100"/>
    <n v="20"/>
    <x v="3"/>
    <s v="False"/>
    <s v="False"/>
    <s v="1-3 stories"/>
    <n v="182.53904724121099"/>
    <n v="182.53904724121099"/>
  </r>
  <r>
    <n v="71011"/>
    <s v="wall_5"/>
    <n v="1"/>
    <x v="1"/>
    <s v="Double"/>
    <s v="&lt;1/2&quot;"/>
    <n v="90"/>
    <n v="674"/>
    <x v="2"/>
    <s v="False"/>
    <s v="True"/>
    <s v="1-3 stories"/>
    <n v="136.90428161621099"/>
    <n v="136.90428161621099"/>
  </r>
  <r>
    <n v="71012"/>
    <s v="wall_4"/>
    <n v="1"/>
    <x v="1"/>
    <s v="Double"/>
    <s v="&lt;1/2&quot;"/>
    <n v="90"/>
    <n v="497"/>
    <x v="1"/>
    <s v="False"/>
    <s v="False"/>
    <s v="1-3 stories"/>
    <n v="182.53904724121099"/>
    <n v="182.53904724121099"/>
  </r>
  <r>
    <n v="71013"/>
    <s v="wall_4"/>
    <n v="1"/>
    <x v="0"/>
    <s v="Double"/>
    <s v="&gt;=1/2&quot;"/>
    <n v="94"/>
    <n v="834"/>
    <x v="0"/>
    <s v="False"/>
    <s v="False"/>
    <s v="1-3 stories"/>
    <n v="136.90428161621099"/>
    <n v="136.90428161621099"/>
  </r>
  <r>
    <n v="71013"/>
    <s v="wall_5"/>
    <n v="2"/>
    <x v="1"/>
    <s v="Single"/>
    <s v="&lt;1/2&quot;"/>
    <n v="100"/>
    <n v="24"/>
    <x v="5"/>
    <s v="False"/>
    <s v="False"/>
    <s v="1-3 stories"/>
    <n v="136.90428161621099"/>
    <n v="136.90428161621099"/>
  </r>
  <r>
    <n v="71014"/>
    <s v="wall_3"/>
    <n v="1"/>
    <x v="0"/>
    <s v="Double"/>
    <s v="&gt;=1/2&quot;"/>
    <n v="100"/>
    <n v="729"/>
    <x v="4"/>
    <s v="False"/>
    <s v="True"/>
    <s v="1-3 stories"/>
    <n v="136.90428161621099"/>
    <n v="136.90428161621099"/>
  </r>
  <r>
    <n v="72001"/>
    <s v="wall_3"/>
    <n v="1"/>
    <x v="0"/>
    <s v="Double"/>
    <s v="&gt;=1/2&quot;"/>
    <n v="100"/>
    <n v="1490"/>
    <x v="4"/>
    <s v="False"/>
    <s v="True"/>
    <s v="1-3 stories"/>
    <n v="78.231018066406307"/>
    <n v="78.231018066406307"/>
  </r>
  <r>
    <n v="72001"/>
    <s v="wall_4"/>
    <n v="2"/>
    <x v="0"/>
    <s v="Single"/>
    <m/>
    <n v="0"/>
    <n v="68"/>
    <x v="8"/>
    <s v="False"/>
    <s v="False"/>
    <s v="1-3 stories"/>
    <n v="78.231018066406307"/>
    <n v="78.231018066406307"/>
  </r>
  <r>
    <n v="72002"/>
    <s v="wall_3"/>
    <n v="1"/>
    <x v="0"/>
    <s v="Double"/>
    <s v="&gt;=1/2&quot;"/>
    <n v="100"/>
    <n v="1576"/>
    <x v="4"/>
    <s v="False"/>
    <s v="True"/>
    <s v="4-6 stories"/>
    <n v="99.566741943359403"/>
    <s v=""/>
  </r>
  <r>
    <n v="72002"/>
    <s v="wall_4"/>
    <n v="2"/>
    <x v="1"/>
    <s v="Double"/>
    <s v="&gt;=1/2&quot;"/>
    <n v="50"/>
    <n v="70"/>
    <x v="2"/>
    <s v="False"/>
    <s v="True"/>
    <s v="4-6 stories"/>
    <n v="99.566741943359403"/>
    <s v=""/>
  </r>
  <r>
    <n v="72002"/>
    <s v="wall_5"/>
    <n v="3"/>
    <x v="0"/>
    <s v="Double"/>
    <s v="&gt;=1/2&quot;"/>
    <n v="0"/>
    <n v="24"/>
    <x v="0"/>
    <s v="False"/>
    <s v="False"/>
    <s v="4-6 stories"/>
    <n v="99.566741943359403"/>
    <s v=""/>
  </r>
  <r>
    <n v="72003"/>
    <s v="wall_4"/>
    <n v="1"/>
    <x v="1"/>
    <s v="Double"/>
    <s v="&lt;1/2&quot;"/>
    <n v="96"/>
    <n v="1363"/>
    <x v="2"/>
    <s v="False"/>
    <s v="True"/>
    <s v="4-6 stories"/>
    <n v="109.523429870605"/>
    <s v=""/>
  </r>
  <r>
    <n v="72004"/>
    <s v="wall_4"/>
    <n v="1"/>
    <x v="0"/>
    <s v="Double"/>
    <s v="&gt;=1/2&quot;"/>
    <n v="69"/>
    <n v="1520"/>
    <x v="0"/>
    <s v="False"/>
    <s v="False"/>
    <s v="4-6 stories"/>
    <n v="84.248786926269503"/>
    <s v=""/>
  </r>
  <r>
    <n v="72004"/>
    <s v="wall_5"/>
    <n v="2"/>
    <x v="1"/>
    <s v="Single"/>
    <m/>
    <n v="100"/>
    <n v="26"/>
    <x v="5"/>
    <s v="False"/>
    <s v="False"/>
    <s v="4-6 stories"/>
    <n v="84.248786926269503"/>
    <s v=""/>
  </r>
  <r>
    <n v="72005"/>
    <s v="wall_3"/>
    <n v="1"/>
    <x v="0"/>
    <s v="Double"/>
    <s v="&lt;1/2&quot;"/>
    <n v="100"/>
    <n v="1128"/>
    <x v="0"/>
    <s v="False"/>
    <s v="True"/>
    <s v="1-3 stories"/>
    <n v="91.269523620605497"/>
    <n v="91.269523620605497"/>
  </r>
  <r>
    <n v="72006"/>
    <s v="wall_4"/>
    <n v="1"/>
    <x v="0"/>
    <s v="Double"/>
    <s v="&gt;=1/2&quot;"/>
    <n v="93"/>
    <n v="1106"/>
    <x v="4"/>
    <s v="False"/>
    <s v="True"/>
    <s v="1-3 stories"/>
    <n v="91.269523620605497"/>
    <n v="91.269523620605497"/>
  </r>
  <r>
    <n v="72007"/>
    <s v="wall_3"/>
    <n v="1"/>
    <x v="0"/>
    <s v="Double"/>
    <s v="&gt;=1/2&quot;"/>
    <n v="100"/>
    <n v="1296"/>
    <x v="4"/>
    <s v="False"/>
    <s v="True"/>
    <s v="1-3 stories"/>
    <n v="91.269523620605497"/>
    <n v="91.269523620605497"/>
  </r>
  <r>
    <n v="72008"/>
    <s v="wall_4"/>
    <n v="1"/>
    <x v="1"/>
    <s v="Double"/>
    <s v="&gt;=1/2&quot;"/>
    <n v="100"/>
    <n v="853"/>
    <x v="2"/>
    <s v="False"/>
    <s v="True"/>
    <s v="1-3 stories"/>
    <n v="99.566741943359403"/>
    <n v="99.566741943359403"/>
  </r>
  <r>
    <n v="72009"/>
    <s v="wall_6"/>
    <n v="1"/>
    <x v="0"/>
    <s v="Double"/>
    <s v="&gt;=1/2&quot;"/>
    <n v="100"/>
    <n v="1198"/>
    <x v="4"/>
    <s v="False"/>
    <s v="True"/>
    <s v="1-3 stories"/>
    <n v="91.269523620605497"/>
    <n v="91.269523620605497"/>
  </r>
  <r>
    <n v="72009"/>
    <s v="wall_7"/>
    <n v="2"/>
    <x v="1"/>
    <s v="Single"/>
    <m/>
    <n v="17"/>
    <n v="167"/>
    <x v="5"/>
    <s v="False"/>
    <s v="False"/>
    <s v="1-3 stories"/>
    <n v="91.269523620605497"/>
    <n v="91.269523620605497"/>
  </r>
  <r>
    <n v="72010"/>
    <s v="wall_4"/>
    <n v="1"/>
    <x v="1"/>
    <s v="Single"/>
    <m/>
    <n v="100"/>
    <n v="1272"/>
    <x v="5"/>
    <s v="False"/>
    <s v="False"/>
    <s v="4-6 stories"/>
    <n v="91.269523620605497"/>
    <s v=""/>
  </r>
  <r>
    <n v="73001"/>
    <s v="wall_3"/>
    <n v="1"/>
    <x v="1"/>
    <s v="Single"/>
    <m/>
    <n v="100"/>
    <n v="1013"/>
    <x v="5"/>
    <s v="False"/>
    <s v="False"/>
    <s v="4-6 stories"/>
    <n v="60.846343994140597"/>
    <s v=""/>
  </r>
  <r>
    <n v="73001"/>
    <s v="wall_4"/>
    <n v="2"/>
    <x v="0"/>
    <s v="Double"/>
    <s v="&gt;=1/2&quot;"/>
    <n v="100"/>
    <n v="856"/>
    <x v="4"/>
    <s v="False"/>
    <s v="True"/>
    <s v="4-6 stories"/>
    <n v="60.846343994140597"/>
    <s v=""/>
  </r>
  <r>
    <n v="73002"/>
    <s v="wall_5"/>
    <n v="1"/>
    <x v="0"/>
    <s v="Double"/>
    <s v="&gt;=1/2&quot;"/>
    <n v="100"/>
    <n v="1528"/>
    <x v="4"/>
    <s v="False"/>
    <s v="True"/>
    <s v="4-6 stories"/>
    <n v="49.783370971679702"/>
    <s v=""/>
  </r>
  <r>
    <n v="73002"/>
    <s v="wall_6"/>
    <n v="2"/>
    <x v="1"/>
    <s v="Single"/>
    <m/>
    <n v="11"/>
    <n v="161"/>
    <x v="5"/>
    <s v="False"/>
    <s v="False"/>
    <s v="4-6 stories"/>
    <n v="49.783370971679702"/>
    <s v=""/>
  </r>
  <r>
    <n v="73002"/>
    <s v="wall_7"/>
    <n v="3"/>
    <x v="1"/>
    <s v="Double"/>
    <s v="&lt;1/2&quot;"/>
    <n v="100"/>
    <n v="60"/>
    <x v="2"/>
    <s v="False"/>
    <s v="True"/>
    <s v="4-6 stories"/>
    <n v="49.783370971679702"/>
    <s v=""/>
  </r>
  <r>
    <n v="73003"/>
    <s v="wall_4"/>
    <n v="1"/>
    <x v="0"/>
    <s v="Double"/>
    <s v="&gt;=1/2&quot;"/>
    <n v="100"/>
    <n v="1678"/>
    <x v="0"/>
    <s v="False"/>
    <s v="False"/>
    <s v="1-3 stories"/>
    <n v="60.846343994140597"/>
    <n v="60.846343994140597"/>
  </r>
  <r>
    <n v="73004"/>
    <s v="wall_3"/>
    <n v="1"/>
    <x v="0"/>
    <s v="Double"/>
    <s v="&gt;=1/2&quot;"/>
    <n v="100"/>
    <n v="1567"/>
    <x v="0"/>
    <s v="False"/>
    <s v="False"/>
    <s v="1-3 stories"/>
    <n v="57.643905639648402"/>
    <n v="57.643905639648402"/>
  </r>
  <r>
    <n v="73005"/>
    <s v="wall_3"/>
    <n v="1"/>
    <x v="1"/>
    <s v="Double"/>
    <s v="&gt;=1/2&quot;"/>
    <n v="90"/>
    <n v="1645"/>
    <x v="6"/>
    <s v="False"/>
    <s v="False"/>
    <s v="1-3 stories"/>
    <n v="54.761714935302699"/>
    <n v="54.761714935302699"/>
  </r>
  <r>
    <n v="73006"/>
    <s v="wall_3"/>
    <n v="1"/>
    <x v="0"/>
    <s v="Double"/>
    <s v="&gt;=1/2&quot;"/>
    <n v="96"/>
    <n v="906"/>
    <x v="0"/>
    <s v="False"/>
    <s v="False"/>
    <s v="1-3 stories"/>
    <n v="73.015617370605497"/>
    <n v="73.015617370605497"/>
  </r>
  <r>
    <n v="73006"/>
    <s v="wall_4"/>
    <n v="2"/>
    <x v="1"/>
    <s v="Single"/>
    <m/>
    <n v="58"/>
    <n v="781"/>
    <x v="5"/>
    <s v="False"/>
    <s v="False"/>
    <s v="1-3 stories"/>
    <n v="73.015617370605497"/>
    <n v="73.015617370605497"/>
  </r>
  <r>
    <n v="73007"/>
    <s v="wall_4"/>
    <n v="1"/>
    <x v="0"/>
    <s v="Double"/>
    <s v="&gt;=1/2&quot;"/>
    <n v="100"/>
    <n v="1720"/>
    <x v="0"/>
    <s v="False"/>
    <s v="False"/>
    <s v="1-3 stories"/>
    <n v="64.425544738769503"/>
    <n v="64.425544738769503"/>
  </r>
  <r>
    <n v="73008"/>
    <s v="wall_4"/>
    <n v="1"/>
    <x v="1"/>
    <s v="Double"/>
    <s v="&lt;1/2&quot;"/>
    <n v="100"/>
    <n v="1250"/>
    <x v="1"/>
    <s v="False"/>
    <s v="False"/>
    <s v="1-3 stories"/>
    <n v="52.154014587402301"/>
    <n v="52.154014587402301"/>
  </r>
  <r>
    <n v="73009"/>
    <s v="wall_3"/>
    <n v="1"/>
    <x v="0"/>
    <s v="Double"/>
    <s v="&lt;1/2&quot;"/>
    <n v="100"/>
    <n v="1802"/>
    <x v="0"/>
    <s v="False"/>
    <s v="True"/>
    <s v="4-6 stories"/>
    <n v="60.846343994140597"/>
    <s v=""/>
  </r>
  <r>
    <n v="73010"/>
    <s v="wall_5"/>
    <n v="1"/>
    <x v="0"/>
    <s v="Double"/>
    <s v="&gt;=1/2&quot;"/>
    <n v="100"/>
    <n v="1934"/>
    <x v="0"/>
    <s v="False"/>
    <s v="False"/>
    <s v="1-3 stories"/>
    <n v="52.154014587402301"/>
    <n v="52.154014587402301"/>
  </r>
  <r>
    <n v="73010"/>
    <s v="wall_6"/>
    <n v="2"/>
    <x v="1"/>
    <s v="Single"/>
    <m/>
    <n v="0"/>
    <n v="9"/>
    <x v="5"/>
    <s v="False"/>
    <s v="False"/>
    <s v="1-3 stories"/>
    <n v="52.154014587402301"/>
    <n v="52.154014587402301"/>
  </r>
  <r>
    <n v="74001"/>
    <s v="wall_4"/>
    <n v="1"/>
    <x v="0"/>
    <s v="Double"/>
    <s v="&lt;1/2&quot;"/>
    <n v="99"/>
    <n v="5150"/>
    <x v="3"/>
    <s v="False"/>
    <s v="False"/>
    <s v="4-6 stories"/>
    <n v="34.226070404052699"/>
    <s v=""/>
  </r>
  <r>
    <n v="74002"/>
    <s v="wall_5"/>
    <n v="1"/>
    <x v="0"/>
    <s v="Double"/>
    <s v="&lt;1/2&quot;"/>
    <n v="100"/>
    <n v="2280"/>
    <x v="0"/>
    <s v="False"/>
    <s v="True"/>
    <s v="4-6 stories"/>
    <n v="43.809371948242202"/>
    <s v=""/>
  </r>
  <r>
    <n v="74002"/>
    <s v="wall_6"/>
    <n v="3"/>
    <x v="0"/>
    <s v="Double"/>
    <s v="&gt;=1/2&quot;"/>
    <n v="0"/>
    <n v="112"/>
    <x v="4"/>
    <s v="False"/>
    <s v="True"/>
    <s v="4-6 stories"/>
    <n v="43.809371948242202"/>
    <s v=""/>
  </r>
  <r>
    <n v="74003"/>
    <s v="wall_3"/>
    <n v="1"/>
    <x v="1"/>
    <s v="Double"/>
    <s v="&lt;1/2&quot;"/>
    <n v="90"/>
    <n v="3161"/>
    <x v="2"/>
    <s v="False"/>
    <s v="True"/>
    <s v="1-3 stories"/>
    <n v="36.507808685302699"/>
    <n v="36.507808685302699"/>
  </r>
  <r>
    <n v="74003"/>
    <s v="wall_4"/>
    <n v="2"/>
    <x v="1"/>
    <s v="Double"/>
    <s v="&gt;=1/2&quot;"/>
    <n v="0"/>
    <n v="56"/>
    <x v="2"/>
    <s v="False"/>
    <s v="True"/>
    <s v="1-3 stories"/>
    <n v="36.507808685302699"/>
    <n v="36.507808685302699"/>
  </r>
  <r>
    <n v="74004"/>
    <s v="wall_3"/>
    <n v="1"/>
    <x v="1"/>
    <s v="Double"/>
    <s v="&lt;1/2&quot;"/>
    <n v="6"/>
    <n v="1726"/>
    <x v="2"/>
    <s v="False"/>
    <s v="True"/>
    <s v="1-3 stories"/>
    <n v="45.634761810302699"/>
    <n v="45.634761810302699"/>
  </r>
  <r>
    <n v="74005"/>
    <s v="wall_4"/>
    <n v="1"/>
    <x v="0"/>
    <s v="Double"/>
    <s v="&gt;=1/2&quot;"/>
    <n v="83"/>
    <n v="3399"/>
    <x v="0"/>
    <s v="False"/>
    <s v="False"/>
    <s v="1-3 stories"/>
    <n v="40.564231872558601"/>
    <n v="40.564231872558601"/>
  </r>
  <r>
    <n v="74005"/>
    <s v="wall_5"/>
    <n v="2"/>
    <x v="1"/>
    <s v="Double"/>
    <s v="&gt;=1/2&quot;"/>
    <n v="0"/>
    <n v="5"/>
    <x v="6"/>
    <s v="False"/>
    <s v="False"/>
    <s v="1-3 stories"/>
    <n v="40.564231872558601"/>
    <n v="40.564231872558601"/>
  </r>
  <r>
    <n v="74006"/>
    <s v="wall_3"/>
    <n v="1"/>
    <x v="0"/>
    <s v="Double"/>
    <s v="&gt;=1/2&quot;"/>
    <n v="100"/>
    <n v="1866"/>
    <x v="4"/>
    <s v="False"/>
    <s v="True"/>
    <s v="1-3 stories"/>
    <n v="47.6188774108887"/>
    <n v="47.6188774108887"/>
  </r>
  <r>
    <n v="74007"/>
    <s v="wall_4"/>
    <n v="1"/>
    <x v="1"/>
    <s v="Double"/>
    <s v="&lt;1/2&quot;"/>
    <n v="100"/>
    <n v="3918"/>
    <x v="1"/>
    <s v="False"/>
    <s v="False"/>
    <s v="4-6 stories"/>
    <n v="45.634761810302699"/>
    <s v=""/>
  </r>
  <r>
    <n v="74008"/>
    <s v="wall_4"/>
    <n v="1"/>
    <x v="0"/>
    <s v="Double"/>
    <s v="&gt;=1/2&quot;"/>
    <n v="95"/>
    <n v="1774"/>
    <x v="4"/>
    <s v="False"/>
    <s v="True"/>
    <s v="4-6 stories"/>
    <n v="33.188915252685497"/>
    <s v=""/>
  </r>
  <r>
    <n v="74008"/>
    <s v="wall_5"/>
    <n v="2"/>
    <x v="1"/>
    <s v="Double"/>
    <s v="&lt;1/2&quot;"/>
    <n v="50"/>
    <n v="90"/>
    <x v="2"/>
    <s v="False"/>
    <s v="True"/>
    <s v="4-6 stories"/>
    <n v="33.188915252685497"/>
    <s v=""/>
  </r>
  <r>
    <n v="74009"/>
    <s v="wall_3"/>
    <n v="1"/>
    <x v="1"/>
    <s v="Double"/>
    <s v="&lt;1/2&quot;"/>
    <n v="85"/>
    <n v="4496"/>
    <x v="1"/>
    <s v="False"/>
    <s v="False"/>
    <s v="4-6 stories"/>
    <n v="34.226070404052699"/>
    <s v=""/>
  </r>
  <r>
    <n v="74010"/>
    <s v="wall_4"/>
    <n v="1"/>
    <x v="1"/>
    <s v="Double"/>
    <s v="&gt;=1/2&quot;"/>
    <n v="100"/>
    <n v="3451"/>
    <x v="2"/>
    <s v="False"/>
    <s v="True"/>
    <s v="4-6 stories"/>
    <n v="31.292406082153299"/>
    <s v=""/>
  </r>
  <r>
    <n v="74011"/>
    <s v="wall_6"/>
    <n v="1"/>
    <x v="0"/>
    <s v="Double"/>
    <s v="&gt;=1/2&quot;"/>
    <n v="100"/>
    <n v="1424"/>
    <x v="0"/>
    <s v="False"/>
    <s v="False"/>
    <s v="1-3 stories"/>
    <n v="31.292406082153299"/>
    <n v="31.292406082153299"/>
  </r>
  <r>
    <n v="74011"/>
    <s v="wall_7"/>
    <n v="2"/>
    <x v="1"/>
    <s v="Double"/>
    <s v="&gt;=1/2&quot;"/>
    <n v="48"/>
    <n v="138"/>
    <x v="6"/>
    <s v="False"/>
    <s v="False"/>
    <s v="1-3 stories"/>
    <n v="31.292406082153299"/>
    <n v="31.292406082153299"/>
  </r>
  <r>
    <n v="74012"/>
    <s v="wall_4"/>
    <n v="1"/>
    <x v="1"/>
    <s v="Single"/>
    <m/>
    <n v="100"/>
    <n v="3939"/>
    <x v="5"/>
    <s v="False"/>
    <s v="False"/>
    <s v="4-6 stories"/>
    <n v="36.507808685302699"/>
    <s v=""/>
  </r>
  <r>
    <n v="74012"/>
    <s v="wall_5"/>
    <n v="2"/>
    <x v="0"/>
    <s v="Double"/>
    <s v="&gt;=1/2&quot;"/>
    <n v="0"/>
    <n v="84"/>
    <x v="0"/>
    <s v="False"/>
    <s v="False"/>
    <s v="4-6 stories"/>
    <n v="36.507808685302699"/>
    <s v=""/>
  </r>
  <r>
    <n v="74013"/>
    <s v="wall_5"/>
    <n v="1"/>
    <x v="0"/>
    <s v="Double"/>
    <s v="&gt;=1/2&quot;"/>
    <n v="88"/>
    <n v="4318"/>
    <x v="4"/>
    <s v="False"/>
    <s v="True"/>
    <s v="4-6 stories"/>
    <n v="34.226070404052699"/>
    <s v=""/>
  </r>
  <r>
    <n v="74013"/>
    <s v="wall_6"/>
    <n v="2"/>
    <x v="1"/>
    <s v="Double"/>
    <s v="&gt;=1/2&quot;"/>
    <n v="50"/>
    <n v="785"/>
    <x v="2"/>
    <s v="False"/>
    <s v="True"/>
    <s v="4-6 stories"/>
    <n v="34.226070404052699"/>
    <s v=""/>
  </r>
  <r>
    <n v="74014"/>
    <s v="wall_5"/>
    <n v="1"/>
    <x v="1"/>
    <s v="Single"/>
    <m/>
    <n v="95"/>
    <n v="3513"/>
    <x v="5"/>
    <s v="False"/>
    <s v="False"/>
    <s v="4-6 stories"/>
    <n v="42.124393463134801"/>
    <s v=""/>
  </r>
  <r>
    <n v="74015"/>
    <s v="wall_3"/>
    <n v="1"/>
    <x v="1"/>
    <s v="Double"/>
    <s v="&lt;1/2&quot;"/>
    <n v="100"/>
    <n v="1460"/>
    <x v="1"/>
    <s v="False"/>
    <s v="False"/>
    <s v="1-3 stories"/>
    <n v="40.564231872558601"/>
    <n v="40.564231872558601"/>
  </r>
  <r>
    <n v="75001"/>
    <s v="wall_3"/>
    <n v="1"/>
    <x v="1"/>
    <s v="Double"/>
    <s v="&gt;=1/2&quot;"/>
    <n v="100"/>
    <n v="1414"/>
    <x v="6"/>
    <s v="False"/>
    <s v="False"/>
    <s v="1-3 stories"/>
    <n v="28.821952819824201"/>
    <n v="28.821952819824201"/>
  </r>
  <r>
    <n v="75001"/>
    <s v="wall_4"/>
    <n v="2"/>
    <x v="1"/>
    <s v="Double"/>
    <s v="&gt;=1/2&quot;"/>
    <n v="13"/>
    <n v="332"/>
    <x v="2"/>
    <s v="False"/>
    <s v="True"/>
    <s v="1-3 stories"/>
    <n v="28.821952819824201"/>
    <n v="28.821952819824201"/>
  </r>
  <r>
    <n v="75002"/>
    <s v="wall_3"/>
    <n v="1"/>
    <x v="1"/>
    <s v="Double"/>
    <s v="&gt;=1/2&quot;"/>
    <n v="94"/>
    <n v="5930"/>
    <x v="2"/>
    <s v="False"/>
    <s v="True"/>
    <s v="7+ stories"/>
    <n v="20.2821159362793"/>
    <s v=""/>
  </r>
  <r>
    <n v="75002"/>
    <s v="wall_4"/>
    <n v="2"/>
    <x v="0"/>
    <s v="Double"/>
    <s v="&gt;=1/2&quot;"/>
    <n v="94"/>
    <n v="3591"/>
    <x v="4"/>
    <s v="False"/>
    <s v="True"/>
    <s v="7+ stories"/>
    <n v="20.2821159362793"/>
    <s v=""/>
  </r>
  <r>
    <n v="75002"/>
    <s v="wall_5"/>
    <n v="3"/>
    <x v="1"/>
    <s v="Single"/>
    <m/>
    <n v="8"/>
    <n v="773"/>
    <x v="5"/>
    <s v="False"/>
    <s v="False"/>
    <s v="7+ stories"/>
    <n v="20.2821159362793"/>
    <s v=""/>
  </r>
  <r>
    <n v="75003"/>
    <s v="wall_4"/>
    <n v="1"/>
    <x v="1"/>
    <s v="Double"/>
    <s v="&lt;1/2&quot;"/>
    <n v="100"/>
    <n v="3680"/>
    <x v="2"/>
    <s v="False"/>
    <s v="True"/>
    <s v="4-6 stories"/>
    <n v="18.883348464965799"/>
    <s v=""/>
  </r>
  <r>
    <n v="75003"/>
    <s v="wall_5"/>
    <n v="2"/>
    <x v="0"/>
    <s v="Double"/>
    <s v="&lt;1/2&quot;"/>
    <n v="100"/>
    <n v="112"/>
    <x v="0"/>
    <s v="False"/>
    <s v="True"/>
    <s v="4-6 stories"/>
    <n v="18.883348464965799"/>
    <s v=""/>
  </r>
  <r>
    <n v="75004"/>
    <s v="wall_4"/>
    <n v="1"/>
    <x v="1"/>
    <s v="Double"/>
    <s v="&gt;=1/2&quot;"/>
    <n v="60"/>
    <n v="4240"/>
    <x v="2"/>
    <s v="False"/>
    <s v="True"/>
    <s v="1-3 stories"/>
    <n v="19.557754516601602"/>
    <n v="19.557754516601602"/>
  </r>
  <r>
    <n v="75005"/>
    <s v="wall_5"/>
    <n v="1"/>
    <x v="1"/>
    <s v="Double"/>
    <s v="&gt;=1/2&quot;"/>
    <n v="100"/>
    <n v="4553"/>
    <x v="6"/>
    <s v="False"/>
    <s v="False"/>
    <s v="4-6 stories"/>
    <n v="22.817380905151399"/>
    <s v=""/>
  </r>
  <r>
    <n v="75005"/>
    <s v="wall_6"/>
    <n v="2"/>
    <x v="0"/>
    <s v="Double"/>
    <s v="&gt;=1/2&quot;"/>
    <n v="100"/>
    <n v="128"/>
    <x v="4"/>
    <s v="False"/>
    <s v="True"/>
    <s v="4-6 stories"/>
    <n v="22.817380905151399"/>
    <s v=""/>
  </r>
  <r>
    <n v="75006"/>
    <s v="wall_4"/>
    <n v="1"/>
    <x v="1"/>
    <s v="Double"/>
    <s v="&gt;=1/2&quot;"/>
    <n v="100"/>
    <n v="2898"/>
    <x v="6"/>
    <s v="False"/>
    <s v="False"/>
    <s v="4-6 stories"/>
    <n v="22.351718902587901"/>
    <s v=""/>
  </r>
  <r>
    <n v="75006"/>
    <s v="wall_5"/>
    <n v="2"/>
    <x v="0"/>
    <s v="Single"/>
    <m/>
    <n v="12"/>
    <n v="414"/>
    <x v="8"/>
    <s v="False"/>
    <s v="False"/>
    <s v="4-6 stories"/>
    <n v="22.351718902587901"/>
    <s v=""/>
  </r>
  <r>
    <n v="75007"/>
    <s v="wall_5"/>
    <n v="1"/>
    <x v="0"/>
    <s v="Double"/>
    <s v="&gt;=1/2&quot;"/>
    <n v="90"/>
    <n v="4164"/>
    <x v="4"/>
    <s v="False"/>
    <s v="True"/>
    <s v="4-6 stories"/>
    <n v="21.062196731567401"/>
    <s v=""/>
  </r>
  <r>
    <n v="75007"/>
    <s v="wall_6"/>
    <n v="2"/>
    <x v="1"/>
    <s v="Double"/>
    <s v="&lt;1/2&quot;"/>
    <n v="20"/>
    <n v="1156"/>
    <x v="2"/>
    <s v="False"/>
    <s v="True"/>
    <s v="4-6 stories"/>
    <n v="21.062196731567401"/>
    <s v=""/>
  </r>
  <r>
    <n v="75008"/>
    <s v="wall_5"/>
    <n v="1"/>
    <x v="0"/>
    <s v="Double"/>
    <s v="&gt;=1/2&quot;"/>
    <n v="81"/>
    <n v="3632"/>
    <x v="4"/>
    <s v="False"/>
    <s v="True"/>
    <s v="1-3 stories"/>
    <n v="26.7130317687988"/>
    <n v="26.7130317687988"/>
  </r>
  <r>
    <n v="75009"/>
    <s v="wall_6"/>
    <n v="1"/>
    <x v="0"/>
    <s v="Double"/>
    <s v="&gt;=1/2&quot;"/>
    <n v="100"/>
    <n v="2000"/>
    <x v="4"/>
    <s v="False"/>
    <s v="True"/>
    <s v="1-3 stories"/>
    <n v="28.082929611206101"/>
    <n v="28.082929611206101"/>
  </r>
  <r>
    <n v="75009"/>
    <s v="wall_7"/>
    <n v="2"/>
    <x v="0"/>
    <s v="Single"/>
    <m/>
    <n v="80"/>
    <n v="1333"/>
    <x v="8"/>
    <s v="False"/>
    <s v="False"/>
    <s v="1-3 stories"/>
    <n v="28.082929611206101"/>
    <n v="28.082929611206101"/>
  </r>
  <r>
    <n v="75010"/>
    <s v="wall_4"/>
    <n v="1"/>
    <x v="1"/>
    <s v="Double"/>
    <s v="&lt;1/2&quot;"/>
    <n v="98"/>
    <n v="3483"/>
    <x v="1"/>
    <s v="False"/>
    <s v="False"/>
    <s v="1-3 stories"/>
    <n v="30.423171997070298"/>
    <n v="30.423171997070298"/>
  </r>
  <r>
    <n v="75011"/>
    <s v="wall_4"/>
    <n v="1"/>
    <x v="0"/>
    <s v="Double"/>
    <s v="&gt;=1/2&quot;"/>
    <n v="95"/>
    <n v="4690"/>
    <x v="4"/>
    <s v="False"/>
    <s v="True"/>
    <s v="4-6 stories"/>
    <n v="23.3028564453125"/>
    <s v=""/>
  </r>
  <r>
    <n v="75011"/>
    <s v="wall_5"/>
    <n v="2"/>
    <x v="1"/>
    <s v="Double"/>
    <s v="&gt;=1/2&quot;"/>
    <n v="100"/>
    <n v="40"/>
    <x v="6"/>
    <s v="False"/>
    <s v="False"/>
    <s v="4-6 stories"/>
    <n v="23.3028564453125"/>
    <s v=""/>
  </r>
  <r>
    <n v="75012"/>
    <s v="wall_4"/>
    <n v="1"/>
    <x v="0"/>
    <s v="Double"/>
    <s v="&gt;=1/2&quot;"/>
    <n v="100"/>
    <n v="1455"/>
    <x v="0"/>
    <s v="False"/>
    <s v="False"/>
    <s v="1-3 stories"/>
    <n v="24.338537216186499"/>
    <n v="24.338537216186499"/>
  </r>
  <r>
    <n v="75012"/>
    <s v="wall_5"/>
    <n v="2"/>
    <x v="0"/>
    <s v="Single"/>
    <m/>
    <n v="0"/>
    <n v="87"/>
    <x v="8"/>
    <s v="False"/>
    <s v="False"/>
    <s v="1-3 stories"/>
    <n v="24.338537216186499"/>
    <n v="24.338537216186499"/>
  </r>
  <r>
    <n v="75013"/>
    <s v="wall_4"/>
    <n v="1"/>
    <x v="0"/>
    <s v="Double"/>
    <s v="&gt;=1/2&quot;"/>
    <n v="100"/>
    <n v="2221"/>
    <x v="4"/>
    <s v="False"/>
    <s v="True"/>
    <s v="4-6 stories"/>
    <n v="19.214635848998999"/>
    <s v=""/>
  </r>
  <r>
    <n v="75013"/>
    <s v="wall_5"/>
    <n v="2"/>
    <x v="1"/>
    <s v="Double"/>
    <s v="&lt;1/2&quot;"/>
    <n v="61"/>
    <n v="1141"/>
    <x v="1"/>
    <s v="False"/>
    <s v="False"/>
    <s v="4-6 stories"/>
    <n v="19.214635848998999"/>
    <s v=""/>
  </r>
  <r>
    <n v="76001"/>
    <s v="wall_3"/>
    <n v="1"/>
    <x v="0"/>
    <s v="Single"/>
    <m/>
    <n v="97"/>
    <n v="7066"/>
    <x v="8"/>
    <s v="False"/>
    <s v="False"/>
    <s v="4-6 stories"/>
    <n v="14.800462722778301"/>
    <s v=""/>
  </r>
  <r>
    <n v="76002"/>
    <s v="wall_3"/>
    <n v="1"/>
    <x v="1"/>
    <s v="Single"/>
    <m/>
    <n v="32"/>
    <n v="19224"/>
    <x v="5"/>
    <s v="False"/>
    <s v="False"/>
    <s v="4-6 stories"/>
    <n v="13.0385036468506"/>
    <s v=""/>
  </r>
  <r>
    <n v="76003"/>
    <s v="wall_5"/>
    <n v="1"/>
    <x v="1"/>
    <s v="Double"/>
    <s v="&gt;=1/2&quot;"/>
    <n v="99"/>
    <n v="8993"/>
    <x v="2"/>
    <s v="False"/>
    <s v="True"/>
    <s v="7+ stories"/>
    <n v="13.195593833923301"/>
    <s v=""/>
  </r>
  <r>
    <n v="76003"/>
    <s v="wall_6"/>
    <n v="2"/>
    <x v="0"/>
    <s v="Single"/>
    <m/>
    <n v="25"/>
    <n v="163"/>
    <x v="8"/>
    <s v="False"/>
    <s v="False"/>
    <s v="7+ stories"/>
    <n v="13.195593833923301"/>
    <s v=""/>
  </r>
  <r>
    <n v="76004"/>
    <s v="wall_5"/>
    <n v="1"/>
    <x v="0"/>
    <s v="Double"/>
    <s v="&gt;=1/2&quot;"/>
    <n v="42"/>
    <n v="10443"/>
    <x v="4"/>
    <s v="False"/>
    <s v="True"/>
    <s v="4-6 stories"/>
    <n v="11.6514282226563"/>
    <s v=""/>
  </r>
  <r>
    <n v="76004"/>
    <s v="wall_6"/>
    <n v="2"/>
    <x v="1"/>
    <s v="Double"/>
    <s v="&lt;1/2&quot;"/>
    <n v="2"/>
    <n v="132"/>
    <x v="2"/>
    <s v="False"/>
    <s v="True"/>
    <s v="4-6 stories"/>
    <n v="11.6514282226563"/>
    <s v=""/>
  </r>
  <r>
    <n v="76004"/>
    <s v="wall_7"/>
    <n v="3"/>
    <x v="2"/>
    <m/>
    <m/>
    <n v="0"/>
    <n v="33"/>
    <x v="9"/>
    <s v="False"/>
    <s v="False"/>
    <s v="4-6 stories"/>
    <n v="11.6514282226563"/>
    <s v=""/>
  </r>
  <r>
    <n v="76005"/>
    <s v="wall_3"/>
    <n v="1"/>
    <x v="0"/>
    <s v="Double"/>
    <s v="&gt;=1/2&quot;"/>
    <n v="93"/>
    <n v="5373"/>
    <x v="4"/>
    <s v="False"/>
    <s v="True"/>
    <s v="4-6 stories"/>
    <n v="17.665067672729499"/>
    <s v=""/>
  </r>
  <r>
    <n v="76006"/>
    <s v="wall_4"/>
    <n v="1"/>
    <x v="0"/>
    <s v="Double"/>
    <s v="&gt;=1/2&quot;"/>
    <n v="100"/>
    <n v="4760"/>
    <x v="4"/>
    <s v="False"/>
    <s v="True"/>
    <s v="7+ stories"/>
    <n v="13.3565158843994"/>
    <s v=""/>
  </r>
  <r>
    <n v="76006"/>
    <s v="wall_5"/>
    <n v="2"/>
    <x v="1"/>
    <s v="Double"/>
    <s v="&gt;=1/2&quot;"/>
    <n v="100"/>
    <n v="430"/>
    <x v="2"/>
    <s v="False"/>
    <s v="True"/>
    <s v="7+ stories"/>
    <n v="13.3565158843994"/>
    <s v=""/>
  </r>
  <r>
    <n v="76006"/>
    <s v="wall_6"/>
    <n v="3"/>
    <x v="1"/>
    <s v="Single"/>
    <m/>
    <n v="18"/>
    <n v="724"/>
    <x v="5"/>
    <s v="False"/>
    <s v="False"/>
    <s v="7+ stories"/>
    <n v="13.3565158843994"/>
    <s v=""/>
  </r>
  <r>
    <n v="76007"/>
    <s v="wall_6"/>
    <n v="1"/>
    <x v="0"/>
    <s v="Double"/>
    <s v="&gt;=1/2&quot;"/>
    <n v="90"/>
    <n v="3350"/>
    <x v="4"/>
    <s v="False"/>
    <s v="True"/>
    <s v="4-6 stories"/>
    <n v="13.195593833923301"/>
    <s v=""/>
  </r>
  <r>
    <n v="76007"/>
    <s v="wall_7"/>
    <n v="2"/>
    <x v="1"/>
    <s v="Double"/>
    <s v="&gt;=1/2&quot;"/>
    <n v="9"/>
    <n v="1100"/>
    <x v="2"/>
    <s v="False"/>
    <s v="True"/>
    <s v="4-6 stories"/>
    <n v="13.195593833923301"/>
    <s v=""/>
  </r>
  <r>
    <n v="76007"/>
    <s v="wall_8"/>
    <n v="3"/>
    <x v="0"/>
    <s v="Double"/>
    <s v="&gt;=1/2&quot;"/>
    <n v="0"/>
    <n v="50"/>
    <x v="0"/>
    <s v="False"/>
    <s v="False"/>
    <s v="4-6 stories"/>
    <n v="13.195593833923301"/>
    <s v=""/>
  </r>
  <r>
    <n v="76008"/>
    <s v="wall_4"/>
    <n v="1"/>
    <x v="0"/>
    <s v="Double"/>
    <s v="&gt;=1/2&quot;"/>
    <n v="95"/>
    <n v="6700"/>
    <x v="4"/>
    <s v="False"/>
    <s v="True"/>
    <s v="7+ stories"/>
    <n v="12.169268608093301"/>
    <s v=""/>
  </r>
  <r>
    <n v="76009"/>
    <s v="wall_3"/>
    <n v="1"/>
    <x v="1"/>
    <s v="Double"/>
    <s v="&gt;=1/2&quot;"/>
    <n v="100"/>
    <n v="3488"/>
    <x v="6"/>
    <s v="False"/>
    <s v="False"/>
    <s v="1-3 stories"/>
    <n v="16.346778869628899"/>
    <n v="16.346778869628899"/>
  </r>
  <r>
    <n v="76010"/>
    <s v="wall_6"/>
    <n v="1"/>
    <x v="0"/>
    <s v="Double"/>
    <s v="&gt;=1/2&quot;"/>
    <n v="100"/>
    <n v="8839"/>
    <x v="4"/>
    <s v="False"/>
    <s v="True"/>
    <s v="1-3 stories"/>
    <n v="16.106386184692401"/>
    <n v="16.106386184692401"/>
  </r>
  <r>
    <n v="76010"/>
    <s v="wall_7"/>
    <n v="3"/>
    <x v="1"/>
    <s v="Single"/>
    <m/>
    <n v="15"/>
    <n v="665"/>
    <x v="5"/>
    <s v="False"/>
    <s v="False"/>
    <s v="1-3 stories"/>
    <n v="16.106386184692401"/>
    <n v="16.106386184692401"/>
  </r>
  <r>
    <n v="76011"/>
    <s v="wall_4"/>
    <n v="1"/>
    <x v="0"/>
    <s v="Double"/>
    <s v="&gt;=1/2&quot;"/>
    <n v="95"/>
    <n v="6491"/>
    <x v="4"/>
    <s v="False"/>
    <s v="True"/>
    <s v="7+ stories"/>
    <n v="12.169268608093301"/>
    <s v=""/>
  </r>
  <r>
    <n v="76012"/>
    <s v="wall_4"/>
    <n v="1"/>
    <x v="0"/>
    <s v="Double"/>
    <s v="&gt;=1/2&quot;"/>
    <n v="96"/>
    <n v="11674"/>
    <x v="4"/>
    <s v="False"/>
    <s v="True"/>
    <s v="4-6 stories"/>
    <n v="12.445842742919901"/>
    <s v=""/>
  </r>
  <r>
    <n v="76012"/>
    <s v="wall_5"/>
    <n v="2"/>
    <x v="1"/>
    <s v="Double"/>
    <s v="&gt;=1/2&quot;"/>
    <n v="62"/>
    <n v="65"/>
    <x v="2"/>
    <s v="False"/>
    <s v="True"/>
    <s v="4-6 stories"/>
    <n v="12.445842742919901"/>
    <s v=""/>
  </r>
  <r>
    <n v="76013"/>
    <s v="wall_5"/>
    <n v="1"/>
    <x v="0"/>
    <s v="Double"/>
    <s v="&gt;=1/2&quot;"/>
    <n v="85"/>
    <n v="7410"/>
    <x v="4"/>
    <s v="False"/>
    <s v="True"/>
    <s v="4-6 stories"/>
    <n v="14.2238216400146"/>
    <s v=""/>
  </r>
  <r>
    <n v="77001"/>
    <s v="wall_4"/>
    <n v="1"/>
    <x v="0"/>
    <s v="Double"/>
    <s v="&gt;=1/2&quot;"/>
    <n v="99"/>
    <n v="6549"/>
    <x v="4"/>
    <s v="False"/>
    <s v="True"/>
    <s v="4-6 stories"/>
    <n v="8.6923351287841797"/>
    <s v=""/>
  </r>
  <r>
    <n v="77001"/>
    <s v="wall_5"/>
    <n v="2"/>
    <x v="1"/>
    <s v="Double"/>
    <s v="&gt;=1/2&quot;"/>
    <n v="8"/>
    <n v="2083"/>
    <x v="2"/>
    <s v="False"/>
    <s v="True"/>
    <s v="4-6 stories"/>
    <n v="8.6923351287841797"/>
    <s v=""/>
  </r>
  <r>
    <n v="77001"/>
    <s v="wall_6"/>
    <n v="3"/>
    <x v="0"/>
    <s v="Double"/>
    <s v="&gt;=1/2&quot;"/>
    <n v="100"/>
    <n v="20"/>
    <x v="0"/>
    <s v="False"/>
    <s v="False"/>
    <s v="4-6 stories"/>
    <n v="8.6923351287841797"/>
    <s v=""/>
  </r>
  <r>
    <n v="77002"/>
    <s v="wall_4"/>
    <n v="1"/>
    <x v="1"/>
    <s v="Single"/>
    <m/>
    <n v="99"/>
    <n v="21658"/>
    <x v="5"/>
    <s v="False"/>
    <s v="False"/>
    <s v="7+ stories"/>
    <n v="8.0531930923461896"/>
    <s v=""/>
  </r>
  <r>
    <n v="77003"/>
    <s v="wall_5"/>
    <n v="1"/>
    <x v="0"/>
    <s v="Double"/>
    <s v="&gt;=1/2&quot;"/>
    <n v="100"/>
    <n v="14290"/>
    <x v="4"/>
    <s v="False"/>
    <s v="True"/>
    <s v="4-6 stories"/>
    <n v="8.8325338363647496"/>
    <s v=""/>
  </r>
  <r>
    <n v="77003"/>
    <s v="wall_6"/>
    <n v="2"/>
    <x v="1"/>
    <s v="Double"/>
    <s v="&gt;=1/2&quot;"/>
    <n v="75"/>
    <n v="381"/>
    <x v="6"/>
    <s v="False"/>
    <s v="False"/>
    <s v="4-6 stories"/>
    <n v="8.8325338363647496"/>
    <s v=""/>
  </r>
  <r>
    <n v="77003"/>
    <s v="wall_7"/>
    <n v="3"/>
    <x v="1"/>
    <s v="Single"/>
    <m/>
    <n v="0"/>
    <n v="672"/>
    <x v="5"/>
    <s v="False"/>
    <s v="False"/>
    <s v="4-6 stories"/>
    <n v="8.8325338363647496"/>
    <s v=""/>
  </r>
  <r>
    <n v="77004"/>
    <s v="wall_5"/>
    <n v="1"/>
    <x v="0"/>
    <s v="Double"/>
    <s v="&gt;=1/2&quot;"/>
    <n v="78"/>
    <n v="10813"/>
    <x v="4"/>
    <s v="False"/>
    <s v="True"/>
    <s v="1-3 stories"/>
    <n v="6.93186235427856"/>
    <n v="6.93186235427856"/>
  </r>
  <r>
    <n v="77005"/>
    <s v="wall_6"/>
    <n v="1"/>
    <x v="1"/>
    <s v="Double"/>
    <s v="&gt;=1/2&quot;"/>
    <n v="50"/>
    <n v="18753"/>
    <x v="2"/>
    <s v="False"/>
    <s v="True"/>
    <s v="7+ stories"/>
    <n v="6.4425539970397896"/>
    <s v=""/>
  </r>
  <r>
    <n v="77006"/>
    <s v="wall_3"/>
    <n v="1"/>
    <x v="0"/>
    <s v="Double"/>
    <s v="&gt;=1/2&quot;"/>
    <n v="77"/>
    <n v="17230"/>
    <x v="4"/>
    <s v="False"/>
    <s v="True"/>
    <s v="7+ stories"/>
    <n v="6.84521436691284"/>
    <s v=""/>
  </r>
  <r>
    <n v="77006"/>
    <s v="wall_4"/>
    <n v="2"/>
    <x v="1"/>
    <s v="Double"/>
    <s v="&gt;=1/2&quot;"/>
    <n v="22"/>
    <n v="978"/>
    <x v="2"/>
    <s v="False"/>
    <s v="True"/>
    <s v="7+ stories"/>
    <n v="6.84521436691284"/>
    <s v=""/>
  </r>
  <r>
    <n v="77007"/>
    <s v="wall_5"/>
    <n v="1"/>
    <x v="0"/>
    <s v="Double"/>
    <s v="&gt;=1/2&quot;"/>
    <n v="84"/>
    <n v="11581"/>
    <x v="4"/>
    <s v="False"/>
    <s v="True"/>
    <s v="4-6 stories"/>
    <n v="8.1733894348144496"/>
    <s v=""/>
  </r>
  <r>
    <n v="77008"/>
    <s v="wall_4"/>
    <n v="1"/>
    <x v="1"/>
    <s v="Single"/>
    <m/>
    <n v="100"/>
    <n v="6164"/>
    <x v="5"/>
    <s v="False"/>
    <s v="False"/>
    <s v="7+ stories"/>
    <n v="9.7788772583007795"/>
    <s v=""/>
  </r>
  <r>
    <n v="77008"/>
    <s v="wall_5"/>
    <n v="2"/>
    <x v="1"/>
    <s v="Single"/>
    <m/>
    <n v="7"/>
    <n v="495"/>
    <x v="5"/>
    <s v="False"/>
    <s v="False"/>
    <s v="7+ stories"/>
    <n v="9.7788772583007795"/>
    <s v=""/>
  </r>
  <r>
    <n v="77009"/>
    <s v="wall_5"/>
    <n v="1"/>
    <x v="0"/>
    <s v="Double"/>
    <s v="&gt;=1/2&quot;"/>
    <n v="94"/>
    <n v="16265"/>
    <x v="4"/>
    <s v="False"/>
    <s v="True"/>
    <s v="4-6 stories"/>
    <n v="7.5016040802001998"/>
    <s v=""/>
  </r>
  <r>
    <n v="77009"/>
    <s v="wall_6"/>
    <n v="2"/>
    <x v="0"/>
    <s v="Double"/>
    <s v="&gt;=1/2&quot;"/>
    <n v="5"/>
    <n v="1487"/>
    <x v="4"/>
    <s v="False"/>
    <s v="True"/>
    <s v="4-6 stories"/>
    <n v="7.5016040802001998"/>
    <s v=""/>
  </r>
  <r>
    <n v="77009"/>
    <s v="wall_7"/>
    <n v="3"/>
    <x v="1"/>
    <s v="Double"/>
    <s v="&gt;=1/2&quot;"/>
    <n v="100"/>
    <n v="84"/>
    <x v="2"/>
    <s v="False"/>
    <s v="True"/>
    <s v="4-6 stories"/>
    <n v="7.5016040802001998"/>
    <s v=""/>
  </r>
  <r>
    <n v="77010"/>
    <s v="wall_6"/>
    <n v="1"/>
    <x v="0"/>
    <s v="Double"/>
    <s v="&gt;=1/2&quot;"/>
    <n v="95"/>
    <n v="20335"/>
    <x v="4"/>
    <s v="False"/>
    <s v="True"/>
    <s v="7+ stories"/>
    <n v="9.3609762191772496"/>
    <s v=""/>
  </r>
  <r>
    <n v="77010"/>
    <s v="wall_7"/>
    <n v="2"/>
    <x v="1"/>
    <s v="Double"/>
    <s v="&gt;=1/2&quot;"/>
    <n v="15"/>
    <n v="2432"/>
    <x v="2"/>
    <s v="False"/>
    <s v="True"/>
    <s v="7+ stories"/>
    <n v="9.3609762191772496"/>
    <s v=""/>
  </r>
  <r>
    <n v="77011"/>
    <s v="wall_5"/>
    <n v="1"/>
    <x v="0"/>
    <s v="Double"/>
    <s v="&gt;=1/2&quot;"/>
    <n v="100"/>
    <n v="7149"/>
    <x v="4"/>
    <s v="False"/>
    <s v="True"/>
    <s v="7+ stories"/>
    <n v="8.8325338363647496"/>
    <s v=""/>
  </r>
  <r>
    <n v="78001"/>
    <s v="wall_3"/>
    <n v="1"/>
    <x v="1"/>
    <s v="Double"/>
    <s v="&gt;=1/2&quot;"/>
    <n v="9"/>
    <n v="115562"/>
    <x v="2"/>
    <s v="False"/>
    <s v="True"/>
    <s v="7+ stories"/>
    <n v="4.0715026855468803"/>
    <s v=""/>
  </r>
  <r>
    <n v="78001"/>
    <s v="wall_4"/>
    <n v="2"/>
    <x v="1"/>
    <s v="Double"/>
    <s v="&gt;=1/2&quot;"/>
    <n v="4"/>
    <n v="3266"/>
    <x v="2"/>
    <s v="False"/>
    <s v="True"/>
    <s v="7+ stories"/>
    <n v="4.0715026855468803"/>
    <s v=""/>
  </r>
  <r>
    <n v="78002"/>
    <s v="wall_5"/>
    <n v="1"/>
    <x v="0"/>
    <s v="Double"/>
    <s v="&gt;=1/2&quot;"/>
    <n v="90"/>
    <n v="41747"/>
    <x v="4"/>
    <s v="False"/>
    <s v="True"/>
    <s v="7+ stories"/>
    <n v="4.95581102371216"/>
    <s v=""/>
  </r>
  <r>
    <n v="78002"/>
    <s v="wall_6"/>
    <n v="2"/>
    <x v="1"/>
    <s v="Double"/>
    <s v="&gt;=1/2&quot;"/>
    <n v="48"/>
    <n v="2378"/>
    <x v="2"/>
    <s v="False"/>
    <s v="True"/>
    <s v="7+ stories"/>
    <n v="4.95581102371216"/>
    <s v=""/>
  </r>
  <r>
    <n v="78003"/>
    <s v="wall_5"/>
    <n v="1"/>
    <x v="0"/>
    <s v="Double"/>
    <s v="&gt;=1/2&quot;"/>
    <n v="90"/>
    <n v="14106"/>
    <x v="4"/>
    <s v="False"/>
    <s v="True"/>
    <s v="7+ stories"/>
    <n v="5.8568677902221697"/>
    <s v=""/>
  </r>
  <r>
    <n v="78004"/>
    <s v="wall_5"/>
    <n v="1"/>
    <x v="0"/>
    <s v="Double"/>
    <s v="&gt;=1/2&quot;"/>
    <n v="5"/>
    <n v="14126"/>
    <x v="4"/>
    <s v="False"/>
    <s v="True"/>
    <s v="7+ stories"/>
    <n v="4.3634829521179199"/>
    <s v=""/>
  </r>
  <r>
    <n v="78005"/>
    <s v="wall_4"/>
    <n v="1"/>
    <x v="1"/>
    <s v="Double"/>
    <s v="&gt;=1/2&quot;"/>
    <n v="10"/>
    <n v="123090"/>
    <x v="2"/>
    <s v="False"/>
    <s v="True"/>
    <s v="7+ stories"/>
    <n v="3.0765006542205802"/>
    <s v=""/>
  </r>
  <r>
    <n v="78006"/>
    <s v="wall_4"/>
    <n v="1"/>
    <x v="0"/>
    <s v="Double"/>
    <s v="&gt;=1/2&quot;"/>
    <n v="93"/>
    <n v="31011"/>
    <x v="4"/>
    <s v="False"/>
    <s v="True"/>
    <s v="7+ stories"/>
    <n v="3.1203253269195601"/>
    <s v=""/>
  </r>
  <r>
    <n v="78006"/>
    <s v="wall_5"/>
    <n v="2"/>
    <x v="1"/>
    <s v="Double"/>
    <s v="&lt;1/2&quot;"/>
    <n v="25"/>
    <n v="1356"/>
    <x v="2"/>
    <s v="False"/>
    <s v="True"/>
    <s v="7+ stories"/>
    <n v="3.1203253269195601"/>
    <s v=""/>
  </r>
  <r>
    <n v="78007"/>
    <s v="wall_4"/>
    <n v="1"/>
    <x v="0"/>
    <s v="Double"/>
    <s v="&gt;=1/2&quot;"/>
    <n v="88"/>
    <n v="14502"/>
    <x v="4"/>
    <s v="False"/>
    <s v="True"/>
    <s v="4-6 stories"/>
    <n v="5.31667137145996"/>
    <s v=""/>
  </r>
  <r>
    <n v="78007"/>
    <s v="wall_5"/>
    <n v="2"/>
    <x v="1"/>
    <s v="Double"/>
    <s v="&gt;=1/2&quot;"/>
    <n v="20"/>
    <n v="1135"/>
    <x v="2"/>
    <s v="False"/>
    <s v="True"/>
    <s v="4-6 stories"/>
    <n v="5.31667137145996"/>
    <s v=""/>
  </r>
  <r>
    <n v="78008"/>
    <s v="wall_5"/>
    <n v="1"/>
    <x v="0"/>
    <s v="Double"/>
    <s v="&gt;=1/2&quot;"/>
    <n v="95"/>
    <n v="18682"/>
    <x v="4"/>
    <s v="False"/>
    <s v="True"/>
    <s v="4-6 stories"/>
    <n v="4.1963000297546396"/>
    <s v=""/>
  </r>
  <r>
    <n v="78008"/>
    <s v="wall_6"/>
    <n v="2"/>
    <x v="1"/>
    <s v="Double"/>
    <s v="&gt;=1/2&quot;"/>
    <n v="18"/>
    <n v="3294"/>
    <x v="2"/>
    <s v="False"/>
    <s v="True"/>
    <s v="4-6 stories"/>
    <n v="4.1963000297546396"/>
    <s v=""/>
  </r>
  <r>
    <n v="78009"/>
    <s v="wall_5"/>
    <n v="1"/>
    <x v="1"/>
    <s v="Double"/>
    <s v="&gt;=1/2&quot;"/>
    <n v="80"/>
    <n v="18100"/>
    <x v="2"/>
    <s v="False"/>
    <s v="True"/>
    <s v="4-6 stories"/>
    <n v="4.6804881095886204"/>
    <s v=""/>
  </r>
  <r>
    <n v="78009"/>
    <s v="wall_6"/>
    <n v="2"/>
    <x v="1"/>
    <s v="Double"/>
    <s v="&gt;=1/2&quot;"/>
    <n v="30"/>
    <n v="8565"/>
    <x v="2"/>
    <s v="False"/>
    <s v="True"/>
    <s v="4-6 stories"/>
    <n v="4.6804881095886204"/>
    <s v=""/>
  </r>
  <r>
    <n v="78010"/>
    <s v="wall_3"/>
    <n v="1"/>
    <x v="0"/>
    <s v="Double"/>
    <s v="&gt;=1/2&quot;"/>
    <n v="100"/>
    <n v="12096"/>
    <x v="4"/>
    <s v="False"/>
    <s v="True"/>
    <s v="7+ stories"/>
    <n v="5.5314860343933097"/>
    <s v=""/>
  </r>
  <r>
    <n v="78010"/>
    <s v="wall_4"/>
    <n v="2"/>
    <x v="1"/>
    <s v="Double"/>
    <s v="&gt;=1/2&quot;"/>
    <n v="12"/>
    <n v="849"/>
    <x v="6"/>
    <s v="False"/>
    <s v="False"/>
    <s v="7+ stories"/>
    <n v="5.5314860343933097"/>
    <s v=""/>
  </r>
  <r>
    <n v="78011"/>
    <s v="wall_5"/>
    <n v="1"/>
    <x v="0"/>
    <s v="Single"/>
    <m/>
    <n v="88"/>
    <n v="10094"/>
    <x v="8"/>
    <s v="False"/>
    <s v="False"/>
    <s v="7+ stories"/>
    <n v="4.6804881095886204"/>
    <s v=""/>
  </r>
  <r>
    <n v="78011"/>
    <s v="wall_6"/>
    <n v="2"/>
    <x v="1"/>
    <s v="Single"/>
    <m/>
    <n v="0"/>
    <n v="54"/>
    <x v="5"/>
    <s v="False"/>
    <s v="False"/>
    <s v="7+ stories"/>
    <n v="4.6804881095886204"/>
    <s v=""/>
  </r>
  <r>
    <n v="78012"/>
    <s v="wall_5"/>
    <n v="1"/>
    <x v="0"/>
    <s v="Double"/>
    <s v="&gt;=1/2&quot;"/>
    <n v="30"/>
    <n v="13721"/>
    <x v="4"/>
    <s v="False"/>
    <s v="True"/>
    <s v="7+ stories"/>
    <n v="5.2655491828918501"/>
    <s v=""/>
  </r>
  <r>
    <n v="80061"/>
    <s v="wall_3"/>
    <n v="1"/>
    <x v="0"/>
    <s v="Double"/>
    <s v="&gt;=1/2&quot;"/>
    <n v="100"/>
    <n v="2648"/>
    <x v="4"/>
    <s v="False"/>
    <s v="True"/>
    <s v="1-3 stories"/>
    <n v="85.864128112792997"/>
    <n v="85.864128112792997"/>
  </r>
  <r>
    <n v="80073"/>
    <s v="wall_5"/>
    <n v="1"/>
    <x v="0"/>
    <s v="Double"/>
    <s v="&gt;=1/2&quot;"/>
    <n v="100"/>
    <n v="1708"/>
    <x v="4"/>
    <s v="False"/>
    <s v="True"/>
    <s v="1-3 stories"/>
    <n v="128.79620361328099"/>
    <n v="128.79620361328099"/>
  </r>
  <r>
    <m/>
    <m/>
    <m/>
    <x v="2"/>
    <m/>
    <m/>
    <m/>
    <m/>
    <x v="9"/>
    <m/>
    <m/>
    <m/>
    <m/>
    <m/>
  </r>
</pivotCacheRecords>
</file>

<file path=xl/pivotCache/pivotCacheRecords4.xml><?xml version="1.0" encoding="utf-8"?>
<pivotCacheRecords xmlns="http://schemas.openxmlformats.org/spreadsheetml/2006/main" xmlns:r="http://schemas.openxmlformats.org/officeDocument/2006/relationships" count="46">
  <r>
    <n v="10323"/>
    <s v="floor_1"/>
    <x v="0"/>
    <n v="0.89999997615814198"/>
    <m/>
    <n v="3038"/>
    <s v="Joist"/>
    <x v="0"/>
    <n v="0.10000000149011599"/>
    <n v="4.5"/>
    <b v="0"/>
    <b v="1"/>
    <s v="True"/>
    <x v="0"/>
    <s v="1-3 stories"/>
    <n v="256.24374389648398"/>
    <n v="256.24374389648398"/>
  </r>
  <r>
    <n v="10400"/>
    <s v="floor_1"/>
    <x v="1"/>
    <n v="1"/>
    <m/>
    <n v="9856"/>
    <s v="Joist"/>
    <x v="1"/>
    <n v="5.9999998658895499E-2"/>
    <n v="3.0999999046325701"/>
    <b v="0"/>
    <b v="1"/>
    <s v="False"/>
    <x v="1"/>
    <s v="1-3 stories"/>
    <n v="34.345653533935497"/>
    <n v="34.345653533935497"/>
  </r>
  <r>
    <n v="10862"/>
    <s v="floor_1"/>
    <x v="1"/>
    <n v="0.75"/>
    <m/>
    <n v="8064"/>
    <s v="Joist"/>
    <x v="1"/>
    <n v="0.10000000149011599"/>
    <n v="3.0999999046325701"/>
    <b v="0"/>
    <b v="1"/>
    <s v="False"/>
    <x v="1"/>
    <s v="1-3 stories"/>
    <n v="85.864128112792997"/>
    <n v="85.864128112792997"/>
  </r>
  <r>
    <n v="11263"/>
    <s v="floor_1"/>
    <x v="2"/>
    <m/>
    <m/>
    <n v="2520"/>
    <s v="Joist"/>
    <x v="2"/>
    <n v="0.230000004172325"/>
    <n v="3.0999999046325701"/>
    <b v="0"/>
    <b v="1"/>
    <s v="False"/>
    <x v="1"/>
    <s v="1-3 stories"/>
    <n v="343.45651245117199"/>
    <n v="343.45651245117199"/>
  </r>
  <r>
    <n v="11290"/>
    <s v="floor_1"/>
    <x v="0"/>
    <n v="0.89999997615814198"/>
    <m/>
    <n v="6456"/>
    <m/>
    <x v="0"/>
    <n v="0.10000000149011599"/>
    <n v="3.0999999046325701"/>
    <b v="0"/>
    <b v="1"/>
    <s v="False"/>
    <x v="1"/>
    <s v="1-3 stories"/>
    <n v="99.650344848632798"/>
    <n v="99.650344848632798"/>
  </r>
  <r>
    <n v="11887"/>
    <s v="floor_1"/>
    <x v="3"/>
    <n v="0.89999997615814198"/>
    <m/>
    <n v="35836"/>
    <s v="Joist"/>
    <x v="3"/>
    <n v="5.4999999701976797E-2"/>
    <n v="3.0999999046325701"/>
    <b v="0"/>
    <b v="1"/>
    <s v="False"/>
    <x v="1"/>
    <s v="1-3 stories"/>
    <n v="53.381153106689503"/>
    <n v="53.381153106689503"/>
  </r>
  <r>
    <n v="12511"/>
    <s v="floor_1"/>
    <x v="0"/>
    <n v="0.89999997615814198"/>
    <m/>
    <n v="12235"/>
    <m/>
    <x v="0"/>
    <n v="0.10000000149011599"/>
    <n v="3.0999999046325701"/>
    <b v="0"/>
    <b v="1"/>
    <s v="False"/>
    <x v="1"/>
    <s v="4-6 stories"/>
    <n v="35.170711517333999"/>
    <s v=""/>
  </r>
  <r>
    <n v="12623"/>
    <s v="floor_1"/>
    <x v="3"/>
    <n v="1"/>
    <s v="R12-R20"/>
    <n v="3672"/>
    <s v="Joist"/>
    <x v="1"/>
    <n v="2.9999999329447701E-2"/>
    <n v="4.5"/>
    <b v="1"/>
    <b v="1"/>
    <s v="False"/>
    <x v="0"/>
    <s v="1-3 stories"/>
    <n v="600.53796386718795"/>
    <n v="600.53796386718795"/>
  </r>
  <r>
    <n v="13628"/>
    <s v="floor_1"/>
    <x v="0"/>
    <n v="0.89999997615814198"/>
    <m/>
    <n v="2128"/>
    <m/>
    <x v="0"/>
    <n v="0.10000000149011599"/>
    <n v="3.0999999046325701"/>
    <b v="0"/>
    <b v="1"/>
    <s v="False"/>
    <x v="0"/>
    <s v="1-3 stories"/>
    <n v="343.45651245117199"/>
    <n v="343.45651245117199"/>
  </r>
  <r>
    <n v="13988"/>
    <s v="floor_1"/>
    <x v="2"/>
    <m/>
    <m/>
    <n v="900"/>
    <s v="Joist"/>
    <x v="2"/>
    <n v="0.230000004172325"/>
    <n v="5"/>
    <b v="0"/>
    <b v="0"/>
    <m/>
    <x v="0"/>
    <s v="1-3 stories"/>
    <n v="114.48550415039099"/>
    <n v="114.48550415039099"/>
  </r>
  <r>
    <n v="14259"/>
    <s v="floor_2"/>
    <x v="4"/>
    <n v="1"/>
    <s v="R12-R20"/>
    <n v="11100"/>
    <s v="Joist"/>
    <x v="3"/>
    <n v="4.5000001788139302E-2"/>
    <n v="4.5"/>
    <b v="1"/>
    <b v="1"/>
    <s v="False"/>
    <x v="0"/>
    <s v="4-6 stories"/>
    <n v="10.1410579681396"/>
    <s v=""/>
  </r>
  <r>
    <n v="20165"/>
    <s v="floor_1"/>
    <x v="3"/>
    <n v="0.89999997615814198"/>
    <m/>
    <n v="3382"/>
    <s v="Joist"/>
    <x v="0"/>
    <n v="5.4999999701976797E-2"/>
    <n v="3.0999999046325701"/>
    <b v="0"/>
    <b v="1"/>
    <s v="False"/>
    <x v="1"/>
    <s v="1-3 stories"/>
    <n v="628.72027587890602"/>
    <n v="628.72027587890602"/>
  </r>
  <r>
    <n v="20566"/>
    <s v="floor_1"/>
    <x v="0"/>
    <n v="0.89999997615814198"/>
    <m/>
    <n v="3622"/>
    <s v="Joist"/>
    <x v="1"/>
    <n v="0.10000000149011599"/>
    <n v="4.5"/>
    <b v="0"/>
    <b v="1"/>
    <s v="True"/>
    <x v="1"/>
    <s v="1-3 stories"/>
    <n v="754.46429443359398"/>
    <n v="754.46429443359398"/>
  </r>
  <r>
    <n v="20665"/>
    <s v="floor_1"/>
    <x v="0"/>
    <n v="0.89999997615814198"/>
    <m/>
    <n v="3150"/>
    <s v="Joist"/>
    <x v="0"/>
    <n v="0.10000000149011599"/>
    <n v="3.0999999046325701"/>
    <b v="0"/>
    <b v="1"/>
    <s v="False"/>
    <x v="1"/>
    <s v="1-3 stories"/>
    <n v="685.87664794921898"/>
    <n v="685.87664794921898"/>
  </r>
  <r>
    <n v="20705"/>
    <s v="floor_1"/>
    <x v="0"/>
    <n v="0.89999997615814198"/>
    <m/>
    <n v="5540"/>
    <m/>
    <x v="0"/>
    <n v="0.10000000149011599"/>
    <n v="3.0999999046325701"/>
    <b v="0"/>
    <b v="1"/>
    <s v="False"/>
    <x v="0"/>
    <s v="1-3 stories"/>
    <n v="1257.44055175781"/>
    <n v="1257.44055175781"/>
  </r>
  <r>
    <n v="20803"/>
    <s v="floor_1"/>
    <x v="0"/>
    <n v="0.89999997615814198"/>
    <m/>
    <n v="2825"/>
    <s v="Joist"/>
    <x v="0"/>
    <n v="0.10000000149011599"/>
    <n v="3.0999999046325701"/>
    <b v="0"/>
    <b v="1"/>
    <s v="False"/>
    <x v="1"/>
    <s v="1-3 stories"/>
    <n v="838.293701171875"/>
    <n v="838.293701171875"/>
  </r>
  <r>
    <n v="21000"/>
    <s v="floor_1"/>
    <x v="0"/>
    <n v="0.89999997615814198"/>
    <m/>
    <n v="12776"/>
    <s v="Joist"/>
    <x v="1"/>
    <n v="0.10000000149011599"/>
    <n v="4.5"/>
    <b v="0"/>
    <b v="1"/>
    <s v="True"/>
    <x v="0"/>
    <s v="1-3 stories"/>
    <n v="251.48811340332"/>
    <n v="251.48811340332"/>
  </r>
  <r>
    <n v="21268"/>
    <s v="floor_1"/>
    <x v="2"/>
    <m/>
    <m/>
    <n v="2158"/>
    <s v="Joist"/>
    <x v="0"/>
    <n v="0.230000004172325"/>
    <n v="3.0999999046325701"/>
    <b v="0"/>
    <b v="1"/>
    <s v="False"/>
    <x v="0"/>
    <s v="1-3 stories"/>
    <n v="1257.44055175781"/>
    <n v="1257.44055175781"/>
  </r>
  <r>
    <n v="21488"/>
    <s v="floor_1"/>
    <x v="4"/>
    <n v="0.75"/>
    <m/>
    <n v="2924"/>
    <s v="Post and beam"/>
    <x v="0"/>
    <n v="9.00000035762787E-2"/>
    <n v="3.0999999046325701"/>
    <b v="0"/>
    <b v="1"/>
    <s v="False"/>
    <x v="1"/>
    <s v="1-3 stories"/>
    <n v="943.08038330078102"/>
    <n v="943.08038330078102"/>
  </r>
  <r>
    <n v="21576"/>
    <s v="floor_1"/>
    <x v="0"/>
    <n v="0.89999997615814198"/>
    <m/>
    <n v="11520"/>
    <s v="Joist"/>
    <x v="0"/>
    <n v="0.10000000149011599"/>
    <n v="4.5"/>
    <b v="0"/>
    <b v="1"/>
    <s v="True"/>
    <x v="1"/>
    <s v="1-3 stories"/>
    <n v="314.36013793945301"/>
    <n v="314.36013793945301"/>
  </r>
  <r>
    <n v="21691"/>
    <s v="floor_1"/>
    <x v="2"/>
    <m/>
    <s v="R3-R11"/>
    <n v="6726"/>
    <s v="Post and beam"/>
    <x v="0"/>
    <n v="0.230000004172325"/>
    <n v="7.5999999046325701"/>
    <b v="1"/>
    <b v="1"/>
    <s v="True"/>
    <x v="0"/>
    <s v="1-3 stories"/>
    <n v="943.08038330078102"/>
    <n v="943.08038330078102"/>
  </r>
  <r>
    <n v="21985"/>
    <s v="floor_1"/>
    <x v="4"/>
    <n v="0.75"/>
    <s v="R3-R11"/>
    <n v="3240"/>
    <s v="Post and beam"/>
    <x v="3"/>
    <n v="9.00000035762787E-2"/>
    <n v="3.9000000953674299"/>
    <b v="1"/>
    <b v="1"/>
    <s v="False"/>
    <x v="0"/>
    <s v="1-3 stories"/>
    <n v="754.46429443359398"/>
    <n v="754.46429443359398"/>
  </r>
  <r>
    <n v="21998"/>
    <s v="floor_1"/>
    <x v="2"/>
    <m/>
    <s v="R3-R11"/>
    <n v="4207"/>
    <s v="Joist"/>
    <x v="3"/>
    <n v="0.230000004172325"/>
    <n v="3.9000000953674299"/>
    <b v="1"/>
    <b v="1"/>
    <s v="False"/>
    <x v="0"/>
    <s v="1-3 stories"/>
    <n v="943.08038330078102"/>
    <n v="943.08038330078102"/>
  </r>
  <r>
    <n v="22058"/>
    <s v="floor_1"/>
    <x v="0"/>
    <n v="0.89999997615814198"/>
    <m/>
    <n v="11880"/>
    <s v="Joist"/>
    <x v="1"/>
    <n v="0.10000000149011599"/>
    <n v="3.0999999046325701"/>
    <b v="0"/>
    <b v="1"/>
    <s v="False"/>
    <x v="0"/>
    <s v="1-3 stories"/>
    <n v="251.48811340332"/>
    <n v="251.48811340332"/>
  </r>
  <r>
    <n v="22450"/>
    <s v="floor_1"/>
    <x v="4"/>
    <n v="0.89999997615814198"/>
    <s v="R3-R11"/>
    <n v="5123"/>
    <s v="Joist"/>
    <x v="0"/>
    <n v="6.4999997615814195E-2"/>
    <n v="7.5999999046325701"/>
    <b v="1"/>
    <b v="1"/>
    <s v="True"/>
    <x v="1"/>
    <s v="1-3 stories"/>
    <n v="538.903076171875"/>
    <n v="538.903076171875"/>
  </r>
  <r>
    <n v="23425"/>
    <s v="floor_1"/>
    <x v="0"/>
    <n v="0.89999997615814198"/>
    <m/>
    <n v="3340"/>
    <s v="Joist"/>
    <x v="0"/>
    <n v="0.10000000149011599"/>
    <n v="4.5"/>
    <b v="0"/>
    <b v="1"/>
    <s v="True"/>
    <x v="1"/>
    <s v="1-3 stories"/>
    <n v="754.46429443359398"/>
    <n v="754.46429443359398"/>
  </r>
  <r>
    <n v="24139"/>
    <s v="floor_1"/>
    <x v="2"/>
    <m/>
    <m/>
    <n v="7280"/>
    <s v="Post and beam"/>
    <x v="0"/>
    <n v="0.230000004172325"/>
    <n v="4.5"/>
    <b v="0"/>
    <b v="1"/>
    <s v="True"/>
    <x v="0"/>
    <s v="1-3 stories"/>
    <n v="471.54019165039102"/>
    <n v="471.54019165039102"/>
  </r>
  <r>
    <n v="24637"/>
    <s v="floor_1"/>
    <x v="4"/>
    <n v="1"/>
    <s v="R3-R11"/>
    <n v="26980"/>
    <s v="Joist"/>
    <x v="4"/>
    <n v="4.5000001788139302E-2"/>
    <n v="7.5999999046325701"/>
    <b v="1"/>
    <b v="1"/>
    <s v="True"/>
    <x v="1"/>
    <s v="1-3 stories"/>
    <n v="209.57342529296901"/>
    <n v="209.57342529296901"/>
  </r>
  <r>
    <n v="71003"/>
    <s v="floor_1"/>
    <x v="4"/>
    <n v="1"/>
    <m/>
    <n v="2290"/>
    <s v="Joist"/>
    <x v="2"/>
    <n v="4.5000001788139302E-2"/>
    <n v="3.0999999046325701"/>
    <b v="0"/>
    <b v="1"/>
    <s v="False"/>
    <x v="1"/>
    <s v="1-3 stories"/>
    <n v="182.53904724121099"/>
    <n v="182.53904724121099"/>
  </r>
  <r>
    <n v="71014"/>
    <s v="floor_1"/>
    <x v="1"/>
    <n v="0.89999997615814198"/>
    <m/>
    <n v="2992"/>
    <s v="Joist"/>
    <x v="2"/>
    <n v="7.5000002980232197E-2"/>
    <n v="3.0999999046325701"/>
    <b v="0"/>
    <b v="1"/>
    <s v="False"/>
    <x v="1"/>
    <s v="1-3 stories"/>
    <n v="136.90428161621099"/>
    <n v="136.90428161621099"/>
  </r>
  <r>
    <n v="72001"/>
    <s v="floor_1"/>
    <x v="1"/>
    <n v="0.5"/>
    <m/>
    <n v="4522"/>
    <s v="Joist"/>
    <x v="1"/>
    <n v="0.144999995827675"/>
    <n v="3.0999999046325701"/>
    <b v="0"/>
    <b v="1"/>
    <s v="False"/>
    <x v="0"/>
    <s v="1-3 stories"/>
    <n v="78.231018066406307"/>
    <n v="78.231018066406307"/>
  </r>
  <r>
    <n v="72007"/>
    <s v="floor_1"/>
    <x v="3"/>
    <n v="1"/>
    <m/>
    <n v="4836"/>
    <s v="Joist"/>
    <x v="2"/>
    <n v="2.9999999329447701E-2"/>
    <n v="3.0999999046325701"/>
    <b v="0"/>
    <b v="1"/>
    <s v="False"/>
    <x v="1"/>
    <s v="1-3 stories"/>
    <n v="91.269523620605497"/>
    <n v="91.269523620605497"/>
  </r>
  <r>
    <n v="72010"/>
    <s v="floor_1"/>
    <x v="2"/>
    <m/>
    <m/>
    <n v="870"/>
    <s v="Joist"/>
    <x v="2"/>
    <n v="0.230000004172325"/>
    <n v="3.0999999046325701"/>
    <b v="0"/>
    <b v="1"/>
    <s v="False"/>
    <x v="0"/>
    <s v="4-6 stories"/>
    <n v="91.269523620605497"/>
    <s v=""/>
  </r>
  <r>
    <n v="73001"/>
    <s v="floor_1"/>
    <x v="2"/>
    <m/>
    <m/>
    <n v="4879"/>
    <s v="Joist"/>
    <x v="1"/>
    <n v="0.230000004172325"/>
    <n v="3.0999999046325701"/>
    <b v="0"/>
    <b v="1"/>
    <s v="False"/>
    <x v="0"/>
    <s v="4-6 stories"/>
    <n v="60.846343994140597"/>
    <s v=""/>
  </r>
  <r>
    <n v="73002"/>
    <s v="floor_1"/>
    <x v="5"/>
    <n v="0.89999997615814198"/>
    <m/>
    <n v="3287"/>
    <s v="Joist"/>
    <x v="2"/>
    <n v="5.9999998658895499E-2"/>
    <n v="3.0999999046325701"/>
    <b v="0"/>
    <b v="1"/>
    <s v="False"/>
    <x v="1"/>
    <s v="4-6 stories"/>
    <n v="49.783370971679702"/>
    <s v=""/>
  </r>
  <r>
    <n v="73006"/>
    <s v="floor_1"/>
    <x v="2"/>
    <m/>
    <m/>
    <n v="5900"/>
    <s v="Joist"/>
    <x v="1"/>
    <n v="0.230000004172325"/>
    <n v="3.0999999046325701"/>
    <b v="0"/>
    <b v="1"/>
    <s v="False"/>
    <x v="0"/>
    <s v="1-3 stories"/>
    <n v="73.015617370605497"/>
    <n v="73.015617370605497"/>
  </r>
  <r>
    <n v="74005"/>
    <s v="floor_1"/>
    <x v="0"/>
    <n v="0.89999997615814198"/>
    <m/>
    <n v="245"/>
    <s v="Joist"/>
    <x v="0"/>
    <n v="0.10000000149011599"/>
    <n v="3.0999999046325701"/>
    <b v="0"/>
    <b v="1"/>
    <s v="False"/>
    <x v="0"/>
    <s v="1-3 stories"/>
    <n v="40.564231872558601"/>
    <n v="40.564231872558601"/>
  </r>
  <r>
    <n v="74006"/>
    <s v="floor_1"/>
    <x v="0"/>
    <n v="0.89999997615814198"/>
    <m/>
    <n v="7146"/>
    <m/>
    <x v="4"/>
    <n v="0.10000000149011599"/>
    <n v="3.0999999046325701"/>
    <b v="0"/>
    <b v="1"/>
    <s v="False"/>
    <x v="1"/>
    <s v="1-3 stories"/>
    <n v="47.6188774108887"/>
    <n v="47.6188774108887"/>
  </r>
  <r>
    <n v="75005"/>
    <s v="floor_1"/>
    <x v="5"/>
    <n v="1"/>
    <m/>
    <n v="5575"/>
    <s v="Joist"/>
    <x v="1"/>
    <n v="3.5000000149011598E-2"/>
    <n v="3.0999999046325701"/>
    <b v="0"/>
    <b v="1"/>
    <s v="False"/>
    <x v="0"/>
    <s v="4-6 stories"/>
    <n v="22.817380905151399"/>
    <s v=""/>
  </r>
  <r>
    <n v="75008"/>
    <s v="floor_1"/>
    <x v="4"/>
    <n v="0.89999997615814198"/>
    <m/>
    <n v="6358"/>
    <s v="Joist"/>
    <x v="1"/>
    <n v="6.4999997615814195E-2"/>
    <n v="3.0999999046325701"/>
    <b v="0"/>
    <b v="1"/>
    <s v="False"/>
    <x v="0"/>
    <s v="1-3 stories"/>
    <n v="26.7130317687988"/>
    <n v="26.7130317687988"/>
  </r>
  <r>
    <n v="75009"/>
    <s v="floor_2"/>
    <x v="0"/>
    <n v="0.89999997615814198"/>
    <m/>
    <n v="4071"/>
    <s v="Joist"/>
    <x v="0"/>
    <n v="0.10000000149011599"/>
    <n v="3.0999999046325701"/>
    <b v="0"/>
    <b v="1"/>
    <s v="False"/>
    <x v="1"/>
    <s v="1-3 stories"/>
    <n v="28.082929611206101"/>
    <n v="28.082929611206101"/>
  </r>
  <r>
    <n v="75010"/>
    <s v="floor_1"/>
    <x v="4"/>
    <n v="0.75"/>
    <m/>
    <n v="7972"/>
    <s v="Joist"/>
    <x v="3"/>
    <n v="9.00000035762787E-2"/>
    <n v="3.0999999046325701"/>
    <b v="0"/>
    <b v="1"/>
    <s v="False"/>
    <x v="0"/>
    <s v="1-3 stories"/>
    <n v="30.423171997070298"/>
    <n v="30.423171997070298"/>
  </r>
  <r>
    <n v="76005"/>
    <s v="floor_1"/>
    <x v="5"/>
    <n v="0.89999997615814198"/>
    <m/>
    <n v="12151"/>
    <s v="Joist"/>
    <x v="1"/>
    <n v="5.9999998658895499E-2"/>
    <n v="3.0999999046325701"/>
    <b v="0"/>
    <b v="1"/>
    <s v="False"/>
    <x v="1"/>
    <s v="4-6 stories"/>
    <n v="17.665067672729499"/>
    <s v=""/>
  </r>
  <r>
    <n v="76007"/>
    <s v="floor_1"/>
    <x v="4"/>
    <n v="0.89999997615814198"/>
    <m/>
    <n v="11717"/>
    <s v="Joist"/>
    <x v="3"/>
    <n v="6.4999997615814195E-2"/>
    <n v="3.0999999046325701"/>
    <b v="0"/>
    <b v="1"/>
    <s v="False"/>
    <x v="1"/>
    <s v="4-6 stories"/>
    <n v="13.195593833923301"/>
    <s v=""/>
  </r>
  <r>
    <n v="80073"/>
    <s v="floor_1"/>
    <x v="4"/>
    <n v="0.75"/>
    <m/>
    <n v="1641"/>
    <s v="Post and beam"/>
    <x v="0"/>
    <n v="9.00000035762787E-2"/>
    <n v="3.0999999046325701"/>
    <b v="0"/>
    <b v="1"/>
    <s v="False"/>
    <x v="1"/>
    <s v="1-3 stories"/>
    <n v="128.79620361328099"/>
    <n v="128.79620361328099"/>
  </r>
  <r>
    <m/>
    <m/>
    <x v="6"/>
    <m/>
    <m/>
    <m/>
    <m/>
    <x v="0"/>
    <m/>
    <m/>
    <m/>
    <m/>
    <m/>
    <x v="2"/>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1" cacheId="5"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N3:AE9" firstHeaderRow="1" firstDataRow="2" firstDataCol="1"/>
  <pivotFields count="12">
    <pivotField showAll="0"/>
    <pivotField showAll="0" defaultSubtotal="0"/>
    <pivotField showAll="0" defaultSubtotal="0"/>
    <pivotField axis="axisRow" showAll="0">
      <items count="10">
        <item x="5"/>
        <item x="2"/>
        <item x="1"/>
        <item h="1" x="6"/>
        <item h="1" x="0"/>
        <item h="1" x="4"/>
        <item h="1" x="7"/>
        <item x="3"/>
        <item h="1" x="8"/>
        <item t="default"/>
      </items>
    </pivotField>
    <pivotField showAll="0"/>
    <pivotField showAll="0"/>
    <pivotField axis="axisCol" showAll="0">
      <items count="20">
        <item x="3"/>
        <item x="18"/>
        <item x="12"/>
        <item x="14"/>
        <item x="10"/>
        <item x="13"/>
        <item x="16"/>
        <item x="15"/>
        <item x="6"/>
        <item x="2"/>
        <item x="11"/>
        <item x="0"/>
        <item x="9"/>
        <item x="1"/>
        <item x="17"/>
        <item x="8"/>
        <item x="5"/>
        <item x="4"/>
        <item x="7"/>
        <item t="default"/>
      </items>
    </pivotField>
    <pivotField showAll="0"/>
    <pivotField showAll="0" defaultSubtotal="0"/>
    <pivotField showAll="0" defaultSubtotal="0"/>
    <pivotField showAll="0"/>
    <pivotField dataField="1" showAll="0" defaultSubtotal="0"/>
  </pivotFields>
  <rowFields count="1">
    <field x="3"/>
  </rowFields>
  <rowItems count="5">
    <i>
      <x/>
    </i>
    <i>
      <x v="1"/>
    </i>
    <i>
      <x v="2"/>
    </i>
    <i>
      <x v="7"/>
    </i>
    <i t="grand">
      <x/>
    </i>
  </rowItems>
  <colFields count="1">
    <field x="6"/>
  </colFields>
  <colItems count="17">
    <i>
      <x/>
    </i>
    <i>
      <x v="1"/>
    </i>
    <i>
      <x v="4"/>
    </i>
    <i>
      <x v="5"/>
    </i>
    <i>
      <x v="6"/>
    </i>
    <i>
      <x v="8"/>
    </i>
    <i>
      <x v="9"/>
    </i>
    <i>
      <x v="10"/>
    </i>
    <i>
      <x v="11"/>
    </i>
    <i>
      <x v="12"/>
    </i>
    <i>
      <x v="13"/>
    </i>
    <i>
      <x v="14"/>
    </i>
    <i>
      <x v="15"/>
    </i>
    <i>
      <x v="16"/>
    </i>
    <i>
      <x v="17"/>
    </i>
    <i>
      <x v="18"/>
    </i>
    <i t="grand">
      <x/>
    </i>
  </colItems>
  <dataFields count="1">
    <dataField name="Sum of LowRiseWght" fld="11"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P22:Q33" firstHeaderRow="1" firstDataRow="1" firstDataCol="1"/>
  <pivotFields count="14">
    <pivotField showAll="0"/>
    <pivotField showAll="0" defaultSubtotal="0"/>
    <pivotField showAll="0" defaultSubtotal="0"/>
    <pivotField showAll="0" defaultSubtotal="0">
      <items count="3">
        <item x="1"/>
        <item x="0"/>
        <item x="2"/>
      </items>
    </pivotField>
    <pivotField showAll="0" defaultSubtotal="0"/>
    <pivotField showAll="0" defaultSubtotal="0"/>
    <pivotField showAll="0" defaultSubtotal="0"/>
    <pivotField showAll="0"/>
    <pivotField axis="axisRow" showAll="0">
      <items count="11">
        <item x="0"/>
        <item x="2"/>
        <item x="6"/>
        <item x="8"/>
        <item x="1"/>
        <item x="3"/>
        <item x="4"/>
        <item x="5"/>
        <item x="7"/>
        <item x="9"/>
        <item t="default"/>
      </items>
    </pivotField>
    <pivotField showAll="0" defaultSubtotal="0"/>
    <pivotField showAll="0" defaultSubtotal="0"/>
    <pivotField showAll="0" defaultSubtotal="0"/>
    <pivotField showAll="0"/>
    <pivotField dataField="1" showAll="0" defaultSubtotal="0"/>
  </pivotFields>
  <rowFields count="1">
    <field x="8"/>
  </rowFields>
  <rowItems count="11">
    <i>
      <x/>
    </i>
    <i>
      <x v="1"/>
    </i>
    <i>
      <x v="2"/>
    </i>
    <i>
      <x v="3"/>
    </i>
    <i>
      <x v="4"/>
    </i>
    <i>
      <x v="5"/>
    </i>
    <i>
      <x v="6"/>
    </i>
    <i>
      <x v="7"/>
    </i>
    <i>
      <x v="8"/>
    </i>
    <i>
      <x v="9"/>
    </i>
    <i t="grand">
      <x/>
    </i>
  </rowItems>
  <colItems count="1">
    <i/>
  </colItems>
  <dataFields count="1">
    <dataField name="Sum of LowRiseWght" fld="13"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3" cacheId="6"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P7:R12" firstHeaderRow="1" firstDataRow="2" firstDataCol="1"/>
  <pivotFields count="14">
    <pivotField showAll="0"/>
    <pivotField showAll="0" defaultSubtotal="0"/>
    <pivotField showAll="0" defaultSubtotal="0"/>
    <pivotField axis="axisRow" showAll="0" defaultSubtotal="0">
      <items count="3">
        <item x="1"/>
        <item x="0"/>
        <item x="2"/>
      </items>
    </pivotField>
    <pivotField showAll="0" defaultSubtotal="0"/>
    <pivotField showAll="0" defaultSubtotal="0"/>
    <pivotField showAll="0" defaultSubtotal="0"/>
    <pivotField showAll="0"/>
    <pivotField dataField="1" showAll="0"/>
    <pivotField showAll="0" defaultSubtotal="0"/>
    <pivotField showAll="0" defaultSubtotal="0"/>
    <pivotField showAll="0" defaultSubtotal="0"/>
    <pivotField showAll="0" defaultSubtotal="0"/>
    <pivotField dataField="1" showAll="0" defaultSubtotal="0"/>
  </pivotFields>
  <rowFields count="1">
    <field x="3"/>
  </rowFields>
  <rowItems count="4">
    <i>
      <x/>
    </i>
    <i>
      <x v="1"/>
    </i>
    <i>
      <x v="2"/>
    </i>
    <i t="grand">
      <x/>
    </i>
  </rowItems>
  <colFields count="1">
    <field x="-2"/>
  </colFields>
  <colItems count="2">
    <i>
      <x/>
    </i>
    <i i="1">
      <x v="1"/>
    </i>
  </colItems>
  <dataFields count="2">
    <dataField name="Average of u_window" fld="8" subtotal="average" baseField="0" baseItem="0"/>
    <dataField name="Sum of LowRiseWght" fld="13"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3" cacheId="8"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R10:AH20" firstHeaderRow="1" firstDataRow="3" firstDataCol="1"/>
  <pivotFields count="17">
    <pivotField showAll="0"/>
    <pivotField showAll="0" defaultSubtotal="0"/>
    <pivotField axis="axisRow" showAll="0">
      <items count="8">
        <item x="2"/>
        <item x="1"/>
        <item x="4"/>
        <item x="5"/>
        <item x="3"/>
        <item x="0"/>
        <item x="6"/>
        <item t="default"/>
      </items>
    </pivotField>
    <pivotField showAll="0"/>
    <pivotField showAll="0"/>
    <pivotField showAll="0"/>
    <pivotField showAll="0"/>
    <pivotField axis="axisCol" showAll="0">
      <items count="6">
        <item x="1"/>
        <item x="3"/>
        <item x="4"/>
        <item x="2"/>
        <item x="0"/>
        <item t="default"/>
      </items>
    </pivotField>
    <pivotField showAll="0" defaultSubtotal="0"/>
    <pivotField showAll="0" defaultSubtotal="0"/>
    <pivotField showAll="0"/>
    <pivotField showAll="0"/>
    <pivotField showAll="0"/>
    <pivotField axis="axisCol" showAll="0">
      <items count="4">
        <item x="0"/>
        <item x="1"/>
        <item x="2"/>
        <item t="default"/>
      </items>
    </pivotField>
    <pivotField showAll="0" defaultSubtotal="0"/>
    <pivotField showAll="0"/>
    <pivotField dataField="1" showAll="0" defaultSubtotal="0"/>
  </pivotFields>
  <rowFields count="1">
    <field x="2"/>
  </rowFields>
  <rowItems count="8">
    <i>
      <x/>
    </i>
    <i>
      <x v="1"/>
    </i>
    <i>
      <x v="2"/>
    </i>
    <i>
      <x v="3"/>
    </i>
    <i>
      <x v="4"/>
    </i>
    <i>
      <x v="5"/>
    </i>
    <i>
      <x v="6"/>
    </i>
    <i t="grand">
      <x/>
    </i>
  </rowItems>
  <colFields count="2">
    <field x="7"/>
    <field x="13"/>
  </colFields>
  <colItems count="16">
    <i>
      <x/>
      <x/>
    </i>
    <i r="1">
      <x v="1"/>
    </i>
    <i t="default">
      <x/>
    </i>
    <i>
      <x v="1"/>
      <x/>
    </i>
    <i r="1">
      <x v="1"/>
    </i>
    <i t="default">
      <x v="1"/>
    </i>
    <i>
      <x v="2"/>
      <x v="1"/>
    </i>
    <i t="default">
      <x v="2"/>
    </i>
    <i>
      <x v="3"/>
      <x/>
    </i>
    <i r="1">
      <x v="1"/>
    </i>
    <i t="default">
      <x v="3"/>
    </i>
    <i>
      <x v="4"/>
      <x/>
    </i>
    <i r="1">
      <x v="1"/>
    </i>
    <i r="1">
      <x v="2"/>
    </i>
    <i t="default">
      <x v="4"/>
    </i>
    <i t="grand">
      <x/>
    </i>
  </colItems>
  <dataFields count="1">
    <dataField name="Sum of LowRiseWght" fld="16"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C1:F27"/>
  <sheetViews>
    <sheetView topLeftCell="B1" workbookViewId="0">
      <selection activeCell="F6" sqref="F6"/>
    </sheetView>
  </sheetViews>
  <sheetFormatPr defaultRowHeight="15"/>
  <cols>
    <col min="1" max="1" width="4" style="101" customWidth="1"/>
    <col min="2" max="2" width="4.28515625" style="101" customWidth="1"/>
    <col min="3" max="3" width="28.140625" style="101" customWidth="1"/>
    <col min="4" max="4" width="74.42578125" style="101" customWidth="1"/>
    <col min="5" max="5" width="44.7109375" style="101" customWidth="1"/>
    <col min="6" max="6" width="31.5703125" style="101" customWidth="1"/>
    <col min="7" max="16384" width="9.140625" style="101"/>
  </cols>
  <sheetData>
    <row r="1" spans="3:6" ht="15.75" thickBot="1"/>
    <row r="2" spans="3:6" ht="19.5" thickBot="1">
      <c r="C2" s="102" t="s">
        <v>314</v>
      </c>
      <c r="D2" s="103" t="s">
        <v>1708</v>
      </c>
      <c r="E2" s="103"/>
      <c r="F2" s="104"/>
    </row>
    <row r="3" spans="3:6">
      <c r="C3" s="105" t="s">
        <v>293</v>
      </c>
      <c r="D3" s="105" t="s">
        <v>294</v>
      </c>
      <c r="E3" s="105" t="s">
        <v>295</v>
      </c>
      <c r="F3" s="105" t="s">
        <v>315</v>
      </c>
    </row>
    <row r="4" spans="3:6" ht="30">
      <c r="C4" s="106" t="s">
        <v>296</v>
      </c>
      <c r="D4" s="107" t="s">
        <v>318</v>
      </c>
      <c r="E4" s="108"/>
      <c r="F4" s="109" t="s">
        <v>325</v>
      </c>
    </row>
    <row r="5" spans="3:6" ht="60">
      <c r="C5" s="106" t="s">
        <v>297</v>
      </c>
      <c r="D5" s="110" t="s">
        <v>1706</v>
      </c>
      <c r="E5" s="108" t="s">
        <v>1074</v>
      </c>
      <c r="F5" s="109" t="s">
        <v>1775</v>
      </c>
    </row>
    <row r="6" spans="3:6">
      <c r="C6" s="106" t="s">
        <v>298</v>
      </c>
      <c r="D6" s="110" t="s">
        <v>1707</v>
      </c>
      <c r="E6" s="110"/>
      <c r="F6" s="109"/>
    </row>
    <row r="7" spans="3:6">
      <c r="C7" s="106" t="s">
        <v>299</v>
      </c>
      <c r="D7" s="110" t="s">
        <v>320</v>
      </c>
      <c r="E7" s="110"/>
      <c r="F7" s="111"/>
    </row>
    <row r="8" spans="3:6">
      <c r="C8" s="106" t="s">
        <v>316</v>
      </c>
      <c r="D8" s="110" t="s">
        <v>319</v>
      </c>
      <c r="E8" s="112"/>
      <c r="F8" s="109"/>
    </row>
    <row r="9" spans="3:6">
      <c r="C9" s="106" t="s">
        <v>300</v>
      </c>
      <c r="D9" s="110" t="s">
        <v>1709</v>
      </c>
      <c r="E9" s="112"/>
      <c r="F9" s="109"/>
    </row>
    <row r="10" spans="3:6">
      <c r="C10" s="106" t="s">
        <v>301</v>
      </c>
      <c r="D10" s="110" t="s">
        <v>321</v>
      </c>
      <c r="E10" s="108"/>
      <c r="F10" s="109" t="s">
        <v>1075</v>
      </c>
    </row>
    <row r="11" spans="3:6">
      <c r="C11" s="106" t="s">
        <v>302</v>
      </c>
      <c r="D11" s="110" t="s">
        <v>322</v>
      </c>
      <c r="E11" s="112"/>
      <c r="F11" s="109"/>
    </row>
    <row r="12" spans="3:6" ht="30">
      <c r="C12" s="106" t="s">
        <v>303</v>
      </c>
      <c r="D12" s="113" t="s">
        <v>1710</v>
      </c>
      <c r="E12" s="114"/>
      <c r="F12" s="109" t="s">
        <v>1711</v>
      </c>
    </row>
    <row r="13" spans="3:6">
      <c r="C13" s="106" t="s">
        <v>317</v>
      </c>
      <c r="D13" s="112" t="s">
        <v>1721</v>
      </c>
      <c r="E13" s="112" t="s">
        <v>323</v>
      </c>
      <c r="F13" s="109" t="s">
        <v>324</v>
      </c>
    </row>
    <row r="21" spans="3:3">
      <c r="C21" s="115"/>
    </row>
    <row r="22" spans="3:3">
      <c r="C22" s="115"/>
    </row>
    <row r="23" spans="3:3">
      <c r="C23" s="115"/>
    </row>
    <row r="24" spans="3:3">
      <c r="C24" s="115"/>
    </row>
    <row r="25" spans="3:3">
      <c r="C25" s="115"/>
    </row>
    <row r="26" spans="3:3">
      <c r="C26" s="115"/>
    </row>
    <row r="27" spans="3:3">
      <c r="C27" s="11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BL630"/>
  <sheetViews>
    <sheetView topLeftCell="F1" workbookViewId="0">
      <selection activeCell="H32" sqref="H32"/>
    </sheetView>
  </sheetViews>
  <sheetFormatPr defaultRowHeight="12.75"/>
  <cols>
    <col min="1" max="3" width="9.140625" style="67"/>
    <col min="4" max="4" width="11.140625" style="67" customWidth="1"/>
    <col min="5" max="13" width="9.140625" style="67"/>
    <col min="14" max="14" width="20.7109375" style="67" customWidth="1"/>
    <col min="15" max="15" width="17" style="67" bestFit="1" customWidth="1"/>
    <col min="16" max="18" width="12" style="67" customWidth="1"/>
    <col min="19" max="19" width="3" style="67" customWidth="1"/>
    <col min="20" max="23" width="12" style="67" customWidth="1"/>
    <col min="24" max="24" width="3" style="67" customWidth="1"/>
    <col min="25" max="25" width="12" style="67" customWidth="1"/>
    <col min="26" max="26" width="3" style="67" customWidth="1"/>
    <col min="27" max="31" width="12" style="67" customWidth="1"/>
    <col min="32" max="32" width="22" style="67" customWidth="1"/>
    <col min="33" max="33" width="14.5703125" style="67" customWidth="1"/>
    <col min="34" max="34" width="22" style="67" customWidth="1"/>
    <col min="35" max="35" width="14.5703125" style="67" customWidth="1"/>
    <col min="36" max="36" width="22" style="67" customWidth="1"/>
    <col min="37" max="37" width="14.5703125" style="67" customWidth="1"/>
    <col min="38" max="38" width="22" style="67" customWidth="1"/>
    <col min="39" max="39" width="19.85546875" style="67" customWidth="1"/>
    <col min="40" max="40" width="27.28515625" style="67" customWidth="1"/>
    <col min="41" max="41" width="10" style="67" customWidth="1"/>
    <col min="42" max="44" width="9" style="67" customWidth="1"/>
    <col min="45" max="49" width="10" style="67" customWidth="1"/>
    <col min="50" max="50" width="9" style="67" customWidth="1"/>
    <col min="51" max="51" width="11" style="67" customWidth="1"/>
    <col min="52" max="52" width="12" style="67" customWidth="1"/>
    <col min="53" max="55" width="9" style="67" customWidth="1"/>
    <col min="56" max="58" width="10" style="67" customWidth="1"/>
    <col min="59" max="60" width="11" style="67" customWidth="1"/>
    <col min="61" max="61" width="9" style="67" customWidth="1"/>
    <col min="62" max="62" width="11" style="67" customWidth="1"/>
    <col min="63" max="63" width="12" style="67" customWidth="1"/>
    <col min="64" max="64" width="12" style="67" bestFit="1" customWidth="1"/>
    <col min="65" max="16384" width="9.140625" style="67"/>
  </cols>
  <sheetData>
    <row r="1" spans="1:64">
      <c r="A1" s="68" t="s">
        <v>1212</v>
      </c>
      <c r="B1" s="68"/>
      <c r="C1" s="68"/>
    </row>
    <row r="2" spans="1:64">
      <c r="A2" t="s">
        <v>166</v>
      </c>
      <c r="B2" t="s">
        <v>1213</v>
      </c>
      <c r="C2" t="s">
        <v>1214</v>
      </c>
      <c r="D2" t="s">
        <v>187</v>
      </c>
      <c r="E2" t="s">
        <v>188</v>
      </c>
      <c r="F2" t="s">
        <v>189</v>
      </c>
      <c r="G2" t="s">
        <v>190</v>
      </c>
      <c r="H2" t="s">
        <v>191</v>
      </c>
      <c r="I2" t="s">
        <v>1215</v>
      </c>
      <c r="J2" s="67" t="s">
        <v>1447</v>
      </c>
      <c r="K2" s="67" t="s">
        <v>1448</v>
      </c>
    </row>
    <row r="3" spans="1:64">
      <c r="A3">
        <v>128</v>
      </c>
      <c r="B3" t="s">
        <v>1216</v>
      </c>
      <c r="C3">
        <v>1</v>
      </c>
      <c r="D3" t="s">
        <v>202</v>
      </c>
      <c r="E3">
        <v>1</v>
      </c>
      <c r="F3">
        <v>3975</v>
      </c>
      <c r="G3">
        <v>30</v>
      </c>
      <c r="H3" t="s">
        <v>199</v>
      </c>
      <c r="I3">
        <v>2.5000000372528999E-2</v>
      </c>
      <c r="J3" s="67" t="str">
        <f>VLOOKUP($A3,MFMaster!$A$2:$C$300,2,FALSE)</f>
        <v>1-3 stories</v>
      </c>
      <c r="K3" s="67">
        <f>VLOOKUP($A3,MFMaster!$A$2:$CG$232,85,FALSE)</f>
        <v>443.80252075195301</v>
      </c>
      <c r="N3" s="69" t="s">
        <v>1449</v>
      </c>
      <c r="O3" s="69" t="s">
        <v>209</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c r="A4">
        <v>128</v>
      </c>
      <c r="B4" t="s">
        <v>1217</v>
      </c>
      <c r="C4">
        <v>2</v>
      </c>
      <c r="D4" t="s">
        <v>202</v>
      </c>
      <c r="E4">
        <v>1</v>
      </c>
      <c r="F4">
        <v>795</v>
      </c>
      <c r="G4">
        <v>30</v>
      </c>
      <c r="H4" t="s">
        <v>199</v>
      </c>
      <c r="I4">
        <v>2.5000000372528999E-2</v>
      </c>
      <c r="J4" s="67" t="str">
        <f>VLOOKUP($A4,MFMaster!$A$2:$C$300,2,FALSE)</f>
        <v>1-3 stories</v>
      </c>
      <c r="K4" s="67">
        <f>VLOOKUP($A4,MFMaster!$A$2:$CG$232,85,FALSE)</f>
        <v>443.80252075195301</v>
      </c>
      <c r="N4" s="69" t="s">
        <v>207</v>
      </c>
      <c r="O4">
        <v>0</v>
      </c>
      <c r="P4">
        <v>6</v>
      </c>
      <c r="Q4">
        <v>10</v>
      </c>
      <c r="R4">
        <v>12</v>
      </c>
      <c r="S4">
        <v>13</v>
      </c>
      <c r="T4">
        <v>15</v>
      </c>
      <c r="U4">
        <v>19</v>
      </c>
      <c r="V4">
        <v>20</v>
      </c>
      <c r="W4">
        <v>30</v>
      </c>
      <c r="X4">
        <v>35</v>
      </c>
      <c r="Y4">
        <v>38</v>
      </c>
      <c r="Z4">
        <v>40</v>
      </c>
      <c r="AA4">
        <v>49</v>
      </c>
      <c r="AB4">
        <v>50</v>
      </c>
      <c r="AC4" t="s">
        <v>210</v>
      </c>
      <c r="AD4">
        <v>21</v>
      </c>
      <c r="AE4" t="s">
        <v>208</v>
      </c>
      <c r="AF4"/>
      <c r="AG4"/>
      <c r="AH4"/>
      <c r="AI4"/>
      <c r="AJ4"/>
      <c r="AK4"/>
      <c r="AL4"/>
      <c r="AM4"/>
      <c r="AN4"/>
      <c r="AO4"/>
      <c r="AP4"/>
      <c r="AQ4"/>
      <c r="AR4"/>
      <c r="AS4"/>
      <c r="AT4"/>
      <c r="AU4"/>
      <c r="AV4"/>
      <c r="AW4"/>
      <c r="AX4"/>
      <c r="AY4"/>
      <c r="AZ4"/>
      <c r="BA4"/>
      <c r="BB4"/>
      <c r="BC4"/>
      <c r="BD4"/>
      <c r="BE4"/>
      <c r="BF4"/>
      <c r="BG4"/>
      <c r="BH4"/>
      <c r="BI4"/>
      <c r="BJ4"/>
      <c r="BK4"/>
      <c r="BL4"/>
    </row>
    <row r="5" spans="1:64">
      <c r="A5">
        <v>10137</v>
      </c>
      <c r="B5" t="s">
        <v>1216</v>
      </c>
      <c r="C5">
        <v>1</v>
      </c>
      <c r="D5" t="s">
        <v>200</v>
      </c>
      <c r="E5">
        <v>0.89999997615814198</v>
      </c>
      <c r="F5">
        <v>6460</v>
      </c>
      <c r="G5">
        <v>38</v>
      </c>
      <c r="H5" t="s">
        <v>194</v>
      </c>
      <c r="I5">
        <v>9.00000035762787E-2</v>
      </c>
      <c r="J5" s="67" t="str">
        <f>VLOOKUP($A5,MFMaster!$A$2:$C$300,2,FALSE)</f>
        <v>1-3 stories</v>
      </c>
      <c r="K5" s="67">
        <f>VLOOKUP($A5,MFMaster!$A$2:$CG$232,85,FALSE)</f>
        <v>300.26898193359398</v>
      </c>
      <c r="N5" s="70" t="s">
        <v>195</v>
      </c>
      <c r="O5" s="71">
        <v>91.269523620605497</v>
      </c>
      <c r="P5" s="71"/>
      <c r="Q5" s="71"/>
      <c r="R5" s="71">
        <v>1823.2887268066409</v>
      </c>
      <c r="S5" s="71"/>
      <c r="T5" s="71">
        <v>343.45651245117199</v>
      </c>
      <c r="U5" s="71"/>
      <c r="V5" s="71">
        <v>471.54019165039102</v>
      </c>
      <c r="W5" s="71">
        <v>206.07391357421901</v>
      </c>
      <c r="X5" s="71"/>
      <c r="Y5" s="71"/>
      <c r="Z5" s="71"/>
      <c r="AA5" s="71"/>
      <c r="AB5" s="71">
        <v>538.903076171875</v>
      </c>
      <c r="AC5" s="71">
        <v>471.54019165039102</v>
      </c>
      <c r="AD5" s="71"/>
      <c r="AE5" s="71">
        <v>3946.0721359252948</v>
      </c>
      <c r="AF5"/>
      <c r="AG5"/>
      <c r="AH5"/>
      <c r="AI5"/>
      <c r="AJ5"/>
      <c r="AK5"/>
      <c r="AL5"/>
      <c r="AM5"/>
      <c r="AN5"/>
      <c r="AO5"/>
      <c r="AP5"/>
      <c r="AQ5"/>
      <c r="AR5"/>
      <c r="AS5"/>
      <c r="AT5"/>
      <c r="AU5"/>
      <c r="AV5"/>
      <c r="AW5"/>
      <c r="AX5"/>
      <c r="AY5"/>
      <c r="AZ5"/>
      <c r="BA5"/>
      <c r="BB5"/>
      <c r="BC5"/>
      <c r="BD5"/>
      <c r="BE5"/>
      <c r="BF5"/>
      <c r="BG5"/>
      <c r="BH5"/>
      <c r="BI5"/>
      <c r="BJ5"/>
      <c r="BK5"/>
      <c r="BL5"/>
    </row>
    <row r="6" spans="1:64">
      <c r="A6">
        <v>10238</v>
      </c>
      <c r="B6" t="s">
        <v>1216</v>
      </c>
      <c r="C6">
        <v>1</v>
      </c>
      <c r="D6" t="s">
        <v>197</v>
      </c>
      <c r="E6">
        <v>1</v>
      </c>
      <c r="F6">
        <v>8658</v>
      </c>
      <c r="G6">
        <v>19</v>
      </c>
      <c r="H6" t="s">
        <v>194</v>
      </c>
      <c r="I6">
        <v>5.0000000745058101E-2</v>
      </c>
      <c r="J6" s="67" t="str">
        <f>VLOOKUP($A6,MFMaster!$A$2:$C$300,2,FALSE)</f>
        <v>1-3 stories</v>
      </c>
      <c r="K6" s="67">
        <f>VLOOKUP($A6,MFMaster!$A$2:$CG$232,85,FALSE)</f>
        <v>160.14344787597699</v>
      </c>
      <c r="N6" s="70" t="s">
        <v>197</v>
      </c>
      <c r="O6" s="71">
        <v>226.89235305786181</v>
      </c>
      <c r="P6" s="71">
        <v>85.864128112792997</v>
      </c>
      <c r="Q6" s="71">
        <v>136.90428161621099</v>
      </c>
      <c r="R6" s="71">
        <v>538.903076171875</v>
      </c>
      <c r="S6" s="71"/>
      <c r="T6" s="71">
        <v>225.6316680908206</v>
      </c>
      <c r="U6" s="71">
        <v>160.14344787597699</v>
      </c>
      <c r="V6" s="71">
        <v>2020.0330047607399</v>
      </c>
      <c r="W6" s="71">
        <v>40.564231872558601</v>
      </c>
      <c r="X6" s="71"/>
      <c r="Y6" s="71">
        <v>78.231018066406307</v>
      </c>
      <c r="Z6" s="71"/>
      <c r="AA6" s="71">
        <v>600.53796386718795</v>
      </c>
      <c r="AB6" s="71"/>
      <c r="AC6" s="71">
        <v>2387.9013023376438</v>
      </c>
      <c r="AD6" s="71"/>
      <c r="AE6" s="71">
        <v>6501.6064758300754</v>
      </c>
      <c r="AF6"/>
      <c r="AG6"/>
      <c r="AH6"/>
      <c r="AI6"/>
      <c r="AJ6"/>
      <c r="AK6"/>
      <c r="AL6"/>
      <c r="AM6"/>
      <c r="AN6"/>
      <c r="AO6"/>
      <c r="AP6"/>
      <c r="AQ6"/>
      <c r="AR6"/>
      <c r="AS6"/>
      <c r="AT6"/>
      <c r="AU6"/>
      <c r="AV6"/>
      <c r="AW6"/>
      <c r="AX6"/>
      <c r="AY6"/>
      <c r="AZ6"/>
      <c r="BA6"/>
      <c r="BB6"/>
      <c r="BC6"/>
      <c r="BD6"/>
      <c r="BE6"/>
      <c r="BF6"/>
      <c r="BG6"/>
      <c r="BH6"/>
      <c r="BI6"/>
      <c r="BJ6"/>
      <c r="BK6"/>
      <c r="BL6"/>
    </row>
    <row r="7" spans="1:64">
      <c r="A7">
        <v>10260</v>
      </c>
      <c r="B7" t="s">
        <v>1216</v>
      </c>
      <c r="C7">
        <v>1</v>
      </c>
      <c r="D7" t="s">
        <v>200</v>
      </c>
      <c r="E7">
        <v>0.89999997615814198</v>
      </c>
      <c r="F7">
        <v>2000</v>
      </c>
      <c r="G7">
        <v>0</v>
      </c>
      <c r="H7" t="s">
        <v>194</v>
      </c>
      <c r="I7">
        <v>9.00000035762787E-2</v>
      </c>
      <c r="J7" s="67" t="str">
        <f>VLOOKUP($A7,MFMaster!$A$2:$C$300,2,FALSE)</f>
        <v>1-3 stories</v>
      </c>
      <c r="K7" s="67">
        <f>VLOOKUP($A7,MFMaster!$A$2:$CG$232,85,FALSE)</f>
        <v>480.43035888671898</v>
      </c>
      <c r="N7" s="70" t="s">
        <v>200</v>
      </c>
      <c r="O7" s="71">
        <v>652.01261901855491</v>
      </c>
      <c r="P7" s="71"/>
      <c r="Q7" s="71">
        <v>747.33612060546898</v>
      </c>
      <c r="R7" s="71"/>
      <c r="S7" s="71">
        <v>0</v>
      </c>
      <c r="T7" s="71"/>
      <c r="U7" s="71"/>
      <c r="V7" s="71">
        <v>943.08038330078102</v>
      </c>
      <c r="W7" s="71">
        <v>85.864128112792997</v>
      </c>
      <c r="X7" s="71"/>
      <c r="Y7" s="71">
        <v>300.26898193359398</v>
      </c>
      <c r="Z7" s="71">
        <v>0</v>
      </c>
      <c r="AA7" s="71">
        <v>36.507808685302699</v>
      </c>
      <c r="AB7" s="71"/>
      <c r="AC7" s="71">
        <v>415.41392707824718</v>
      </c>
      <c r="AD7" s="71">
        <v>1561.3986816406259</v>
      </c>
      <c r="AE7" s="71">
        <v>4741.8826503753671</v>
      </c>
      <c r="AF7"/>
      <c r="AG7"/>
      <c r="AH7"/>
      <c r="AI7"/>
      <c r="AJ7"/>
      <c r="AK7"/>
      <c r="AL7"/>
      <c r="AM7"/>
      <c r="AN7"/>
      <c r="AO7"/>
      <c r="AP7"/>
      <c r="AQ7"/>
      <c r="AR7"/>
      <c r="AS7"/>
      <c r="AT7"/>
      <c r="AU7"/>
      <c r="AV7"/>
      <c r="AW7"/>
      <c r="AX7"/>
      <c r="AY7"/>
      <c r="AZ7"/>
      <c r="BA7"/>
      <c r="BB7"/>
      <c r="BC7"/>
      <c r="BD7"/>
      <c r="BE7"/>
      <c r="BF7"/>
      <c r="BG7"/>
      <c r="BH7"/>
      <c r="BI7"/>
      <c r="BJ7"/>
      <c r="BK7"/>
      <c r="BL7"/>
    </row>
    <row r="8" spans="1:64">
      <c r="A8">
        <v>10400</v>
      </c>
      <c r="B8" t="s">
        <v>1216</v>
      </c>
      <c r="C8">
        <v>1</v>
      </c>
      <c r="D8" t="s">
        <v>1218</v>
      </c>
      <c r="E8">
        <v>0.89999997615814198</v>
      </c>
      <c r="F8">
        <v>17064</v>
      </c>
      <c r="G8"/>
      <c r="H8"/>
      <c r="I8">
        <v>0.15000000596046401</v>
      </c>
      <c r="J8" s="67" t="str">
        <f>VLOOKUP($A8,MFMaster!$A$2:$C$300,2,FALSE)</f>
        <v>1-3 stories</v>
      </c>
      <c r="K8" s="67">
        <f>VLOOKUP($A8,MFMaster!$A$2:$CG$232,85,FALSE)</f>
        <v>34.345653533935497</v>
      </c>
      <c r="N8" s="70" t="s">
        <v>1218</v>
      </c>
      <c r="O8" s="71"/>
      <c r="P8" s="71"/>
      <c r="Q8" s="71"/>
      <c r="R8" s="71"/>
      <c r="S8" s="71"/>
      <c r="T8" s="71">
        <v>343.45651245117199</v>
      </c>
      <c r="U8" s="71"/>
      <c r="V8" s="71"/>
      <c r="W8" s="71">
        <v>273.80856323242199</v>
      </c>
      <c r="X8" s="71">
        <v>0</v>
      </c>
      <c r="Y8" s="71">
        <v>28.082929611206101</v>
      </c>
      <c r="Z8" s="71"/>
      <c r="AA8" s="71"/>
      <c r="AB8" s="71">
        <v>1800.7716979980441</v>
      </c>
      <c r="AC8" s="71">
        <v>3898.1676769256565</v>
      </c>
      <c r="AD8" s="71"/>
      <c r="AE8" s="71">
        <v>6344.2873802185004</v>
      </c>
      <c r="AF8"/>
      <c r="AG8"/>
      <c r="AH8"/>
      <c r="AI8"/>
      <c r="AJ8"/>
      <c r="AK8"/>
      <c r="AL8"/>
      <c r="AM8"/>
      <c r="AN8"/>
      <c r="AO8"/>
      <c r="AP8"/>
      <c r="AQ8"/>
      <c r="AR8"/>
      <c r="AS8"/>
      <c r="AT8"/>
      <c r="AU8"/>
      <c r="AV8"/>
      <c r="AW8"/>
      <c r="AX8"/>
      <c r="AY8"/>
      <c r="AZ8"/>
      <c r="BA8"/>
      <c r="BB8"/>
      <c r="BC8"/>
      <c r="BD8"/>
      <c r="BE8"/>
      <c r="BF8"/>
      <c r="BG8"/>
      <c r="BH8"/>
      <c r="BI8"/>
      <c r="BJ8"/>
      <c r="BK8"/>
      <c r="BL8"/>
    </row>
    <row r="9" spans="1:64">
      <c r="A9">
        <v>10480</v>
      </c>
      <c r="B9" t="s">
        <v>1216</v>
      </c>
      <c r="C9">
        <v>1</v>
      </c>
      <c r="D9" t="s">
        <v>203</v>
      </c>
      <c r="E9">
        <v>0.89999997615814198</v>
      </c>
      <c r="F9">
        <v>3650</v>
      </c>
      <c r="G9"/>
      <c r="H9" t="s">
        <v>199</v>
      </c>
      <c r="I9">
        <v>7.0000000298023196E-2</v>
      </c>
      <c r="J9" s="67" t="str">
        <f>VLOOKUP($A9,MFMaster!$A$2:$C$300,2,FALSE)</f>
        <v>1-3 stories</v>
      </c>
      <c r="K9" s="67">
        <f>VLOOKUP($A9,MFMaster!$A$2:$CG$232,85,FALSE)</f>
        <v>400.358642578125</v>
      </c>
      <c r="N9" s="70" t="s">
        <v>208</v>
      </c>
      <c r="O9" s="71">
        <v>970.17449569702217</v>
      </c>
      <c r="P9" s="71">
        <v>85.864128112792997</v>
      </c>
      <c r="Q9" s="71">
        <v>884.24040222167991</v>
      </c>
      <c r="R9" s="71">
        <v>2362.1918029785156</v>
      </c>
      <c r="S9" s="71">
        <v>0</v>
      </c>
      <c r="T9" s="71">
        <v>912.54469299316463</v>
      </c>
      <c r="U9" s="71">
        <v>160.14344787597699</v>
      </c>
      <c r="V9" s="71">
        <v>3434.6535797119122</v>
      </c>
      <c r="W9" s="71">
        <v>606.31083679199264</v>
      </c>
      <c r="X9" s="71">
        <v>0</v>
      </c>
      <c r="Y9" s="71">
        <v>406.5829296112064</v>
      </c>
      <c r="Z9" s="71">
        <v>0</v>
      </c>
      <c r="AA9" s="71">
        <v>637.04577255249069</v>
      </c>
      <c r="AB9" s="71">
        <v>2339.6747741699191</v>
      </c>
      <c r="AC9" s="71">
        <v>7173.0230979919379</v>
      </c>
      <c r="AD9" s="71">
        <v>1561.3986816406259</v>
      </c>
      <c r="AE9" s="71">
        <v>21533.848642349236</v>
      </c>
      <c r="AF9"/>
      <c r="AG9"/>
      <c r="AH9"/>
      <c r="AI9"/>
      <c r="AJ9"/>
      <c r="AK9"/>
      <c r="AL9"/>
      <c r="AM9"/>
      <c r="AN9"/>
      <c r="AO9"/>
      <c r="AP9"/>
      <c r="AQ9"/>
      <c r="AR9"/>
      <c r="AS9"/>
      <c r="AT9"/>
      <c r="AU9"/>
      <c r="AV9"/>
      <c r="AW9"/>
      <c r="AX9"/>
      <c r="AY9"/>
      <c r="AZ9"/>
      <c r="BA9"/>
      <c r="BB9"/>
      <c r="BC9"/>
      <c r="BD9"/>
      <c r="BE9"/>
      <c r="BF9"/>
      <c r="BG9"/>
      <c r="BH9"/>
      <c r="BI9"/>
      <c r="BJ9"/>
      <c r="BK9"/>
      <c r="BL9"/>
    </row>
    <row r="10" spans="1:64">
      <c r="A10">
        <v>10495</v>
      </c>
      <c r="B10" t="s">
        <v>1216</v>
      </c>
      <c r="C10">
        <v>1</v>
      </c>
      <c r="D10" t="s">
        <v>195</v>
      </c>
      <c r="E10">
        <v>0.89999997615814198</v>
      </c>
      <c r="F10">
        <v>4849</v>
      </c>
      <c r="G10">
        <v>30</v>
      </c>
      <c r="H10" t="s">
        <v>199</v>
      </c>
      <c r="I10">
        <v>0.109999999403954</v>
      </c>
      <c r="J10" s="67" t="str">
        <f>VLOOKUP($A10,MFMaster!$A$2:$C$300,2,FALSE)</f>
        <v>1-3 stories</v>
      </c>
      <c r="K10" s="67">
        <f>VLOOKUP($A10,MFMaster!$A$2:$CG$232,85,FALSE)</f>
        <v>206.07391357421901</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row>
    <row r="11" spans="1:64">
      <c r="A11">
        <v>10587</v>
      </c>
      <c r="B11" t="s">
        <v>1216</v>
      </c>
      <c r="C11">
        <v>1</v>
      </c>
      <c r="D11" t="s">
        <v>1218</v>
      </c>
      <c r="E11">
        <v>0.89999997615814198</v>
      </c>
      <c r="F11">
        <v>4758</v>
      </c>
      <c r="G11"/>
      <c r="H11"/>
      <c r="I11">
        <v>0.15000000596046401</v>
      </c>
      <c r="J11" s="67" t="str">
        <f>VLOOKUP($A11,MFMaster!$A$2:$C$300,2,FALSE)</f>
        <v>1-3 stories</v>
      </c>
      <c r="K11" s="67">
        <f>VLOOKUP($A11,MFMaster!$A$2:$CG$232,85,FALSE)</f>
        <v>266.90576171875</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row>
    <row r="12" spans="1:64">
      <c r="A12">
        <v>10614</v>
      </c>
      <c r="B12" t="s">
        <v>1216</v>
      </c>
      <c r="C12">
        <v>1</v>
      </c>
      <c r="D12" t="s">
        <v>202</v>
      </c>
      <c r="E12">
        <v>0.89999997615814198</v>
      </c>
      <c r="F12">
        <v>16019</v>
      </c>
      <c r="G12">
        <v>30</v>
      </c>
      <c r="H12" t="s">
        <v>199</v>
      </c>
      <c r="I12">
        <v>7.5000002980232197E-2</v>
      </c>
      <c r="J12" s="67" t="str">
        <f>VLOOKUP($A12,MFMaster!$A$2:$C$300,2,FALSE)</f>
        <v>4-6 stories</v>
      </c>
      <c r="K12" s="67" t="str">
        <f>VLOOKUP($A12,MFMaster!$A$2:$CG$232,85,FALSE)</f>
        <v/>
      </c>
      <c r="N12"/>
      <c r="O12" s="67" t="s">
        <v>1450</v>
      </c>
      <c r="P12" t="s">
        <v>250</v>
      </c>
      <c r="Q12" t="s">
        <v>251</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row>
    <row r="13" spans="1:64">
      <c r="A13">
        <v>10805</v>
      </c>
      <c r="B13" t="s">
        <v>1216</v>
      </c>
      <c r="C13">
        <v>1</v>
      </c>
      <c r="D13" t="s">
        <v>202</v>
      </c>
      <c r="E13">
        <v>0.89999997615814198</v>
      </c>
      <c r="F13">
        <v>3531</v>
      </c>
      <c r="G13">
        <v>19</v>
      </c>
      <c r="H13" t="s">
        <v>192</v>
      </c>
      <c r="I13">
        <v>7.5000002980232197E-2</v>
      </c>
      <c r="J13" s="67" t="str">
        <f>VLOOKUP($A13,MFMaster!$A$2:$C$300,2,FALSE)</f>
        <v>1-3 stories</v>
      </c>
      <c r="K13" s="67">
        <f>VLOOKUP($A13,MFMaster!$A$2:$CG$232,85,FALSE)</f>
        <v>686.32904052734398</v>
      </c>
      <c r="N13" s="70" t="s">
        <v>171</v>
      </c>
      <c r="O13" s="73">
        <f>SUM(T8:V8)/AE8</f>
        <v>5.4136342171710254E-2</v>
      </c>
      <c r="P13" s="53">
        <f>SUM(W8:Z8)/AE8</f>
        <v>4.7584775838642859E-2</v>
      </c>
      <c r="Q13" s="53">
        <f>SUM(AA8:AB8)/AE8</f>
        <v>0.28384144507905706</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row>
    <row r="14" spans="1:64">
      <c r="A14">
        <v>10862</v>
      </c>
      <c r="B14" t="s">
        <v>1216</v>
      </c>
      <c r="C14">
        <v>1</v>
      </c>
      <c r="D14" t="s">
        <v>200</v>
      </c>
      <c r="E14">
        <v>0.5</v>
      </c>
      <c r="F14">
        <v>4543</v>
      </c>
      <c r="G14">
        <v>30</v>
      </c>
      <c r="H14" t="s">
        <v>193</v>
      </c>
      <c r="I14">
        <v>0.245000004768372</v>
      </c>
      <c r="J14" s="67" t="str">
        <f>VLOOKUP($A14,MFMaster!$A$2:$C$300,2,FALSE)</f>
        <v>1-3 stories</v>
      </c>
      <c r="K14" s="67">
        <f>VLOOKUP($A14,MFMaster!$A$2:$CG$232,85,FALSE)</f>
        <v>85.864128112792997</v>
      </c>
      <c r="N14" s="70"/>
      <c r="O14" s="73" t="s">
        <v>1451</v>
      </c>
      <c r="P14" t="s">
        <v>250</v>
      </c>
      <c r="Q14" t="s">
        <v>251</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row>
    <row r="15" spans="1:64">
      <c r="A15">
        <v>10871</v>
      </c>
      <c r="B15" t="s">
        <v>1216</v>
      </c>
      <c r="C15">
        <v>1</v>
      </c>
      <c r="D15" t="s">
        <v>197</v>
      </c>
      <c r="E15">
        <v>1</v>
      </c>
      <c r="F15">
        <v>10700</v>
      </c>
      <c r="G15">
        <v>0</v>
      </c>
      <c r="H15" t="s">
        <v>194</v>
      </c>
      <c r="I15">
        <v>5.0000000745058101E-2</v>
      </c>
      <c r="J15" s="67" t="str">
        <f>VLOOKUP($A15,MFMaster!$A$2:$C$300,2,FALSE)</f>
        <v>1-3 stories</v>
      </c>
      <c r="K15" s="67">
        <f>VLOOKUP($A15,MFMaster!$A$2:$CG$232,85,FALSE)</f>
        <v>200.17932128906301</v>
      </c>
      <c r="N15" s="70" t="s">
        <v>172</v>
      </c>
      <c r="O15" s="73">
        <f>SUM(Q6:S6,Q5:R5)/(AE6+AE7)</f>
        <v>0.22227051198635747</v>
      </c>
      <c r="P15" s="53">
        <f>SUM(T6:U6,S7)/(AE6+AE7)</f>
        <v>3.4310978703902796E-2</v>
      </c>
      <c r="Q15" s="53">
        <f>SUM(V6:AB6,AD7,V7:AB7)/(AE7+AE6)</f>
        <v>0.50397933760908686</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row>
    <row r="16" spans="1:64">
      <c r="A16">
        <v>10901</v>
      </c>
      <c r="B16" t="s">
        <v>1216</v>
      </c>
      <c r="C16">
        <v>1</v>
      </c>
      <c r="D16" t="s">
        <v>1218</v>
      </c>
      <c r="E16">
        <v>0.89999997615814198</v>
      </c>
      <c r="F16">
        <v>6950</v>
      </c>
      <c r="G16">
        <v>50</v>
      </c>
      <c r="H16" t="s">
        <v>192</v>
      </c>
      <c r="I16">
        <v>0.15000000596046401</v>
      </c>
      <c r="J16" s="67" t="str">
        <f>VLOOKUP($A16,MFMaster!$A$2:$C$300,2,FALSE)</f>
        <v>1-3 stories</v>
      </c>
      <c r="K16" s="67">
        <f>VLOOKUP($A16,MFMaster!$A$2:$CG$232,85,FALSE)</f>
        <v>228.97100830078099</v>
      </c>
      <c r="N16"/>
      <c r="O16"/>
      <c r="P16"/>
    </row>
    <row r="17" spans="1:16">
      <c r="A17">
        <v>10910</v>
      </c>
      <c r="B17" t="s">
        <v>1216</v>
      </c>
      <c r="C17">
        <v>1</v>
      </c>
      <c r="D17" t="s">
        <v>197</v>
      </c>
      <c r="E17">
        <v>1</v>
      </c>
      <c r="F17">
        <v>7190</v>
      </c>
      <c r="G17">
        <v>15</v>
      </c>
      <c r="H17" t="s">
        <v>199</v>
      </c>
      <c r="I17">
        <v>5.0000000745058101E-2</v>
      </c>
      <c r="J17" s="67" t="str">
        <f>VLOOKUP($A17,MFMaster!$A$2:$C$300,2,FALSE)</f>
        <v>1-3 stories</v>
      </c>
      <c r="K17" s="67">
        <f>VLOOKUP($A17,MFMaster!$A$2:$CG$232,85,FALSE)</f>
        <v>206.07391357421901</v>
      </c>
      <c r="N17"/>
      <c r="O17"/>
      <c r="P17"/>
    </row>
    <row r="18" spans="1:16">
      <c r="A18">
        <v>10996</v>
      </c>
      <c r="B18" t="s">
        <v>1216</v>
      </c>
      <c r="C18">
        <v>1</v>
      </c>
      <c r="D18" t="s">
        <v>202</v>
      </c>
      <c r="E18">
        <v>0.89999997615814198</v>
      </c>
      <c r="F18">
        <v>7100</v>
      </c>
      <c r="G18"/>
      <c r="H18"/>
      <c r="I18">
        <v>7.5000002980232197E-2</v>
      </c>
      <c r="J18" s="67" t="str">
        <f>VLOOKUP($A18,MFMaster!$A$2:$C$300,2,FALSE)</f>
        <v>1-3 stories</v>
      </c>
      <c r="K18" s="67">
        <f>VLOOKUP($A18,MFMaster!$A$2:$CG$232,85,FALSE)</f>
        <v>112.106643676758</v>
      </c>
      <c r="N18"/>
      <c r="O18"/>
      <c r="P18"/>
    </row>
    <row r="19" spans="1:16">
      <c r="A19">
        <v>11005</v>
      </c>
      <c r="B19" t="s">
        <v>1216</v>
      </c>
      <c r="C19">
        <v>1</v>
      </c>
      <c r="D19" t="s">
        <v>1218</v>
      </c>
      <c r="E19">
        <v>0.89999997615814198</v>
      </c>
      <c r="F19">
        <v>1552</v>
      </c>
      <c r="G19"/>
      <c r="H19"/>
      <c r="I19">
        <v>0.15000000596046401</v>
      </c>
      <c r="J19" s="67" t="str">
        <f>VLOOKUP($A19,MFMaster!$A$2:$C$300,2,FALSE)</f>
        <v>1-3 stories</v>
      </c>
      <c r="K19" s="67" t="str">
        <f>VLOOKUP($A19,MFMaster!$A$2:$CG$232,85,FALSE)</f>
        <v/>
      </c>
      <c r="N19"/>
      <c r="O19"/>
      <c r="P19"/>
    </row>
    <row r="20" spans="1:16">
      <c r="A20">
        <v>11263</v>
      </c>
      <c r="B20" t="s">
        <v>1216</v>
      </c>
      <c r="C20">
        <v>1</v>
      </c>
      <c r="D20" t="s">
        <v>195</v>
      </c>
      <c r="E20">
        <v>1</v>
      </c>
      <c r="F20">
        <v>2520</v>
      </c>
      <c r="G20">
        <v>15</v>
      </c>
      <c r="H20" t="s">
        <v>192</v>
      </c>
      <c r="I20">
        <v>7.0000000298023196E-2</v>
      </c>
      <c r="J20" s="67" t="str">
        <f>VLOOKUP($A20,MFMaster!$A$2:$C$300,2,FALSE)</f>
        <v>1-3 stories</v>
      </c>
      <c r="K20" s="67">
        <f>VLOOKUP($A20,MFMaster!$A$2:$CG$232,85,FALSE)</f>
        <v>343.45651245117199</v>
      </c>
      <c r="N20"/>
      <c r="O20"/>
      <c r="P20"/>
    </row>
    <row r="21" spans="1:16">
      <c r="A21">
        <v>11290</v>
      </c>
      <c r="B21" t="s">
        <v>1216</v>
      </c>
      <c r="C21">
        <v>1</v>
      </c>
      <c r="D21" t="s">
        <v>1218</v>
      </c>
      <c r="E21">
        <v>0.89999997615814198</v>
      </c>
      <c r="F21">
        <v>7176</v>
      </c>
      <c r="G21"/>
      <c r="H21"/>
      <c r="I21">
        <v>0.15000000596046401</v>
      </c>
      <c r="J21" s="67" t="str">
        <f>VLOOKUP($A21,MFMaster!$A$2:$C$300,2,FALSE)</f>
        <v>1-3 stories</v>
      </c>
      <c r="K21" s="67" t="str">
        <f>VLOOKUP($A21,MFMaster!$A$2:$CG$232,85,FALSE)</f>
        <v/>
      </c>
    </row>
    <row r="22" spans="1:16">
      <c r="A22">
        <v>11413</v>
      </c>
      <c r="B22" t="s">
        <v>1216</v>
      </c>
      <c r="C22">
        <v>1</v>
      </c>
      <c r="D22" t="s">
        <v>201</v>
      </c>
      <c r="E22">
        <v>0.89999997615814198</v>
      </c>
      <c r="F22">
        <v>11595</v>
      </c>
      <c r="G22">
        <v>0</v>
      </c>
      <c r="H22" t="s">
        <v>194</v>
      </c>
      <c r="I22">
        <v>7.9999998211860698E-2</v>
      </c>
      <c r="J22" s="67" t="str">
        <f>VLOOKUP($A22,MFMaster!$A$2:$C$300,2,FALSE)</f>
        <v>4-6 stories</v>
      </c>
      <c r="K22" s="67" t="str">
        <f>VLOOKUP($A22,MFMaster!$A$2:$CG$232,85,FALSE)</f>
        <v/>
      </c>
    </row>
    <row r="23" spans="1:16">
      <c r="A23">
        <v>11413</v>
      </c>
      <c r="B23" t="s">
        <v>1217</v>
      </c>
      <c r="C23">
        <v>2</v>
      </c>
      <c r="D23" t="s">
        <v>202</v>
      </c>
      <c r="E23">
        <v>0.89999997615814198</v>
      </c>
      <c r="F23">
        <v>12682</v>
      </c>
      <c r="G23">
        <v>0</v>
      </c>
      <c r="H23" t="s">
        <v>194</v>
      </c>
      <c r="I23">
        <v>7.5000002980232197E-2</v>
      </c>
      <c r="J23" s="67" t="str">
        <f>VLOOKUP($A23,MFMaster!$A$2:$C$300,2,FALSE)</f>
        <v>4-6 stories</v>
      </c>
      <c r="K23" s="67" t="str">
        <f>VLOOKUP($A23,MFMaster!$A$2:$CG$232,85,FALSE)</f>
        <v/>
      </c>
    </row>
    <row r="24" spans="1:16">
      <c r="A24">
        <v>11537</v>
      </c>
      <c r="B24" t="s">
        <v>1216</v>
      </c>
      <c r="C24">
        <v>1</v>
      </c>
      <c r="D24" t="s">
        <v>1218</v>
      </c>
      <c r="E24">
        <v>0.89999997615814198</v>
      </c>
      <c r="F24">
        <v>3072</v>
      </c>
      <c r="G24"/>
      <c r="H24"/>
      <c r="I24">
        <v>0.15000000596046401</v>
      </c>
      <c r="J24" s="67" t="str">
        <f>VLOOKUP($A24,MFMaster!$A$2:$C$300,2,FALSE)</f>
        <v>1-3 stories</v>
      </c>
      <c r="K24" s="67">
        <f>VLOOKUP($A24,MFMaster!$A$2:$CG$232,85,FALSE)</f>
        <v>149.47552490234401</v>
      </c>
    </row>
    <row r="25" spans="1:16">
      <c r="A25">
        <v>11598</v>
      </c>
      <c r="B25" t="s">
        <v>1216</v>
      </c>
      <c r="C25">
        <v>1</v>
      </c>
      <c r="D25" t="s">
        <v>201</v>
      </c>
      <c r="E25">
        <v>1</v>
      </c>
      <c r="F25">
        <v>4008</v>
      </c>
      <c r="G25"/>
      <c r="H25" t="s">
        <v>194</v>
      </c>
      <c r="I25">
        <v>3.5000000149011598E-2</v>
      </c>
      <c r="J25" s="67" t="str">
        <f>VLOOKUP($A25,MFMaster!$A$2:$C$300,2,FALSE)</f>
        <v>1-3 stories</v>
      </c>
      <c r="K25" s="67">
        <f>VLOOKUP($A25,MFMaster!$A$2:$CG$232,85,FALSE)</f>
        <v>400.358642578125</v>
      </c>
    </row>
    <row r="26" spans="1:16">
      <c r="A26">
        <v>11879</v>
      </c>
      <c r="B26" t="s">
        <v>1216</v>
      </c>
      <c r="C26">
        <v>1</v>
      </c>
      <c r="D26" t="s">
        <v>200</v>
      </c>
      <c r="E26">
        <v>0.89999997615814198</v>
      </c>
      <c r="F26">
        <v>4600</v>
      </c>
      <c r="G26">
        <v>21</v>
      </c>
      <c r="H26" t="s">
        <v>199</v>
      </c>
      <c r="I26">
        <v>9.00000035762787E-2</v>
      </c>
      <c r="J26" s="67" t="str">
        <f>VLOOKUP($A26,MFMaster!$A$2:$C$300,2,FALSE)</f>
        <v>1-3 stories</v>
      </c>
      <c r="K26" s="67">
        <f>VLOOKUP($A26,MFMaster!$A$2:$CG$232,85,FALSE)</f>
        <v>600.53796386718795</v>
      </c>
    </row>
    <row r="27" spans="1:16">
      <c r="A27">
        <v>11887</v>
      </c>
      <c r="B27" t="s">
        <v>1216</v>
      </c>
      <c r="C27">
        <v>1</v>
      </c>
      <c r="D27" t="s">
        <v>197</v>
      </c>
      <c r="E27">
        <v>0.89999997615814198</v>
      </c>
      <c r="F27">
        <v>40240</v>
      </c>
      <c r="G27"/>
      <c r="H27" t="s">
        <v>194</v>
      </c>
      <c r="I27">
        <v>9.4999998807907104E-2</v>
      </c>
      <c r="J27" s="67" t="str">
        <f>VLOOKUP($A27,MFMaster!$A$2:$C$300,2,FALSE)</f>
        <v>1-3 stories</v>
      </c>
      <c r="K27" s="67">
        <f>VLOOKUP($A27,MFMaster!$A$2:$CG$232,85,FALSE)</f>
        <v>53.381153106689503</v>
      </c>
    </row>
    <row r="28" spans="1:16">
      <c r="A28">
        <v>11930</v>
      </c>
      <c r="B28" t="s">
        <v>1216</v>
      </c>
      <c r="C28">
        <v>1</v>
      </c>
      <c r="D28" t="s">
        <v>197</v>
      </c>
      <c r="E28">
        <v>0.5</v>
      </c>
      <c r="F28">
        <v>3667</v>
      </c>
      <c r="G28">
        <v>49</v>
      </c>
      <c r="H28" t="s">
        <v>192</v>
      </c>
      <c r="I28">
        <v>0.25</v>
      </c>
      <c r="J28" s="67" t="str">
        <f>VLOOKUP($A28,MFMaster!$A$2:$C$300,2,FALSE)</f>
        <v>1-3 stories</v>
      </c>
      <c r="K28" s="67">
        <f>VLOOKUP($A28,MFMaster!$A$2:$CG$232,85,FALSE)</f>
        <v>600.53796386718795</v>
      </c>
    </row>
    <row r="29" spans="1:16">
      <c r="A29">
        <v>11949</v>
      </c>
      <c r="B29" t="s">
        <v>1216</v>
      </c>
      <c r="C29">
        <v>1</v>
      </c>
      <c r="D29" t="s">
        <v>197</v>
      </c>
      <c r="E29">
        <v>0.89999997615814198</v>
      </c>
      <c r="F29">
        <v>22361</v>
      </c>
      <c r="G29"/>
      <c r="H29" t="s">
        <v>192</v>
      </c>
      <c r="I29">
        <v>9.4999998807907104E-2</v>
      </c>
      <c r="J29" s="67" t="str">
        <f>VLOOKUP($A29,MFMaster!$A$2:$C$300,2,FALSE)</f>
        <v>4-6 stories</v>
      </c>
      <c r="K29" s="67" t="str">
        <f>VLOOKUP($A29,MFMaster!$A$2:$CG$232,85,FALSE)</f>
        <v/>
      </c>
    </row>
    <row r="30" spans="1:16">
      <c r="A30">
        <v>12167</v>
      </c>
      <c r="B30" t="s">
        <v>1216</v>
      </c>
      <c r="C30">
        <v>1</v>
      </c>
      <c r="D30" t="s">
        <v>201</v>
      </c>
      <c r="E30">
        <v>0.89999997615814198</v>
      </c>
      <c r="F30">
        <v>3180</v>
      </c>
      <c r="G30">
        <v>30</v>
      </c>
      <c r="H30" t="s">
        <v>194</v>
      </c>
      <c r="I30">
        <v>7.9999998211860698E-2</v>
      </c>
      <c r="J30" s="67" t="str">
        <f>VLOOKUP($A30,MFMaster!$A$2:$C$300,2,FALSE)</f>
        <v>1-3 stories</v>
      </c>
      <c r="K30" s="67">
        <f>VLOOKUP($A30,MFMaster!$A$2:$CG$232,85,FALSE)</f>
        <v>400.358642578125</v>
      </c>
    </row>
    <row r="31" spans="1:16">
      <c r="A31">
        <v>12405</v>
      </c>
      <c r="B31" t="s">
        <v>1216</v>
      </c>
      <c r="C31">
        <v>1</v>
      </c>
      <c r="D31" t="s">
        <v>197</v>
      </c>
      <c r="E31">
        <v>0.89999997615814198</v>
      </c>
      <c r="F31">
        <v>6140</v>
      </c>
      <c r="G31"/>
      <c r="H31" t="s">
        <v>194</v>
      </c>
      <c r="I31">
        <v>9.4999998807907104E-2</v>
      </c>
      <c r="J31" s="67" t="str">
        <f>VLOOKUP($A31,MFMaster!$A$2:$C$300,2,FALSE)</f>
        <v>1-3 stories</v>
      </c>
      <c r="K31" s="67">
        <f>VLOOKUP($A31,MFMaster!$A$2:$CG$232,85,FALSE)</f>
        <v>165.66564941406301</v>
      </c>
    </row>
    <row r="32" spans="1:16">
      <c r="A32">
        <v>12511</v>
      </c>
      <c r="B32" t="s">
        <v>1216</v>
      </c>
      <c r="C32">
        <v>1</v>
      </c>
      <c r="D32" t="s">
        <v>1218</v>
      </c>
      <c r="E32">
        <v>0.89999997615814198</v>
      </c>
      <c r="F32">
        <v>12235</v>
      </c>
      <c r="G32"/>
      <c r="H32"/>
      <c r="I32">
        <v>0.15000000596046401</v>
      </c>
      <c r="J32" s="67" t="str">
        <f>VLOOKUP($A32,MFMaster!$A$2:$C$300,2,FALSE)</f>
        <v>4-6 stories</v>
      </c>
      <c r="K32" s="67" t="str">
        <f>VLOOKUP($A32,MFMaster!$A$2:$CG$232,85,FALSE)</f>
        <v/>
      </c>
    </row>
    <row r="33" spans="1:11">
      <c r="A33">
        <v>12651</v>
      </c>
      <c r="B33" t="s">
        <v>1216</v>
      </c>
      <c r="C33">
        <v>1</v>
      </c>
      <c r="D33" t="s">
        <v>204</v>
      </c>
      <c r="E33">
        <v>0.89999997615814198</v>
      </c>
      <c r="F33">
        <v>5366</v>
      </c>
      <c r="G33">
        <v>0</v>
      </c>
      <c r="H33" t="s">
        <v>192</v>
      </c>
      <c r="I33">
        <v>7.0000000298023196E-2</v>
      </c>
      <c r="J33" s="67" t="str">
        <f>VLOOKUP($A33,MFMaster!$A$2:$C$300,2,FALSE)</f>
        <v>1-3 stories</v>
      </c>
      <c r="K33" s="67">
        <f>VLOOKUP($A33,MFMaster!$A$2:$CG$232,85,FALSE)</f>
        <v>266.90576171875</v>
      </c>
    </row>
    <row r="34" spans="1:11">
      <c r="A34">
        <v>12783</v>
      </c>
      <c r="B34" t="s">
        <v>1216</v>
      </c>
      <c r="C34">
        <v>1</v>
      </c>
      <c r="D34" t="s">
        <v>202</v>
      </c>
      <c r="E34">
        <v>1</v>
      </c>
      <c r="F34">
        <v>6867</v>
      </c>
      <c r="G34">
        <v>0</v>
      </c>
      <c r="H34" t="s">
        <v>194</v>
      </c>
      <c r="I34">
        <v>2.5000000372528999E-2</v>
      </c>
      <c r="J34" s="67" t="str">
        <f>VLOOKUP($A34,MFMaster!$A$2:$C$300,2,FALSE)</f>
        <v>4-6 stories</v>
      </c>
      <c r="K34" s="67" t="str">
        <f>VLOOKUP($A34,MFMaster!$A$2:$CG$232,85,FALSE)</f>
        <v/>
      </c>
    </row>
    <row r="35" spans="1:11">
      <c r="A35">
        <v>12932</v>
      </c>
      <c r="B35" t="s">
        <v>1216</v>
      </c>
      <c r="C35">
        <v>1</v>
      </c>
      <c r="D35" t="s">
        <v>1218</v>
      </c>
      <c r="E35">
        <v>0.89999997615814198</v>
      </c>
      <c r="F35">
        <v>6223</v>
      </c>
      <c r="G35">
        <v>35</v>
      </c>
      <c r="H35" t="s">
        <v>194</v>
      </c>
      <c r="I35">
        <v>0.15000000596046401</v>
      </c>
      <c r="J35" s="67" t="str">
        <f>VLOOKUP($A35,MFMaster!$A$2:$C$300,2,FALSE)</f>
        <v>4-6 stories</v>
      </c>
      <c r="K35" s="67" t="str">
        <f>VLOOKUP($A35,MFMaster!$A$2:$CG$232,85,FALSE)</f>
        <v/>
      </c>
    </row>
    <row r="36" spans="1:11">
      <c r="A36">
        <v>12986</v>
      </c>
      <c r="B36" t="s">
        <v>1216</v>
      </c>
      <c r="C36">
        <v>1</v>
      </c>
      <c r="D36" t="s">
        <v>202</v>
      </c>
      <c r="E36">
        <v>1</v>
      </c>
      <c r="F36">
        <v>27437</v>
      </c>
      <c r="G36">
        <v>0</v>
      </c>
      <c r="H36" t="s">
        <v>194</v>
      </c>
      <c r="I36">
        <v>2.5000000372528999E-2</v>
      </c>
      <c r="J36" s="67" t="str">
        <f>VLOOKUP($A36,MFMaster!$A$2:$C$300,2,FALSE)</f>
        <v>4-6 stories</v>
      </c>
      <c r="K36" s="67" t="str">
        <f>VLOOKUP($A36,MFMaster!$A$2:$CG$232,85,FALSE)</f>
        <v/>
      </c>
    </row>
    <row r="37" spans="1:11">
      <c r="A37">
        <v>13048</v>
      </c>
      <c r="B37" t="s">
        <v>1216</v>
      </c>
      <c r="C37">
        <v>1</v>
      </c>
      <c r="D37" t="s">
        <v>203</v>
      </c>
      <c r="E37">
        <v>1</v>
      </c>
      <c r="F37">
        <v>4230</v>
      </c>
      <c r="G37">
        <v>0</v>
      </c>
      <c r="H37" t="s">
        <v>194</v>
      </c>
      <c r="I37">
        <v>1.9999999552965199E-2</v>
      </c>
      <c r="J37" s="67" t="str">
        <f>VLOOKUP($A37,MFMaster!$A$2:$C$300,2,FALSE)</f>
        <v>1-3 stories</v>
      </c>
      <c r="K37" s="67">
        <f>VLOOKUP($A37,MFMaster!$A$2:$CG$232,85,FALSE)</f>
        <v>266.90576171875</v>
      </c>
    </row>
    <row r="38" spans="1:11">
      <c r="A38">
        <v>13054</v>
      </c>
      <c r="B38" t="s">
        <v>1216</v>
      </c>
      <c r="C38">
        <v>1</v>
      </c>
      <c r="D38" t="s">
        <v>202</v>
      </c>
      <c r="E38">
        <v>1</v>
      </c>
      <c r="F38">
        <v>3575</v>
      </c>
      <c r="G38"/>
      <c r="H38" t="s">
        <v>192</v>
      </c>
      <c r="I38">
        <v>2.5000000372528999E-2</v>
      </c>
      <c r="J38" s="67" t="str">
        <f>VLOOKUP($A38,MFMaster!$A$2:$C$300,2,FALSE)</f>
        <v>1-3 stories</v>
      </c>
      <c r="K38" s="67">
        <f>VLOOKUP($A38,MFMaster!$A$2:$CG$232,85,FALSE)</f>
        <v>149.47552490234401</v>
      </c>
    </row>
    <row r="39" spans="1:11">
      <c r="A39">
        <v>13062</v>
      </c>
      <c r="B39" t="s">
        <v>1216</v>
      </c>
      <c r="C39">
        <v>1</v>
      </c>
      <c r="D39" t="s">
        <v>197</v>
      </c>
      <c r="E39">
        <v>0.89999997615814198</v>
      </c>
      <c r="F39">
        <v>2792</v>
      </c>
      <c r="G39"/>
      <c r="H39"/>
      <c r="I39">
        <v>9.4999998807907104E-2</v>
      </c>
      <c r="J39" s="67" t="str">
        <f>VLOOKUP($A39,MFMaster!$A$2:$C$300,2,FALSE)</f>
        <v>1-3 stories</v>
      </c>
      <c r="K39" s="67">
        <f>VLOOKUP($A39,MFMaster!$A$2:$CG$232,85,FALSE)</f>
        <v>400.358642578125</v>
      </c>
    </row>
    <row r="40" spans="1:11">
      <c r="A40">
        <v>13202</v>
      </c>
      <c r="B40" t="s">
        <v>1216</v>
      </c>
      <c r="C40">
        <v>1</v>
      </c>
      <c r="D40" t="s">
        <v>200</v>
      </c>
      <c r="E40">
        <v>1</v>
      </c>
      <c r="F40">
        <v>4200</v>
      </c>
      <c r="G40">
        <v>10</v>
      </c>
      <c r="H40" t="s">
        <v>192</v>
      </c>
      <c r="I40">
        <v>4.5000001788139302E-2</v>
      </c>
      <c r="J40" s="67" t="str">
        <f>VLOOKUP($A40,MFMaster!$A$2:$C$300,2,FALSE)</f>
        <v>1-3 stories</v>
      </c>
      <c r="K40" s="67">
        <f>VLOOKUP($A40,MFMaster!$A$2:$CG$232,85,FALSE)</f>
        <v>480.43035888671898</v>
      </c>
    </row>
    <row r="41" spans="1:11">
      <c r="A41">
        <v>13218</v>
      </c>
      <c r="B41" t="s">
        <v>1216</v>
      </c>
      <c r="C41">
        <v>1</v>
      </c>
      <c r="D41" t="s">
        <v>201</v>
      </c>
      <c r="E41">
        <v>0.75</v>
      </c>
      <c r="F41">
        <v>7256</v>
      </c>
      <c r="G41">
        <v>49</v>
      </c>
      <c r="H41" t="s">
        <v>196</v>
      </c>
      <c r="I41">
        <v>0.144999995827675</v>
      </c>
      <c r="J41" s="67" t="str">
        <f>VLOOKUP($A41,MFMaster!$A$2:$C$300,2,FALSE)</f>
        <v>1-3 stories</v>
      </c>
      <c r="K41" s="67">
        <f>VLOOKUP($A41,MFMaster!$A$2:$CG$232,85,FALSE)</f>
        <v>128.79620361328099</v>
      </c>
    </row>
    <row r="42" spans="1:11">
      <c r="A42">
        <v>13268</v>
      </c>
      <c r="B42" t="s">
        <v>1216</v>
      </c>
      <c r="C42">
        <v>1</v>
      </c>
      <c r="D42" t="s">
        <v>201</v>
      </c>
      <c r="E42">
        <v>0.89999997615814198</v>
      </c>
      <c r="F42">
        <v>2709</v>
      </c>
      <c r="G42"/>
      <c r="H42" t="s">
        <v>199</v>
      </c>
      <c r="I42">
        <v>7.9999998211860698E-2</v>
      </c>
      <c r="J42" s="67" t="str">
        <f>VLOOKUP($A42,MFMaster!$A$2:$C$300,2,FALSE)</f>
        <v>1-3 stories</v>
      </c>
      <c r="K42" s="67">
        <f>VLOOKUP($A42,MFMaster!$A$2:$CG$232,85,FALSE)</f>
        <v>171.72825622558599</v>
      </c>
    </row>
    <row r="43" spans="1:11">
      <c r="A43">
        <v>13321</v>
      </c>
      <c r="B43" t="s">
        <v>1216</v>
      </c>
      <c r="C43">
        <v>1</v>
      </c>
      <c r="D43" t="s">
        <v>200</v>
      </c>
      <c r="E43">
        <v>0.89999997615814198</v>
      </c>
      <c r="F43">
        <v>3816</v>
      </c>
      <c r="G43">
        <v>10</v>
      </c>
      <c r="H43" t="s">
        <v>192</v>
      </c>
      <c r="I43">
        <v>9.00000035762787E-2</v>
      </c>
      <c r="J43" s="67" t="str">
        <f>VLOOKUP($A43,MFMaster!$A$2:$C$300,2,FALSE)</f>
        <v>1-3 stories</v>
      </c>
      <c r="K43" s="67">
        <f>VLOOKUP($A43,MFMaster!$A$2:$CG$232,85,FALSE)</f>
        <v>266.90576171875</v>
      </c>
    </row>
    <row r="44" spans="1:11">
      <c r="A44">
        <v>13360</v>
      </c>
      <c r="B44" t="s">
        <v>1216</v>
      </c>
      <c r="C44">
        <v>1</v>
      </c>
      <c r="D44" t="s">
        <v>202</v>
      </c>
      <c r="E44">
        <v>1</v>
      </c>
      <c r="F44">
        <v>3584</v>
      </c>
      <c r="G44">
        <v>0</v>
      </c>
      <c r="H44" t="s">
        <v>194</v>
      </c>
      <c r="I44">
        <v>2.5000000372528999E-2</v>
      </c>
      <c r="J44" s="67" t="str">
        <f>VLOOKUP($A44,MFMaster!$A$2:$C$300,2,FALSE)</f>
        <v>1-3 stories</v>
      </c>
      <c r="K44" s="67">
        <f>VLOOKUP($A44,MFMaster!$A$2:$CG$232,85,FALSE)</f>
        <v>343.16452026367199</v>
      </c>
    </row>
    <row r="45" spans="1:11">
      <c r="A45">
        <v>13384</v>
      </c>
      <c r="B45" t="s">
        <v>1216</v>
      </c>
      <c r="C45">
        <v>1</v>
      </c>
      <c r="D45" t="s">
        <v>200</v>
      </c>
      <c r="E45">
        <v>0.5</v>
      </c>
      <c r="F45">
        <v>1982</v>
      </c>
      <c r="G45"/>
      <c r="H45" t="s">
        <v>194</v>
      </c>
      <c r="I45">
        <v>0.245000004768372</v>
      </c>
      <c r="J45" s="67" t="str">
        <f>VLOOKUP($A45,MFMaster!$A$2:$C$300,2,FALSE)</f>
        <v>1-3 stories</v>
      </c>
      <c r="K45" s="67">
        <f>VLOOKUP($A45,MFMaster!$A$2:$CG$232,85,FALSE)</f>
        <v>343.45651245117199</v>
      </c>
    </row>
    <row r="46" spans="1:11">
      <c r="A46">
        <v>13628</v>
      </c>
      <c r="B46" t="s">
        <v>1216</v>
      </c>
      <c r="C46">
        <v>1</v>
      </c>
      <c r="D46" t="s">
        <v>1218</v>
      </c>
      <c r="E46">
        <v>0.89999997615814198</v>
      </c>
      <c r="F46">
        <v>2128</v>
      </c>
      <c r="G46">
        <v>15</v>
      </c>
      <c r="H46"/>
      <c r="I46">
        <v>0.15000000596046401</v>
      </c>
      <c r="J46" s="67" t="str">
        <f>VLOOKUP($A46,MFMaster!$A$2:$C$300,2,FALSE)</f>
        <v>1-3 stories</v>
      </c>
      <c r="K46" s="67">
        <f>VLOOKUP($A46,MFMaster!$A$2:$CG$232,85,FALSE)</f>
        <v>343.45651245117199</v>
      </c>
    </row>
    <row r="47" spans="1:11">
      <c r="A47">
        <v>13694</v>
      </c>
      <c r="B47" t="s">
        <v>1216</v>
      </c>
      <c r="C47">
        <v>1</v>
      </c>
      <c r="D47" t="s">
        <v>197</v>
      </c>
      <c r="E47">
        <v>1</v>
      </c>
      <c r="F47">
        <v>4905</v>
      </c>
      <c r="G47">
        <v>20</v>
      </c>
      <c r="H47" t="s">
        <v>194</v>
      </c>
      <c r="I47">
        <v>5.0000000745058101E-2</v>
      </c>
      <c r="J47" s="67" t="str">
        <f>VLOOKUP($A47,MFMaster!$A$2:$C$300,2,FALSE)</f>
        <v>1-3 stories</v>
      </c>
      <c r="K47" s="67">
        <f>VLOOKUP($A47,MFMaster!$A$2:$CG$232,85,FALSE)</f>
        <v>266.90576171875</v>
      </c>
    </row>
    <row r="48" spans="1:11">
      <c r="A48">
        <v>13712</v>
      </c>
      <c r="B48" t="s">
        <v>1216</v>
      </c>
      <c r="C48">
        <v>1</v>
      </c>
      <c r="D48" t="s">
        <v>1218</v>
      </c>
      <c r="E48">
        <v>0.89999997615814198</v>
      </c>
      <c r="F48">
        <v>2800</v>
      </c>
      <c r="G48">
        <v>30</v>
      </c>
      <c r="H48"/>
      <c r="I48">
        <v>0.15000000596046401</v>
      </c>
      <c r="J48" s="67" t="str">
        <f>VLOOKUP($A48,MFMaster!$A$2:$C$300,2,FALSE)</f>
        <v>1-3 stories</v>
      </c>
      <c r="K48" s="67">
        <f>VLOOKUP($A48,MFMaster!$A$2:$CG$232,85,FALSE)</f>
        <v>136.90428161621099</v>
      </c>
    </row>
    <row r="49" spans="1:11">
      <c r="A49">
        <v>13899</v>
      </c>
      <c r="B49" t="s">
        <v>1216</v>
      </c>
      <c r="C49">
        <v>1</v>
      </c>
      <c r="D49" t="s">
        <v>201</v>
      </c>
      <c r="E49">
        <v>0.89999997615814198</v>
      </c>
      <c r="F49">
        <v>7744</v>
      </c>
      <c r="G49">
        <v>0</v>
      </c>
      <c r="H49" t="s">
        <v>199</v>
      </c>
      <c r="I49">
        <v>7.9999998211860698E-2</v>
      </c>
      <c r="J49" s="67" t="str">
        <f>VLOOKUP($A49,MFMaster!$A$2:$C$300,2,FALSE)</f>
        <v>1-3 stories</v>
      </c>
      <c r="K49" s="67">
        <f>VLOOKUP($A49,MFMaster!$A$2:$CG$232,85,FALSE)</f>
        <v>42.124393463134801</v>
      </c>
    </row>
    <row r="50" spans="1:11">
      <c r="A50">
        <v>14014</v>
      </c>
      <c r="B50" t="s">
        <v>1216</v>
      </c>
      <c r="C50">
        <v>1</v>
      </c>
      <c r="D50" t="s">
        <v>201</v>
      </c>
      <c r="E50">
        <v>1</v>
      </c>
      <c r="F50">
        <v>8280</v>
      </c>
      <c r="G50">
        <v>8</v>
      </c>
      <c r="H50" t="s">
        <v>194</v>
      </c>
      <c r="I50">
        <v>3.5000000149011598E-2</v>
      </c>
      <c r="J50" s="67" t="str">
        <f>VLOOKUP($A50,MFMaster!$A$2:$C$300,2,FALSE)</f>
        <v>1-3 stories</v>
      </c>
      <c r="K50" s="67">
        <f>VLOOKUP($A50,MFMaster!$A$2:$CG$232,85,FALSE)</f>
        <v>85.864128112792997</v>
      </c>
    </row>
    <row r="51" spans="1:11">
      <c r="A51">
        <v>14020</v>
      </c>
      <c r="B51" t="s">
        <v>1216</v>
      </c>
      <c r="C51">
        <v>1</v>
      </c>
      <c r="D51" t="s">
        <v>201</v>
      </c>
      <c r="E51">
        <v>0.75</v>
      </c>
      <c r="F51">
        <v>2510</v>
      </c>
      <c r="G51">
        <v>20</v>
      </c>
      <c r="H51" t="s">
        <v>199</v>
      </c>
      <c r="I51">
        <v>0.144999995827675</v>
      </c>
      <c r="J51" s="67" t="str">
        <f>VLOOKUP($A51,MFMaster!$A$2:$C$300,2,FALSE)</f>
        <v>1-3 stories</v>
      </c>
      <c r="K51" s="67">
        <f>VLOOKUP($A51,MFMaster!$A$2:$CG$232,85,FALSE)</f>
        <v>171.72825622558599</v>
      </c>
    </row>
    <row r="52" spans="1:11">
      <c r="A52">
        <v>14240</v>
      </c>
      <c r="B52" t="s">
        <v>1216</v>
      </c>
      <c r="C52">
        <v>1</v>
      </c>
      <c r="D52" t="s">
        <v>202</v>
      </c>
      <c r="E52">
        <v>1</v>
      </c>
      <c r="F52">
        <v>3999</v>
      </c>
      <c r="G52"/>
      <c r="H52" t="s">
        <v>199</v>
      </c>
      <c r="I52">
        <v>2.5000000372528999E-2</v>
      </c>
      <c r="J52" s="67" t="str">
        <f>VLOOKUP($A52,MFMaster!$A$2:$C$300,2,FALSE)</f>
        <v>1-3 stories</v>
      </c>
      <c r="K52" s="67" t="str">
        <f>VLOOKUP($A52,MFMaster!$A$2:$CG$232,85,FALSE)</f>
        <v/>
      </c>
    </row>
    <row r="53" spans="1:11">
      <c r="A53">
        <v>14258</v>
      </c>
      <c r="B53" t="s">
        <v>1216</v>
      </c>
      <c r="C53">
        <v>1</v>
      </c>
      <c r="D53" t="s">
        <v>202</v>
      </c>
      <c r="E53">
        <v>1</v>
      </c>
      <c r="F53">
        <v>4350</v>
      </c>
      <c r="G53">
        <v>0</v>
      </c>
      <c r="H53" t="s">
        <v>192</v>
      </c>
      <c r="I53">
        <v>2.5000000372528999E-2</v>
      </c>
      <c r="J53" s="67" t="str">
        <f>VLOOKUP($A53,MFMaster!$A$2:$C$300,2,FALSE)</f>
        <v>1-3 stories</v>
      </c>
      <c r="K53" s="67">
        <f>VLOOKUP($A53,MFMaster!$A$2:$CG$232,85,FALSE)</f>
        <v>436.75485229492199</v>
      </c>
    </row>
    <row r="54" spans="1:11">
      <c r="A54">
        <v>14259</v>
      </c>
      <c r="B54" t="s">
        <v>1216</v>
      </c>
      <c r="C54">
        <v>1</v>
      </c>
      <c r="D54" t="s">
        <v>202</v>
      </c>
      <c r="E54">
        <v>0.89999997615814198</v>
      </c>
      <c r="F54">
        <v>9850</v>
      </c>
      <c r="G54">
        <v>20</v>
      </c>
      <c r="H54" t="s">
        <v>194</v>
      </c>
      <c r="I54">
        <v>7.5000002980232197E-2</v>
      </c>
      <c r="J54" s="67" t="str">
        <f>VLOOKUP($A54,MFMaster!$A$2:$C$300,2,FALSE)</f>
        <v>4-6 stories</v>
      </c>
      <c r="K54" s="67" t="str">
        <f>VLOOKUP($A54,MFMaster!$A$2:$CG$232,85,FALSE)</f>
        <v/>
      </c>
    </row>
    <row r="55" spans="1:11">
      <c r="A55">
        <v>14259</v>
      </c>
      <c r="B55" t="s">
        <v>1217</v>
      </c>
      <c r="C55">
        <v>2</v>
      </c>
      <c r="D55" t="s">
        <v>202</v>
      </c>
      <c r="E55">
        <v>1</v>
      </c>
      <c r="F55">
        <v>23198</v>
      </c>
      <c r="G55"/>
      <c r="H55" t="s">
        <v>194</v>
      </c>
      <c r="I55">
        <v>2.5000000372528999E-2</v>
      </c>
      <c r="J55" s="67" t="str">
        <f>VLOOKUP($A55,MFMaster!$A$2:$C$300,2,FALSE)</f>
        <v>4-6 stories</v>
      </c>
      <c r="K55" s="67" t="str">
        <f>VLOOKUP($A55,MFMaster!$A$2:$CG$232,85,FALSE)</f>
        <v/>
      </c>
    </row>
    <row r="56" spans="1:11">
      <c r="A56">
        <v>14346</v>
      </c>
      <c r="B56" t="s">
        <v>1216</v>
      </c>
      <c r="C56">
        <v>1</v>
      </c>
      <c r="D56" t="s">
        <v>200</v>
      </c>
      <c r="E56">
        <v>1</v>
      </c>
      <c r="F56">
        <v>7000</v>
      </c>
      <c r="G56">
        <v>0</v>
      </c>
      <c r="H56" t="s">
        <v>194</v>
      </c>
      <c r="I56">
        <v>4.5000001788139302E-2</v>
      </c>
      <c r="J56" s="67" t="str">
        <f>VLOOKUP($A56,MFMaster!$A$2:$C$300,2,FALSE)</f>
        <v>1-3 stories</v>
      </c>
      <c r="K56" s="67">
        <f>VLOOKUP($A56,MFMaster!$A$2:$CG$232,85,FALSE)</f>
        <v>171.58226013183599</v>
      </c>
    </row>
    <row r="57" spans="1:11">
      <c r="A57">
        <v>14507</v>
      </c>
      <c r="B57" t="s">
        <v>1216</v>
      </c>
      <c r="C57">
        <v>1</v>
      </c>
      <c r="D57" t="s">
        <v>201</v>
      </c>
      <c r="E57">
        <v>0.75</v>
      </c>
      <c r="F57">
        <v>2631</v>
      </c>
      <c r="G57">
        <v>49</v>
      </c>
      <c r="H57" t="s">
        <v>196</v>
      </c>
      <c r="I57">
        <v>0.144999995827675</v>
      </c>
      <c r="J57" s="67" t="str">
        <f>VLOOKUP($A57,MFMaster!$A$2:$C$300,2,FALSE)</f>
        <v>1-3 stories</v>
      </c>
      <c r="K57" s="67">
        <f>VLOOKUP($A57,MFMaster!$A$2:$CG$232,85,FALSE)</f>
        <v>412.14782714843801</v>
      </c>
    </row>
    <row r="58" spans="1:11">
      <c r="A58">
        <v>14613</v>
      </c>
      <c r="B58" t="s">
        <v>1216</v>
      </c>
      <c r="C58">
        <v>1</v>
      </c>
      <c r="D58" t="s">
        <v>203</v>
      </c>
      <c r="E58">
        <v>1</v>
      </c>
      <c r="F58">
        <v>5354</v>
      </c>
      <c r="G58">
        <v>0</v>
      </c>
      <c r="H58" t="s">
        <v>194</v>
      </c>
      <c r="I58">
        <v>1.9999999552965199E-2</v>
      </c>
      <c r="J58" s="67" t="str">
        <f>VLOOKUP($A58,MFMaster!$A$2:$C$300,2,FALSE)</f>
        <v>1-3 stories</v>
      </c>
      <c r="K58" s="67">
        <f>VLOOKUP($A58,MFMaster!$A$2:$CG$232,85,FALSE)</f>
        <v>99.650344848632798</v>
      </c>
    </row>
    <row r="59" spans="1:11">
      <c r="A59">
        <v>14614</v>
      </c>
      <c r="B59" t="s">
        <v>1216</v>
      </c>
      <c r="C59">
        <v>1</v>
      </c>
      <c r="D59" t="s">
        <v>203</v>
      </c>
      <c r="E59">
        <v>0.89999997615814198</v>
      </c>
      <c r="F59">
        <v>4386</v>
      </c>
      <c r="G59">
        <v>0</v>
      </c>
      <c r="H59" t="s">
        <v>196</v>
      </c>
      <c r="I59">
        <v>7.0000000298023196E-2</v>
      </c>
      <c r="J59" s="67" t="str">
        <f>VLOOKUP($A59,MFMaster!$A$2:$C$300,2,FALSE)</f>
        <v>1-3 stories</v>
      </c>
      <c r="K59" s="67">
        <f>VLOOKUP($A59,MFMaster!$A$2:$CG$232,85,FALSE)</f>
        <v>320.28689575195301</v>
      </c>
    </row>
    <row r="60" spans="1:11">
      <c r="A60">
        <v>20119</v>
      </c>
      <c r="B60" t="s">
        <v>1216</v>
      </c>
      <c r="C60">
        <v>1</v>
      </c>
      <c r="D60" t="s">
        <v>202</v>
      </c>
      <c r="E60">
        <v>0.89999997615814198</v>
      </c>
      <c r="F60">
        <v>17239</v>
      </c>
      <c r="G60"/>
      <c r="H60" t="s">
        <v>193</v>
      </c>
      <c r="I60">
        <v>7.5000002980232197E-2</v>
      </c>
      <c r="J60" s="67" t="str">
        <f>VLOOKUP($A60,MFMaster!$A$2:$C$300,2,FALSE)</f>
        <v>1-3 stories</v>
      </c>
      <c r="K60" s="67">
        <f>VLOOKUP($A60,MFMaster!$A$2:$CG$232,85,FALSE)</f>
        <v>116.07144165039099</v>
      </c>
    </row>
    <row r="61" spans="1:11">
      <c r="A61">
        <v>20165</v>
      </c>
      <c r="B61" t="s">
        <v>1216</v>
      </c>
      <c r="C61">
        <v>1</v>
      </c>
      <c r="D61" t="s">
        <v>202</v>
      </c>
      <c r="E61">
        <v>0.89999997615814198</v>
      </c>
      <c r="F61">
        <v>3382</v>
      </c>
      <c r="G61"/>
      <c r="H61"/>
      <c r="I61">
        <v>7.5000002980232197E-2</v>
      </c>
      <c r="J61" s="67" t="str">
        <f>VLOOKUP($A61,MFMaster!$A$2:$C$300,2,FALSE)</f>
        <v>1-3 stories</v>
      </c>
      <c r="K61" s="67">
        <f>VLOOKUP($A61,MFMaster!$A$2:$CG$232,85,FALSE)</f>
        <v>628.72027587890602</v>
      </c>
    </row>
    <row r="62" spans="1:11">
      <c r="A62">
        <v>20193</v>
      </c>
      <c r="B62" t="s">
        <v>1216</v>
      </c>
      <c r="C62">
        <v>1</v>
      </c>
      <c r="D62" t="s">
        <v>195</v>
      </c>
      <c r="E62">
        <v>0.25</v>
      </c>
      <c r="F62">
        <v>6048</v>
      </c>
      <c r="G62">
        <v>50</v>
      </c>
      <c r="H62" t="s">
        <v>193</v>
      </c>
      <c r="I62">
        <v>0.33000001311302202</v>
      </c>
      <c r="J62" s="67" t="str">
        <f>VLOOKUP($A62,MFMaster!$A$2:$C$300,2,FALSE)</f>
        <v>1-3 stories</v>
      </c>
      <c r="K62" s="67">
        <f>VLOOKUP($A62,MFMaster!$A$2:$CG$232,85,FALSE)</f>
        <v>538.903076171875</v>
      </c>
    </row>
    <row r="63" spans="1:11">
      <c r="A63">
        <v>20566</v>
      </c>
      <c r="B63" t="s">
        <v>1216</v>
      </c>
      <c r="C63">
        <v>1</v>
      </c>
      <c r="D63" t="s">
        <v>195</v>
      </c>
      <c r="E63">
        <v>1</v>
      </c>
      <c r="F63">
        <v>3623</v>
      </c>
      <c r="G63">
        <v>12</v>
      </c>
      <c r="H63" t="s">
        <v>192</v>
      </c>
      <c r="I63">
        <v>7.0000000298023196E-2</v>
      </c>
      <c r="J63" s="67" t="str">
        <f>VLOOKUP($A63,MFMaster!$A$2:$C$300,2,FALSE)</f>
        <v>1-3 stories</v>
      </c>
      <c r="K63" s="67">
        <f>VLOOKUP($A63,MFMaster!$A$2:$CG$232,85,FALSE)</f>
        <v>754.46429443359398</v>
      </c>
    </row>
    <row r="64" spans="1:11">
      <c r="A64">
        <v>20581</v>
      </c>
      <c r="B64" t="s">
        <v>1216</v>
      </c>
      <c r="C64">
        <v>1</v>
      </c>
      <c r="D64" t="s">
        <v>1218</v>
      </c>
      <c r="E64">
        <v>0.89999997615814198</v>
      </c>
      <c r="F64">
        <v>2943</v>
      </c>
      <c r="G64"/>
      <c r="H64"/>
      <c r="I64">
        <v>0.15000000596046401</v>
      </c>
      <c r="J64" s="67" t="str">
        <f>VLOOKUP($A64,MFMaster!$A$2:$C$300,2,FALSE)</f>
        <v>1-3 stories</v>
      </c>
      <c r="K64" s="67">
        <f>VLOOKUP($A64,MFMaster!$A$2:$CG$232,85,FALSE)</f>
        <v>1257.44055175781</v>
      </c>
    </row>
    <row r="65" spans="1:11">
      <c r="A65">
        <v>20705</v>
      </c>
      <c r="B65" t="s">
        <v>1216</v>
      </c>
      <c r="C65">
        <v>1</v>
      </c>
      <c r="D65" t="s">
        <v>197</v>
      </c>
      <c r="E65">
        <v>0.89999997615814198</v>
      </c>
      <c r="F65">
        <v>5540</v>
      </c>
      <c r="G65"/>
      <c r="H65" t="s">
        <v>194</v>
      </c>
      <c r="I65">
        <v>9.4999998807907104E-2</v>
      </c>
      <c r="J65" s="67" t="str">
        <f>VLOOKUP($A65,MFMaster!$A$2:$C$300,2,FALSE)</f>
        <v>1-3 stories</v>
      </c>
      <c r="K65" s="67">
        <f>VLOOKUP($A65,MFMaster!$A$2:$CG$232,85,FALSE)</f>
        <v>1257.44055175781</v>
      </c>
    </row>
    <row r="66" spans="1:11">
      <c r="A66">
        <v>20803</v>
      </c>
      <c r="B66" t="s">
        <v>1216</v>
      </c>
      <c r="C66">
        <v>1</v>
      </c>
      <c r="D66" t="s">
        <v>202</v>
      </c>
      <c r="E66">
        <v>1</v>
      </c>
      <c r="F66">
        <v>2825</v>
      </c>
      <c r="G66"/>
      <c r="H66" t="s">
        <v>192</v>
      </c>
      <c r="I66">
        <v>2.5000000372528999E-2</v>
      </c>
      <c r="J66" s="67" t="str">
        <f>VLOOKUP($A66,MFMaster!$A$2:$C$300,2,FALSE)</f>
        <v>1-3 stories</v>
      </c>
      <c r="K66" s="67">
        <f>VLOOKUP($A66,MFMaster!$A$2:$CG$232,85,FALSE)</f>
        <v>838.293701171875</v>
      </c>
    </row>
    <row r="67" spans="1:11">
      <c r="A67">
        <v>21346</v>
      </c>
      <c r="B67" t="s">
        <v>1216</v>
      </c>
      <c r="C67">
        <v>1</v>
      </c>
      <c r="D67" t="s">
        <v>202</v>
      </c>
      <c r="E67">
        <v>0.89999997615814198</v>
      </c>
      <c r="F67">
        <v>5000</v>
      </c>
      <c r="G67">
        <v>20</v>
      </c>
      <c r="H67" t="s">
        <v>196</v>
      </c>
      <c r="I67">
        <v>7.5000002980232197E-2</v>
      </c>
      <c r="J67" s="67" t="str">
        <f>VLOOKUP($A67,MFMaster!$A$2:$C$300,2,FALSE)</f>
        <v>1-3 stories</v>
      </c>
      <c r="K67" s="67" t="str">
        <f>VLOOKUP($A67,MFMaster!$A$2:$CG$232,85,FALSE)</f>
        <v/>
      </c>
    </row>
    <row r="68" spans="1:11">
      <c r="A68">
        <v>21424</v>
      </c>
      <c r="B68" t="s">
        <v>1216</v>
      </c>
      <c r="C68">
        <v>1</v>
      </c>
      <c r="D68" t="s">
        <v>1218</v>
      </c>
      <c r="E68">
        <v>0.89999997615814198</v>
      </c>
      <c r="F68">
        <v>7180</v>
      </c>
      <c r="G68"/>
      <c r="H68" t="s">
        <v>192</v>
      </c>
      <c r="I68">
        <v>0.15000000596046401</v>
      </c>
      <c r="J68" s="67" t="str">
        <f>VLOOKUP($A68,MFMaster!$A$2:$C$300,2,FALSE)</f>
        <v>1-3 stories</v>
      </c>
      <c r="K68" s="67" t="str">
        <f>VLOOKUP($A68,MFMaster!$A$2:$CG$232,85,FALSE)</f>
        <v/>
      </c>
    </row>
    <row r="69" spans="1:11">
      <c r="A69">
        <v>21488</v>
      </c>
      <c r="B69" t="s">
        <v>1216</v>
      </c>
      <c r="C69">
        <v>1</v>
      </c>
      <c r="D69" t="s">
        <v>200</v>
      </c>
      <c r="E69">
        <v>0.89999997615814198</v>
      </c>
      <c r="F69">
        <v>2924</v>
      </c>
      <c r="G69">
        <v>20</v>
      </c>
      <c r="H69" t="s">
        <v>196</v>
      </c>
      <c r="I69">
        <v>9.00000035762787E-2</v>
      </c>
      <c r="J69" s="67" t="str">
        <f>VLOOKUP($A69,MFMaster!$A$2:$C$300,2,FALSE)</f>
        <v>1-3 stories</v>
      </c>
      <c r="K69" s="67">
        <f>VLOOKUP($A69,MFMaster!$A$2:$CG$232,85,FALSE)</f>
        <v>943.08038330078102</v>
      </c>
    </row>
    <row r="70" spans="1:11">
      <c r="A70">
        <v>21564</v>
      </c>
      <c r="B70" t="s">
        <v>1216</v>
      </c>
      <c r="C70">
        <v>1</v>
      </c>
      <c r="D70" t="s">
        <v>197</v>
      </c>
      <c r="E70">
        <v>1</v>
      </c>
      <c r="F70">
        <v>5890</v>
      </c>
      <c r="G70">
        <v>20</v>
      </c>
      <c r="H70" t="s">
        <v>194</v>
      </c>
      <c r="I70">
        <v>5.0000000745058101E-2</v>
      </c>
      <c r="J70" s="67" t="str">
        <f>VLOOKUP($A70,MFMaster!$A$2:$C$300,2,FALSE)</f>
        <v>1-3 stories</v>
      </c>
      <c r="K70" s="67">
        <f>VLOOKUP($A70,MFMaster!$A$2:$CG$232,85,FALSE)</f>
        <v>328.02795410156301</v>
      </c>
    </row>
    <row r="71" spans="1:11">
      <c r="A71">
        <v>21627</v>
      </c>
      <c r="B71" t="s">
        <v>1216</v>
      </c>
      <c r="C71">
        <v>1</v>
      </c>
      <c r="D71" t="s">
        <v>202</v>
      </c>
      <c r="E71">
        <v>0.89999997615814198</v>
      </c>
      <c r="F71">
        <v>7400</v>
      </c>
      <c r="G71">
        <v>12</v>
      </c>
      <c r="H71" t="s">
        <v>199</v>
      </c>
      <c r="I71">
        <v>7.5000002980232197E-2</v>
      </c>
      <c r="J71" s="67" t="str">
        <f>VLOOKUP($A71,MFMaster!$A$2:$C$300,2,FALSE)</f>
        <v>1-3 stories</v>
      </c>
      <c r="K71" s="67" t="str">
        <f>VLOOKUP($A71,MFMaster!$A$2:$CG$232,85,FALSE)</f>
        <v/>
      </c>
    </row>
    <row r="72" spans="1:11">
      <c r="A72">
        <v>21691</v>
      </c>
      <c r="B72" t="s">
        <v>1216</v>
      </c>
      <c r="C72">
        <v>1</v>
      </c>
      <c r="D72" t="s">
        <v>202</v>
      </c>
      <c r="E72">
        <v>1</v>
      </c>
      <c r="F72">
        <v>6726</v>
      </c>
      <c r="G72"/>
      <c r="H72" t="s">
        <v>206</v>
      </c>
      <c r="I72">
        <v>2.5000000372528999E-2</v>
      </c>
      <c r="J72" s="67" t="str">
        <f>VLOOKUP($A72,MFMaster!$A$2:$C$300,2,FALSE)</f>
        <v>1-3 stories</v>
      </c>
      <c r="K72" s="67">
        <f>VLOOKUP($A72,MFMaster!$A$2:$CG$232,85,FALSE)</f>
        <v>943.08038330078102</v>
      </c>
    </row>
    <row r="73" spans="1:11">
      <c r="A73">
        <v>21757</v>
      </c>
      <c r="B73" t="s">
        <v>1216</v>
      </c>
      <c r="C73">
        <v>1</v>
      </c>
      <c r="D73" t="s">
        <v>197</v>
      </c>
      <c r="E73">
        <v>0.5</v>
      </c>
      <c r="F73">
        <v>4588</v>
      </c>
      <c r="G73">
        <v>20</v>
      </c>
      <c r="H73" t="s">
        <v>194</v>
      </c>
      <c r="I73">
        <v>0.25</v>
      </c>
      <c r="J73" s="67" t="str">
        <f>VLOOKUP($A73,MFMaster!$A$2:$C$300,2,FALSE)</f>
        <v>1-3 stories</v>
      </c>
      <c r="K73" s="67">
        <f>VLOOKUP($A73,MFMaster!$A$2:$CG$232,85,FALSE)</f>
        <v>1257.44055175781</v>
      </c>
    </row>
    <row r="74" spans="1:11">
      <c r="A74">
        <v>21839</v>
      </c>
      <c r="B74" t="s">
        <v>1216</v>
      </c>
      <c r="C74">
        <v>1</v>
      </c>
      <c r="D74" t="s">
        <v>202</v>
      </c>
      <c r="E74">
        <v>1</v>
      </c>
      <c r="F74">
        <v>6339</v>
      </c>
      <c r="G74">
        <v>9</v>
      </c>
      <c r="H74" t="s">
        <v>192</v>
      </c>
      <c r="I74">
        <v>2.5000000372528999E-2</v>
      </c>
      <c r="J74" s="67" t="str">
        <f>VLOOKUP($A74,MFMaster!$A$2:$C$300,2,FALSE)</f>
        <v>4-6 stories</v>
      </c>
      <c r="K74" s="67" t="str">
        <f>VLOOKUP($A74,MFMaster!$A$2:$CG$232,85,FALSE)</f>
        <v/>
      </c>
    </row>
    <row r="75" spans="1:11">
      <c r="A75">
        <v>21844</v>
      </c>
      <c r="B75" t="s">
        <v>1216</v>
      </c>
      <c r="C75">
        <v>1</v>
      </c>
      <c r="D75" t="s">
        <v>203</v>
      </c>
      <c r="E75">
        <v>0.89999997615814198</v>
      </c>
      <c r="F75">
        <v>4345</v>
      </c>
      <c r="G75"/>
      <c r="H75" t="s">
        <v>199</v>
      </c>
      <c r="I75">
        <v>7.0000000298023196E-2</v>
      </c>
      <c r="J75" s="67" t="str">
        <f>VLOOKUP($A75,MFMaster!$A$2:$C$300,2,FALSE)</f>
        <v>1-3 stories</v>
      </c>
      <c r="K75" s="67">
        <f>VLOOKUP($A75,MFMaster!$A$2:$CG$232,85,FALSE)</f>
        <v>628.72027587890602</v>
      </c>
    </row>
    <row r="76" spans="1:11">
      <c r="A76">
        <v>21910</v>
      </c>
      <c r="B76" t="s">
        <v>1216</v>
      </c>
      <c r="C76">
        <v>1</v>
      </c>
      <c r="D76" t="s">
        <v>197</v>
      </c>
      <c r="E76">
        <v>1</v>
      </c>
      <c r="F76">
        <v>10709</v>
      </c>
      <c r="G76"/>
      <c r="H76" t="s">
        <v>199</v>
      </c>
      <c r="I76">
        <v>5.0000000745058101E-2</v>
      </c>
      <c r="J76" s="67" t="str">
        <f>VLOOKUP($A76,MFMaster!$A$2:$C$300,2,FALSE)</f>
        <v>1-3 stories</v>
      </c>
      <c r="K76" s="67">
        <f>VLOOKUP($A76,MFMaster!$A$2:$CG$232,85,FALSE)</f>
        <v>184.01568603515599</v>
      </c>
    </row>
    <row r="77" spans="1:11">
      <c r="A77">
        <v>21952</v>
      </c>
      <c r="B77" t="s">
        <v>1216</v>
      </c>
      <c r="C77">
        <v>1</v>
      </c>
      <c r="D77" t="s">
        <v>202</v>
      </c>
      <c r="E77">
        <v>1</v>
      </c>
      <c r="F77">
        <v>4760</v>
      </c>
      <c r="G77"/>
      <c r="H77" t="s">
        <v>192</v>
      </c>
      <c r="I77">
        <v>2.5000000372528999E-2</v>
      </c>
      <c r="J77" s="67" t="str">
        <f>VLOOKUP($A77,MFMaster!$A$2:$C$300,2,FALSE)</f>
        <v>1-3 stories</v>
      </c>
      <c r="K77" s="67">
        <f>VLOOKUP($A77,MFMaster!$A$2:$CG$232,85,FALSE)</f>
        <v>419.14685058593801</v>
      </c>
    </row>
    <row r="78" spans="1:11">
      <c r="A78">
        <v>21985</v>
      </c>
      <c r="B78" t="s">
        <v>1216</v>
      </c>
      <c r="C78">
        <v>1</v>
      </c>
      <c r="D78" t="s">
        <v>201</v>
      </c>
      <c r="E78">
        <v>0.75</v>
      </c>
      <c r="F78">
        <v>3240</v>
      </c>
      <c r="G78"/>
      <c r="H78" t="s">
        <v>193</v>
      </c>
      <c r="I78">
        <v>0.144999995827675</v>
      </c>
      <c r="J78" s="67" t="str">
        <f>VLOOKUP($A78,MFMaster!$A$2:$C$300,2,FALSE)</f>
        <v>1-3 stories</v>
      </c>
      <c r="K78" s="67">
        <f>VLOOKUP($A78,MFMaster!$A$2:$CG$232,85,FALSE)</f>
        <v>754.46429443359398</v>
      </c>
    </row>
    <row r="79" spans="1:11">
      <c r="A79">
        <v>21998</v>
      </c>
      <c r="B79" t="s">
        <v>1216</v>
      </c>
      <c r="C79">
        <v>1</v>
      </c>
      <c r="D79" t="s">
        <v>202</v>
      </c>
      <c r="E79">
        <v>0.89999997615814198</v>
      </c>
      <c r="F79">
        <v>4207</v>
      </c>
      <c r="G79"/>
      <c r="H79" t="s">
        <v>206</v>
      </c>
      <c r="I79">
        <v>7.5000002980232197E-2</v>
      </c>
      <c r="J79" s="67" t="str">
        <f>VLOOKUP($A79,MFMaster!$A$2:$C$300,2,FALSE)</f>
        <v>1-3 stories</v>
      </c>
      <c r="K79" s="67" t="str">
        <f>VLOOKUP($A79,MFMaster!$A$2:$CG$232,85,FALSE)</f>
        <v/>
      </c>
    </row>
    <row r="80" spans="1:11">
      <c r="A80">
        <v>22106</v>
      </c>
      <c r="B80" t="s">
        <v>1216</v>
      </c>
      <c r="C80">
        <v>1</v>
      </c>
      <c r="D80" t="s">
        <v>197</v>
      </c>
      <c r="E80">
        <v>1</v>
      </c>
      <c r="F80">
        <v>3200</v>
      </c>
      <c r="G80"/>
      <c r="H80" t="s">
        <v>192</v>
      </c>
      <c r="I80">
        <v>5.0000000745058101E-2</v>
      </c>
      <c r="J80" s="67" t="str">
        <f>VLOOKUP($A80,MFMaster!$A$2:$C$300,2,FALSE)</f>
        <v>1-3 stories</v>
      </c>
      <c r="K80" s="67">
        <f>VLOOKUP($A80,MFMaster!$A$2:$CG$232,85,FALSE)</f>
        <v>235.770095825195</v>
      </c>
    </row>
    <row r="81" spans="1:11">
      <c r="A81">
        <v>22262</v>
      </c>
      <c r="B81" t="s">
        <v>1216</v>
      </c>
      <c r="C81">
        <v>1</v>
      </c>
      <c r="D81" t="s">
        <v>202</v>
      </c>
      <c r="E81">
        <v>1</v>
      </c>
      <c r="F81">
        <v>4040</v>
      </c>
      <c r="G81">
        <v>0</v>
      </c>
      <c r="H81" t="s">
        <v>194</v>
      </c>
      <c r="I81">
        <v>2.5000000372528999E-2</v>
      </c>
      <c r="J81" s="67" t="str">
        <f>VLOOKUP($A81,MFMaster!$A$2:$C$300,2,FALSE)</f>
        <v>1-3 stories</v>
      </c>
      <c r="K81" s="67">
        <f>VLOOKUP($A81,MFMaster!$A$2:$CG$232,85,FALSE)</f>
        <v>943.08038330078102</v>
      </c>
    </row>
    <row r="82" spans="1:11">
      <c r="A82">
        <v>22371</v>
      </c>
      <c r="B82" t="s">
        <v>1216</v>
      </c>
      <c r="C82">
        <v>1</v>
      </c>
      <c r="D82" t="s">
        <v>202</v>
      </c>
      <c r="E82">
        <v>0.89999997615814198</v>
      </c>
      <c r="F82">
        <v>5400</v>
      </c>
      <c r="G82">
        <v>14</v>
      </c>
      <c r="H82" t="s">
        <v>199</v>
      </c>
      <c r="I82">
        <v>7.5000002980232197E-2</v>
      </c>
      <c r="J82" s="67" t="str">
        <f>VLOOKUP($A82,MFMaster!$A$2:$C$300,2,FALSE)</f>
        <v>1-3 stories</v>
      </c>
      <c r="K82" s="67">
        <f>VLOOKUP($A82,MFMaster!$A$2:$CG$232,85,FALSE)</f>
        <v>1257.44055175781</v>
      </c>
    </row>
    <row r="83" spans="1:11">
      <c r="A83">
        <v>22450</v>
      </c>
      <c r="B83" t="s">
        <v>1216</v>
      </c>
      <c r="C83">
        <v>1</v>
      </c>
      <c r="D83" t="s">
        <v>197</v>
      </c>
      <c r="E83">
        <v>0.75</v>
      </c>
      <c r="F83">
        <v>5123</v>
      </c>
      <c r="G83">
        <v>12</v>
      </c>
      <c r="H83" t="s">
        <v>192</v>
      </c>
      <c r="I83">
        <v>0.15500000119209301</v>
      </c>
      <c r="J83" s="67" t="str">
        <f>VLOOKUP($A83,MFMaster!$A$2:$C$300,2,FALSE)</f>
        <v>1-3 stories</v>
      </c>
      <c r="K83" s="67">
        <f>VLOOKUP($A83,MFMaster!$A$2:$CG$232,85,FALSE)</f>
        <v>538.903076171875</v>
      </c>
    </row>
    <row r="84" spans="1:11">
      <c r="A84">
        <v>22870</v>
      </c>
      <c r="B84" t="s">
        <v>1216</v>
      </c>
      <c r="C84">
        <v>1</v>
      </c>
      <c r="D84" t="s">
        <v>195</v>
      </c>
      <c r="E84">
        <v>0.89999997615814198</v>
      </c>
      <c r="F84">
        <v>7344</v>
      </c>
      <c r="G84"/>
      <c r="H84" t="s">
        <v>194</v>
      </c>
      <c r="I84">
        <v>0.109999999403954</v>
      </c>
      <c r="J84" s="67" t="str">
        <f>VLOOKUP($A84,MFMaster!$A$2:$C$300,2,FALSE)</f>
        <v>1-3 stories</v>
      </c>
      <c r="K84" s="67">
        <f>VLOOKUP($A84,MFMaster!$A$2:$CG$232,85,FALSE)</f>
        <v>471.54019165039102</v>
      </c>
    </row>
    <row r="85" spans="1:11">
      <c r="A85">
        <v>22906</v>
      </c>
      <c r="B85" t="s">
        <v>1216</v>
      </c>
      <c r="C85">
        <v>1</v>
      </c>
      <c r="D85" t="s">
        <v>202</v>
      </c>
      <c r="E85">
        <v>0.89999997615814198</v>
      </c>
      <c r="F85">
        <v>4745</v>
      </c>
      <c r="G85"/>
      <c r="H85" t="s">
        <v>192</v>
      </c>
      <c r="I85">
        <v>7.5000002980232197E-2</v>
      </c>
      <c r="J85" s="67" t="str">
        <f>VLOOKUP($A85,MFMaster!$A$2:$C$300,2,FALSE)</f>
        <v>1-3 stories</v>
      </c>
      <c r="K85" s="67">
        <f>VLOOKUP($A85,MFMaster!$A$2:$CG$232,85,FALSE)</f>
        <v>628.72027587890602</v>
      </c>
    </row>
    <row r="86" spans="1:11">
      <c r="A86">
        <v>23425</v>
      </c>
      <c r="B86" t="s">
        <v>1216</v>
      </c>
      <c r="C86">
        <v>1</v>
      </c>
      <c r="D86" t="s">
        <v>195</v>
      </c>
      <c r="E86">
        <v>0.5</v>
      </c>
      <c r="F86">
        <v>3340</v>
      </c>
      <c r="G86">
        <v>12</v>
      </c>
      <c r="H86" t="s">
        <v>192</v>
      </c>
      <c r="I86">
        <v>0.25</v>
      </c>
      <c r="J86" s="67" t="str">
        <f>VLOOKUP($A86,MFMaster!$A$2:$C$300,2,FALSE)</f>
        <v>1-3 stories</v>
      </c>
      <c r="K86" s="67">
        <f>VLOOKUP($A86,MFMaster!$A$2:$CG$232,85,FALSE)</f>
        <v>754.46429443359398</v>
      </c>
    </row>
    <row r="87" spans="1:11">
      <c r="A87">
        <v>23531</v>
      </c>
      <c r="B87" t="s">
        <v>1216</v>
      </c>
      <c r="C87">
        <v>1</v>
      </c>
      <c r="D87" t="s">
        <v>202</v>
      </c>
      <c r="E87">
        <v>0.89999997615814198</v>
      </c>
      <c r="F87">
        <v>5274</v>
      </c>
      <c r="G87"/>
      <c r="H87" t="s">
        <v>192</v>
      </c>
      <c r="I87">
        <v>7.5000002980232197E-2</v>
      </c>
      <c r="J87" s="67" t="str">
        <f>VLOOKUP($A87,MFMaster!$A$2:$C$300,2,FALSE)</f>
        <v>1-3 stories</v>
      </c>
      <c r="K87" s="67">
        <f>VLOOKUP($A87,MFMaster!$A$2:$CG$232,85,FALSE)</f>
        <v>419.14685058593801</v>
      </c>
    </row>
    <row r="88" spans="1:11">
      <c r="A88">
        <v>23623</v>
      </c>
      <c r="B88" t="s">
        <v>1216</v>
      </c>
      <c r="C88">
        <v>1</v>
      </c>
      <c r="D88" t="s">
        <v>1218</v>
      </c>
      <c r="E88">
        <v>0.89999997615814198</v>
      </c>
      <c r="F88">
        <v>4292</v>
      </c>
      <c r="G88">
        <v>50</v>
      </c>
      <c r="H88"/>
      <c r="I88">
        <v>0.15000000596046401</v>
      </c>
      <c r="J88" s="67" t="str">
        <f>VLOOKUP($A88,MFMaster!$A$2:$C$300,2,FALSE)</f>
        <v>1-3 stories</v>
      </c>
      <c r="K88" s="67">
        <f>VLOOKUP($A88,MFMaster!$A$2:$CG$232,85,FALSE)</f>
        <v>314.36013793945301</v>
      </c>
    </row>
    <row r="89" spans="1:11">
      <c r="A89">
        <v>23681</v>
      </c>
      <c r="B89" t="s">
        <v>1216</v>
      </c>
      <c r="C89">
        <v>1</v>
      </c>
      <c r="D89" t="s">
        <v>201</v>
      </c>
      <c r="E89">
        <v>0.89999997615814198</v>
      </c>
      <c r="F89">
        <v>5024</v>
      </c>
      <c r="G89"/>
      <c r="H89"/>
      <c r="I89">
        <v>7.9999998211860698E-2</v>
      </c>
      <c r="J89" s="67" t="str">
        <f>VLOOKUP($A89,MFMaster!$A$2:$C$300,2,FALSE)</f>
        <v>1-3 stories</v>
      </c>
      <c r="K89" s="67">
        <f>VLOOKUP($A89,MFMaster!$A$2:$CG$232,85,FALSE)</f>
        <v>943.08038330078102</v>
      </c>
    </row>
    <row r="90" spans="1:11">
      <c r="A90">
        <v>23685</v>
      </c>
      <c r="B90" t="s">
        <v>1216</v>
      </c>
      <c r="C90">
        <v>1</v>
      </c>
      <c r="D90" t="s">
        <v>1218</v>
      </c>
      <c r="E90">
        <v>0.89999997615814198</v>
      </c>
      <c r="F90">
        <v>4325</v>
      </c>
      <c r="G90"/>
      <c r="H90"/>
      <c r="I90">
        <v>0.15000000596046401</v>
      </c>
      <c r="J90" s="67" t="str">
        <f>VLOOKUP($A90,MFMaster!$A$2:$C$300,2,FALSE)</f>
        <v>1-3 stories</v>
      </c>
      <c r="K90" s="67">
        <f>VLOOKUP($A90,MFMaster!$A$2:$CG$232,85,FALSE)</f>
        <v>754.46429443359398</v>
      </c>
    </row>
    <row r="91" spans="1:11">
      <c r="A91">
        <v>23899</v>
      </c>
      <c r="B91" t="s">
        <v>1216</v>
      </c>
      <c r="C91">
        <v>1</v>
      </c>
      <c r="D91" t="s">
        <v>197</v>
      </c>
      <c r="E91">
        <v>0.89999997615814198</v>
      </c>
      <c r="F91">
        <v>16015</v>
      </c>
      <c r="G91">
        <v>20</v>
      </c>
      <c r="H91" t="s">
        <v>193</v>
      </c>
      <c r="I91">
        <v>9.4999998807907104E-2</v>
      </c>
      <c r="J91" s="67" t="str">
        <f>VLOOKUP($A91,MFMaster!$A$2:$C$300,2,FALSE)</f>
        <v>1-3 stories</v>
      </c>
      <c r="K91" s="67">
        <f>VLOOKUP($A91,MFMaster!$A$2:$CG$232,85,FALSE)</f>
        <v>167.65873718261699</v>
      </c>
    </row>
    <row r="92" spans="1:11">
      <c r="A92">
        <v>24009</v>
      </c>
      <c r="B92" t="s">
        <v>1216</v>
      </c>
      <c r="C92">
        <v>1</v>
      </c>
      <c r="D92" t="s">
        <v>202</v>
      </c>
      <c r="E92">
        <v>0.89999997615814198</v>
      </c>
      <c r="F92">
        <v>2136</v>
      </c>
      <c r="G92">
        <v>15</v>
      </c>
      <c r="H92" t="s">
        <v>199</v>
      </c>
      <c r="I92">
        <v>7.5000002980232197E-2</v>
      </c>
      <c r="J92" s="67" t="str">
        <f>VLOOKUP($A92,MFMaster!$A$2:$C$300,2,FALSE)</f>
        <v>1-3 stories</v>
      </c>
      <c r="K92" s="67" t="str">
        <f>VLOOKUP($A92,MFMaster!$A$2:$CG$232,85,FALSE)</f>
        <v/>
      </c>
    </row>
    <row r="93" spans="1:11">
      <c r="A93">
        <v>24123</v>
      </c>
      <c r="B93" t="s">
        <v>1216</v>
      </c>
      <c r="C93">
        <v>1</v>
      </c>
      <c r="D93" t="s">
        <v>1218</v>
      </c>
      <c r="E93">
        <v>0.89999997615814198</v>
      </c>
      <c r="F93">
        <v>1874</v>
      </c>
      <c r="G93">
        <v>50</v>
      </c>
      <c r="H93"/>
      <c r="I93">
        <v>0.15000000596046401</v>
      </c>
      <c r="J93" s="67" t="str">
        <f>VLOOKUP($A93,MFMaster!$A$2:$C$300,2,FALSE)</f>
        <v>1-3 stories</v>
      </c>
      <c r="K93" s="67" t="str">
        <f>VLOOKUP($A93,MFMaster!$A$2:$CG$232,85,FALSE)</f>
        <v/>
      </c>
    </row>
    <row r="94" spans="1:11">
      <c r="A94">
        <v>24139</v>
      </c>
      <c r="B94" t="s">
        <v>1216</v>
      </c>
      <c r="C94">
        <v>1</v>
      </c>
      <c r="D94" t="s">
        <v>195</v>
      </c>
      <c r="E94">
        <v>0.75</v>
      </c>
      <c r="F94">
        <v>7280</v>
      </c>
      <c r="G94">
        <v>20</v>
      </c>
      <c r="H94" t="s">
        <v>192</v>
      </c>
      <c r="I94">
        <v>0.17000000178813901</v>
      </c>
      <c r="J94" s="67" t="str">
        <f>VLOOKUP($A94,MFMaster!$A$2:$C$300,2,FALSE)</f>
        <v>1-3 stories</v>
      </c>
      <c r="K94" s="67">
        <f>VLOOKUP($A94,MFMaster!$A$2:$CG$232,85,FALSE)</f>
        <v>471.54019165039102</v>
      </c>
    </row>
    <row r="95" spans="1:11">
      <c r="A95">
        <v>24637</v>
      </c>
      <c r="B95" t="s">
        <v>1216</v>
      </c>
      <c r="C95">
        <v>1</v>
      </c>
      <c r="D95" t="s">
        <v>202</v>
      </c>
      <c r="E95">
        <v>0.89999997615814198</v>
      </c>
      <c r="F95">
        <v>27202</v>
      </c>
      <c r="G95">
        <v>20</v>
      </c>
      <c r="H95" t="s">
        <v>199</v>
      </c>
      <c r="I95">
        <v>7.5000002980232197E-2</v>
      </c>
      <c r="J95" s="67" t="str">
        <f>VLOOKUP($A95,MFMaster!$A$2:$C$300,2,FALSE)</f>
        <v>1-3 stories</v>
      </c>
      <c r="K95" s="67">
        <f>VLOOKUP($A95,MFMaster!$A$2:$CG$232,85,FALSE)</f>
        <v>209.57342529296901</v>
      </c>
    </row>
    <row r="96" spans="1:11">
      <c r="A96">
        <v>24802</v>
      </c>
      <c r="B96" t="s">
        <v>1216</v>
      </c>
      <c r="C96">
        <v>1</v>
      </c>
      <c r="D96" t="s">
        <v>195</v>
      </c>
      <c r="E96">
        <v>1</v>
      </c>
      <c r="F96">
        <v>9152</v>
      </c>
      <c r="G96">
        <v>12</v>
      </c>
      <c r="H96" t="s">
        <v>192</v>
      </c>
      <c r="I96">
        <v>7.0000000298023196E-2</v>
      </c>
      <c r="J96" s="67" t="str">
        <f>VLOOKUP($A96,MFMaster!$A$2:$C$300,2,FALSE)</f>
        <v>1-3 stories</v>
      </c>
      <c r="K96" s="67">
        <f>VLOOKUP($A96,MFMaster!$A$2:$CG$232,85,FALSE)</f>
        <v>314.36013793945301</v>
      </c>
    </row>
    <row r="97" spans="1:11">
      <c r="A97">
        <v>60051</v>
      </c>
      <c r="B97" t="s">
        <v>1216</v>
      </c>
      <c r="C97">
        <v>1</v>
      </c>
      <c r="D97" t="s">
        <v>200</v>
      </c>
      <c r="E97">
        <v>0.89999997615814198</v>
      </c>
      <c r="F97">
        <v>3110</v>
      </c>
      <c r="G97">
        <v>21</v>
      </c>
      <c r="H97" t="s">
        <v>199</v>
      </c>
      <c r="I97">
        <v>9.00000035762787E-2</v>
      </c>
      <c r="J97" s="67" t="str">
        <f>VLOOKUP($A97,MFMaster!$A$2:$C$300,2,FALSE)</f>
        <v>1-3 stories</v>
      </c>
      <c r="K97" s="67">
        <f>VLOOKUP($A97,MFMaster!$A$2:$CG$232,85,FALSE)</f>
        <v>960.86071777343795</v>
      </c>
    </row>
    <row r="98" spans="1:11">
      <c r="A98">
        <v>60071</v>
      </c>
      <c r="B98" t="s">
        <v>1216</v>
      </c>
      <c r="C98">
        <v>1</v>
      </c>
      <c r="D98" t="s">
        <v>204</v>
      </c>
      <c r="E98">
        <v>1</v>
      </c>
      <c r="F98">
        <v>6888</v>
      </c>
      <c r="G98"/>
      <c r="H98" t="s">
        <v>199</v>
      </c>
      <c r="I98">
        <v>1.9999999552965199E-2</v>
      </c>
      <c r="J98" s="67" t="str">
        <f>VLOOKUP($A98,MFMaster!$A$2:$C$300,2,FALSE)</f>
        <v>4-6 stories</v>
      </c>
      <c r="K98" s="67" t="str">
        <f>VLOOKUP($A98,MFMaster!$A$2:$CG$232,85,FALSE)</f>
        <v/>
      </c>
    </row>
    <row r="99" spans="1:11">
      <c r="A99">
        <v>60099</v>
      </c>
      <c r="B99" t="s">
        <v>1216</v>
      </c>
      <c r="C99">
        <v>1</v>
      </c>
      <c r="D99" t="s">
        <v>202</v>
      </c>
      <c r="E99">
        <v>0.89999997615814198</v>
      </c>
      <c r="F99">
        <v>6448</v>
      </c>
      <c r="G99">
        <v>13</v>
      </c>
      <c r="H99" t="s">
        <v>199</v>
      </c>
      <c r="I99">
        <v>7.5000002980232197E-2</v>
      </c>
      <c r="J99" s="67" t="str">
        <f>VLOOKUP($A99,MFMaster!$A$2:$C$300,2,FALSE)</f>
        <v>1-3 stories</v>
      </c>
      <c r="K99" s="67">
        <f>VLOOKUP($A99,MFMaster!$A$2:$CG$232,85,FALSE)</f>
        <v>300.26898193359398</v>
      </c>
    </row>
    <row r="100" spans="1:11">
      <c r="A100">
        <v>71003</v>
      </c>
      <c r="B100" t="s">
        <v>1216</v>
      </c>
      <c r="C100">
        <v>1</v>
      </c>
      <c r="D100" t="s">
        <v>201</v>
      </c>
      <c r="E100">
        <v>0.89999997615814198</v>
      </c>
      <c r="F100">
        <v>2290</v>
      </c>
      <c r="G100"/>
      <c r="H100" t="s">
        <v>192</v>
      </c>
      <c r="I100">
        <v>7.9999998211860698E-2</v>
      </c>
      <c r="J100" s="67" t="str">
        <f>VLOOKUP($A100,MFMaster!$A$2:$C$300,2,FALSE)</f>
        <v>1-3 stories</v>
      </c>
      <c r="K100" s="67">
        <f>VLOOKUP($A100,MFMaster!$A$2:$CG$232,85,FALSE)</f>
        <v>182.53904724121099</v>
      </c>
    </row>
    <row r="101" spans="1:11">
      <c r="A101">
        <v>71004</v>
      </c>
      <c r="B101" t="s">
        <v>1216</v>
      </c>
      <c r="C101">
        <v>1</v>
      </c>
      <c r="D101" t="s">
        <v>203</v>
      </c>
      <c r="E101">
        <v>1</v>
      </c>
      <c r="F101">
        <v>5012</v>
      </c>
      <c r="G101">
        <v>0</v>
      </c>
      <c r="H101" t="s">
        <v>199</v>
      </c>
      <c r="I101">
        <v>1.9999999552965199E-2</v>
      </c>
      <c r="J101" s="67" t="str">
        <f>VLOOKUP($A101,MFMaster!$A$2:$C$300,2,FALSE)</f>
        <v>1-3 stories</v>
      </c>
      <c r="K101" s="67">
        <f>VLOOKUP($A101,MFMaster!$A$2:$CG$232,85,FALSE)</f>
        <v>136.90428161621099</v>
      </c>
    </row>
    <row r="102" spans="1:11">
      <c r="A102">
        <v>71007</v>
      </c>
      <c r="B102" t="s">
        <v>1216</v>
      </c>
      <c r="C102">
        <v>1</v>
      </c>
      <c r="D102" t="s">
        <v>1218</v>
      </c>
      <c r="E102">
        <v>0.89999997615814198</v>
      </c>
      <c r="F102">
        <v>1717</v>
      </c>
      <c r="G102"/>
      <c r="H102"/>
      <c r="I102">
        <v>0.15000000596046401</v>
      </c>
      <c r="J102" s="67" t="str">
        <f>VLOOKUP($A102,MFMaster!$A$2:$C$300,2,FALSE)</f>
        <v>1-3 stories</v>
      </c>
      <c r="K102" s="67">
        <f>VLOOKUP($A102,MFMaster!$A$2:$CG$232,85,FALSE)</f>
        <v>219.04685974121099</v>
      </c>
    </row>
    <row r="103" spans="1:11">
      <c r="A103">
        <v>71008</v>
      </c>
      <c r="B103" t="s">
        <v>1216</v>
      </c>
      <c r="C103">
        <v>1</v>
      </c>
      <c r="D103" t="s">
        <v>202</v>
      </c>
      <c r="E103">
        <v>1</v>
      </c>
      <c r="F103">
        <v>1260</v>
      </c>
      <c r="G103">
        <v>20</v>
      </c>
      <c r="H103" t="s">
        <v>199</v>
      </c>
      <c r="I103">
        <v>2.5000000372528999E-2</v>
      </c>
      <c r="J103" s="67" t="str">
        <f>VLOOKUP($A103,MFMaster!$A$2:$C$300,2,FALSE)</f>
        <v>1-3 stories</v>
      </c>
      <c r="K103" s="67">
        <f>VLOOKUP($A103,MFMaster!$A$2:$CG$232,85,FALSE)</f>
        <v>182.53904724121099</v>
      </c>
    </row>
    <row r="104" spans="1:11">
      <c r="A104">
        <v>71009</v>
      </c>
      <c r="B104" t="s">
        <v>1216</v>
      </c>
      <c r="C104">
        <v>1</v>
      </c>
      <c r="D104" t="s">
        <v>1218</v>
      </c>
      <c r="E104">
        <v>0.89999997615814198</v>
      </c>
      <c r="F104">
        <v>1560</v>
      </c>
      <c r="G104"/>
      <c r="H104"/>
      <c r="I104">
        <v>0.15000000596046401</v>
      </c>
      <c r="J104" s="67" t="str">
        <f>VLOOKUP($A104,MFMaster!$A$2:$C$300,2,FALSE)</f>
        <v>1-3 stories</v>
      </c>
      <c r="K104" s="67" t="str">
        <f>VLOOKUP($A104,MFMaster!$A$2:$CG$232,85,FALSE)</f>
        <v/>
      </c>
    </row>
    <row r="105" spans="1:11">
      <c r="A105">
        <v>71010</v>
      </c>
      <c r="B105" t="s">
        <v>1216</v>
      </c>
      <c r="C105">
        <v>1</v>
      </c>
      <c r="D105" t="s">
        <v>202</v>
      </c>
      <c r="E105">
        <v>1</v>
      </c>
      <c r="F105">
        <v>2836</v>
      </c>
      <c r="G105">
        <v>50</v>
      </c>
      <c r="H105" t="s">
        <v>194</v>
      </c>
      <c r="I105">
        <v>2.5000000372528999E-2</v>
      </c>
      <c r="J105" s="67" t="str">
        <f>VLOOKUP($A105,MFMaster!$A$2:$C$300,2,FALSE)</f>
        <v>1-3 stories</v>
      </c>
      <c r="K105" s="67">
        <f>VLOOKUP($A105,MFMaster!$A$2:$CG$232,85,FALSE)</f>
        <v>182.53904724121099</v>
      </c>
    </row>
    <row r="106" spans="1:11">
      <c r="A106">
        <v>71011</v>
      </c>
      <c r="B106" t="s">
        <v>1216</v>
      </c>
      <c r="C106">
        <v>1</v>
      </c>
      <c r="D106" t="s">
        <v>197</v>
      </c>
      <c r="E106">
        <v>1</v>
      </c>
      <c r="F106">
        <v>1300</v>
      </c>
      <c r="G106">
        <v>10</v>
      </c>
      <c r="H106" t="s">
        <v>194</v>
      </c>
      <c r="I106">
        <v>5.0000000745058101E-2</v>
      </c>
      <c r="J106" s="67" t="str">
        <f>VLOOKUP($A106,MFMaster!$A$2:$C$300,2,FALSE)</f>
        <v>1-3 stories</v>
      </c>
      <c r="K106" s="67">
        <f>VLOOKUP($A106,MFMaster!$A$2:$CG$232,85,FALSE)</f>
        <v>136.90428161621099</v>
      </c>
    </row>
    <row r="107" spans="1:11">
      <c r="A107">
        <v>71013</v>
      </c>
      <c r="B107" t="s">
        <v>1216</v>
      </c>
      <c r="C107">
        <v>1</v>
      </c>
      <c r="D107" t="s">
        <v>1218</v>
      </c>
      <c r="E107">
        <v>0.75</v>
      </c>
      <c r="F107">
        <v>2150</v>
      </c>
      <c r="G107">
        <v>30</v>
      </c>
      <c r="H107" t="s">
        <v>198</v>
      </c>
      <c r="I107">
        <v>0.19499999284744299</v>
      </c>
      <c r="J107" s="67" t="str">
        <f>VLOOKUP($A107,MFMaster!$A$2:$C$300,2,FALSE)</f>
        <v>1-3 stories</v>
      </c>
      <c r="K107" s="67" t="str">
        <f>VLOOKUP($A107,MFMaster!$A$2:$CG$232,85,FALSE)</f>
        <v/>
      </c>
    </row>
    <row r="108" spans="1:11">
      <c r="A108">
        <v>72001</v>
      </c>
      <c r="B108" t="s">
        <v>1216</v>
      </c>
      <c r="C108">
        <v>1</v>
      </c>
      <c r="D108" t="s">
        <v>197</v>
      </c>
      <c r="E108">
        <v>0.5</v>
      </c>
      <c r="F108">
        <v>4522</v>
      </c>
      <c r="G108">
        <v>38</v>
      </c>
      <c r="H108" t="s">
        <v>193</v>
      </c>
      <c r="I108">
        <v>0.25</v>
      </c>
      <c r="J108" s="67" t="str">
        <f>VLOOKUP($A108,MFMaster!$A$2:$C$300,2,FALSE)</f>
        <v>1-3 stories</v>
      </c>
      <c r="K108" s="67">
        <f>VLOOKUP($A108,MFMaster!$A$2:$CG$232,85,FALSE)</f>
        <v>78.231018066406307</v>
      </c>
    </row>
    <row r="109" spans="1:11">
      <c r="A109">
        <v>72002</v>
      </c>
      <c r="B109" t="s">
        <v>1216</v>
      </c>
      <c r="C109">
        <v>1</v>
      </c>
      <c r="D109" t="s">
        <v>201</v>
      </c>
      <c r="E109">
        <v>0.89999997615814198</v>
      </c>
      <c r="F109">
        <v>3380</v>
      </c>
      <c r="G109">
        <v>20</v>
      </c>
      <c r="H109"/>
      <c r="I109">
        <v>7.9999998211860698E-2</v>
      </c>
      <c r="J109" s="67" t="str">
        <f>VLOOKUP($A109,MFMaster!$A$2:$C$300,2,FALSE)</f>
        <v>4-6 stories</v>
      </c>
      <c r="K109" s="67" t="str">
        <f>VLOOKUP($A109,MFMaster!$A$2:$CG$232,85,FALSE)</f>
        <v/>
      </c>
    </row>
    <row r="110" spans="1:11">
      <c r="A110">
        <v>72003</v>
      </c>
      <c r="B110" t="s">
        <v>1216</v>
      </c>
      <c r="C110">
        <v>1</v>
      </c>
      <c r="D110" t="s">
        <v>201</v>
      </c>
      <c r="E110">
        <v>0.89999997615814198</v>
      </c>
      <c r="F110">
        <v>2975</v>
      </c>
      <c r="G110">
        <v>50</v>
      </c>
      <c r="H110" t="s">
        <v>194</v>
      </c>
      <c r="I110">
        <v>7.9999998211860698E-2</v>
      </c>
      <c r="J110" s="67" t="str">
        <f>VLOOKUP($A110,MFMaster!$A$2:$C$300,2,FALSE)</f>
        <v>4-6 stories</v>
      </c>
      <c r="K110" s="67" t="str">
        <f>VLOOKUP($A110,MFMaster!$A$2:$CG$232,85,FALSE)</f>
        <v/>
      </c>
    </row>
    <row r="111" spans="1:11">
      <c r="A111">
        <v>72004</v>
      </c>
      <c r="B111" t="s">
        <v>1216</v>
      </c>
      <c r="C111">
        <v>1</v>
      </c>
      <c r="D111" t="s">
        <v>197</v>
      </c>
      <c r="E111">
        <v>1</v>
      </c>
      <c r="F111">
        <v>3050</v>
      </c>
      <c r="G111">
        <v>38</v>
      </c>
      <c r="H111" t="s">
        <v>193</v>
      </c>
      <c r="I111">
        <v>5.0000000745058101E-2</v>
      </c>
      <c r="J111" s="67" t="str">
        <f>VLOOKUP($A111,MFMaster!$A$2:$C$300,2,FALSE)</f>
        <v>4-6 stories</v>
      </c>
      <c r="K111" s="67" t="str">
        <f>VLOOKUP($A111,MFMaster!$A$2:$CG$232,85,FALSE)</f>
        <v/>
      </c>
    </row>
    <row r="112" spans="1:11">
      <c r="A112">
        <v>72005</v>
      </c>
      <c r="B112" t="s">
        <v>1216</v>
      </c>
      <c r="C112">
        <v>1</v>
      </c>
      <c r="D112" t="s">
        <v>197</v>
      </c>
      <c r="E112">
        <v>0.89999997615814198</v>
      </c>
      <c r="F112">
        <v>4620</v>
      </c>
      <c r="G112"/>
      <c r="H112"/>
      <c r="I112">
        <v>9.4999998807907104E-2</v>
      </c>
      <c r="J112" s="67" t="str">
        <f>VLOOKUP($A112,MFMaster!$A$2:$C$300,2,FALSE)</f>
        <v>1-3 stories</v>
      </c>
      <c r="K112" s="67">
        <f>VLOOKUP($A112,MFMaster!$A$2:$CG$232,85,FALSE)</f>
        <v>91.269523620605497</v>
      </c>
    </row>
    <row r="113" spans="1:11">
      <c r="A113">
        <v>72006</v>
      </c>
      <c r="B113" t="s">
        <v>1216</v>
      </c>
      <c r="C113">
        <v>1</v>
      </c>
      <c r="D113" t="s">
        <v>203</v>
      </c>
      <c r="E113">
        <v>1</v>
      </c>
      <c r="F113">
        <v>3168</v>
      </c>
      <c r="G113">
        <v>0</v>
      </c>
      <c r="H113" t="s">
        <v>194</v>
      </c>
      <c r="I113">
        <v>1.9999999552965199E-2</v>
      </c>
      <c r="J113" s="67" t="str">
        <f>VLOOKUP($A113,MFMaster!$A$2:$C$300,2,FALSE)</f>
        <v>1-3 stories</v>
      </c>
      <c r="K113" s="67">
        <f>VLOOKUP($A113,MFMaster!$A$2:$CG$232,85,FALSE)</f>
        <v>91.269523620605497</v>
      </c>
    </row>
    <row r="114" spans="1:11">
      <c r="A114">
        <v>72007</v>
      </c>
      <c r="B114" t="s">
        <v>1216</v>
      </c>
      <c r="C114">
        <v>1</v>
      </c>
      <c r="D114" t="s">
        <v>195</v>
      </c>
      <c r="E114">
        <v>1</v>
      </c>
      <c r="F114">
        <v>4836</v>
      </c>
      <c r="G114">
        <v>0</v>
      </c>
      <c r="H114" t="s">
        <v>192</v>
      </c>
      <c r="I114">
        <v>7.0000000298023196E-2</v>
      </c>
      <c r="J114" s="67" t="str">
        <f>VLOOKUP($A114,MFMaster!$A$2:$C$300,2,FALSE)</f>
        <v>1-3 stories</v>
      </c>
      <c r="K114" s="67">
        <f>VLOOKUP($A114,MFMaster!$A$2:$CG$232,85,FALSE)</f>
        <v>91.269523620605497</v>
      </c>
    </row>
    <row r="115" spans="1:11">
      <c r="A115">
        <v>72008</v>
      </c>
      <c r="B115" t="s">
        <v>1216</v>
      </c>
      <c r="C115">
        <v>1</v>
      </c>
      <c r="D115" t="s">
        <v>1218</v>
      </c>
      <c r="E115">
        <v>0.89999997615814198</v>
      </c>
      <c r="F115">
        <v>3898</v>
      </c>
      <c r="G115"/>
      <c r="H115"/>
      <c r="I115">
        <v>0.15000000596046401</v>
      </c>
      <c r="J115" s="67" t="str">
        <f>VLOOKUP($A115,MFMaster!$A$2:$C$300,2,FALSE)</f>
        <v>1-3 stories</v>
      </c>
      <c r="K115" s="67">
        <f>VLOOKUP($A115,MFMaster!$A$2:$CG$232,85,FALSE)</f>
        <v>99.566741943359403</v>
      </c>
    </row>
    <row r="116" spans="1:11">
      <c r="A116">
        <v>73003</v>
      </c>
      <c r="B116" t="s">
        <v>1216</v>
      </c>
      <c r="C116">
        <v>1</v>
      </c>
      <c r="D116" t="s">
        <v>202</v>
      </c>
      <c r="E116">
        <v>0.89999997615814198</v>
      </c>
      <c r="F116">
        <v>5310</v>
      </c>
      <c r="G116"/>
      <c r="H116" t="s">
        <v>194</v>
      </c>
      <c r="I116">
        <v>7.5000002980232197E-2</v>
      </c>
      <c r="J116" s="67" t="str">
        <f>VLOOKUP($A116,MFMaster!$A$2:$C$300,2,FALSE)</f>
        <v>1-3 stories</v>
      </c>
      <c r="K116" s="67">
        <f>VLOOKUP($A116,MFMaster!$A$2:$CG$232,85,FALSE)</f>
        <v>60.846343994140597</v>
      </c>
    </row>
    <row r="117" spans="1:11">
      <c r="A117">
        <v>73007</v>
      </c>
      <c r="B117" t="s">
        <v>1216</v>
      </c>
      <c r="C117">
        <v>1</v>
      </c>
      <c r="D117" t="s">
        <v>1218</v>
      </c>
      <c r="E117">
        <v>0.89999997615814198</v>
      </c>
      <c r="F117">
        <v>3764</v>
      </c>
      <c r="G117"/>
      <c r="H117"/>
      <c r="I117">
        <v>0.15000000596046401</v>
      </c>
      <c r="J117" s="67" t="str">
        <f>VLOOKUP($A117,MFMaster!$A$2:$C$300,2,FALSE)</f>
        <v>1-3 stories</v>
      </c>
      <c r="K117" s="67">
        <f>VLOOKUP($A117,MFMaster!$A$2:$CG$232,85,FALSE)</f>
        <v>64.425544738769503</v>
      </c>
    </row>
    <row r="118" spans="1:11">
      <c r="A118">
        <v>73010</v>
      </c>
      <c r="B118" t="s">
        <v>1216</v>
      </c>
      <c r="C118">
        <v>1</v>
      </c>
      <c r="D118" t="s">
        <v>202</v>
      </c>
      <c r="E118">
        <v>1</v>
      </c>
      <c r="F118">
        <v>5046</v>
      </c>
      <c r="G118">
        <v>0</v>
      </c>
      <c r="H118" t="s">
        <v>192</v>
      </c>
      <c r="I118">
        <v>2.5000000372528999E-2</v>
      </c>
      <c r="J118" s="67" t="str">
        <f>VLOOKUP($A118,MFMaster!$A$2:$C$300,2,FALSE)</f>
        <v>1-3 stories</v>
      </c>
      <c r="K118" s="67" t="str">
        <f>VLOOKUP($A118,MFMaster!$A$2:$CG$232,85,FALSE)</f>
        <v/>
      </c>
    </row>
    <row r="119" spans="1:11">
      <c r="A119">
        <v>74001</v>
      </c>
      <c r="B119" t="s">
        <v>1216</v>
      </c>
      <c r="C119">
        <v>1</v>
      </c>
      <c r="D119" t="s">
        <v>200</v>
      </c>
      <c r="E119">
        <v>0.5</v>
      </c>
      <c r="F119">
        <v>10859</v>
      </c>
      <c r="G119">
        <v>40</v>
      </c>
      <c r="H119" t="s">
        <v>192</v>
      </c>
      <c r="I119">
        <v>0.245000004768372</v>
      </c>
      <c r="J119" s="67" t="str">
        <f>VLOOKUP($A119,MFMaster!$A$2:$C$300,2,FALSE)</f>
        <v>4-6 stories</v>
      </c>
      <c r="K119" s="67" t="str">
        <f>VLOOKUP($A119,MFMaster!$A$2:$CG$232,85,FALSE)</f>
        <v/>
      </c>
    </row>
    <row r="120" spans="1:11">
      <c r="A120">
        <v>74003</v>
      </c>
      <c r="B120" t="s">
        <v>1216</v>
      </c>
      <c r="C120">
        <v>1</v>
      </c>
      <c r="D120" t="s">
        <v>200</v>
      </c>
      <c r="E120">
        <v>0.75</v>
      </c>
      <c r="F120">
        <v>13355</v>
      </c>
      <c r="G120">
        <v>49</v>
      </c>
      <c r="H120" t="s">
        <v>199</v>
      </c>
      <c r="I120">
        <v>0.15000000596046401</v>
      </c>
      <c r="J120" s="67" t="str">
        <f>VLOOKUP($A120,MFMaster!$A$2:$C$300,2,FALSE)</f>
        <v>1-3 stories</v>
      </c>
      <c r="K120" s="67">
        <f>VLOOKUP($A120,MFMaster!$A$2:$CG$232,85,FALSE)</f>
        <v>36.507808685302699</v>
      </c>
    </row>
    <row r="121" spans="1:11">
      <c r="A121">
        <v>74004</v>
      </c>
      <c r="B121" t="s">
        <v>1216</v>
      </c>
      <c r="C121">
        <v>1</v>
      </c>
      <c r="D121" t="s">
        <v>201</v>
      </c>
      <c r="E121">
        <v>0.75</v>
      </c>
      <c r="F121">
        <v>5585</v>
      </c>
      <c r="G121">
        <v>30</v>
      </c>
      <c r="H121" t="s">
        <v>196</v>
      </c>
      <c r="I121">
        <v>0.144999995827675</v>
      </c>
      <c r="J121" s="67" t="str">
        <f>VLOOKUP($A121,MFMaster!$A$2:$C$300,2,FALSE)</f>
        <v>1-3 stories</v>
      </c>
      <c r="K121" s="67">
        <f>VLOOKUP($A121,MFMaster!$A$2:$CG$232,85,FALSE)</f>
        <v>45.634761810302699</v>
      </c>
    </row>
    <row r="122" spans="1:11">
      <c r="A122">
        <v>74006</v>
      </c>
      <c r="B122" t="s">
        <v>1216</v>
      </c>
      <c r="C122">
        <v>1</v>
      </c>
      <c r="D122" t="s">
        <v>200</v>
      </c>
      <c r="E122">
        <v>0.89999997615814198</v>
      </c>
      <c r="F122">
        <v>7146</v>
      </c>
      <c r="G122"/>
      <c r="H122" t="s">
        <v>194</v>
      </c>
      <c r="I122">
        <v>9.00000035762787E-2</v>
      </c>
      <c r="J122" s="67" t="str">
        <f>VLOOKUP($A122,MFMaster!$A$2:$C$300,2,FALSE)</f>
        <v>1-3 stories</v>
      </c>
      <c r="K122" s="67">
        <f>VLOOKUP($A122,MFMaster!$A$2:$CG$232,85,FALSE)</f>
        <v>47.6188774108887</v>
      </c>
    </row>
    <row r="123" spans="1:11">
      <c r="A123">
        <v>74007</v>
      </c>
      <c r="B123" t="s">
        <v>1216</v>
      </c>
      <c r="C123">
        <v>1</v>
      </c>
      <c r="D123" t="s">
        <v>197</v>
      </c>
      <c r="E123">
        <v>0.89999997615814198</v>
      </c>
      <c r="F123">
        <v>2340</v>
      </c>
      <c r="G123">
        <v>0</v>
      </c>
      <c r="H123" t="s">
        <v>194</v>
      </c>
      <c r="I123">
        <v>9.4999998807907104E-2</v>
      </c>
      <c r="J123" s="67" t="str">
        <f>VLOOKUP($A123,MFMaster!$A$2:$C$300,2,FALSE)</f>
        <v>4-6 stories</v>
      </c>
      <c r="K123" s="67" t="str">
        <f>VLOOKUP($A123,MFMaster!$A$2:$CG$232,85,FALSE)</f>
        <v/>
      </c>
    </row>
    <row r="124" spans="1:11">
      <c r="A124">
        <v>74010</v>
      </c>
      <c r="B124" t="s">
        <v>1216</v>
      </c>
      <c r="C124">
        <v>1</v>
      </c>
      <c r="D124" t="s">
        <v>201</v>
      </c>
      <c r="E124">
        <v>1</v>
      </c>
      <c r="F124">
        <v>8568</v>
      </c>
      <c r="G124">
        <v>6</v>
      </c>
      <c r="H124" t="s">
        <v>192</v>
      </c>
      <c r="I124">
        <v>3.5000000149011598E-2</v>
      </c>
      <c r="J124" s="67" t="str">
        <f>VLOOKUP($A124,MFMaster!$A$2:$C$300,2,FALSE)</f>
        <v>4-6 stories</v>
      </c>
      <c r="K124" s="67" t="str">
        <f>VLOOKUP($A124,MFMaster!$A$2:$CG$232,85,FALSE)</f>
        <v/>
      </c>
    </row>
    <row r="125" spans="1:11">
      <c r="A125">
        <v>74011</v>
      </c>
      <c r="B125" t="s">
        <v>1216</v>
      </c>
      <c r="C125">
        <v>1</v>
      </c>
      <c r="D125" t="s">
        <v>1218</v>
      </c>
      <c r="E125">
        <v>0.89999997615814198</v>
      </c>
      <c r="F125">
        <v>6520</v>
      </c>
      <c r="G125"/>
      <c r="H125" t="s">
        <v>194</v>
      </c>
      <c r="I125">
        <v>0.15000000596046401</v>
      </c>
      <c r="J125" s="67" t="str">
        <f>VLOOKUP($A125,MFMaster!$A$2:$C$300,2,FALSE)</f>
        <v>1-3 stories</v>
      </c>
      <c r="K125" s="67">
        <f>VLOOKUP($A125,MFMaster!$A$2:$CG$232,85,FALSE)</f>
        <v>31.292406082153299</v>
      </c>
    </row>
    <row r="126" spans="1:11">
      <c r="A126">
        <v>74013</v>
      </c>
      <c r="B126" t="s">
        <v>1216</v>
      </c>
      <c r="C126">
        <v>1</v>
      </c>
      <c r="D126" t="s">
        <v>201</v>
      </c>
      <c r="E126">
        <v>0.89999997615814198</v>
      </c>
      <c r="F126">
        <v>7600</v>
      </c>
      <c r="G126"/>
      <c r="H126" t="s">
        <v>194</v>
      </c>
      <c r="I126">
        <v>7.9999998211860698E-2</v>
      </c>
      <c r="J126" s="67" t="str">
        <f>VLOOKUP($A126,MFMaster!$A$2:$C$300,2,FALSE)</f>
        <v>4-6 stories</v>
      </c>
      <c r="K126" s="67" t="str">
        <f>VLOOKUP($A126,MFMaster!$A$2:$CG$232,85,FALSE)</f>
        <v/>
      </c>
    </row>
    <row r="127" spans="1:11">
      <c r="A127">
        <v>74014</v>
      </c>
      <c r="B127" t="s">
        <v>1216</v>
      </c>
      <c r="C127">
        <v>1</v>
      </c>
      <c r="D127" t="s">
        <v>197</v>
      </c>
      <c r="E127">
        <v>0.75</v>
      </c>
      <c r="F127">
        <v>6664</v>
      </c>
      <c r="G127">
        <v>38</v>
      </c>
      <c r="H127" t="s">
        <v>199</v>
      </c>
      <c r="I127">
        <v>0.15500000119209301</v>
      </c>
      <c r="J127" s="67" t="str">
        <f>VLOOKUP($A127,MFMaster!$A$2:$C$300,2,FALSE)</f>
        <v>4-6 stories</v>
      </c>
      <c r="K127" s="67" t="str">
        <f>VLOOKUP($A127,MFMaster!$A$2:$CG$232,85,FALSE)</f>
        <v/>
      </c>
    </row>
    <row r="128" spans="1:11">
      <c r="A128">
        <v>74015</v>
      </c>
      <c r="B128" t="s">
        <v>1216</v>
      </c>
      <c r="C128">
        <v>1</v>
      </c>
      <c r="D128" t="s">
        <v>197</v>
      </c>
      <c r="E128">
        <v>0.89999997615814198</v>
      </c>
      <c r="F128">
        <v>6690</v>
      </c>
      <c r="G128">
        <v>30</v>
      </c>
      <c r="H128"/>
      <c r="I128">
        <v>9.4999998807907104E-2</v>
      </c>
      <c r="J128" s="67" t="str">
        <f>VLOOKUP($A128,MFMaster!$A$2:$C$300,2,FALSE)</f>
        <v>1-3 stories</v>
      </c>
      <c r="K128" s="67">
        <f>VLOOKUP($A128,MFMaster!$A$2:$CG$232,85,FALSE)</f>
        <v>40.564231872558601</v>
      </c>
    </row>
    <row r="129" spans="1:11">
      <c r="A129">
        <v>75001</v>
      </c>
      <c r="B129" t="s">
        <v>1216</v>
      </c>
      <c r="C129">
        <v>1</v>
      </c>
      <c r="D129" t="s">
        <v>1218</v>
      </c>
      <c r="E129">
        <v>0.89999997615814198</v>
      </c>
      <c r="F129">
        <v>9100</v>
      </c>
      <c r="G129"/>
      <c r="H129"/>
      <c r="I129">
        <v>0.15000000596046401</v>
      </c>
      <c r="J129" s="67" t="str">
        <f>VLOOKUP($A129,MFMaster!$A$2:$C$300,2,FALSE)</f>
        <v>1-3 stories</v>
      </c>
      <c r="K129" s="67">
        <f>VLOOKUP($A129,MFMaster!$A$2:$CG$232,85,FALSE)</f>
        <v>28.821952819824201</v>
      </c>
    </row>
    <row r="130" spans="1:11">
      <c r="A130">
        <v>75003</v>
      </c>
      <c r="B130" t="s">
        <v>1216</v>
      </c>
      <c r="C130">
        <v>1</v>
      </c>
      <c r="D130" t="s">
        <v>202</v>
      </c>
      <c r="E130">
        <v>0.89999997615814198</v>
      </c>
      <c r="F130">
        <v>9600</v>
      </c>
      <c r="G130"/>
      <c r="H130" t="s">
        <v>194</v>
      </c>
      <c r="I130">
        <v>7.5000002980232197E-2</v>
      </c>
      <c r="J130" s="67" t="str">
        <f>VLOOKUP($A130,MFMaster!$A$2:$C$300,2,FALSE)</f>
        <v>4-6 stories</v>
      </c>
      <c r="K130" s="67" t="str">
        <f>VLOOKUP($A130,MFMaster!$A$2:$CG$232,85,FALSE)</f>
        <v/>
      </c>
    </row>
    <row r="131" spans="1:11">
      <c r="A131">
        <v>75004</v>
      </c>
      <c r="B131" t="s">
        <v>1216</v>
      </c>
      <c r="C131">
        <v>1</v>
      </c>
      <c r="D131" t="s">
        <v>197</v>
      </c>
      <c r="E131">
        <v>1</v>
      </c>
      <c r="F131">
        <v>12602</v>
      </c>
      <c r="G131">
        <v>15</v>
      </c>
      <c r="H131" t="s">
        <v>193</v>
      </c>
      <c r="I131">
        <v>5.0000000745058101E-2</v>
      </c>
      <c r="J131" s="67" t="str">
        <f>VLOOKUP($A131,MFMaster!$A$2:$C$300,2,FALSE)</f>
        <v>1-3 stories</v>
      </c>
      <c r="K131" s="67">
        <f>VLOOKUP($A131,MFMaster!$A$2:$CG$232,85,FALSE)</f>
        <v>19.557754516601602</v>
      </c>
    </row>
    <row r="132" spans="1:11">
      <c r="A132">
        <v>75006</v>
      </c>
      <c r="B132" t="s">
        <v>1216</v>
      </c>
      <c r="C132">
        <v>1</v>
      </c>
      <c r="D132" t="s">
        <v>200</v>
      </c>
      <c r="E132">
        <v>1</v>
      </c>
      <c r="F132">
        <v>2829</v>
      </c>
      <c r="G132">
        <v>13</v>
      </c>
      <c r="H132" t="s">
        <v>194</v>
      </c>
      <c r="I132">
        <v>4.5000001788139302E-2</v>
      </c>
      <c r="J132" s="67" t="str">
        <f>VLOOKUP($A132,MFMaster!$A$2:$C$300,2,FALSE)</f>
        <v>4-6 stories</v>
      </c>
      <c r="K132" s="67" t="str">
        <f>VLOOKUP($A132,MFMaster!$A$2:$CG$232,85,FALSE)</f>
        <v/>
      </c>
    </row>
    <row r="133" spans="1:11">
      <c r="A133">
        <v>75008</v>
      </c>
      <c r="B133" t="s">
        <v>1216</v>
      </c>
      <c r="C133">
        <v>1</v>
      </c>
      <c r="D133" t="s">
        <v>197</v>
      </c>
      <c r="E133">
        <v>0.89999997615814198</v>
      </c>
      <c r="F133">
        <v>13130</v>
      </c>
      <c r="G133">
        <v>0</v>
      </c>
      <c r="H133" t="s">
        <v>194</v>
      </c>
      <c r="I133">
        <v>9.4999998807907104E-2</v>
      </c>
      <c r="J133" s="67" t="str">
        <f>VLOOKUP($A133,MFMaster!$A$2:$C$300,2,FALSE)</f>
        <v>1-3 stories</v>
      </c>
      <c r="K133" s="67">
        <f>VLOOKUP($A133,MFMaster!$A$2:$CG$232,85,FALSE)</f>
        <v>26.7130317687988</v>
      </c>
    </row>
    <row r="134" spans="1:11">
      <c r="A134">
        <v>75009</v>
      </c>
      <c r="B134" t="s">
        <v>1216</v>
      </c>
      <c r="C134">
        <v>1</v>
      </c>
      <c r="D134" t="s">
        <v>1218</v>
      </c>
      <c r="E134">
        <v>0.89999997615814198</v>
      </c>
      <c r="F134">
        <v>7186</v>
      </c>
      <c r="G134">
        <v>38</v>
      </c>
      <c r="H134" t="s">
        <v>192</v>
      </c>
      <c r="I134">
        <v>0.15000000596046401</v>
      </c>
      <c r="J134" s="67" t="str">
        <f>VLOOKUP($A134,MFMaster!$A$2:$C$300,2,FALSE)</f>
        <v>1-3 stories</v>
      </c>
      <c r="K134" s="67" t="str">
        <f>VLOOKUP($A134,MFMaster!$A$2:$CG$232,85,FALSE)</f>
        <v/>
      </c>
    </row>
    <row r="135" spans="1:11">
      <c r="A135">
        <v>75010</v>
      </c>
      <c r="B135" t="s">
        <v>1216</v>
      </c>
      <c r="C135">
        <v>1</v>
      </c>
      <c r="D135" t="s">
        <v>201</v>
      </c>
      <c r="E135">
        <v>0.89999997615814198</v>
      </c>
      <c r="F135">
        <v>10296</v>
      </c>
      <c r="G135"/>
      <c r="H135" t="s">
        <v>194</v>
      </c>
      <c r="I135">
        <v>7.9999998211860698E-2</v>
      </c>
      <c r="J135" s="67" t="str">
        <f>VLOOKUP($A135,MFMaster!$A$2:$C$300,2,FALSE)</f>
        <v>1-3 stories</v>
      </c>
      <c r="K135" s="67">
        <f>VLOOKUP($A135,MFMaster!$A$2:$CG$232,85,FALSE)</f>
        <v>30.423171997070298</v>
      </c>
    </row>
    <row r="136" spans="1:11">
      <c r="A136">
        <v>75011</v>
      </c>
      <c r="B136" t="s">
        <v>1216</v>
      </c>
      <c r="C136">
        <v>1</v>
      </c>
      <c r="D136" t="s">
        <v>202</v>
      </c>
      <c r="E136">
        <v>1</v>
      </c>
      <c r="F136">
        <v>7173</v>
      </c>
      <c r="G136">
        <v>10</v>
      </c>
      <c r="H136" t="s">
        <v>199</v>
      </c>
      <c r="I136">
        <v>2.5000000372528999E-2</v>
      </c>
      <c r="J136" s="67" t="str">
        <f>VLOOKUP($A136,MFMaster!$A$2:$C$300,2,FALSE)</f>
        <v>4-6 stories</v>
      </c>
      <c r="K136" s="67" t="str">
        <f>VLOOKUP($A136,MFMaster!$A$2:$CG$232,85,FALSE)</f>
        <v/>
      </c>
    </row>
    <row r="137" spans="1:11">
      <c r="A137">
        <v>75012</v>
      </c>
      <c r="B137" t="s">
        <v>1216</v>
      </c>
      <c r="C137">
        <v>1</v>
      </c>
      <c r="D137" t="s">
        <v>200</v>
      </c>
      <c r="E137">
        <v>0.89999997615814198</v>
      </c>
      <c r="F137">
        <v>3354</v>
      </c>
      <c r="G137"/>
      <c r="H137" t="s">
        <v>192</v>
      </c>
      <c r="I137">
        <v>9.00000035762787E-2</v>
      </c>
      <c r="J137" s="67" t="str">
        <f>VLOOKUP($A137,MFMaster!$A$2:$C$300,2,FALSE)</f>
        <v>1-3 stories</v>
      </c>
      <c r="K137" s="67" t="str">
        <f>VLOOKUP($A137,MFMaster!$A$2:$CG$232,85,FALSE)</f>
        <v/>
      </c>
    </row>
    <row r="138" spans="1:11">
      <c r="A138">
        <v>76003</v>
      </c>
      <c r="B138" t="s">
        <v>1216</v>
      </c>
      <c r="C138">
        <v>1</v>
      </c>
      <c r="D138" t="s">
        <v>1218</v>
      </c>
      <c r="E138">
        <v>0.89999997615814198</v>
      </c>
      <c r="F138">
        <v>3241</v>
      </c>
      <c r="G138"/>
      <c r="H138"/>
      <c r="I138">
        <v>0.15000000596046401</v>
      </c>
      <c r="J138" s="67" t="str">
        <f>VLOOKUP($A138,MFMaster!$A$2:$C$300,2,FALSE)</f>
        <v>7+ stories</v>
      </c>
      <c r="K138" s="67" t="str">
        <f>VLOOKUP($A138,MFMaster!$A$2:$CG$232,85,FALSE)</f>
        <v/>
      </c>
    </row>
    <row r="139" spans="1:11">
      <c r="A139">
        <v>76007</v>
      </c>
      <c r="B139" t="s">
        <v>1216</v>
      </c>
      <c r="C139">
        <v>1</v>
      </c>
      <c r="D139" t="s">
        <v>202</v>
      </c>
      <c r="E139">
        <v>0.89999997615814198</v>
      </c>
      <c r="F139">
        <v>6030</v>
      </c>
      <c r="G139">
        <v>10</v>
      </c>
      <c r="H139" t="s">
        <v>192</v>
      </c>
      <c r="I139">
        <v>7.5000002980232197E-2</v>
      </c>
      <c r="J139" s="67" t="str">
        <f>VLOOKUP($A139,MFMaster!$A$2:$C$300,2,FALSE)</f>
        <v>4-6 stories</v>
      </c>
      <c r="K139" s="67" t="str">
        <f>VLOOKUP($A139,MFMaster!$A$2:$CG$232,85,FALSE)</f>
        <v/>
      </c>
    </row>
    <row r="140" spans="1:11">
      <c r="A140">
        <v>76012</v>
      </c>
      <c r="B140" t="s">
        <v>1216</v>
      </c>
      <c r="C140">
        <v>1</v>
      </c>
      <c r="D140" t="s">
        <v>203</v>
      </c>
      <c r="E140">
        <v>0.89999997615814198</v>
      </c>
      <c r="F140">
        <v>18839</v>
      </c>
      <c r="G140"/>
      <c r="H140" t="s">
        <v>194</v>
      </c>
      <c r="I140">
        <v>7.0000000298023196E-2</v>
      </c>
      <c r="J140" s="67" t="str">
        <f>VLOOKUP($A140,MFMaster!$A$2:$C$300,2,FALSE)</f>
        <v>4-6 stories</v>
      </c>
      <c r="K140" s="67" t="str">
        <f>VLOOKUP($A140,MFMaster!$A$2:$CG$232,85,FALSE)</f>
        <v/>
      </c>
    </row>
    <row r="141" spans="1:11">
      <c r="A141">
        <v>76012</v>
      </c>
      <c r="B141" t="s">
        <v>1217</v>
      </c>
      <c r="C141">
        <v>2</v>
      </c>
      <c r="D141" t="s">
        <v>201</v>
      </c>
      <c r="E141">
        <v>0.89999997615814198</v>
      </c>
      <c r="F141">
        <v>750</v>
      </c>
      <c r="G141"/>
      <c r="H141" t="s">
        <v>198</v>
      </c>
      <c r="I141">
        <v>7.9999998211860698E-2</v>
      </c>
      <c r="J141" s="67" t="str">
        <f>VLOOKUP($A141,MFMaster!$A$2:$C$300,2,FALSE)</f>
        <v>4-6 stories</v>
      </c>
      <c r="K141" s="67" t="str">
        <f>VLOOKUP($A141,MFMaster!$A$2:$CG$232,85,FALSE)</f>
        <v/>
      </c>
    </row>
    <row r="142" spans="1:11">
      <c r="A142">
        <v>76013</v>
      </c>
      <c r="B142" t="s">
        <v>1216</v>
      </c>
      <c r="C142">
        <v>1</v>
      </c>
      <c r="D142" t="s">
        <v>202</v>
      </c>
      <c r="E142">
        <v>1</v>
      </c>
      <c r="F142">
        <v>11621</v>
      </c>
      <c r="G142">
        <v>0</v>
      </c>
      <c r="H142" t="s">
        <v>194</v>
      </c>
      <c r="I142">
        <v>2.5000000372528999E-2</v>
      </c>
      <c r="J142" s="67" t="str">
        <f>VLOOKUP($A142,MFMaster!$A$2:$C$300,2,FALSE)</f>
        <v>4-6 stories</v>
      </c>
      <c r="K142" s="67" t="str">
        <f>VLOOKUP($A142,MFMaster!$A$2:$CG$232,85,FALSE)</f>
        <v/>
      </c>
    </row>
    <row r="143" spans="1:11">
      <c r="A143">
        <v>77003</v>
      </c>
      <c r="B143" t="s">
        <v>1216</v>
      </c>
      <c r="C143">
        <v>1</v>
      </c>
      <c r="D143" t="s">
        <v>202</v>
      </c>
      <c r="E143">
        <v>1</v>
      </c>
      <c r="F143">
        <v>26760</v>
      </c>
      <c r="G143">
        <v>0</v>
      </c>
      <c r="H143" t="s">
        <v>192</v>
      </c>
      <c r="I143">
        <v>2.5000000372528999E-2</v>
      </c>
      <c r="J143" s="67" t="str">
        <f>VLOOKUP($A143,MFMaster!$A$2:$C$300,2,FALSE)</f>
        <v>4-6 stories</v>
      </c>
      <c r="K143" s="67" t="str">
        <f>VLOOKUP($A143,MFMaster!$A$2:$CG$232,85,FALSE)</f>
        <v/>
      </c>
    </row>
    <row r="144" spans="1:11">
      <c r="A144">
        <v>77004</v>
      </c>
      <c r="B144" t="s">
        <v>1216</v>
      </c>
      <c r="C144">
        <v>1</v>
      </c>
      <c r="D144" t="s">
        <v>201</v>
      </c>
      <c r="E144">
        <v>0.89999997615814198</v>
      </c>
      <c r="F144">
        <v>42545</v>
      </c>
      <c r="G144">
        <v>30</v>
      </c>
      <c r="H144" t="s">
        <v>194</v>
      </c>
      <c r="I144">
        <v>7.9999998211860698E-2</v>
      </c>
      <c r="J144" s="67" t="str">
        <f>VLOOKUP($A144,MFMaster!$A$2:$C$300,2,FALSE)</f>
        <v>1-3 stories</v>
      </c>
      <c r="K144" s="67">
        <f>VLOOKUP($A144,MFMaster!$A$2:$CG$232,85,FALSE)</f>
        <v>6.93186235427856</v>
      </c>
    </row>
    <row r="145" spans="1:11">
      <c r="A145">
        <v>77006</v>
      </c>
      <c r="B145" t="s">
        <v>1216</v>
      </c>
      <c r="C145">
        <v>1</v>
      </c>
      <c r="D145" t="s">
        <v>197</v>
      </c>
      <c r="E145">
        <v>1</v>
      </c>
      <c r="F145">
        <v>20296</v>
      </c>
      <c r="G145">
        <v>0</v>
      </c>
      <c r="H145" t="s">
        <v>196</v>
      </c>
      <c r="I145">
        <v>5.0000000745058101E-2</v>
      </c>
      <c r="J145" s="67" t="str">
        <f>VLOOKUP($A145,MFMaster!$A$2:$C$300,2,FALSE)</f>
        <v>7+ stories</v>
      </c>
      <c r="K145" s="67" t="str">
        <f>VLOOKUP($A145,MFMaster!$A$2:$CG$232,85,FALSE)</f>
        <v/>
      </c>
    </row>
    <row r="146" spans="1:11">
      <c r="A146">
        <v>77006</v>
      </c>
      <c r="B146" t="s">
        <v>1217</v>
      </c>
      <c r="C146">
        <v>2</v>
      </c>
      <c r="D146" t="s">
        <v>201</v>
      </c>
      <c r="E146">
        <v>1</v>
      </c>
      <c r="F146">
        <v>1033</v>
      </c>
      <c r="G146">
        <v>0</v>
      </c>
      <c r="H146" t="s">
        <v>194</v>
      </c>
      <c r="I146">
        <v>3.5000000149011598E-2</v>
      </c>
      <c r="J146" s="67" t="str">
        <f>VLOOKUP($A146,MFMaster!$A$2:$C$300,2,FALSE)</f>
        <v>7+ stories</v>
      </c>
      <c r="K146" s="67" t="str">
        <f>VLOOKUP($A146,MFMaster!$A$2:$CG$232,85,FALSE)</f>
        <v/>
      </c>
    </row>
    <row r="147" spans="1:11">
      <c r="A147">
        <v>77009</v>
      </c>
      <c r="B147" t="s">
        <v>1216</v>
      </c>
      <c r="C147">
        <v>1</v>
      </c>
      <c r="D147" t="s">
        <v>202</v>
      </c>
      <c r="E147">
        <v>0.89999997615814198</v>
      </c>
      <c r="F147">
        <v>33658</v>
      </c>
      <c r="G147"/>
      <c r="H147" t="s">
        <v>194</v>
      </c>
      <c r="I147">
        <v>7.5000002980232197E-2</v>
      </c>
      <c r="J147" s="67" t="str">
        <f>VLOOKUP($A147,MFMaster!$A$2:$C$300,2,FALSE)</f>
        <v>4-6 stories</v>
      </c>
      <c r="K147" s="67" t="str">
        <f>VLOOKUP($A147,MFMaster!$A$2:$CG$232,85,FALSE)</f>
        <v/>
      </c>
    </row>
    <row r="148" spans="1:11">
      <c r="A148">
        <v>78008</v>
      </c>
      <c r="B148" t="s">
        <v>1216</v>
      </c>
      <c r="C148">
        <v>1</v>
      </c>
      <c r="D148" t="s">
        <v>197</v>
      </c>
      <c r="E148">
        <v>0.89999997615814198</v>
      </c>
      <c r="F148">
        <v>40361</v>
      </c>
      <c r="G148"/>
      <c r="H148" t="s">
        <v>194</v>
      </c>
      <c r="I148">
        <v>9.4999998807907104E-2</v>
      </c>
      <c r="J148" s="67" t="str">
        <f>VLOOKUP($A148,MFMaster!$A$2:$C$300,2,FALSE)</f>
        <v>4-6 stories</v>
      </c>
      <c r="K148" s="67" t="str">
        <f>VLOOKUP($A148,MFMaster!$A$2:$CG$232,85,FALSE)</f>
        <v/>
      </c>
    </row>
    <row r="149" spans="1:11">
      <c r="A149">
        <v>80061</v>
      </c>
      <c r="B149" t="s">
        <v>1216</v>
      </c>
      <c r="C149">
        <v>1</v>
      </c>
      <c r="D149" t="s">
        <v>197</v>
      </c>
      <c r="E149">
        <v>0.89999997615814198</v>
      </c>
      <c r="F149">
        <v>5758</v>
      </c>
      <c r="G149">
        <v>6</v>
      </c>
      <c r="H149" t="s">
        <v>192</v>
      </c>
      <c r="I149">
        <v>9.4999998807907104E-2</v>
      </c>
      <c r="J149" s="67" t="str">
        <f>VLOOKUP($A149,MFMaster!$A$2:$C$300,2,FALSE)</f>
        <v>1-3 stories</v>
      </c>
      <c r="K149" s="67">
        <f>VLOOKUP($A149,MFMaster!$A$2:$CG$232,85,FALSE)</f>
        <v>85.864128112792997</v>
      </c>
    </row>
    <row r="630" spans="7:7">
      <c r="G630" s="68"/>
    </row>
  </sheetData>
  <pageMargins left="0.75" right="0.75" top="1" bottom="1" header="0.5" footer="0.5"/>
  <pageSetup orientation="portrait" r:id="rId2"/>
  <headerFooter alignWithMargins="0"/>
  <legacyDrawing r:id="rId3"/>
</worksheet>
</file>

<file path=xl/worksheets/sheet11.xml><?xml version="1.0" encoding="utf-8"?>
<worksheet xmlns="http://schemas.openxmlformats.org/spreadsheetml/2006/main" xmlns:r="http://schemas.openxmlformats.org/officeDocument/2006/relationships">
  <dimension ref="A1:V373"/>
  <sheetViews>
    <sheetView topLeftCell="K1" workbookViewId="0">
      <selection activeCell="T26" sqref="T26"/>
    </sheetView>
  </sheetViews>
  <sheetFormatPr defaultRowHeight="12.75"/>
  <cols>
    <col min="1" max="7" width="9.140625" style="67"/>
    <col min="8" max="8" width="26.5703125" style="67" bestFit="1" customWidth="1"/>
    <col min="9" max="12" width="9.140625" style="67"/>
    <col min="13" max="15" width="9.140625" style="67" customWidth="1"/>
    <col min="16" max="16" width="13.85546875" style="67" customWidth="1"/>
    <col min="17" max="17" width="20.7109375" style="67" customWidth="1"/>
    <col min="18" max="18" width="25.28515625" style="67" customWidth="1"/>
    <col min="19" max="20" width="12" style="67" bestFit="1" customWidth="1"/>
    <col min="21" max="21" width="9.7109375" style="67" bestFit="1" customWidth="1"/>
    <col min="22" max="264" width="9.140625" style="67"/>
    <col min="265" max="265" width="26.5703125" style="67" bestFit="1" customWidth="1"/>
    <col min="266" max="520" width="9.140625" style="67"/>
    <col min="521" max="521" width="26.5703125" style="67" bestFit="1" customWidth="1"/>
    <col min="522" max="776" width="9.140625" style="67"/>
    <col min="777" max="777" width="26.5703125" style="67" bestFit="1" customWidth="1"/>
    <col min="778" max="1032" width="9.140625" style="67"/>
    <col min="1033" max="1033" width="26.5703125" style="67" bestFit="1" customWidth="1"/>
    <col min="1034" max="1288" width="9.140625" style="67"/>
    <col min="1289" max="1289" width="26.5703125" style="67" bestFit="1" customWidth="1"/>
    <col min="1290" max="1544" width="9.140625" style="67"/>
    <col min="1545" max="1545" width="26.5703125" style="67" bestFit="1" customWidth="1"/>
    <col min="1546" max="1800" width="9.140625" style="67"/>
    <col min="1801" max="1801" width="26.5703125" style="67" bestFit="1" customWidth="1"/>
    <col min="1802" max="2056" width="9.140625" style="67"/>
    <col min="2057" max="2057" width="26.5703125" style="67" bestFit="1" customWidth="1"/>
    <col min="2058" max="2312" width="9.140625" style="67"/>
    <col min="2313" max="2313" width="26.5703125" style="67" bestFit="1" customWidth="1"/>
    <col min="2314" max="2568" width="9.140625" style="67"/>
    <col min="2569" max="2569" width="26.5703125" style="67" bestFit="1" customWidth="1"/>
    <col min="2570" max="2824" width="9.140625" style="67"/>
    <col min="2825" max="2825" width="26.5703125" style="67" bestFit="1" customWidth="1"/>
    <col min="2826" max="3080" width="9.140625" style="67"/>
    <col min="3081" max="3081" width="26.5703125" style="67" bestFit="1" customWidth="1"/>
    <col min="3082" max="3336" width="9.140625" style="67"/>
    <col min="3337" max="3337" width="26.5703125" style="67" bestFit="1" customWidth="1"/>
    <col min="3338" max="3592" width="9.140625" style="67"/>
    <col min="3593" max="3593" width="26.5703125" style="67" bestFit="1" customWidth="1"/>
    <col min="3594" max="3848" width="9.140625" style="67"/>
    <col min="3849" max="3849" width="26.5703125" style="67" bestFit="1" customWidth="1"/>
    <col min="3850" max="4104" width="9.140625" style="67"/>
    <col min="4105" max="4105" width="26.5703125" style="67" bestFit="1" customWidth="1"/>
    <col min="4106" max="4360" width="9.140625" style="67"/>
    <col min="4361" max="4361" width="26.5703125" style="67" bestFit="1" customWidth="1"/>
    <col min="4362" max="4616" width="9.140625" style="67"/>
    <col min="4617" max="4617" width="26.5703125" style="67" bestFit="1" customWidth="1"/>
    <col min="4618" max="4872" width="9.140625" style="67"/>
    <col min="4873" max="4873" width="26.5703125" style="67" bestFit="1" customWidth="1"/>
    <col min="4874" max="5128" width="9.140625" style="67"/>
    <col min="5129" max="5129" width="26.5703125" style="67" bestFit="1" customWidth="1"/>
    <col min="5130" max="5384" width="9.140625" style="67"/>
    <col min="5385" max="5385" width="26.5703125" style="67" bestFit="1" customWidth="1"/>
    <col min="5386" max="5640" width="9.140625" style="67"/>
    <col min="5641" max="5641" width="26.5703125" style="67" bestFit="1" customWidth="1"/>
    <col min="5642" max="5896" width="9.140625" style="67"/>
    <col min="5897" max="5897" width="26.5703125" style="67" bestFit="1" customWidth="1"/>
    <col min="5898" max="6152" width="9.140625" style="67"/>
    <col min="6153" max="6153" width="26.5703125" style="67" bestFit="1" customWidth="1"/>
    <col min="6154" max="6408" width="9.140625" style="67"/>
    <col min="6409" max="6409" width="26.5703125" style="67" bestFit="1" customWidth="1"/>
    <col min="6410" max="6664" width="9.140625" style="67"/>
    <col min="6665" max="6665" width="26.5703125" style="67" bestFit="1" customWidth="1"/>
    <col min="6666" max="6920" width="9.140625" style="67"/>
    <col min="6921" max="6921" width="26.5703125" style="67" bestFit="1" customWidth="1"/>
    <col min="6922" max="7176" width="9.140625" style="67"/>
    <col min="7177" max="7177" width="26.5703125" style="67" bestFit="1" customWidth="1"/>
    <col min="7178" max="7432" width="9.140625" style="67"/>
    <col min="7433" max="7433" width="26.5703125" style="67" bestFit="1" customWidth="1"/>
    <col min="7434" max="7688" width="9.140625" style="67"/>
    <col min="7689" max="7689" width="26.5703125" style="67" bestFit="1" customWidth="1"/>
    <col min="7690" max="7944" width="9.140625" style="67"/>
    <col min="7945" max="7945" width="26.5703125" style="67" bestFit="1" customWidth="1"/>
    <col min="7946" max="8200" width="9.140625" style="67"/>
    <col min="8201" max="8201" width="26.5703125" style="67" bestFit="1" customWidth="1"/>
    <col min="8202" max="8456" width="9.140625" style="67"/>
    <col min="8457" max="8457" width="26.5703125" style="67" bestFit="1" customWidth="1"/>
    <col min="8458" max="8712" width="9.140625" style="67"/>
    <col min="8713" max="8713" width="26.5703125" style="67" bestFit="1" customWidth="1"/>
    <col min="8714" max="8968" width="9.140625" style="67"/>
    <col min="8969" max="8969" width="26.5703125" style="67" bestFit="1" customWidth="1"/>
    <col min="8970" max="9224" width="9.140625" style="67"/>
    <col min="9225" max="9225" width="26.5703125" style="67" bestFit="1" customWidth="1"/>
    <col min="9226" max="9480" width="9.140625" style="67"/>
    <col min="9481" max="9481" width="26.5703125" style="67" bestFit="1" customWidth="1"/>
    <col min="9482" max="9736" width="9.140625" style="67"/>
    <col min="9737" max="9737" width="26.5703125" style="67" bestFit="1" customWidth="1"/>
    <col min="9738" max="9992" width="9.140625" style="67"/>
    <col min="9993" max="9993" width="26.5703125" style="67" bestFit="1" customWidth="1"/>
    <col min="9994" max="10248" width="9.140625" style="67"/>
    <col min="10249" max="10249" width="26.5703125" style="67" bestFit="1" customWidth="1"/>
    <col min="10250" max="10504" width="9.140625" style="67"/>
    <col min="10505" max="10505" width="26.5703125" style="67" bestFit="1" customWidth="1"/>
    <col min="10506" max="10760" width="9.140625" style="67"/>
    <col min="10761" max="10761" width="26.5703125" style="67" bestFit="1" customWidth="1"/>
    <col min="10762" max="11016" width="9.140625" style="67"/>
    <col min="11017" max="11017" width="26.5703125" style="67" bestFit="1" customWidth="1"/>
    <col min="11018" max="11272" width="9.140625" style="67"/>
    <col min="11273" max="11273" width="26.5703125" style="67" bestFit="1" customWidth="1"/>
    <col min="11274" max="11528" width="9.140625" style="67"/>
    <col min="11529" max="11529" width="26.5703125" style="67" bestFit="1" customWidth="1"/>
    <col min="11530" max="11784" width="9.140625" style="67"/>
    <col min="11785" max="11785" width="26.5703125" style="67" bestFit="1" customWidth="1"/>
    <col min="11786" max="12040" width="9.140625" style="67"/>
    <col min="12041" max="12041" width="26.5703125" style="67" bestFit="1" customWidth="1"/>
    <col min="12042" max="12296" width="9.140625" style="67"/>
    <col min="12297" max="12297" width="26.5703125" style="67" bestFit="1" customWidth="1"/>
    <col min="12298" max="12552" width="9.140625" style="67"/>
    <col min="12553" max="12553" width="26.5703125" style="67" bestFit="1" customWidth="1"/>
    <col min="12554" max="12808" width="9.140625" style="67"/>
    <col min="12809" max="12809" width="26.5703125" style="67" bestFit="1" customWidth="1"/>
    <col min="12810" max="13064" width="9.140625" style="67"/>
    <col min="13065" max="13065" width="26.5703125" style="67" bestFit="1" customWidth="1"/>
    <col min="13066" max="13320" width="9.140625" style="67"/>
    <col min="13321" max="13321" width="26.5703125" style="67" bestFit="1" customWidth="1"/>
    <col min="13322" max="13576" width="9.140625" style="67"/>
    <col min="13577" max="13577" width="26.5703125" style="67" bestFit="1" customWidth="1"/>
    <col min="13578" max="13832" width="9.140625" style="67"/>
    <col min="13833" max="13833" width="26.5703125" style="67" bestFit="1" customWidth="1"/>
    <col min="13834" max="14088" width="9.140625" style="67"/>
    <col min="14089" max="14089" width="26.5703125" style="67" bestFit="1" customWidth="1"/>
    <col min="14090" max="14344" width="9.140625" style="67"/>
    <col min="14345" max="14345" width="26.5703125" style="67" bestFit="1" customWidth="1"/>
    <col min="14346" max="14600" width="9.140625" style="67"/>
    <col min="14601" max="14601" width="26.5703125" style="67" bestFit="1" customWidth="1"/>
    <col min="14602" max="14856" width="9.140625" style="67"/>
    <col min="14857" max="14857" width="26.5703125" style="67" bestFit="1" customWidth="1"/>
    <col min="14858" max="15112" width="9.140625" style="67"/>
    <col min="15113" max="15113" width="26.5703125" style="67" bestFit="1" customWidth="1"/>
    <col min="15114" max="15368" width="9.140625" style="67"/>
    <col min="15369" max="15369" width="26.5703125" style="67" bestFit="1" customWidth="1"/>
    <col min="15370" max="15624" width="9.140625" style="67"/>
    <col min="15625" max="15625" width="26.5703125" style="67" bestFit="1" customWidth="1"/>
    <col min="15626" max="15880" width="9.140625" style="67"/>
    <col min="15881" max="15881" width="26.5703125" style="67" bestFit="1" customWidth="1"/>
    <col min="15882" max="16136" width="9.140625" style="67"/>
    <col min="16137" max="16137" width="26.5703125" style="67" bestFit="1" customWidth="1"/>
    <col min="16138" max="16384" width="9.140625" style="67"/>
  </cols>
  <sheetData>
    <row r="1" spans="1:22">
      <c r="A1" t="s">
        <v>166</v>
      </c>
      <c r="B1" t="s">
        <v>1213</v>
      </c>
      <c r="C1" t="s">
        <v>1459</v>
      </c>
      <c r="D1" t="s">
        <v>1460</v>
      </c>
      <c r="E1" t="s">
        <v>1461</v>
      </c>
      <c r="F1" t="s">
        <v>1462</v>
      </c>
      <c r="G1" t="s">
        <v>1463</v>
      </c>
      <c r="H1" t="s">
        <v>1464</v>
      </c>
      <c r="I1" t="s">
        <v>211</v>
      </c>
      <c r="J1" t="s">
        <v>1465</v>
      </c>
      <c r="K1" t="s">
        <v>1466</v>
      </c>
      <c r="L1" s="67" t="s">
        <v>1447</v>
      </c>
      <c r="M1" s="67" t="s">
        <v>1448</v>
      </c>
    </row>
    <row r="2" spans="1:22">
      <c r="A2">
        <v>128</v>
      </c>
      <c r="B2" t="s">
        <v>1467</v>
      </c>
      <c r="C2">
        <v>1</v>
      </c>
      <c r="D2" t="s">
        <v>1468</v>
      </c>
      <c r="E2" t="s">
        <v>175</v>
      </c>
      <c r="F2" t="s">
        <v>1469</v>
      </c>
      <c r="G2">
        <v>18</v>
      </c>
      <c r="H2">
        <v>1696</v>
      </c>
      <c r="I2">
        <v>0.55000001192092896</v>
      </c>
      <c r="J2" t="s">
        <v>268</v>
      </c>
      <c r="K2" t="s">
        <v>268</v>
      </c>
      <c r="L2" s="67" t="str">
        <f>VLOOKUP($A2,MFMaster!$A$2:$C$300,2,FALSE)</f>
        <v>1-3 stories</v>
      </c>
      <c r="M2" s="67">
        <f>VLOOKUP($A2,MFMaster!$A$2:$CG$232,85,FALSE)</f>
        <v>443.80252075195301</v>
      </c>
    </row>
    <row r="3" spans="1:22">
      <c r="A3">
        <v>10137</v>
      </c>
      <c r="B3" t="s">
        <v>1470</v>
      </c>
      <c r="C3">
        <v>1</v>
      </c>
      <c r="D3" t="s">
        <v>255</v>
      </c>
      <c r="E3" t="s">
        <v>175</v>
      </c>
      <c r="F3" t="s">
        <v>1471</v>
      </c>
      <c r="G3">
        <v>100</v>
      </c>
      <c r="H3">
        <v>576</v>
      </c>
      <c r="I3">
        <v>0.85000002384185802</v>
      </c>
      <c r="J3" t="s">
        <v>268</v>
      </c>
      <c r="K3" t="s">
        <v>268</v>
      </c>
      <c r="L3" s="67" t="str">
        <f>VLOOKUP($A3,MFMaster!$A$2:$C$300,2,FALSE)</f>
        <v>1-3 stories</v>
      </c>
      <c r="M3" s="67">
        <f>VLOOKUP($A3,MFMaster!$A$2:$CG$232,85,FALSE)</f>
        <v>300.26898193359398</v>
      </c>
    </row>
    <row r="4" spans="1:22">
      <c r="A4">
        <v>10137</v>
      </c>
      <c r="B4" t="s">
        <v>1467</v>
      </c>
      <c r="C4">
        <v>2</v>
      </c>
      <c r="D4" t="s">
        <v>255</v>
      </c>
      <c r="E4" t="s">
        <v>175</v>
      </c>
      <c r="F4" t="s">
        <v>1471</v>
      </c>
      <c r="G4">
        <v>100</v>
      </c>
      <c r="H4">
        <v>528</v>
      </c>
      <c r="I4">
        <v>0.75</v>
      </c>
      <c r="J4" t="s">
        <v>268</v>
      </c>
      <c r="K4" t="s">
        <v>271</v>
      </c>
      <c r="L4" s="67" t="str">
        <f>VLOOKUP($A4,MFMaster!$A$2:$C$300,2,FALSE)</f>
        <v>1-3 stories</v>
      </c>
      <c r="M4" s="67">
        <f>VLOOKUP($A4,MFMaster!$A$2:$CG$232,85,FALSE)</f>
        <v>300.26898193359398</v>
      </c>
    </row>
    <row r="5" spans="1:22">
      <c r="A5">
        <v>10137</v>
      </c>
      <c r="B5" t="s">
        <v>1472</v>
      </c>
      <c r="C5">
        <v>3</v>
      </c>
      <c r="D5" t="s">
        <v>1468</v>
      </c>
      <c r="E5" t="s">
        <v>175</v>
      </c>
      <c r="F5" t="s">
        <v>1471</v>
      </c>
      <c r="G5">
        <v>0</v>
      </c>
      <c r="H5">
        <v>80</v>
      </c>
      <c r="I5">
        <v>0.60000002384185802</v>
      </c>
      <c r="J5" t="s">
        <v>268</v>
      </c>
      <c r="K5" t="s">
        <v>268</v>
      </c>
      <c r="L5" s="67" t="str">
        <f>VLOOKUP($A5,MFMaster!$A$2:$C$300,2,FALSE)</f>
        <v>1-3 stories</v>
      </c>
      <c r="M5" s="67">
        <f>VLOOKUP($A5,MFMaster!$A$2:$CG$232,85,FALSE)</f>
        <v>300.26898193359398</v>
      </c>
    </row>
    <row r="6" spans="1:22">
      <c r="A6">
        <v>10238</v>
      </c>
      <c r="B6" t="s">
        <v>1470</v>
      </c>
      <c r="C6">
        <v>1</v>
      </c>
      <c r="D6" t="s">
        <v>1468</v>
      </c>
      <c r="E6" t="s">
        <v>175</v>
      </c>
      <c r="F6" t="s">
        <v>1471</v>
      </c>
      <c r="G6">
        <v>100</v>
      </c>
      <c r="H6">
        <v>2996</v>
      </c>
      <c r="I6">
        <v>0.60000002384185802</v>
      </c>
      <c r="J6" t="s">
        <v>268</v>
      </c>
      <c r="K6" t="s">
        <v>268</v>
      </c>
      <c r="L6" s="67" t="str">
        <f>VLOOKUP($A6,MFMaster!$A$2:$C$300,2,FALSE)</f>
        <v>1-3 stories</v>
      </c>
      <c r="M6" s="67">
        <f>VLOOKUP($A6,MFMaster!$A$2:$CG$232,85,FALSE)</f>
        <v>160.14344787597699</v>
      </c>
    </row>
    <row r="7" spans="1:22">
      <c r="A7">
        <v>10260</v>
      </c>
      <c r="B7" t="s">
        <v>1470</v>
      </c>
      <c r="C7">
        <v>1</v>
      </c>
      <c r="D7" t="s">
        <v>1468</v>
      </c>
      <c r="E7" t="s">
        <v>175</v>
      </c>
      <c r="F7" t="s">
        <v>1471</v>
      </c>
      <c r="G7">
        <v>100</v>
      </c>
      <c r="H7">
        <v>917</v>
      </c>
      <c r="I7">
        <v>0.60000002384185802</v>
      </c>
      <c r="J7" t="s">
        <v>268</v>
      </c>
      <c r="K7" t="s">
        <v>268</v>
      </c>
      <c r="L7" s="67" t="str">
        <f>VLOOKUP($A7,MFMaster!$A$2:$C$300,2,FALSE)</f>
        <v>1-3 stories</v>
      </c>
      <c r="M7" s="67">
        <f>VLOOKUP($A7,MFMaster!$A$2:$CG$232,85,FALSE)</f>
        <v>480.43035888671898</v>
      </c>
      <c r="P7"/>
      <c r="Q7" s="69" t="s">
        <v>252</v>
      </c>
      <c r="R7"/>
    </row>
    <row r="8" spans="1:22">
      <c r="A8">
        <v>10323</v>
      </c>
      <c r="B8" t="s">
        <v>1470</v>
      </c>
      <c r="C8">
        <v>1</v>
      </c>
      <c r="D8" t="s">
        <v>1468</v>
      </c>
      <c r="E8" t="s">
        <v>175</v>
      </c>
      <c r="F8" t="s">
        <v>1471</v>
      </c>
      <c r="G8">
        <v>100</v>
      </c>
      <c r="H8">
        <v>627</v>
      </c>
      <c r="I8">
        <v>0.55000001192092896</v>
      </c>
      <c r="J8" t="s">
        <v>268</v>
      </c>
      <c r="K8" t="s">
        <v>271</v>
      </c>
      <c r="L8" s="67" t="str">
        <f>VLOOKUP($A8,MFMaster!$A$2:$C$300,2,FALSE)</f>
        <v>1-3 stories</v>
      </c>
      <c r="M8" s="67">
        <f>VLOOKUP($A8,MFMaster!$A$2:$CG$232,85,FALSE)</f>
        <v>256.24374389648398</v>
      </c>
      <c r="P8" s="69" t="s">
        <v>207</v>
      </c>
      <c r="Q8" t="s">
        <v>212</v>
      </c>
      <c r="R8" t="s">
        <v>1449</v>
      </c>
    </row>
    <row r="9" spans="1:22">
      <c r="A9">
        <v>10323</v>
      </c>
      <c r="B9" t="s">
        <v>1467</v>
      </c>
      <c r="C9">
        <v>2</v>
      </c>
      <c r="D9" t="s">
        <v>1468</v>
      </c>
      <c r="E9" t="s">
        <v>175</v>
      </c>
      <c r="F9" t="s">
        <v>1471</v>
      </c>
      <c r="G9">
        <v>8</v>
      </c>
      <c r="H9">
        <v>53</v>
      </c>
      <c r="I9">
        <v>0.55000001192092896</v>
      </c>
      <c r="J9" t="s">
        <v>268</v>
      </c>
      <c r="K9" t="s">
        <v>271</v>
      </c>
      <c r="L9" s="67" t="str">
        <f>VLOOKUP($A9,MFMaster!$A$2:$C$300,2,FALSE)</f>
        <v>1-3 stories</v>
      </c>
      <c r="M9" s="67">
        <f>VLOOKUP($A9,MFMaster!$A$2:$CG$232,85,FALSE)</f>
        <v>256.24374389648398</v>
      </c>
      <c r="P9" s="70" t="s">
        <v>255</v>
      </c>
      <c r="Q9" s="71">
        <v>0.88468209305250589</v>
      </c>
      <c r="R9" s="71">
        <v>31296.278507232659</v>
      </c>
      <c r="S9" s="73">
        <f>R9/$R$12</f>
        <v>0.40676902670653553</v>
      </c>
      <c r="U9" s="67" t="s">
        <v>255</v>
      </c>
      <c r="V9" s="74">
        <f>SUM(S9)</f>
        <v>0.40676902670653553</v>
      </c>
    </row>
    <row r="10" spans="1:22">
      <c r="A10">
        <v>10400</v>
      </c>
      <c r="B10" t="s">
        <v>1470</v>
      </c>
      <c r="C10">
        <v>1</v>
      </c>
      <c r="D10" t="s">
        <v>1468</v>
      </c>
      <c r="E10" t="s">
        <v>175</v>
      </c>
      <c r="F10" t="s">
        <v>1469</v>
      </c>
      <c r="G10">
        <v>100</v>
      </c>
      <c r="H10">
        <v>5666</v>
      </c>
      <c r="I10">
        <v>0.44999998807907099</v>
      </c>
      <c r="J10" t="s">
        <v>268</v>
      </c>
      <c r="K10" t="s">
        <v>271</v>
      </c>
      <c r="L10" s="67" t="str">
        <f>VLOOKUP($A10,MFMaster!$A$2:$C$300,2,FALSE)</f>
        <v>1-3 stories</v>
      </c>
      <c r="M10" s="67">
        <f>VLOOKUP($A10,MFMaster!$A$2:$CG$232,85,FALSE)</f>
        <v>34.345653533935497</v>
      </c>
      <c r="P10" s="70" t="s">
        <v>1468</v>
      </c>
      <c r="Q10" s="71">
        <v>0.52963917279980843</v>
      </c>
      <c r="R10" s="71">
        <v>44733.112776279442</v>
      </c>
      <c r="S10" s="73">
        <f t="shared" ref="S10:S11" si="0">R10/$R$12</f>
        <v>0.58141241110682607</v>
      </c>
      <c r="U10" s="67" t="s">
        <v>256</v>
      </c>
      <c r="V10" s="74">
        <f>S10</f>
        <v>0.58141241110682607</v>
      </c>
    </row>
    <row r="11" spans="1:22">
      <c r="A11">
        <v>10477</v>
      </c>
      <c r="B11" t="s">
        <v>1470</v>
      </c>
      <c r="C11">
        <v>1</v>
      </c>
      <c r="D11" t="s">
        <v>255</v>
      </c>
      <c r="E11" t="s">
        <v>175</v>
      </c>
      <c r="F11" t="s">
        <v>1471</v>
      </c>
      <c r="G11">
        <v>96</v>
      </c>
      <c r="H11">
        <v>3563</v>
      </c>
      <c r="I11">
        <v>0.85000002384185802</v>
      </c>
      <c r="J11" t="s">
        <v>268</v>
      </c>
      <c r="K11" t="s">
        <v>268</v>
      </c>
      <c r="L11" s="67" t="str">
        <f>VLOOKUP($A11,MFMaster!$A$2:$C$300,2,FALSE)</f>
        <v>4-6 stories</v>
      </c>
      <c r="M11" s="67" t="str">
        <f>VLOOKUP($A11,MFMaster!$A$2:$CG$232,85,FALSE)</f>
        <v/>
      </c>
      <c r="P11" s="70" t="s">
        <v>210</v>
      </c>
      <c r="Q11" s="71"/>
      <c r="R11" s="71">
        <v>909.30476379394497</v>
      </c>
      <c r="S11" s="73">
        <f t="shared" si="0"/>
        <v>1.1818562186638248E-2</v>
      </c>
    </row>
    <row r="12" spans="1:22">
      <c r="A12">
        <v>10480</v>
      </c>
      <c r="B12" t="s">
        <v>1470</v>
      </c>
      <c r="C12">
        <v>1</v>
      </c>
      <c r="D12" t="s">
        <v>1468</v>
      </c>
      <c r="E12" t="s">
        <v>175</v>
      </c>
      <c r="F12" t="s">
        <v>1469</v>
      </c>
      <c r="G12">
        <v>100</v>
      </c>
      <c r="H12">
        <v>1140</v>
      </c>
      <c r="I12">
        <v>0.44999998807907099</v>
      </c>
      <c r="J12" t="s">
        <v>268</v>
      </c>
      <c r="K12" t="s">
        <v>271</v>
      </c>
      <c r="L12" s="67" t="str">
        <f>VLOOKUP($A12,MFMaster!$A$2:$C$300,2,FALSE)</f>
        <v>1-3 stories</v>
      </c>
      <c r="M12" s="67">
        <f>VLOOKUP($A12,MFMaster!$A$2:$CG$232,85,FALSE)</f>
        <v>400.358642578125</v>
      </c>
      <c r="P12" s="70" t="s">
        <v>208</v>
      </c>
      <c r="Q12" s="71">
        <v>0.69700272921320539</v>
      </c>
      <c r="R12" s="71">
        <v>76938.696047306061</v>
      </c>
      <c r="S12" s="73"/>
    </row>
    <row r="13" spans="1:22">
      <c r="A13">
        <v>10495</v>
      </c>
      <c r="B13" t="s">
        <v>1470</v>
      </c>
      <c r="C13">
        <v>1</v>
      </c>
      <c r="D13" t="s">
        <v>255</v>
      </c>
      <c r="E13" t="s">
        <v>182</v>
      </c>
      <c r="F13"/>
      <c r="G13">
        <v>100</v>
      </c>
      <c r="H13">
        <v>865</v>
      </c>
      <c r="I13">
        <v>1.1000000238418599</v>
      </c>
      <c r="J13" t="s">
        <v>268</v>
      </c>
      <c r="K13" t="s">
        <v>268</v>
      </c>
      <c r="L13" s="67" t="str">
        <f>VLOOKUP($A13,MFMaster!$A$2:$C$300,2,FALSE)</f>
        <v>1-3 stories</v>
      </c>
      <c r="M13" s="67">
        <f>VLOOKUP($A13,MFMaster!$A$2:$CG$232,85,FALSE)</f>
        <v>206.07391357421901</v>
      </c>
      <c r="P13"/>
      <c r="Q13"/>
      <c r="R13"/>
      <c r="S13" s="73"/>
    </row>
    <row r="14" spans="1:22">
      <c r="A14">
        <v>10495</v>
      </c>
      <c r="B14" t="s">
        <v>1467</v>
      </c>
      <c r="C14">
        <v>2</v>
      </c>
      <c r="D14" t="s">
        <v>1468</v>
      </c>
      <c r="E14" t="s">
        <v>175</v>
      </c>
      <c r="F14" t="s">
        <v>1469</v>
      </c>
      <c r="G14">
        <v>0</v>
      </c>
      <c r="H14">
        <v>67</v>
      </c>
      <c r="I14">
        <v>0.55000001192092896</v>
      </c>
      <c r="J14" t="s">
        <v>268</v>
      </c>
      <c r="K14" t="s">
        <v>268</v>
      </c>
      <c r="L14" s="67" t="str">
        <f>VLOOKUP($A14,MFMaster!$A$2:$C$300,2,FALSE)</f>
        <v>1-3 stories</v>
      </c>
      <c r="M14" s="67">
        <f>VLOOKUP($A14,MFMaster!$A$2:$CG$232,85,FALSE)</f>
        <v>206.07391357421901</v>
      </c>
      <c r="P14"/>
      <c r="Q14"/>
      <c r="R14"/>
      <c r="S14" s="73"/>
    </row>
    <row r="15" spans="1:22">
      <c r="A15">
        <v>10519</v>
      </c>
      <c r="B15" t="s">
        <v>1472</v>
      </c>
      <c r="C15">
        <v>1</v>
      </c>
      <c r="D15" t="s">
        <v>1468</v>
      </c>
      <c r="E15" t="s">
        <v>175</v>
      </c>
      <c r="F15" t="s">
        <v>1469</v>
      </c>
      <c r="G15">
        <v>75</v>
      </c>
      <c r="H15">
        <v>16680</v>
      </c>
      <c r="I15">
        <v>0.44999998807907099</v>
      </c>
      <c r="J15" t="s">
        <v>268</v>
      </c>
      <c r="K15" t="s">
        <v>271</v>
      </c>
      <c r="L15" s="67" t="str">
        <f>VLOOKUP($A15,MFMaster!$A$2:$C$300,2,FALSE)</f>
        <v>4-6 stories</v>
      </c>
      <c r="M15" s="67" t="str">
        <f>VLOOKUP($A15,MFMaster!$A$2:$CG$232,85,FALSE)</f>
        <v/>
      </c>
      <c r="P15"/>
      <c r="Q15"/>
      <c r="R15"/>
      <c r="S15" s="73"/>
    </row>
    <row r="16" spans="1:22">
      <c r="A16">
        <v>10587</v>
      </c>
      <c r="B16" t="s">
        <v>1467</v>
      </c>
      <c r="C16">
        <v>1</v>
      </c>
      <c r="D16" t="s">
        <v>255</v>
      </c>
      <c r="E16" t="s">
        <v>175</v>
      </c>
      <c r="F16" t="s">
        <v>1469</v>
      </c>
      <c r="G16">
        <v>100</v>
      </c>
      <c r="H16">
        <v>1825</v>
      </c>
      <c r="I16">
        <v>0.80000001192092896</v>
      </c>
      <c r="J16" t="s">
        <v>268</v>
      </c>
      <c r="K16" t="s">
        <v>268</v>
      </c>
      <c r="L16" s="67" t="str">
        <f>VLOOKUP($A16,MFMaster!$A$2:$C$300,2,FALSE)</f>
        <v>1-3 stories</v>
      </c>
      <c r="M16" s="67">
        <f>VLOOKUP($A16,MFMaster!$A$2:$CG$232,85,FALSE)</f>
        <v>266.90576171875</v>
      </c>
      <c r="P16"/>
      <c r="Q16"/>
      <c r="R16"/>
    </row>
    <row r="17" spans="1:20">
      <c r="A17">
        <v>10587</v>
      </c>
      <c r="B17" t="s">
        <v>1472</v>
      </c>
      <c r="C17">
        <v>2</v>
      </c>
      <c r="D17" t="s">
        <v>1468</v>
      </c>
      <c r="E17" t="s">
        <v>175</v>
      </c>
      <c r="F17" t="s">
        <v>1469</v>
      </c>
      <c r="G17">
        <v>100</v>
      </c>
      <c r="H17">
        <v>80</v>
      </c>
      <c r="I17">
        <v>0.44999998807907099</v>
      </c>
      <c r="J17" t="s">
        <v>268</v>
      </c>
      <c r="K17" t="s">
        <v>271</v>
      </c>
      <c r="L17" s="67" t="str">
        <f>VLOOKUP($A17,MFMaster!$A$2:$C$300,2,FALSE)</f>
        <v>1-3 stories</v>
      </c>
      <c r="M17" s="67">
        <f>VLOOKUP($A17,MFMaster!$A$2:$CG$232,85,FALSE)</f>
        <v>266.90576171875</v>
      </c>
      <c r="P17"/>
      <c r="Q17"/>
      <c r="R17"/>
    </row>
    <row r="18" spans="1:20">
      <c r="A18">
        <v>10614</v>
      </c>
      <c r="B18" t="s">
        <v>1467</v>
      </c>
      <c r="C18">
        <v>1</v>
      </c>
      <c r="D18" t="s">
        <v>1468</v>
      </c>
      <c r="E18" t="s">
        <v>175</v>
      </c>
      <c r="F18" t="s">
        <v>1469</v>
      </c>
      <c r="G18">
        <v>95</v>
      </c>
      <c r="H18">
        <v>5307</v>
      </c>
      <c r="I18">
        <v>0.44999998807907099</v>
      </c>
      <c r="J18" t="s">
        <v>268</v>
      </c>
      <c r="K18" t="s">
        <v>271</v>
      </c>
      <c r="L18" s="67" t="str">
        <f>VLOOKUP($A18,MFMaster!$A$2:$C$300,2,FALSE)</f>
        <v>4-6 stories</v>
      </c>
      <c r="M18" s="67" t="str">
        <f>VLOOKUP($A18,MFMaster!$A$2:$CG$232,85,FALSE)</f>
        <v/>
      </c>
      <c r="P18"/>
      <c r="Q18"/>
      <c r="R18"/>
    </row>
    <row r="19" spans="1:20">
      <c r="A19">
        <v>10614</v>
      </c>
      <c r="B19" t="s">
        <v>1472</v>
      </c>
      <c r="C19">
        <v>2</v>
      </c>
      <c r="D19" t="s">
        <v>255</v>
      </c>
      <c r="E19" t="s">
        <v>175</v>
      </c>
      <c r="F19" t="s">
        <v>1469</v>
      </c>
      <c r="G19">
        <v>50</v>
      </c>
      <c r="H19">
        <v>200</v>
      </c>
      <c r="I19">
        <v>0.75</v>
      </c>
      <c r="J19" t="s">
        <v>268</v>
      </c>
      <c r="K19" t="s">
        <v>271</v>
      </c>
      <c r="L19" s="67" t="str">
        <f>VLOOKUP($A19,MFMaster!$A$2:$C$300,2,FALSE)</f>
        <v>4-6 stories</v>
      </c>
      <c r="M19" s="67" t="str">
        <f>VLOOKUP($A19,MFMaster!$A$2:$CG$232,85,FALSE)</f>
        <v/>
      </c>
      <c r="P19"/>
      <c r="Q19"/>
      <c r="R19"/>
    </row>
    <row r="20" spans="1:20">
      <c r="A20">
        <v>10623</v>
      </c>
      <c r="B20" t="s">
        <v>1467</v>
      </c>
      <c r="C20">
        <v>1</v>
      </c>
      <c r="D20" t="s">
        <v>255</v>
      </c>
      <c r="E20" t="s">
        <v>175</v>
      </c>
      <c r="F20" t="s">
        <v>1469</v>
      </c>
      <c r="G20">
        <v>77</v>
      </c>
      <c r="H20">
        <v>1158</v>
      </c>
      <c r="I20">
        <v>0.75</v>
      </c>
      <c r="J20" t="s">
        <v>268</v>
      </c>
      <c r="K20" t="s">
        <v>271</v>
      </c>
      <c r="L20" s="67" t="str">
        <f>VLOOKUP($A20,MFMaster!$A$2:$C$300,2,FALSE)</f>
        <v>1-3 stories</v>
      </c>
      <c r="M20" s="67" t="str">
        <f>VLOOKUP($A20,MFMaster!$A$2:$CG$232,85,FALSE)</f>
        <v/>
      </c>
      <c r="P20"/>
      <c r="Q20"/>
      <c r="R20"/>
    </row>
    <row r="21" spans="1:20">
      <c r="A21">
        <v>10805</v>
      </c>
      <c r="B21" t="s">
        <v>1470</v>
      </c>
      <c r="C21">
        <v>1</v>
      </c>
      <c r="D21" t="s">
        <v>1468</v>
      </c>
      <c r="E21" t="s">
        <v>175</v>
      </c>
      <c r="F21" t="s">
        <v>1469</v>
      </c>
      <c r="G21">
        <v>100</v>
      </c>
      <c r="H21">
        <v>701</v>
      </c>
      <c r="I21">
        <v>0.55000001192092896</v>
      </c>
      <c r="J21" t="s">
        <v>268</v>
      </c>
      <c r="K21" t="s">
        <v>268</v>
      </c>
      <c r="L21" s="67" t="str">
        <f>VLOOKUP($A21,MFMaster!$A$2:$C$300,2,FALSE)</f>
        <v>1-3 stories</v>
      </c>
      <c r="M21" s="67">
        <f>VLOOKUP($A21,MFMaster!$A$2:$CG$232,85,FALSE)</f>
        <v>686.32904052734398</v>
      </c>
      <c r="P21"/>
      <c r="Q21"/>
      <c r="R21"/>
    </row>
    <row r="22" spans="1:20">
      <c r="A22">
        <v>10862</v>
      </c>
      <c r="B22" t="s">
        <v>1467</v>
      </c>
      <c r="C22">
        <v>1</v>
      </c>
      <c r="D22" t="s">
        <v>255</v>
      </c>
      <c r="E22" t="s">
        <v>175</v>
      </c>
      <c r="F22" t="s">
        <v>1471</v>
      </c>
      <c r="G22">
        <v>95</v>
      </c>
      <c r="H22">
        <v>3519</v>
      </c>
      <c r="I22">
        <v>0.85000002384185802</v>
      </c>
      <c r="J22" t="s">
        <v>268</v>
      </c>
      <c r="K22" t="s">
        <v>268</v>
      </c>
      <c r="L22" s="67" t="str">
        <f>VLOOKUP($A22,MFMaster!$A$2:$C$300,2,FALSE)</f>
        <v>1-3 stories</v>
      </c>
      <c r="M22" s="67">
        <f>VLOOKUP($A22,MFMaster!$A$2:$CG$232,85,FALSE)</f>
        <v>85.864128112792997</v>
      </c>
      <c r="P22" s="69" t="s">
        <v>207</v>
      </c>
      <c r="Q22" t="s">
        <v>1449</v>
      </c>
      <c r="R22"/>
      <c r="S22"/>
      <c r="T22"/>
    </row>
    <row r="23" spans="1:20">
      <c r="A23">
        <v>10862</v>
      </c>
      <c r="B23" t="s">
        <v>1472</v>
      </c>
      <c r="C23">
        <v>2</v>
      </c>
      <c r="D23" t="s">
        <v>1468</v>
      </c>
      <c r="E23" t="s">
        <v>175</v>
      </c>
      <c r="F23" t="s">
        <v>1469</v>
      </c>
      <c r="G23">
        <v>100</v>
      </c>
      <c r="H23">
        <v>130</v>
      </c>
      <c r="I23">
        <v>0.44999998807907099</v>
      </c>
      <c r="J23" t="s">
        <v>268</v>
      </c>
      <c r="K23" t="s">
        <v>271</v>
      </c>
      <c r="L23" s="67" t="str">
        <f>VLOOKUP($A23,MFMaster!$A$2:$C$300,2,FALSE)</f>
        <v>1-3 stories</v>
      </c>
      <c r="M23" s="67">
        <f>VLOOKUP($A23,MFMaster!$A$2:$CG$232,85,FALSE)</f>
        <v>85.864128112792997</v>
      </c>
      <c r="O23" s="67" t="s">
        <v>175</v>
      </c>
      <c r="P23" s="70">
        <v>0.55000001192092896</v>
      </c>
      <c r="Q23" s="71">
        <v>16387.490423202511</v>
      </c>
      <c r="R23" s="53">
        <f t="shared" ref="R23:R32" si="1">Q23/$Q$33</f>
        <v>0.21299412733907791</v>
      </c>
      <c r="S23" s="67" t="s">
        <v>253</v>
      </c>
      <c r="T23" s="73">
        <v>0</v>
      </c>
    </row>
    <row r="24" spans="1:20">
      <c r="A24">
        <v>10871</v>
      </c>
      <c r="B24" t="s">
        <v>1470</v>
      </c>
      <c r="C24">
        <v>1</v>
      </c>
      <c r="D24" t="s">
        <v>1468</v>
      </c>
      <c r="E24" t="s">
        <v>175</v>
      </c>
      <c r="F24" t="s">
        <v>1471</v>
      </c>
      <c r="G24">
        <v>100</v>
      </c>
      <c r="H24">
        <v>1640</v>
      </c>
      <c r="I24">
        <v>0.55000001192092896</v>
      </c>
      <c r="J24" t="s">
        <v>268</v>
      </c>
      <c r="K24" t="s">
        <v>271</v>
      </c>
      <c r="L24" s="67" t="str">
        <f>VLOOKUP($A24,MFMaster!$A$2:$C$300,2,FALSE)</f>
        <v>1-3 stories</v>
      </c>
      <c r="M24" s="67">
        <f>VLOOKUP($A24,MFMaster!$A$2:$CG$232,85,FALSE)</f>
        <v>200.17932128906301</v>
      </c>
      <c r="O24" s="67" t="s">
        <v>175</v>
      </c>
      <c r="P24" s="70">
        <v>0.75</v>
      </c>
      <c r="Q24" s="71">
        <v>9309.794200897215</v>
      </c>
      <c r="R24" s="53">
        <f t="shared" si="1"/>
        <v>0.121002755169818</v>
      </c>
      <c r="S24" s="67" t="s">
        <v>254</v>
      </c>
      <c r="T24" s="73">
        <f>SUMIF($O$23:$O$32,$S24,$R$23:$R$32)</f>
        <v>0</v>
      </c>
    </row>
    <row r="25" spans="1:20">
      <c r="A25">
        <v>10901</v>
      </c>
      <c r="B25" t="s">
        <v>1470</v>
      </c>
      <c r="C25">
        <v>1</v>
      </c>
      <c r="D25" t="s">
        <v>255</v>
      </c>
      <c r="E25" t="s">
        <v>175</v>
      </c>
      <c r="F25" t="s">
        <v>1469</v>
      </c>
      <c r="G25">
        <v>60</v>
      </c>
      <c r="H25">
        <v>1745</v>
      </c>
      <c r="I25">
        <v>0.75</v>
      </c>
      <c r="J25" t="s">
        <v>268</v>
      </c>
      <c r="K25" t="s">
        <v>271</v>
      </c>
      <c r="L25" s="67" t="str">
        <f>VLOOKUP($A25,MFMaster!$A$2:$C$300,2,FALSE)</f>
        <v>1-3 stories</v>
      </c>
      <c r="M25" s="67">
        <f>VLOOKUP($A25,MFMaster!$A$2:$CG$232,85,FALSE)</f>
        <v>228.97100830078099</v>
      </c>
      <c r="O25" s="67" t="s">
        <v>175</v>
      </c>
      <c r="P25" s="70">
        <v>0.80000001192092896</v>
      </c>
      <c r="Q25" s="71">
        <v>3710.7805423736572</v>
      </c>
      <c r="R25" s="53">
        <f t="shared" si="1"/>
        <v>4.8230353944289241E-2</v>
      </c>
      <c r="S25" s="67" t="s">
        <v>175</v>
      </c>
      <c r="T25" s="73">
        <f>SUMIF($O$23:$O$37,$S25,$R$23:$R$37)</f>
        <v>0.82870194350189819</v>
      </c>
    </row>
    <row r="26" spans="1:20">
      <c r="A26">
        <v>10901</v>
      </c>
      <c r="B26" t="s">
        <v>1467</v>
      </c>
      <c r="C26">
        <v>2</v>
      </c>
      <c r="D26" t="s">
        <v>1468</v>
      </c>
      <c r="E26" t="s">
        <v>175</v>
      </c>
      <c r="F26" t="s">
        <v>1469</v>
      </c>
      <c r="G26">
        <v>100</v>
      </c>
      <c r="H26">
        <v>409</v>
      </c>
      <c r="I26">
        <v>0.44999998807907099</v>
      </c>
      <c r="J26" t="s">
        <v>268</v>
      </c>
      <c r="K26" t="s">
        <v>271</v>
      </c>
      <c r="L26" s="67" t="str">
        <f>VLOOKUP($A26,MFMaster!$A$2:$C$300,2,FALSE)</f>
        <v>1-3 stories</v>
      </c>
      <c r="M26" s="67">
        <f>VLOOKUP($A26,MFMaster!$A$2:$CG$232,85,FALSE)</f>
        <v>228.97100830078099</v>
      </c>
      <c r="O26" s="67" t="s">
        <v>175</v>
      </c>
      <c r="P26" s="70">
        <v>0.94999998807907104</v>
      </c>
      <c r="Q26" s="71">
        <v>3934.4811286926242</v>
      </c>
      <c r="R26" s="53">
        <f t="shared" si="1"/>
        <v>5.1137871199084195E-2</v>
      </c>
      <c r="S26" s="67" t="s">
        <v>182</v>
      </c>
      <c r="T26" s="73">
        <f>SUMIF($O$23:$O$37,$S26,$R$23:$R$37)</f>
        <v>0.15947949431146374</v>
      </c>
    </row>
    <row r="27" spans="1:20">
      <c r="A27">
        <v>10910</v>
      </c>
      <c r="B27" t="s">
        <v>1467</v>
      </c>
      <c r="C27">
        <v>1</v>
      </c>
      <c r="D27" t="s">
        <v>1468</v>
      </c>
      <c r="E27" t="s">
        <v>175</v>
      </c>
      <c r="F27" t="s">
        <v>1469</v>
      </c>
      <c r="G27">
        <v>100</v>
      </c>
      <c r="H27">
        <v>1038</v>
      </c>
      <c r="I27">
        <v>0.44999998807907099</v>
      </c>
      <c r="J27" t="s">
        <v>268</v>
      </c>
      <c r="K27" t="s">
        <v>271</v>
      </c>
      <c r="L27" s="67" t="str">
        <f>VLOOKUP($A27,MFMaster!$A$2:$C$300,2,FALSE)</f>
        <v>1-3 stories</v>
      </c>
      <c r="M27" s="67">
        <f>VLOOKUP($A27,MFMaster!$A$2:$CG$232,85,FALSE)</f>
        <v>206.07391357421901</v>
      </c>
      <c r="O27" s="67" t="s">
        <v>175</v>
      </c>
      <c r="P27" s="70">
        <v>0.85000002384185802</v>
      </c>
      <c r="Q27" s="71">
        <v>5614.7123336791983</v>
      </c>
      <c r="R27" s="53">
        <f t="shared" si="1"/>
        <v>7.2976442572239231E-2</v>
      </c>
    </row>
    <row r="28" spans="1:20">
      <c r="A28">
        <v>10996</v>
      </c>
      <c r="B28" t="s">
        <v>1467</v>
      </c>
      <c r="C28">
        <v>1</v>
      </c>
      <c r="D28" t="s">
        <v>1468</v>
      </c>
      <c r="E28" t="s">
        <v>175</v>
      </c>
      <c r="F28" t="s">
        <v>1471</v>
      </c>
      <c r="G28">
        <v>100</v>
      </c>
      <c r="H28">
        <v>993</v>
      </c>
      <c r="I28">
        <v>0.55000001192092896</v>
      </c>
      <c r="J28" t="s">
        <v>268</v>
      </c>
      <c r="K28" t="s">
        <v>271</v>
      </c>
      <c r="L28" s="67" t="str">
        <f>VLOOKUP($A28,MFMaster!$A$2:$C$300,2,FALSE)</f>
        <v>1-3 stories</v>
      </c>
      <c r="M28" s="67">
        <f>VLOOKUP($A28,MFMaster!$A$2:$CG$232,85,FALSE)</f>
        <v>112.106643676758</v>
      </c>
      <c r="O28" s="67" t="s">
        <v>175</v>
      </c>
      <c r="P28" s="70">
        <v>0.60000002384185802</v>
      </c>
      <c r="Q28" s="71">
        <v>5003.060760498046</v>
      </c>
      <c r="R28" s="53">
        <f t="shared" si="1"/>
        <v>6.502658632818388E-2</v>
      </c>
    </row>
    <row r="29" spans="1:20">
      <c r="A29">
        <v>11005</v>
      </c>
      <c r="B29" t="s">
        <v>1467</v>
      </c>
      <c r="C29">
        <v>1</v>
      </c>
      <c r="D29" t="s">
        <v>1468</v>
      </c>
      <c r="E29" t="s">
        <v>175</v>
      </c>
      <c r="F29" t="s">
        <v>1471</v>
      </c>
      <c r="G29">
        <v>70</v>
      </c>
      <c r="H29">
        <v>352</v>
      </c>
      <c r="I29">
        <v>0.55000001192092896</v>
      </c>
      <c r="J29" t="s">
        <v>268</v>
      </c>
      <c r="K29" t="s">
        <v>271</v>
      </c>
      <c r="L29" s="67" t="str">
        <f>VLOOKUP($A29,MFMaster!$A$2:$C$300,2,FALSE)</f>
        <v>1-3 stories</v>
      </c>
      <c r="M29" s="67" t="str">
        <f>VLOOKUP($A29,MFMaster!$A$2:$CG$232,85,FALSE)</f>
        <v/>
      </c>
      <c r="O29" s="67" t="s">
        <v>175</v>
      </c>
      <c r="P29" s="70">
        <v>0.44999998807907099</v>
      </c>
      <c r="Q29" s="71">
        <v>19272.527546405789</v>
      </c>
      <c r="R29" s="53">
        <f t="shared" si="1"/>
        <v>0.25049199605041406</v>
      </c>
    </row>
    <row r="30" spans="1:20">
      <c r="A30">
        <v>11005</v>
      </c>
      <c r="B30" t="s">
        <v>1472</v>
      </c>
      <c r="C30">
        <v>2</v>
      </c>
      <c r="D30" t="s">
        <v>1468</v>
      </c>
      <c r="E30" t="s">
        <v>182</v>
      </c>
      <c r="F30"/>
      <c r="G30">
        <v>50</v>
      </c>
      <c r="H30">
        <v>43</v>
      </c>
      <c r="I30">
        <v>0.89999997615814198</v>
      </c>
      <c r="J30" t="s">
        <v>268</v>
      </c>
      <c r="K30" t="s">
        <v>271</v>
      </c>
      <c r="L30" s="67" t="str">
        <f>VLOOKUP($A30,MFMaster!$A$2:$C$300,2,FALSE)</f>
        <v>1-3 stories</v>
      </c>
      <c r="M30" s="67" t="str">
        <f>VLOOKUP($A30,MFMaster!$A$2:$CG$232,85,FALSE)</f>
        <v/>
      </c>
      <c r="O30" s="67" t="s">
        <v>182</v>
      </c>
      <c r="P30" s="70">
        <v>1.1000000238418599</v>
      </c>
      <c r="Q30" s="71">
        <v>12270.144338607781</v>
      </c>
      <c r="R30" s="53">
        <f t="shared" si="1"/>
        <v>0.15947949431146374</v>
      </c>
    </row>
    <row r="31" spans="1:20">
      <c r="A31">
        <v>11005</v>
      </c>
      <c r="B31" t="s">
        <v>1473</v>
      </c>
      <c r="C31">
        <v>3</v>
      </c>
      <c r="D31" t="s">
        <v>1468</v>
      </c>
      <c r="E31" t="s">
        <v>175</v>
      </c>
      <c r="F31" t="s">
        <v>1471</v>
      </c>
      <c r="G31">
        <v>100</v>
      </c>
      <c r="H31">
        <v>20</v>
      </c>
      <c r="I31">
        <v>0.55000001192092896</v>
      </c>
      <c r="J31" t="s">
        <v>268</v>
      </c>
      <c r="K31" t="s">
        <v>271</v>
      </c>
      <c r="L31" s="67" t="str">
        <f>VLOOKUP($A31,MFMaster!$A$2:$C$300,2,FALSE)</f>
        <v>1-3 stories</v>
      </c>
      <c r="M31" s="67" t="str">
        <f>VLOOKUP($A31,MFMaster!$A$2:$CG$232,85,FALSE)</f>
        <v/>
      </c>
      <c r="O31" s="67" t="s">
        <v>175</v>
      </c>
      <c r="P31" s="70">
        <v>0.89999997615814198</v>
      </c>
      <c r="Q31" s="71">
        <v>526.40000915527298</v>
      </c>
      <c r="R31" s="53">
        <f t="shared" si="1"/>
        <v>6.8418108987916048E-3</v>
      </c>
    </row>
    <row r="32" spans="1:20">
      <c r="A32">
        <v>11263</v>
      </c>
      <c r="B32" t="s">
        <v>1470</v>
      </c>
      <c r="C32">
        <v>1</v>
      </c>
      <c r="D32" t="s">
        <v>1468</v>
      </c>
      <c r="E32" t="s">
        <v>175</v>
      </c>
      <c r="F32" t="s">
        <v>1471</v>
      </c>
      <c r="G32">
        <v>100</v>
      </c>
      <c r="H32">
        <v>570</v>
      </c>
      <c r="I32">
        <v>0.55000001192092896</v>
      </c>
      <c r="J32" t="s">
        <v>268</v>
      </c>
      <c r="K32" t="s">
        <v>271</v>
      </c>
      <c r="L32" s="67" t="str">
        <f>VLOOKUP($A32,MFMaster!$A$2:$C$300,2,FALSE)</f>
        <v>1-3 stories</v>
      </c>
      <c r="M32" s="67">
        <f>VLOOKUP($A32,MFMaster!$A$2:$CG$232,85,FALSE)</f>
        <v>343.45651245117199</v>
      </c>
      <c r="P32" s="70" t="s">
        <v>210</v>
      </c>
      <c r="Q32" s="71">
        <v>909.30476379394497</v>
      </c>
      <c r="R32" s="53">
        <f t="shared" si="1"/>
        <v>1.1818562186638251E-2</v>
      </c>
    </row>
    <row r="33" spans="1:20">
      <c r="A33">
        <v>11271</v>
      </c>
      <c r="B33" t="s">
        <v>1467</v>
      </c>
      <c r="C33">
        <v>1</v>
      </c>
      <c r="D33" t="s">
        <v>255</v>
      </c>
      <c r="E33" t="s">
        <v>182</v>
      </c>
      <c r="F33"/>
      <c r="G33">
        <v>90</v>
      </c>
      <c r="H33">
        <v>1500</v>
      </c>
      <c r="I33">
        <v>1.1000000238418599</v>
      </c>
      <c r="J33" t="s">
        <v>268</v>
      </c>
      <c r="K33" t="s">
        <v>268</v>
      </c>
      <c r="L33" s="67" t="str">
        <f>VLOOKUP($A33,MFMaster!$A$2:$C$300,2,FALSE)</f>
        <v>1-3 stories</v>
      </c>
      <c r="M33" s="67">
        <f>VLOOKUP($A33,MFMaster!$A$2:$CG$232,85,FALSE)</f>
        <v>54.761714935302699</v>
      </c>
      <c r="P33" s="70" t="s">
        <v>208</v>
      </c>
      <c r="Q33" s="71">
        <v>76938.696047306032</v>
      </c>
      <c r="R33"/>
      <c r="S33"/>
      <c r="T33"/>
    </row>
    <row r="34" spans="1:20">
      <c r="A34">
        <v>11290</v>
      </c>
      <c r="B34" t="s">
        <v>1470</v>
      </c>
      <c r="C34">
        <v>1</v>
      </c>
      <c r="D34" t="s">
        <v>255</v>
      </c>
      <c r="E34" t="s">
        <v>182</v>
      </c>
      <c r="F34"/>
      <c r="G34">
        <v>100</v>
      </c>
      <c r="H34">
        <v>832</v>
      </c>
      <c r="I34">
        <v>1.1000000238418599</v>
      </c>
      <c r="J34" t="s">
        <v>268</v>
      </c>
      <c r="K34" t="s">
        <v>268</v>
      </c>
      <c r="L34" s="67" t="str">
        <f>VLOOKUP($A34,MFMaster!$A$2:$C$300,2,FALSE)</f>
        <v>1-3 stories</v>
      </c>
      <c r="M34" s="67" t="str">
        <f>VLOOKUP($A34,MFMaster!$A$2:$CG$232,85,FALSE)</f>
        <v/>
      </c>
      <c r="P34"/>
      <c r="Q34"/>
      <c r="R34"/>
      <c r="S34"/>
      <c r="T34"/>
    </row>
    <row r="35" spans="1:20">
      <c r="A35">
        <v>11290</v>
      </c>
      <c r="B35" t="s">
        <v>1467</v>
      </c>
      <c r="C35">
        <v>2</v>
      </c>
      <c r="D35" t="s">
        <v>255</v>
      </c>
      <c r="E35" t="s">
        <v>182</v>
      </c>
      <c r="F35"/>
      <c r="G35">
        <v>100</v>
      </c>
      <c r="H35">
        <v>592</v>
      </c>
      <c r="I35">
        <v>0.94999998807907104</v>
      </c>
      <c r="J35" t="s">
        <v>268</v>
      </c>
      <c r="K35" t="s">
        <v>271</v>
      </c>
      <c r="L35" s="67" t="str">
        <f>VLOOKUP($A35,MFMaster!$A$2:$C$300,2,FALSE)</f>
        <v>1-3 stories</v>
      </c>
      <c r="M35" s="67" t="str">
        <f>VLOOKUP($A35,MFMaster!$A$2:$CG$232,85,FALSE)</f>
        <v/>
      </c>
      <c r="P35"/>
      <c r="Q35"/>
      <c r="R35" s="53"/>
    </row>
    <row r="36" spans="1:20">
      <c r="A36">
        <v>11297</v>
      </c>
      <c r="B36" t="s">
        <v>1467</v>
      </c>
      <c r="C36">
        <v>1</v>
      </c>
      <c r="D36" t="s">
        <v>1468</v>
      </c>
      <c r="E36" t="s">
        <v>175</v>
      </c>
      <c r="F36" t="s">
        <v>1469</v>
      </c>
      <c r="G36">
        <v>67</v>
      </c>
      <c r="H36">
        <v>13899</v>
      </c>
      <c r="I36">
        <v>0.44999998807907099</v>
      </c>
      <c r="J36" t="s">
        <v>268</v>
      </c>
      <c r="K36" t="s">
        <v>271</v>
      </c>
      <c r="L36" s="67" t="str">
        <f>VLOOKUP($A36,MFMaster!$A$2:$C$300,2,FALSE)</f>
        <v>1-3 stories</v>
      </c>
      <c r="M36" s="67" t="str">
        <f>VLOOKUP($A36,MFMaster!$A$2:$CG$232,85,FALSE)</f>
        <v/>
      </c>
      <c r="P36"/>
      <c r="Q36"/>
      <c r="R36" s="53"/>
    </row>
    <row r="37" spans="1:20">
      <c r="A37">
        <v>11297</v>
      </c>
      <c r="B37" t="s">
        <v>1472</v>
      </c>
      <c r="C37">
        <v>2</v>
      </c>
      <c r="D37" t="s">
        <v>255</v>
      </c>
      <c r="E37" t="s">
        <v>175</v>
      </c>
      <c r="F37" t="s">
        <v>1469</v>
      </c>
      <c r="G37">
        <v>27</v>
      </c>
      <c r="H37">
        <v>352</v>
      </c>
      <c r="I37">
        <v>0.75</v>
      </c>
      <c r="J37" t="s">
        <v>268</v>
      </c>
      <c r="K37" t="s">
        <v>271</v>
      </c>
      <c r="L37" s="67" t="str">
        <f>VLOOKUP($A37,MFMaster!$A$2:$C$300,2,FALSE)</f>
        <v>1-3 stories</v>
      </c>
      <c r="M37" s="67" t="str">
        <f>VLOOKUP($A37,MFMaster!$A$2:$CG$232,85,FALSE)</f>
        <v/>
      </c>
      <c r="P37"/>
      <c r="Q37"/>
      <c r="R37" s="53"/>
    </row>
    <row r="38" spans="1:20">
      <c r="A38">
        <v>11345</v>
      </c>
      <c r="B38" t="s">
        <v>1467</v>
      </c>
      <c r="C38">
        <v>1</v>
      </c>
      <c r="D38" t="s">
        <v>1468</v>
      </c>
      <c r="E38" t="s">
        <v>175</v>
      </c>
      <c r="F38" t="s">
        <v>1469</v>
      </c>
      <c r="G38">
        <v>98</v>
      </c>
      <c r="H38">
        <v>1627</v>
      </c>
      <c r="I38">
        <v>0.44999998807907099</v>
      </c>
      <c r="J38" t="s">
        <v>268</v>
      </c>
      <c r="K38" t="s">
        <v>271</v>
      </c>
      <c r="L38" s="67" t="str">
        <f>VLOOKUP($A38,MFMaster!$A$2:$C$300,2,FALSE)</f>
        <v>1-3 stories</v>
      </c>
      <c r="M38" s="67">
        <f>VLOOKUP($A38,MFMaster!$A$2:$CG$232,85,FALSE)</f>
        <v>78.231018066406307</v>
      </c>
      <c r="P38"/>
      <c r="Q38"/>
      <c r="R38"/>
    </row>
    <row r="39" spans="1:20">
      <c r="A39">
        <v>11413</v>
      </c>
      <c r="B39" t="s">
        <v>1473</v>
      </c>
      <c r="C39">
        <v>1</v>
      </c>
      <c r="D39" t="s">
        <v>1468</v>
      </c>
      <c r="E39" t="s">
        <v>175</v>
      </c>
      <c r="F39" t="s">
        <v>1469</v>
      </c>
      <c r="G39">
        <v>95</v>
      </c>
      <c r="H39">
        <v>19214</v>
      </c>
      <c r="I39">
        <v>0.44999998807907099</v>
      </c>
      <c r="J39" t="s">
        <v>268</v>
      </c>
      <c r="K39" t="s">
        <v>271</v>
      </c>
      <c r="L39" s="67" t="str">
        <f>VLOOKUP($A39,MFMaster!$A$2:$C$300,2,FALSE)</f>
        <v>4-6 stories</v>
      </c>
      <c r="M39" s="67" t="str">
        <f>VLOOKUP($A39,MFMaster!$A$2:$CG$232,85,FALSE)</f>
        <v/>
      </c>
      <c r="P39"/>
      <c r="Q39"/>
      <c r="R39"/>
    </row>
    <row r="40" spans="1:20">
      <c r="A40">
        <v>11413</v>
      </c>
      <c r="B40" t="s">
        <v>1474</v>
      </c>
      <c r="C40">
        <v>2</v>
      </c>
      <c r="D40" t="s">
        <v>255</v>
      </c>
      <c r="E40" t="s">
        <v>182</v>
      </c>
      <c r="F40"/>
      <c r="G40">
        <v>95</v>
      </c>
      <c r="H40">
        <v>2620</v>
      </c>
      <c r="I40">
        <v>1.1000000238418599</v>
      </c>
      <c r="J40" t="s">
        <v>268</v>
      </c>
      <c r="K40" t="s">
        <v>268</v>
      </c>
      <c r="L40" s="67" t="str">
        <f>VLOOKUP($A40,MFMaster!$A$2:$C$300,2,FALSE)</f>
        <v>4-6 stories</v>
      </c>
      <c r="M40" s="67" t="str">
        <f>VLOOKUP($A40,MFMaster!$A$2:$CG$232,85,FALSE)</f>
        <v/>
      </c>
      <c r="P40"/>
      <c r="Q40"/>
    </row>
    <row r="41" spans="1:20">
      <c r="A41">
        <v>11413</v>
      </c>
      <c r="B41" t="s">
        <v>1475</v>
      </c>
      <c r="C41">
        <v>3</v>
      </c>
      <c r="D41" t="s">
        <v>255</v>
      </c>
      <c r="E41" t="s">
        <v>175</v>
      </c>
      <c r="F41" t="s">
        <v>1469</v>
      </c>
      <c r="G41">
        <v>72</v>
      </c>
      <c r="H41">
        <v>296</v>
      </c>
      <c r="I41">
        <v>0.80000001192092896</v>
      </c>
      <c r="J41" t="s">
        <v>268</v>
      </c>
      <c r="K41" t="s">
        <v>268</v>
      </c>
      <c r="L41" s="67" t="str">
        <f>VLOOKUP($A41,MFMaster!$A$2:$C$300,2,FALSE)</f>
        <v>4-6 stories</v>
      </c>
      <c r="M41" s="67" t="str">
        <f>VLOOKUP($A41,MFMaster!$A$2:$CG$232,85,FALSE)</f>
        <v/>
      </c>
      <c r="P41"/>
      <c r="Q41"/>
    </row>
    <row r="42" spans="1:20">
      <c r="A42">
        <v>11537</v>
      </c>
      <c r="B42" t="s">
        <v>1467</v>
      </c>
      <c r="C42">
        <v>1</v>
      </c>
      <c r="D42" t="s">
        <v>255</v>
      </c>
      <c r="E42" t="s">
        <v>182</v>
      </c>
      <c r="F42"/>
      <c r="G42">
        <v>100</v>
      </c>
      <c r="H42">
        <v>421</v>
      </c>
      <c r="I42">
        <v>1.1000000238418599</v>
      </c>
      <c r="J42" t="s">
        <v>268</v>
      </c>
      <c r="K42" t="s">
        <v>268</v>
      </c>
      <c r="L42" s="67" t="str">
        <f>VLOOKUP($A42,MFMaster!$A$2:$C$300,2,FALSE)</f>
        <v>1-3 stories</v>
      </c>
      <c r="M42" s="67">
        <f>VLOOKUP($A42,MFMaster!$A$2:$CG$232,85,FALSE)</f>
        <v>149.47552490234401</v>
      </c>
      <c r="P42"/>
      <c r="Q42"/>
    </row>
    <row r="43" spans="1:20">
      <c r="A43">
        <v>11537</v>
      </c>
      <c r="B43" t="s">
        <v>1472</v>
      </c>
      <c r="C43">
        <v>2</v>
      </c>
      <c r="D43" t="s">
        <v>255</v>
      </c>
      <c r="E43" t="s">
        <v>175</v>
      </c>
      <c r="F43" t="s">
        <v>1471</v>
      </c>
      <c r="G43">
        <v>100</v>
      </c>
      <c r="H43">
        <v>480</v>
      </c>
      <c r="I43">
        <v>0.75</v>
      </c>
      <c r="J43" t="s">
        <v>268</v>
      </c>
      <c r="K43" t="s">
        <v>271</v>
      </c>
      <c r="L43" s="67" t="str">
        <f>VLOOKUP($A43,MFMaster!$A$2:$C$300,2,FALSE)</f>
        <v>1-3 stories</v>
      </c>
      <c r="M43" s="67">
        <f>VLOOKUP($A43,MFMaster!$A$2:$CG$232,85,FALSE)</f>
        <v>149.47552490234401</v>
      </c>
      <c r="P43"/>
      <c r="Q43"/>
    </row>
    <row r="44" spans="1:20">
      <c r="A44">
        <v>11537</v>
      </c>
      <c r="B44" t="s">
        <v>1473</v>
      </c>
      <c r="C44">
        <v>3</v>
      </c>
      <c r="D44" t="s">
        <v>1468</v>
      </c>
      <c r="E44" t="s">
        <v>175</v>
      </c>
      <c r="F44" t="s">
        <v>1469</v>
      </c>
      <c r="G44">
        <v>100</v>
      </c>
      <c r="H44">
        <v>42</v>
      </c>
      <c r="I44">
        <v>0.44999998807907099</v>
      </c>
      <c r="J44" t="s">
        <v>268</v>
      </c>
      <c r="K44" t="s">
        <v>271</v>
      </c>
      <c r="L44" s="67" t="str">
        <f>VLOOKUP($A44,MFMaster!$A$2:$C$300,2,FALSE)</f>
        <v>1-3 stories</v>
      </c>
      <c r="M44" s="67">
        <f>VLOOKUP($A44,MFMaster!$A$2:$CG$232,85,FALSE)</f>
        <v>149.47552490234401</v>
      </c>
      <c r="P44"/>
      <c r="Q44"/>
    </row>
    <row r="45" spans="1:20">
      <c r="A45">
        <v>11598</v>
      </c>
      <c r="B45" t="s">
        <v>1467</v>
      </c>
      <c r="C45">
        <v>1</v>
      </c>
      <c r="D45" t="s">
        <v>255</v>
      </c>
      <c r="E45" t="s">
        <v>175</v>
      </c>
      <c r="F45" t="s">
        <v>1469</v>
      </c>
      <c r="G45">
        <v>100</v>
      </c>
      <c r="H45">
        <v>1848</v>
      </c>
      <c r="I45">
        <v>0.80000001192092896</v>
      </c>
      <c r="J45" t="s">
        <v>268</v>
      </c>
      <c r="K45" t="s">
        <v>268</v>
      </c>
      <c r="L45" s="67" t="str">
        <f>VLOOKUP($A45,MFMaster!$A$2:$C$300,2,FALSE)</f>
        <v>1-3 stories</v>
      </c>
      <c r="M45" s="67">
        <f>VLOOKUP($A45,MFMaster!$A$2:$CG$232,85,FALSE)</f>
        <v>400.358642578125</v>
      </c>
      <c r="P45"/>
      <c r="Q45"/>
    </row>
    <row r="46" spans="1:20">
      <c r="A46">
        <v>11879</v>
      </c>
      <c r="B46" t="s">
        <v>1470</v>
      </c>
      <c r="C46">
        <v>1</v>
      </c>
      <c r="D46" t="s">
        <v>1468</v>
      </c>
      <c r="E46" t="s">
        <v>175</v>
      </c>
      <c r="F46" t="s">
        <v>1469</v>
      </c>
      <c r="G46">
        <v>80</v>
      </c>
      <c r="H46">
        <v>1452</v>
      </c>
      <c r="I46">
        <v>0.55000001192092896</v>
      </c>
      <c r="J46" t="s">
        <v>268</v>
      </c>
      <c r="K46" t="s">
        <v>268</v>
      </c>
      <c r="L46" s="67" t="str">
        <f>VLOOKUP($A46,MFMaster!$A$2:$C$300,2,FALSE)</f>
        <v>1-3 stories</v>
      </c>
      <c r="M46" s="67">
        <f>VLOOKUP($A46,MFMaster!$A$2:$CG$232,85,FALSE)</f>
        <v>600.53796386718795</v>
      </c>
      <c r="P46"/>
      <c r="Q46"/>
    </row>
    <row r="47" spans="1:20">
      <c r="A47">
        <v>11887</v>
      </c>
      <c r="B47" t="s">
        <v>1470</v>
      </c>
      <c r="C47">
        <v>1</v>
      </c>
      <c r="D47" t="s">
        <v>255</v>
      </c>
      <c r="E47" t="s">
        <v>175</v>
      </c>
      <c r="F47" t="s">
        <v>1469</v>
      </c>
      <c r="G47">
        <v>100</v>
      </c>
      <c r="H47">
        <v>5960</v>
      </c>
      <c r="I47">
        <v>0.80000001192092896</v>
      </c>
      <c r="J47" t="s">
        <v>268</v>
      </c>
      <c r="K47" t="s">
        <v>268</v>
      </c>
      <c r="L47" s="67" t="str">
        <f>VLOOKUP($A47,MFMaster!$A$2:$C$300,2,FALSE)</f>
        <v>1-3 stories</v>
      </c>
      <c r="M47" s="67">
        <f>VLOOKUP($A47,MFMaster!$A$2:$CG$232,85,FALSE)</f>
        <v>53.381153106689503</v>
      </c>
      <c r="P47"/>
      <c r="Q47"/>
    </row>
    <row r="48" spans="1:20">
      <c r="A48">
        <v>11887</v>
      </c>
      <c r="B48" t="s">
        <v>1467</v>
      </c>
      <c r="C48">
        <v>2</v>
      </c>
      <c r="D48" t="s">
        <v>1468</v>
      </c>
      <c r="E48" t="s">
        <v>175</v>
      </c>
      <c r="F48" t="s">
        <v>1469</v>
      </c>
      <c r="G48">
        <v>100</v>
      </c>
      <c r="H48">
        <v>106</v>
      </c>
      <c r="I48">
        <v>0.44999998807907099</v>
      </c>
      <c r="J48" t="s">
        <v>268</v>
      </c>
      <c r="K48" t="s">
        <v>271</v>
      </c>
      <c r="L48" s="67" t="str">
        <f>VLOOKUP($A48,MFMaster!$A$2:$C$300,2,FALSE)</f>
        <v>1-3 stories</v>
      </c>
      <c r="M48" s="67">
        <f>VLOOKUP($A48,MFMaster!$A$2:$CG$232,85,FALSE)</f>
        <v>53.381153106689503</v>
      </c>
      <c r="P48"/>
      <c r="Q48"/>
    </row>
    <row r="49" spans="1:17">
      <c r="A49">
        <v>11930</v>
      </c>
      <c r="B49" t="s">
        <v>1470</v>
      </c>
      <c r="C49">
        <v>1</v>
      </c>
      <c r="D49" t="s">
        <v>255</v>
      </c>
      <c r="E49" t="s">
        <v>175</v>
      </c>
      <c r="F49" t="s">
        <v>1471</v>
      </c>
      <c r="G49">
        <v>100</v>
      </c>
      <c r="H49">
        <v>562</v>
      </c>
      <c r="I49">
        <v>0.85000002384185802</v>
      </c>
      <c r="J49" t="s">
        <v>268</v>
      </c>
      <c r="K49" t="s">
        <v>268</v>
      </c>
      <c r="L49" s="67" t="str">
        <f>VLOOKUP($A49,MFMaster!$A$2:$C$300,2,FALSE)</f>
        <v>1-3 stories</v>
      </c>
      <c r="M49" s="67">
        <f>VLOOKUP($A49,MFMaster!$A$2:$CG$232,85,FALSE)</f>
        <v>600.53796386718795</v>
      </c>
      <c r="P49"/>
      <c r="Q49"/>
    </row>
    <row r="50" spans="1:17">
      <c r="A50">
        <v>11949</v>
      </c>
      <c r="B50" t="s">
        <v>1470</v>
      </c>
      <c r="C50">
        <v>1</v>
      </c>
      <c r="D50" t="s">
        <v>1468</v>
      </c>
      <c r="E50" t="s">
        <v>175</v>
      </c>
      <c r="F50" t="s">
        <v>1469</v>
      </c>
      <c r="G50">
        <v>65</v>
      </c>
      <c r="H50">
        <v>8708</v>
      </c>
      <c r="I50">
        <v>0.44999998807907099</v>
      </c>
      <c r="J50" t="s">
        <v>268</v>
      </c>
      <c r="K50" t="s">
        <v>271</v>
      </c>
      <c r="L50" s="67" t="str">
        <f>VLOOKUP($A50,MFMaster!$A$2:$C$300,2,FALSE)</f>
        <v>4-6 stories</v>
      </c>
      <c r="M50" s="67" t="str">
        <f>VLOOKUP($A50,MFMaster!$A$2:$CG$232,85,FALSE)</f>
        <v/>
      </c>
      <c r="P50"/>
      <c r="Q50"/>
    </row>
    <row r="51" spans="1:17">
      <c r="A51">
        <v>12167</v>
      </c>
      <c r="B51" t="s">
        <v>1467</v>
      </c>
      <c r="C51">
        <v>1</v>
      </c>
      <c r="D51" t="s">
        <v>255</v>
      </c>
      <c r="E51" t="s">
        <v>175</v>
      </c>
      <c r="F51" t="s">
        <v>1471</v>
      </c>
      <c r="G51">
        <v>95</v>
      </c>
      <c r="H51">
        <v>914</v>
      </c>
      <c r="I51">
        <v>0.85000002384185802</v>
      </c>
      <c r="J51" t="s">
        <v>268</v>
      </c>
      <c r="K51" t="s">
        <v>268</v>
      </c>
      <c r="L51" s="67" t="str">
        <f>VLOOKUP($A51,MFMaster!$A$2:$C$300,2,FALSE)</f>
        <v>1-3 stories</v>
      </c>
      <c r="M51" s="67">
        <f>VLOOKUP($A51,MFMaster!$A$2:$CG$232,85,FALSE)</f>
        <v>400.358642578125</v>
      </c>
      <c r="P51"/>
      <c r="Q51"/>
    </row>
    <row r="52" spans="1:17">
      <c r="A52">
        <v>12192</v>
      </c>
      <c r="B52" t="s">
        <v>1472</v>
      </c>
      <c r="C52">
        <v>1</v>
      </c>
      <c r="D52" t="s">
        <v>1468</v>
      </c>
      <c r="E52" t="s">
        <v>175</v>
      </c>
      <c r="F52" t="s">
        <v>1469</v>
      </c>
      <c r="G52">
        <v>95</v>
      </c>
      <c r="H52">
        <v>5017</v>
      </c>
      <c r="I52">
        <v>0.44999998807907099</v>
      </c>
      <c r="J52" t="s">
        <v>268</v>
      </c>
      <c r="K52" t="s">
        <v>271</v>
      </c>
      <c r="L52" s="67" t="str">
        <f>VLOOKUP($A52,MFMaster!$A$2:$C$300,2,FALSE)</f>
        <v>4-6 stories</v>
      </c>
      <c r="M52" s="67" t="str">
        <f>VLOOKUP($A52,MFMaster!$A$2:$CG$232,85,FALSE)</f>
        <v/>
      </c>
      <c r="P52"/>
      <c r="Q52"/>
    </row>
    <row r="53" spans="1:17">
      <c r="A53">
        <v>12192</v>
      </c>
      <c r="B53" t="s">
        <v>1473</v>
      </c>
      <c r="C53">
        <v>2</v>
      </c>
      <c r="D53" t="s">
        <v>255</v>
      </c>
      <c r="E53" t="s">
        <v>182</v>
      </c>
      <c r="F53"/>
      <c r="G53">
        <v>50</v>
      </c>
      <c r="H53">
        <v>95</v>
      </c>
      <c r="I53">
        <v>0.94999998807907104</v>
      </c>
      <c r="J53" t="s">
        <v>268</v>
      </c>
      <c r="K53" t="s">
        <v>271</v>
      </c>
      <c r="L53" s="67" t="str">
        <f>VLOOKUP($A53,MFMaster!$A$2:$C$300,2,FALSE)</f>
        <v>4-6 stories</v>
      </c>
      <c r="M53" s="67" t="str">
        <f>VLOOKUP($A53,MFMaster!$A$2:$CG$232,85,FALSE)</f>
        <v/>
      </c>
      <c r="P53"/>
      <c r="Q53"/>
    </row>
    <row r="54" spans="1:17">
      <c r="A54">
        <v>12405</v>
      </c>
      <c r="B54" t="s">
        <v>1470</v>
      </c>
      <c r="C54">
        <v>1</v>
      </c>
      <c r="D54" t="s">
        <v>255</v>
      </c>
      <c r="E54" t="s">
        <v>175</v>
      </c>
      <c r="F54" t="s">
        <v>1471</v>
      </c>
      <c r="G54">
        <v>100</v>
      </c>
      <c r="H54">
        <v>2639</v>
      </c>
      <c r="I54">
        <v>0.85000002384185802</v>
      </c>
      <c r="J54" t="s">
        <v>268</v>
      </c>
      <c r="K54" t="s">
        <v>268</v>
      </c>
      <c r="L54" s="67" t="str">
        <f>VLOOKUP($A54,MFMaster!$A$2:$C$300,2,FALSE)</f>
        <v>1-3 stories</v>
      </c>
      <c r="M54" s="67">
        <f>VLOOKUP($A54,MFMaster!$A$2:$CG$232,85,FALSE)</f>
        <v>165.66564941406301</v>
      </c>
      <c r="P54"/>
      <c r="Q54"/>
    </row>
    <row r="55" spans="1:17">
      <c r="A55">
        <v>12511</v>
      </c>
      <c r="B55" t="s">
        <v>1470</v>
      </c>
      <c r="C55">
        <v>1</v>
      </c>
      <c r="D55" t="s">
        <v>255</v>
      </c>
      <c r="E55" t="s">
        <v>175</v>
      </c>
      <c r="F55" t="s">
        <v>1471</v>
      </c>
      <c r="G55">
        <v>100</v>
      </c>
      <c r="H55">
        <v>2800</v>
      </c>
      <c r="I55">
        <v>0.85000002384185802</v>
      </c>
      <c r="J55" t="s">
        <v>268</v>
      </c>
      <c r="K55" t="s">
        <v>268</v>
      </c>
      <c r="L55" s="67" t="str">
        <f>VLOOKUP($A55,MFMaster!$A$2:$C$300,2,FALSE)</f>
        <v>4-6 stories</v>
      </c>
      <c r="M55" s="67" t="str">
        <f>VLOOKUP($A55,MFMaster!$A$2:$CG$232,85,FALSE)</f>
        <v/>
      </c>
      <c r="P55"/>
      <c r="Q55"/>
    </row>
    <row r="56" spans="1:17">
      <c r="A56">
        <v>12511</v>
      </c>
      <c r="B56" t="s">
        <v>1467</v>
      </c>
      <c r="C56">
        <v>2</v>
      </c>
      <c r="D56" t="s">
        <v>255</v>
      </c>
      <c r="E56" t="s">
        <v>175</v>
      </c>
      <c r="F56" t="s">
        <v>1471</v>
      </c>
      <c r="G56">
        <v>0</v>
      </c>
      <c r="H56">
        <v>256</v>
      </c>
      <c r="I56">
        <v>0.75</v>
      </c>
      <c r="J56" t="s">
        <v>268</v>
      </c>
      <c r="K56" t="s">
        <v>271</v>
      </c>
      <c r="L56" s="67" t="str">
        <f>VLOOKUP($A56,MFMaster!$A$2:$C$300,2,FALSE)</f>
        <v>4-6 stories</v>
      </c>
      <c r="M56" s="67" t="str">
        <f>VLOOKUP($A56,MFMaster!$A$2:$CG$232,85,FALSE)</f>
        <v/>
      </c>
      <c r="P56"/>
      <c r="Q56"/>
    </row>
    <row r="57" spans="1:17">
      <c r="A57">
        <v>12623</v>
      </c>
      <c r="B57" t="s">
        <v>1470</v>
      </c>
      <c r="C57">
        <v>1</v>
      </c>
      <c r="D57" t="s">
        <v>255</v>
      </c>
      <c r="E57" t="s">
        <v>182</v>
      </c>
      <c r="F57"/>
      <c r="G57">
        <v>100</v>
      </c>
      <c r="H57">
        <v>953</v>
      </c>
      <c r="I57">
        <v>1.1000000238418599</v>
      </c>
      <c r="J57" t="s">
        <v>268</v>
      </c>
      <c r="K57" t="s">
        <v>268</v>
      </c>
      <c r="L57" s="67" t="str">
        <f>VLOOKUP($A57,MFMaster!$A$2:$C$300,2,FALSE)</f>
        <v>1-3 stories</v>
      </c>
      <c r="M57" s="67">
        <f>VLOOKUP($A57,MFMaster!$A$2:$CG$232,85,FALSE)</f>
        <v>600.53796386718795</v>
      </c>
      <c r="P57"/>
      <c r="Q57"/>
    </row>
    <row r="58" spans="1:17">
      <c r="A58">
        <v>12651</v>
      </c>
      <c r="B58" t="s">
        <v>1467</v>
      </c>
      <c r="C58">
        <v>1</v>
      </c>
      <c r="D58" t="s">
        <v>1468</v>
      </c>
      <c r="E58" t="s">
        <v>175</v>
      </c>
      <c r="F58" t="s">
        <v>1469</v>
      </c>
      <c r="G58">
        <v>82</v>
      </c>
      <c r="H58">
        <v>2140</v>
      </c>
      <c r="I58">
        <v>0.44999998807907099</v>
      </c>
      <c r="J58" t="s">
        <v>268</v>
      </c>
      <c r="K58" t="s">
        <v>271</v>
      </c>
      <c r="L58" s="67" t="str">
        <f>VLOOKUP($A58,MFMaster!$A$2:$C$300,2,FALSE)</f>
        <v>1-3 stories</v>
      </c>
      <c r="M58" s="67">
        <f>VLOOKUP($A58,MFMaster!$A$2:$CG$232,85,FALSE)</f>
        <v>266.90576171875</v>
      </c>
      <c r="P58"/>
      <c r="Q58"/>
    </row>
    <row r="59" spans="1:17">
      <c r="A59">
        <v>12783</v>
      </c>
      <c r="B59" t="s">
        <v>1470</v>
      </c>
      <c r="C59">
        <v>1</v>
      </c>
      <c r="D59" t="s">
        <v>255</v>
      </c>
      <c r="E59" t="s">
        <v>175</v>
      </c>
      <c r="F59" t="s">
        <v>1471</v>
      </c>
      <c r="G59">
        <v>97</v>
      </c>
      <c r="H59">
        <v>2768</v>
      </c>
      <c r="I59">
        <v>0.85000002384185802</v>
      </c>
      <c r="J59" t="s">
        <v>268</v>
      </c>
      <c r="K59" t="s">
        <v>268</v>
      </c>
      <c r="L59" s="67" t="str">
        <f>VLOOKUP($A59,MFMaster!$A$2:$C$300,2,FALSE)</f>
        <v>4-6 stories</v>
      </c>
      <c r="M59" s="67" t="str">
        <f>VLOOKUP($A59,MFMaster!$A$2:$CG$232,85,FALSE)</f>
        <v/>
      </c>
      <c r="P59"/>
      <c r="Q59"/>
    </row>
    <row r="60" spans="1:17">
      <c r="A60">
        <v>12932</v>
      </c>
      <c r="B60" t="s">
        <v>1473</v>
      </c>
      <c r="C60">
        <v>1</v>
      </c>
      <c r="D60" t="s">
        <v>255</v>
      </c>
      <c r="E60" t="s">
        <v>175</v>
      </c>
      <c r="F60" t="s">
        <v>1471</v>
      </c>
      <c r="G60">
        <v>100</v>
      </c>
      <c r="H60">
        <v>1783</v>
      </c>
      <c r="I60">
        <v>0.85000002384185802</v>
      </c>
      <c r="J60" t="s">
        <v>268</v>
      </c>
      <c r="K60" t="s">
        <v>268</v>
      </c>
      <c r="L60" s="67" t="str">
        <f>VLOOKUP($A60,MFMaster!$A$2:$C$300,2,FALSE)</f>
        <v>4-6 stories</v>
      </c>
      <c r="M60" s="67" t="str">
        <f>VLOOKUP($A60,MFMaster!$A$2:$CG$232,85,FALSE)</f>
        <v/>
      </c>
      <c r="P60"/>
      <c r="Q60"/>
    </row>
    <row r="61" spans="1:17">
      <c r="A61">
        <v>12932</v>
      </c>
      <c r="B61" t="s">
        <v>1474</v>
      </c>
      <c r="C61">
        <v>2</v>
      </c>
      <c r="D61" t="s">
        <v>1468</v>
      </c>
      <c r="E61" t="s">
        <v>175</v>
      </c>
      <c r="F61" t="s">
        <v>1471</v>
      </c>
      <c r="G61">
        <v>0</v>
      </c>
      <c r="H61">
        <v>658</v>
      </c>
      <c r="I61">
        <v>0.60000002384185802</v>
      </c>
      <c r="J61" t="s">
        <v>268</v>
      </c>
      <c r="K61" t="s">
        <v>268</v>
      </c>
      <c r="L61" s="67" t="str">
        <f>VLOOKUP($A61,MFMaster!$A$2:$C$300,2,FALSE)</f>
        <v>4-6 stories</v>
      </c>
      <c r="M61" s="67" t="str">
        <f>VLOOKUP($A61,MFMaster!$A$2:$CG$232,85,FALSE)</f>
        <v/>
      </c>
      <c r="P61"/>
      <c r="Q61"/>
    </row>
    <row r="62" spans="1:17">
      <c r="A62">
        <v>12932</v>
      </c>
      <c r="B62" t="s">
        <v>1475</v>
      </c>
      <c r="C62">
        <v>3</v>
      </c>
      <c r="D62" t="s">
        <v>1468</v>
      </c>
      <c r="E62" t="s">
        <v>182</v>
      </c>
      <c r="F62"/>
      <c r="G62">
        <v>0</v>
      </c>
      <c r="H62">
        <v>150</v>
      </c>
      <c r="I62">
        <v>0.94999998807907104</v>
      </c>
      <c r="J62" t="s">
        <v>268</v>
      </c>
      <c r="K62" t="s">
        <v>268</v>
      </c>
      <c r="L62" s="67" t="str">
        <f>VLOOKUP($A62,MFMaster!$A$2:$C$300,2,FALSE)</f>
        <v>4-6 stories</v>
      </c>
      <c r="M62" s="67" t="str">
        <f>VLOOKUP($A62,MFMaster!$A$2:$CG$232,85,FALSE)</f>
        <v/>
      </c>
      <c r="P62"/>
      <c r="Q62"/>
    </row>
    <row r="63" spans="1:17">
      <c r="A63">
        <v>12986</v>
      </c>
      <c r="B63" t="s">
        <v>1472</v>
      </c>
      <c r="C63">
        <v>1</v>
      </c>
      <c r="D63" t="s">
        <v>1468</v>
      </c>
      <c r="E63" t="s">
        <v>175</v>
      </c>
      <c r="F63" t="s">
        <v>1469</v>
      </c>
      <c r="G63">
        <v>100</v>
      </c>
      <c r="H63">
        <v>9684</v>
      </c>
      <c r="I63">
        <v>0.44999998807907099</v>
      </c>
      <c r="J63" t="s">
        <v>268</v>
      </c>
      <c r="K63" t="s">
        <v>271</v>
      </c>
      <c r="L63" s="67" t="str">
        <f>VLOOKUP($A63,MFMaster!$A$2:$C$300,2,FALSE)</f>
        <v>4-6 stories</v>
      </c>
      <c r="M63" s="67" t="str">
        <f>VLOOKUP($A63,MFMaster!$A$2:$CG$232,85,FALSE)</f>
        <v/>
      </c>
      <c r="P63"/>
      <c r="Q63"/>
    </row>
    <row r="64" spans="1:17">
      <c r="A64">
        <v>12986</v>
      </c>
      <c r="B64" t="s">
        <v>1473</v>
      </c>
      <c r="C64">
        <v>2</v>
      </c>
      <c r="D64" t="s">
        <v>255</v>
      </c>
      <c r="E64" t="s">
        <v>175</v>
      </c>
      <c r="F64" t="s">
        <v>1469</v>
      </c>
      <c r="G64">
        <v>8</v>
      </c>
      <c r="H64">
        <v>84</v>
      </c>
      <c r="I64">
        <v>0.75</v>
      </c>
      <c r="J64" t="s">
        <v>268</v>
      </c>
      <c r="K64" t="s">
        <v>271</v>
      </c>
      <c r="L64" s="67" t="str">
        <f>VLOOKUP($A64,MFMaster!$A$2:$C$300,2,FALSE)</f>
        <v>4-6 stories</v>
      </c>
      <c r="M64" s="67" t="str">
        <f>VLOOKUP($A64,MFMaster!$A$2:$CG$232,85,FALSE)</f>
        <v/>
      </c>
      <c r="P64"/>
      <c r="Q64"/>
    </row>
    <row r="65" spans="1:17">
      <c r="A65">
        <v>12998</v>
      </c>
      <c r="B65" t="s">
        <v>1470</v>
      </c>
      <c r="C65">
        <v>1</v>
      </c>
      <c r="D65" t="s">
        <v>255</v>
      </c>
      <c r="E65" t="s">
        <v>175</v>
      </c>
      <c r="F65" t="s">
        <v>1469</v>
      </c>
      <c r="G65">
        <v>95</v>
      </c>
      <c r="H65">
        <v>2030</v>
      </c>
      <c r="I65">
        <v>0.80000001192092896</v>
      </c>
      <c r="J65" t="s">
        <v>268</v>
      </c>
      <c r="K65" t="s">
        <v>268</v>
      </c>
      <c r="L65" s="67" t="str">
        <f>VLOOKUP($A65,MFMaster!$A$2:$C$300,2,FALSE)</f>
        <v>1-3 stories</v>
      </c>
      <c r="M65" s="67">
        <f>VLOOKUP($A65,MFMaster!$A$2:$CG$232,85,FALSE)</f>
        <v>34.226070404052699</v>
      </c>
      <c r="P65"/>
      <c r="Q65"/>
    </row>
    <row r="66" spans="1:17">
      <c r="A66">
        <v>12998</v>
      </c>
      <c r="B66" t="s">
        <v>1467</v>
      </c>
      <c r="C66">
        <v>2</v>
      </c>
      <c r="D66" t="s">
        <v>1468</v>
      </c>
      <c r="E66" t="s">
        <v>175</v>
      </c>
      <c r="F66" t="s">
        <v>1469</v>
      </c>
      <c r="G66">
        <v>95</v>
      </c>
      <c r="H66">
        <v>1354</v>
      </c>
      <c r="I66">
        <v>0.44999998807907099</v>
      </c>
      <c r="J66" t="s">
        <v>268</v>
      </c>
      <c r="K66" t="s">
        <v>271</v>
      </c>
      <c r="L66" s="67" t="str">
        <f>VLOOKUP($A66,MFMaster!$A$2:$C$300,2,FALSE)</f>
        <v>1-3 stories</v>
      </c>
      <c r="M66" s="67">
        <f>VLOOKUP($A66,MFMaster!$A$2:$CG$232,85,FALSE)</f>
        <v>34.226070404052699</v>
      </c>
      <c r="P66"/>
      <c r="Q66"/>
    </row>
    <row r="67" spans="1:17">
      <c r="A67">
        <v>13039</v>
      </c>
      <c r="B67" t="s">
        <v>1467</v>
      </c>
      <c r="C67">
        <v>1</v>
      </c>
      <c r="D67" t="s">
        <v>1468</v>
      </c>
      <c r="E67" t="s">
        <v>175</v>
      </c>
      <c r="F67" t="s">
        <v>1469</v>
      </c>
      <c r="G67">
        <v>51</v>
      </c>
      <c r="H67">
        <v>7042</v>
      </c>
      <c r="I67">
        <v>0.44999998807907099</v>
      </c>
      <c r="J67" t="s">
        <v>268</v>
      </c>
      <c r="K67" t="s">
        <v>271</v>
      </c>
      <c r="L67" s="67" t="str">
        <f>VLOOKUP($A67,MFMaster!$A$2:$C$300,2,FALSE)</f>
        <v>4-6 stories</v>
      </c>
      <c r="M67" s="67" t="str">
        <f>VLOOKUP($A67,MFMaster!$A$2:$CG$232,85,FALSE)</f>
        <v/>
      </c>
      <c r="P67"/>
      <c r="Q67"/>
    </row>
    <row r="68" spans="1:17">
      <c r="A68">
        <v>13039</v>
      </c>
      <c r="B68" t="s">
        <v>1472</v>
      </c>
      <c r="C68">
        <v>2</v>
      </c>
      <c r="D68" t="s">
        <v>255</v>
      </c>
      <c r="E68" t="s">
        <v>175</v>
      </c>
      <c r="F68" t="s">
        <v>1471</v>
      </c>
      <c r="G68">
        <v>90</v>
      </c>
      <c r="H68">
        <v>626</v>
      </c>
      <c r="I68">
        <v>0.75</v>
      </c>
      <c r="J68" t="s">
        <v>268</v>
      </c>
      <c r="K68" t="s">
        <v>271</v>
      </c>
      <c r="L68" s="67" t="str">
        <f>VLOOKUP($A68,MFMaster!$A$2:$C$300,2,FALSE)</f>
        <v>4-6 stories</v>
      </c>
      <c r="M68" s="67" t="str">
        <f>VLOOKUP($A68,MFMaster!$A$2:$CG$232,85,FALSE)</f>
        <v/>
      </c>
      <c r="P68"/>
      <c r="Q68"/>
    </row>
    <row r="69" spans="1:17">
      <c r="A69">
        <v>13039</v>
      </c>
      <c r="B69" t="s">
        <v>1473</v>
      </c>
      <c r="C69">
        <v>3</v>
      </c>
      <c r="D69" t="s">
        <v>1468</v>
      </c>
      <c r="E69" t="s">
        <v>182</v>
      </c>
      <c r="F69"/>
      <c r="G69">
        <v>100</v>
      </c>
      <c r="H69">
        <v>156</v>
      </c>
      <c r="I69">
        <v>0.94999998807907104</v>
      </c>
      <c r="J69" t="s">
        <v>268</v>
      </c>
      <c r="K69" t="s">
        <v>268</v>
      </c>
      <c r="L69" s="67" t="str">
        <f>VLOOKUP($A69,MFMaster!$A$2:$C$300,2,FALSE)</f>
        <v>4-6 stories</v>
      </c>
      <c r="M69" s="67" t="str">
        <f>VLOOKUP($A69,MFMaster!$A$2:$CG$232,85,FALSE)</f>
        <v/>
      </c>
      <c r="P69"/>
      <c r="Q69"/>
    </row>
    <row r="70" spans="1:17">
      <c r="A70">
        <v>13048</v>
      </c>
      <c r="B70" t="s">
        <v>1467</v>
      </c>
      <c r="C70">
        <v>1</v>
      </c>
      <c r="D70" t="s">
        <v>255</v>
      </c>
      <c r="E70" t="s">
        <v>175</v>
      </c>
      <c r="F70" t="s">
        <v>1469</v>
      </c>
      <c r="G70">
        <v>100</v>
      </c>
      <c r="H70">
        <v>1578</v>
      </c>
      <c r="I70">
        <v>0.80000001192092896</v>
      </c>
      <c r="J70" t="s">
        <v>268</v>
      </c>
      <c r="K70" t="s">
        <v>268</v>
      </c>
      <c r="L70" s="67" t="str">
        <f>VLOOKUP($A70,MFMaster!$A$2:$C$300,2,FALSE)</f>
        <v>1-3 stories</v>
      </c>
      <c r="M70" s="67">
        <f>VLOOKUP($A70,MFMaster!$A$2:$CG$232,85,FALSE)</f>
        <v>266.90576171875</v>
      </c>
      <c r="P70"/>
      <c r="Q70"/>
    </row>
    <row r="71" spans="1:17">
      <c r="A71">
        <v>13048</v>
      </c>
      <c r="B71" t="s">
        <v>1472</v>
      </c>
      <c r="C71">
        <v>2</v>
      </c>
      <c r="D71" t="s">
        <v>1468</v>
      </c>
      <c r="E71" t="s">
        <v>175</v>
      </c>
      <c r="F71" t="s">
        <v>1469</v>
      </c>
      <c r="G71">
        <v>100</v>
      </c>
      <c r="H71">
        <v>240</v>
      </c>
      <c r="I71">
        <v>0.55000001192092896</v>
      </c>
      <c r="J71" t="s">
        <v>268</v>
      </c>
      <c r="K71" t="s">
        <v>268</v>
      </c>
      <c r="L71" s="67" t="str">
        <f>VLOOKUP($A71,MFMaster!$A$2:$C$300,2,FALSE)</f>
        <v>1-3 stories</v>
      </c>
      <c r="M71" s="67">
        <f>VLOOKUP($A71,MFMaster!$A$2:$CG$232,85,FALSE)</f>
        <v>266.90576171875</v>
      </c>
      <c r="P71"/>
      <c r="Q71"/>
    </row>
    <row r="72" spans="1:17">
      <c r="A72">
        <v>13054</v>
      </c>
      <c r="B72" t="s">
        <v>1470</v>
      </c>
      <c r="C72">
        <v>1</v>
      </c>
      <c r="D72" t="s">
        <v>1468</v>
      </c>
      <c r="E72" t="s">
        <v>175</v>
      </c>
      <c r="F72" t="s">
        <v>1469</v>
      </c>
      <c r="G72">
        <v>100</v>
      </c>
      <c r="H72">
        <v>670</v>
      </c>
      <c r="I72">
        <v>0.44999998807907099</v>
      </c>
      <c r="J72" t="s">
        <v>268</v>
      </c>
      <c r="K72" t="s">
        <v>271</v>
      </c>
      <c r="L72" s="67" t="str">
        <f>VLOOKUP($A72,MFMaster!$A$2:$C$300,2,FALSE)</f>
        <v>1-3 stories</v>
      </c>
      <c r="M72" s="67">
        <f>VLOOKUP($A72,MFMaster!$A$2:$CG$232,85,FALSE)</f>
        <v>149.47552490234401</v>
      </c>
      <c r="P72"/>
      <c r="Q72"/>
    </row>
    <row r="73" spans="1:17">
      <c r="A73">
        <v>13054</v>
      </c>
      <c r="B73" t="s">
        <v>1467</v>
      </c>
      <c r="C73">
        <v>2</v>
      </c>
      <c r="D73" t="s">
        <v>1468</v>
      </c>
      <c r="E73" t="s">
        <v>175</v>
      </c>
      <c r="F73" t="s">
        <v>1471</v>
      </c>
      <c r="G73">
        <v>37</v>
      </c>
      <c r="H73">
        <v>384</v>
      </c>
      <c r="I73">
        <v>0.55000001192092896</v>
      </c>
      <c r="J73" t="s">
        <v>268</v>
      </c>
      <c r="K73" t="s">
        <v>271</v>
      </c>
      <c r="L73" s="67" t="str">
        <f>VLOOKUP($A73,MFMaster!$A$2:$C$300,2,FALSE)</f>
        <v>1-3 stories</v>
      </c>
      <c r="M73" s="67">
        <f>VLOOKUP($A73,MFMaster!$A$2:$CG$232,85,FALSE)</f>
        <v>149.47552490234401</v>
      </c>
      <c r="P73"/>
      <c r="Q73"/>
    </row>
    <row r="74" spans="1:17">
      <c r="A74">
        <v>13062</v>
      </c>
      <c r="B74" t="s">
        <v>1467</v>
      </c>
      <c r="C74">
        <v>1</v>
      </c>
      <c r="D74" t="s">
        <v>255</v>
      </c>
      <c r="E74" t="s">
        <v>175</v>
      </c>
      <c r="F74" t="s">
        <v>1469</v>
      </c>
      <c r="G74">
        <v>100</v>
      </c>
      <c r="H74">
        <v>1448</v>
      </c>
      <c r="I74">
        <v>0.80000001192092896</v>
      </c>
      <c r="J74" t="s">
        <v>268</v>
      </c>
      <c r="K74" t="s">
        <v>268</v>
      </c>
      <c r="L74" s="67" t="str">
        <f>VLOOKUP($A74,MFMaster!$A$2:$C$300,2,FALSE)</f>
        <v>1-3 stories</v>
      </c>
      <c r="M74" s="67">
        <f>VLOOKUP($A74,MFMaster!$A$2:$CG$232,85,FALSE)</f>
        <v>400.358642578125</v>
      </c>
      <c r="P74"/>
      <c r="Q74"/>
    </row>
    <row r="75" spans="1:17">
      <c r="A75">
        <v>13126</v>
      </c>
      <c r="B75" t="s">
        <v>1467</v>
      </c>
      <c r="C75">
        <v>1</v>
      </c>
      <c r="D75" t="s">
        <v>255</v>
      </c>
      <c r="E75" t="s">
        <v>182</v>
      </c>
      <c r="F75"/>
      <c r="G75">
        <v>80</v>
      </c>
      <c r="H75">
        <v>9930</v>
      </c>
      <c r="I75">
        <v>1.1000000238418599</v>
      </c>
      <c r="J75" t="s">
        <v>268</v>
      </c>
      <c r="K75" t="s">
        <v>268</v>
      </c>
      <c r="L75" s="67" t="str">
        <f>VLOOKUP($A75,MFMaster!$A$2:$C$300,2,FALSE)</f>
        <v>7+ stories</v>
      </c>
      <c r="M75" s="67" t="str">
        <f>VLOOKUP($A75,MFMaster!$A$2:$CG$232,85,FALSE)</f>
        <v/>
      </c>
      <c r="P75"/>
      <c r="Q75"/>
    </row>
    <row r="76" spans="1:17">
      <c r="A76">
        <v>13126</v>
      </c>
      <c r="B76" t="s">
        <v>1472</v>
      </c>
      <c r="C76">
        <v>2</v>
      </c>
      <c r="D76" t="s">
        <v>1468</v>
      </c>
      <c r="E76" t="s">
        <v>175</v>
      </c>
      <c r="F76" t="s">
        <v>1469</v>
      </c>
      <c r="G76">
        <v>0</v>
      </c>
      <c r="H76">
        <v>135</v>
      </c>
      <c r="I76">
        <v>0.44999998807907099</v>
      </c>
      <c r="J76" t="s">
        <v>268</v>
      </c>
      <c r="K76" t="s">
        <v>271</v>
      </c>
      <c r="L76" s="67" t="str">
        <f>VLOOKUP($A76,MFMaster!$A$2:$C$300,2,FALSE)</f>
        <v>7+ stories</v>
      </c>
      <c r="M76" s="67" t="str">
        <f>VLOOKUP($A76,MFMaster!$A$2:$CG$232,85,FALSE)</f>
        <v/>
      </c>
      <c r="P76"/>
      <c r="Q76"/>
    </row>
    <row r="77" spans="1:17">
      <c r="A77">
        <v>13202</v>
      </c>
      <c r="B77" t="s">
        <v>1470</v>
      </c>
      <c r="C77">
        <v>1</v>
      </c>
      <c r="D77" t="s">
        <v>1468</v>
      </c>
      <c r="E77" t="s">
        <v>175</v>
      </c>
      <c r="F77" t="s">
        <v>1471</v>
      </c>
      <c r="G77">
        <v>100</v>
      </c>
      <c r="H77">
        <v>1116</v>
      </c>
      <c r="I77">
        <v>0.60000002384185802</v>
      </c>
      <c r="J77" t="s">
        <v>268</v>
      </c>
      <c r="K77" t="s">
        <v>268</v>
      </c>
      <c r="L77" s="67" t="str">
        <f>VLOOKUP($A77,MFMaster!$A$2:$C$300,2,FALSE)</f>
        <v>1-3 stories</v>
      </c>
      <c r="M77" s="67">
        <f>VLOOKUP($A77,MFMaster!$A$2:$CG$232,85,FALSE)</f>
        <v>480.43035888671898</v>
      </c>
      <c r="P77"/>
      <c r="Q77"/>
    </row>
    <row r="78" spans="1:17">
      <c r="A78">
        <v>13218</v>
      </c>
      <c r="B78" t="s">
        <v>1470</v>
      </c>
      <c r="C78">
        <v>1</v>
      </c>
      <c r="D78" t="s">
        <v>255</v>
      </c>
      <c r="E78" t="s">
        <v>175</v>
      </c>
      <c r="F78" t="s">
        <v>1471</v>
      </c>
      <c r="G78">
        <v>100</v>
      </c>
      <c r="H78">
        <v>1261</v>
      </c>
      <c r="I78">
        <v>0.85000002384185802</v>
      </c>
      <c r="J78" t="s">
        <v>268</v>
      </c>
      <c r="K78" t="s">
        <v>268</v>
      </c>
      <c r="L78" s="67" t="str">
        <f>VLOOKUP($A78,MFMaster!$A$2:$C$300,2,FALSE)</f>
        <v>1-3 stories</v>
      </c>
      <c r="M78" s="67">
        <f>VLOOKUP($A78,MFMaster!$A$2:$CG$232,85,FALSE)</f>
        <v>128.79620361328099</v>
      </c>
      <c r="P78"/>
      <c r="Q78"/>
    </row>
    <row r="79" spans="1:17">
      <c r="A79">
        <v>13268</v>
      </c>
      <c r="B79" t="s">
        <v>1467</v>
      </c>
      <c r="C79">
        <v>1</v>
      </c>
      <c r="D79" t="s">
        <v>1468</v>
      </c>
      <c r="E79" t="s">
        <v>175</v>
      </c>
      <c r="F79" t="s">
        <v>1469</v>
      </c>
      <c r="G79">
        <v>100</v>
      </c>
      <c r="H79">
        <v>1176</v>
      </c>
      <c r="I79">
        <v>0.44999998807907099</v>
      </c>
      <c r="J79" t="s">
        <v>268</v>
      </c>
      <c r="K79" t="s">
        <v>271</v>
      </c>
      <c r="L79" s="67" t="str">
        <f>VLOOKUP($A79,MFMaster!$A$2:$C$300,2,FALSE)</f>
        <v>1-3 stories</v>
      </c>
      <c r="M79" s="67">
        <f>VLOOKUP($A79,MFMaster!$A$2:$CG$232,85,FALSE)</f>
        <v>171.72825622558599</v>
      </c>
      <c r="P79"/>
      <c r="Q79"/>
    </row>
    <row r="80" spans="1:17">
      <c r="A80">
        <v>13321</v>
      </c>
      <c r="B80" t="s">
        <v>1470</v>
      </c>
      <c r="C80">
        <v>1</v>
      </c>
      <c r="D80" t="s">
        <v>1468</v>
      </c>
      <c r="E80" t="s">
        <v>175</v>
      </c>
      <c r="F80" t="s">
        <v>1469</v>
      </c>
      <c r="G80">
        <v>100</v>
      </c>
      <c r="H80">
        <v>870</v>
      </c>
      <c r="I80">
        <v>0.55000001192092896</v>
      </c>
      <c r="J80" t="s">
        <v>268</v>
      </c>
      <c r="K80" t="s">
        <v>268</v>
      </c>
      <c r="L80" s="67" t="str">
        <f>VLOOKUP($A80,MFMaster!$A$2:$C$300,2,FALSE)</f>
        <v>1-3 stories</v>
      </c>
      <c r="M80" s="67">
        <f>VLOOKUP($A80,MFMaster!$A$2:$CG$232,85,FALSE)</f>
        <v>266.90576171875</v>
      </c>
      <c r="P80"/>
      <c r="Q80"/>
    </row>
    <row r="81" spans="1:17">
      <c r="A81">
        <v>13321</v>
      </c>
      <c r="B81" t="s">
        <v>1467</v>
      </c>
      <c r="C81">
        <v>2</v>
      </c>
      <c r="D81" t="s">
        <v>1468</v>
      </c>
      <c r="E81" t="s">
        <v>175</v>
      </c>
      <c r="F81" t="s">
        <v>1469</v>
      </c>
      <c r="G81">
        <v>100</v>
      </c>
      <c r="H81">
        <v>585</v>
      </c>
      <c r="I81">
        <v>0.44999998807907099</v>
      </c>
      <c r="J81" t="s">
        <v>268</v>
      </c>
      <c r="K81" t="s">
        <v>271</v>
      </c>
      <c r="L81" s="67" t="str">
        <f>VLOOKUP($A81,MFMaster!$A$2:$C$300,2,FALSE)</f>
        <v>1-3 stories</v>
      </c>
      <c r="M81" s="67">
        <f>VLOOKUP($A81,MFMaster!$A$2:$CG$232,85,FALSE)</f>
        <v>266.90576171875</v>
      </c>
      <c r="P81"/>
      <c r="Q81"/>
    </row>
    <row r="82" spans="1:17">
      <c r="A82">
        <v>13321</v>
      </c>
      <c r="B82" t="s">
        <v>1472</v>
      </c>
      <c r="C82">
        <v>3</v>
      </c>
      <c r="D82" t="s">
        <v>1468</v>
      </c>
      <c r="E82" t="s">
        <v>182</v>
      </c>
      <c r="F82"/>
      <c r="G82">
        <v>0</v>
      </c>
      <c r="H82">
        <v>81</v>
      </c>
      <c r="I82">
        <v>0.94999998807907104</v>
      </c>
      <c r="J82" t="s">
        <v>268</v>
      </c>
      <c r="K82" t="s">
        <v>268</v>
      </c>
      <c r="L82" s="67" t="str">
        <f>VLOOKUP($A82,MFMaster!$A$2:$C$300,2,FALSE)</f>
        <v>1-3 stories</v>
      </c>
      <c r="M82" s="67">
        <f>VLOOKUP($A82,MFMaster!$A$2:$CG$232,85,FALSE)</f>
        <v>266.90576171875</v>
      </c>
      <c r="P82"/>
      <c r="Q82"/>
    </row>
    <row r="83" spans="1:17">
      <c r="A83">
        <v>13360</v>
      </c>
      <c r="B83" t="s">
        <v>1470</v>
      </c>
      <c r="C83">
        <v>1</v>
      </c>
      <c r="D83" t="s">
        <v>255</v>
      </c>
      <c r="E83" t="s">
        <v>182</v>
      </c>
      <c r="F83"/>
      <c r="G83">
        <v>100</v>
      </c>
      <c r="H83">
        <v>800</v>
      </c>
      <c r="I83">
        <v>1.1000000238418599</v>
      </c>
      <c r="J83" t="s">
        <v>268</v>
      </c>
      <c r="K83" t="s">
        <v>268</v>
      </c>
      <c r="L83" s="67" t="str">
        <f>VLOOKUP($A83,MFMaster!$A$2:$C$300,2,FALSE)</f>
        <v>1-3 stories</v>
      </c>
      <c r="M83" s="67">
        <f>VLOOKUP($A83,MFMaster!$A$2:$CG$232,85,FALSE)</f>
        <v>343.16452026367199</v>
      </c>
      <c r="P83"/>
      <c r="Q83"/>
    </row>
    <row r="84" spans="1:17">
      <c r="A84">
        <v>13384</v>
      </c>
      <c r="B84" t="s">
        <v>1470</v>
      </c>
      <c r="C84">
        <v>1</v>
      </c>
      <c r="D84" t="s">
        <v>255</v>
      </c>
      <c r="E84" t="s">
        <v>175</v>
      </c>
      <c r="F84" t="s">
        <v>1469</v>
      </c>
      <c r="G84">
        <v>100</v>
      </c>
      <c r="H84">
        <v>615</v>
      </c>
      <c r="I84">
        <v>0.80000001192092896</v>
      </c>
      <c r="J84" t="s">
        <v>268</v>
      </c>
      <c r="K84" t="s">
        <v>268</v>
      </c>
      <c r="L84" s="67" t="str">
        <f>VLOOKUP($A84,MFMaster!$A$2:$C$300,2,FALSE)</f>
        <v>1-3 stories</v>
      </c>
      <c r="M84" s="67">
        <f>VLOOKUP($A84,MFMaster!$A$2:$CG$232,85,FALSE)</f>
        <v>343.45651245117199</v>
      </c>
      <c r="P84"/>
      <c r="Q84"/>
    </row>
    <row r="85" spans="1:17">
      <c r="A85">
        <v>13384</v>
      </c>
      <c r="B85" t="s">
        <v>1467</v>
      </c>
      <c r="C85">
        <v>2</v>
      </c>
      <c r="D85"/>
      <c r="E85"/>
      <c r="F85"/>
      <c r="G85">
        <v>100</v>
      </c>
      <c r="H85">
        <v>53</v>
      </c>
      <c r="I85"/>
      <c r="J85"/>
      <c r="K85"/>
      <c r="L85" s="67" t="str">
        <f>VLOOKUP($A85,MFMaster!$A$2:$C$300,2,FALSE)</f>
        <v>1-3 stories</v>
      </c>
      <c r="M85" s="67">
        <f>VLOOKUP($A85,MFMaster!$A$2:$CG$232,85,FALSE)</f>
        <v>343.45651245117199</v>
      </c>
      <c r="P85"/>
      <c r="Q85"/>
    </row>
    <row r="86" spans="1:17">
      <c r="A86">
        <v>13384</v>
      </c>
      <c r="B86" t="s">
        <v>1472</v>
      </c>
      <c r="C86">
        <v>3</v>
      </c>
      <c r="D86" t="s">
        <v>255</v>
      </c>
      <c r="E86" t="s">
        <v>182</v>
      </c>
      <c r="F86"/>
      <c r="G86">
        <v>0</v>
      </c>
      <c r="H86">
        <v>16</v>
      </c>
      <c r="I86">
        <v>1.1000000238418599</v>
      </c>
      <c r="J86" t="s">
        <v>268</v>
      </c>
      <c r="K86" t="s">
        <v>268</v>
      </c>
      <c r="L86" s="67" t="str">
        <f>VLOOKUP($A86,MFMaster!$A$2:$C$300,2,FALSE)</f>
        <v>1-3 stories</v>
      </c>
      <c r="M86" s="67">
        <f>VLOOKUP($A86,MFMaster!$A$2:$CG$232,85,FALSE)</f>
        <v>343.45651245117199</v>
      </c>
      <c r="P86"/>
      <c r="Q86"/>
    </row>
    <row r="87" spans="1:17">
      <c r="A87">
        <v>13520</v>
      </c>
      <c r="B87" t="s">
        <v>1467</v>
      </c>
      <c r="C87">
        <v>1</v>
      </c>
      <c r="D87" t="s">
        <v>255</v>
      </c>
      <c r="E87" t="s">
        <v>175</v>
      </c>
      <c r="F87" t="s">
        <v>1469</v>
      </c>
      <c r="G87">
        <v>100</v>
      </c>
      <c r="H87">
        <v>2134</v>
      </c>
      <c r="I87">
        <v>0.80000001192092896</v>
      </c>
      <c r="J87" t="s">
        <v>268</v>
      </c>
      <c r="K87" t="s">
        <v>268</v>
      </c>
      <c r="L87" s="67" t="str">
        <f>VLOOKUP($A87,MFMaster!$A$2:$C$300,2,FALSE)</f>
        <v>1-3 stories</v>
      </c>
      <c r="M87" s="67">
        <f>VLOOKUP($A87,MFMaster!$A$2:$CG$232,85,FALSE)</f>
        <v>114.48550415039099</v>
      </c>
      <c r="P87"/>
      <c r="Q87"/>
    </row>
    <row r="88" spans="1:17">
      <c r="A88">
        <v>13628</v>
      </c>
      <c r="B88" t="s">
        <v>1470</v>
      </c>
      <c r="C88">
        <v>1</v>
      </c>
      <c r="D88" t="s">
        <v>255</v>
      </c>
      <c r="E88" t="s">
        <v>175</v>
      </c>
      <c r="F88" t="s">
        <v>1471</v>
      </c>
      <c r="G88">
        <v>100</v>
      </c>
      <c r="H88">
        <v>419</v>
      </c>
      <c r="I88">
        <v>0.85000002384185802</v>
      </c>
      <c r="J88" t="s">
        <v>268</v>
      </c>
      <c r="K88" t="s">
        <v>268</v>
      </c>
      <c r="L88" s="67" t="str">
        <f>VLOOKUP($A88,MFMaster!$A$2:$C$300,2,FALSE)</f>
        <v>1-3 stories</v>
      </c>
      <c r="M88" s="67">
        <f>VLOOKUP($A88,MFMaster!$A$2:$CG$232,85,FALSE)</f>
        <v>343.45651245117199</v>
      </c>
      <c r="P88"/>
      <c r="Q88"/>
    </row>
    <row r="89" spans="1:17">
      <c r="A89">
        <v>13694</v>
      </c>
      <c r="B89" t="s">
        <v>1467</v>
      </c>
      <c r="C89">
        <v>1</v>
      </c>
      <c r="D89" t="s">
        <v>1468</v>
      </c>
      <c r="E89" t="s">
        <v>175</v>
      </c>
      <c r="F89" t="s">
        <v>1471</v>
      </c>
      <c r="G89">
        <v>100</v>
      </c>
      <c r="H89">
        <v>1626</v>
      </c>
      <c r="I89">
        <v>0.60000002384185802</v>
      </c>
      <c r="J89" t="s">
        <v>268</v>
      </c>
      <c r="K89" t="s">
        <v>268</v>
      </c>
      <c r="L89" s="67" t="str">
        <f>VLOOKUP($A89,MFMaster!$A$2:$C$300,2,FALSE)</f>
        <v>1-3 stories</v>
      </c>
      <c r="M89" s="67">
        <f>VLOOKUP($A89,MFMaster!$A$2:$CG$232,85,FALSE)</f>
        <v>266.90576171875</v>
      </c>
      <c r="P89"/>
      <c r="Q89"/>
    </row>
    <row r="90" spans="1:17">
      <c r="A90">
        <v>13712</v>
      </c>
      <c r="B90" t="s">
        <v>1470</v>
      </c>
      <c r="C90">
        <v>1</v>
      </c>
      <c r="D90" t="s">
        <v>1468</v>
      </c>
      <c r="E90" t="s">
        <v>175</v>
      </c>
      <c r="F90" t="s">
        <v>1469</v>
      </c>
      <c r="G90">
        <v>100</v>
      </c>
      <c r="H90">
        <v>604</v>
      </c>
      <c r="I90">
        <v>0.44999998807907099</v>
      </c>
      <c r="J90" t="s">
        <v>268</v>
      </c>
      <c r="K90" t="s">
        <v>271</v>
      </c>
      <c r="L90" s="67" t="str">
        <f>VLOOKUP($A90,MFMaster!$A$2:$C$300,2,FALSE)</f>
        <v>1-3 stories</v>
      </c>
      <c r="M90" s="67">
        <f>VLOOKUP($A90,MFMaster!$A$2:$CG$232,85,FALSE)</f>
        <v>136.90428161621099</v>
      </c>
      <c r="P90"/>
      <c r="Q90"/>
    </row>
    <row r="91" spans="1:17">
      <c r="A91">
        <v>13861</v>
      </c>
      <c r="B91" t="s">
        <v>1467</v>
      </c>
      <c r="C91">
        <v>1</v>
      </c>
      <c r="D91" t="s">
        <v>1468</v>
      </c>
      <c r="E91" t="s">
        <v>175</v>
      </c>
      <c r="F91" t="s">
        <v>1471</v>
      </c>
      <c r="G91">
        <v>99</v>
      </c>
      <c r="H91">
        <v>3953</v>
      </c>
      <c r="I91">
        <v>0.55000001192092896</v>
      </c>
      <c r="J91" t="s">
        <v>268</v>
      </c>
      <c r="K91" t="s">
        <v>271</v>
      </c>
      <c r="L91" s="67" t="str">
        <f>VLOOKUP($A91,MFMaster!$A$2:$C$300,2,FALSE)</f>
        <v>1-3 stories</v>
      </c>
      <c r="M91" s="67">
        <f>VLOOKUP($A91,MFMaster!$A$2:$CG$232,85,FALSE)</f>
        <v>18.253904342651399</v>
      </c>
      <c r="P91"/>
      <c r="Q91"/>
    </row>
    <row r="92" spans="1:17">
      <c r="A92">
        <v>13899</v>
      </c>
      <c r="B92" t="s">
        <v>1472</v>
      </c>
      <c r="C92">
        <v>1</v>
      </c>
      <c r="D92" t="s">
        <v>255</v>
      </c>
      <c r="E92" t="s">
        <v>175</v>
      </c>
      <c r="F92" t="s">
        <v>1469</v>
      </c>
      <c r="G92">
        <v>100</v>
      </c>
      <c r="H92">
        <v>1528</v>
      </c>
      <c r="I92">
        <v>0.80000001192092896</v>
      </c>
      <c r="J92" t="s">
        <v>268</v>
      </c>
      <c r="K92" t="s">
        <v>268</v>
      </c>
      <c r="L92" s="67" t="str">
        <f>VLOOKUP($A92,MFMaster!$A$2:$C$300,2,FALSE)</f>
        <v>1-3 stories</v>
      </c>
      <c r="M92" s="67">
        <f>VLOOKUP($A92,MFMaster!$A$2:$CG$232,85,FALSE)</f>
        <v>42.124393463134801</v>
      </c>
      <c r="P92"/>
      <c r="Q92"/>
    </row>
    <row r="93" spans="1:17">
      <c r="A93">
        <v>13988</v>
      </c>
      <c r="B93" t="s">
        <v>1470</v>
      </c>
      <c r="C93">
        <v>1</v>
      </c>
      <c r="D93" t="s">
        <v>255</v>
      </c>
      <c r="E93" t="s">
        <v>182</v>
      </c>
      <c r="F93"/>
      <c r="G93">
        <v>100</v>
      </c>
      <c r="H93">
        <v>754</v>
      </c>
      <c r="I93">
        <v>1.1000000238418599</v>
      </c>
      <c r="J93" t="s">
        <v>268</v>
      </c>
      <c r="K93" t="s">
        <v>268</v>
      </c>
      <c r="L93" s="67" t="str">
        <f>VLOOKUP($A93,MFMaster!$A$2:$C$300,2,FALSE)</f>
        <v>1-3 stories</v>
      </c>
      <c r="M93" s="67">
        <f>VLOOKUP($A93,MFMaster!$A$2:$CG$232,85,FALSE)</f>
        <v>114.48550415039099</v>
      </c>
      <c r="P93"/>
      <c r="Q93"/>
    </row>
    <row r="94" spans="1:17">
      <c r="A94">
        <v>13988</v>
      </c>
      <c r="B94" t="s">
        <v>1467</v>
      </c>
      <c r="C94">
        <v>2</v>
      </c>
      <c r="D94" t="s">
        <v>1468</v>
      </c>
      <c r="E94" t="s">
        <v>175</v>
      </c>
      <c r="F94" t="s">
        <v>1471</v>
      </c>
      <c r="G94">
        <v>100</v>
      </c>
      <c r="H94">
        <v>56</v>
      </c>
      <c r="I94">
        <v>0.60000002384185802</v>
      </c>
      <c r="J94" t="s">
        <v>268</v>
      </c>
      <c r="K94" t="s">
        <v>268</v>
      </c>
      <c r="L94" s="67" t="str">
        <f>VLOOKUP($A94,MFMaster!$A$2:$C$300,2,FALSE)</f>
        <v>1-3 stories</v>
      </c>
      <c r="M94" s="67">
        <f>VLOOKUP($A94,MFMaster!$A$2:$CG$232,85,FALSE)</f>
        <v>114.48550415039099</v>
      </c>
      <c r="P94"/>
      <c r="Q94"/>
    </row>
    <row r="95" spans="1:17">
      <c r="A95">
        <v>13988</v>
      </c>
      <c r="B95" t="s">
        <v>1472</v>
      </c>
      <c r="C95">
        <v>3</v>
      </c>
      <c r="D95" t="s">
        <v>255</v>
      </c>
      <c r="E95" t="s">
        <v>175</v>
      </c>
      <c r="F95" t="s">
        <v>1471</v>
      </c>
      <c r="G95">
        <v>8</v>
      </c>
      <c r="H95">
        <v>56</v>
      </c>
      <c r="I95">
        <v>0.85000002384185802</v>
      </c>
      <c r="J95" t="s">
        <v>268</v>
      </c>
      <c r="K95" t="s">
        <v>268</v>
      </c>
      <c r="L95" s="67" t="str">
        <f>VLOOKUP($A95,MFMaster!$A$2:$C$300,2,FALSE)</f>
        <v>1-3 stories</v>
      </c>
      <c r="M95" s="67">
        <f>VLOOKUP($A95,MFMaster!$A$2:$CG$232,85,FALSE)</f>
        <v>114.48550415039099</v>
      </c>
      <c r="P95"/>
      <c r="Q95"/>
    </row>
    <row r="96" spans="1:17">
      <c r="A96">
        <v>14014</v>
      </c>
      <c r="B96" t="s">
        <v>1470</v>
      </c>
      <c r="C96">
        <v>1</v>
      </c>
      <c r="D96" t="s">
        <v>1468</v>
      </c>
      <c r="E96" t="s">
        <v>175</v>
      </c>
      <c r="F96" t="s">
        <v>1469</v>
      </c>
      <c r="G96">
        <v>100</v>
      </c>
      <c r="H96">
        <v>1602</v>
      </c>
      <c r="I96">
        <v>0.44999998807907099</v>
      </c>
      <c r="J96" t="s">
        <v>268</v>
      </c>
      <c r="K96" t="s">
        <v>271</v>
      </c>
      <c r="L96" s="67" t="str">
        <f>VLOOKUP($A96,MFMaster!$A$2:$C$300,2,FALSE)</f>
        <v>1-3 stories</v>
      </c>
      <c r="M96" s="67">
        <f>VLOOKUP($A96,MFMaster!$A$2:$CG$232,85,FALSE)</f>
        <v>85.864128112792997</v>
      </c>
      <c r="P96"/>
      <c r="Q96"/>
    </row>
    <row r="97" spans="1:17">
      <c r="A97">
        <v>14020</v>
      </c>
      <c r="B97" t="s">
        <v>1467</v>
      </c>
      <c r="C97">
        <v>1</v>
      </c>
      <c r="D97" t="s">
        <v>255</v>
      </c>
      <c r="E97" t="s">
        <v>175</v>
      </c>
      <c r="F97" t="s">
        <v>1469</v>
      </c>
      <c r="G97">
        <v>97</v>
      </c>
      <c r="H97">
        <v>1156</v>
      </c>
      <c r="I97">
        <v>0.80000001192092896</v>
      </c>
      <c r="J97" t="s">
        <v>268</v>
      </c>
      <c r="K97" t="s">
        <v>268</v>
      </c>
      <c r="L97" s="67" t="str">
        <f>VLOOKUP($A97,MFMaster!$A$2:$C$300,2,FALSE)</f>
        <v>1-3 stories</v>
      </c>
      <c r="M97" s="67">
        <f>VLOOKUP($A97,MFMaster!$A$2:$CG$232,85,FALSE)</f>
        <v>171.72825622558599</v>
      </c>
      <c r="P97"/>
      <c r="Q97"/>
    </row>
    <row r="98" spans="1:17">
      <c r="A98">
        <v>14059</v>
      </c>
      <c r="B98" t="s">
        <v>1467</v>
      </c>
      <c r="C98">
        <v>1</v>
      </c>
      <c r="D98" t="s">
        <v>1468</v>
      </c>
      <c r="E98" t="s">
        <v>175</v>
      </c>
      <c r="F98" t="s">
        <v>1471</v>
      </c>
      <c r="G98">
        <v>100</v>
      </c>
      <c r="H98">
        <v>3022</v>
      </c>
      <c r="I98">
        <v>0.55000001192092896</v>
      </c>
      <c r="J98" t="s">
        <v>268</v>
      </c>
      <c r="K98" t="s">
        <v>271</v>
      </c>
      <c r="L98" s="67" t="str">
        <f>VLOOKUP($A98,MFMaster!$A$2:$C$300,2,FALSE)</f>
        <v>4-6 stories</v>
      </c>
      <c r="M98" s="67" t="str">
        <f>VLOOKUP($A98,MFMaster!$A$2:$CG$232,85,FALSE)</f>
        <v/>
      </c>
      <c r="P98"/>
      <c r="Q98"/>
    </row>
    <row r="99" spans="1:17">
      <c r="A99">
        <v>14059</v>
      </c>
      <c r="B99" t="s">
        <v>1472</v>
      </c>
      <c r="C99">
        <v>2</v>
      </c>
      <c r="D99" t="s">
        <v>255</v>
      </c>
      <c r="E99" t="s">
        <v>175</v>
      </c>
      <c r="F99" t="s">
        <v>1469</v>
      </c>
      <c r="G99">
        <v>0</v>
      </c>
      <c r="H99">
        <v>224</v>
      </c>
      <c r="I99">
        <v>0.75</v>
      </c>
      <c r="J99" t="s">
        <v>268</v>
      </c>
      <c r="K99" t="s">
        <v>271</v>
      </c>
      <c r="L99" s="67" t="str">
        <f>VLOOKUP($A99,MFMaster!$A$2:$C$300,2,FALSE)</f>
        <v>4-6 stories</v>
      </c>
      <c r="M99" s="67" t="str">
        <f>VLOOKUP($A99,MFMaster!$A$2:$CG$232,85,FALSE)</f>
        <v/>
      </c>
      <c r="P99"/>
      <c r="Q99"/>
    </row>
    <row r="100" spans="1:17">
      <c r="A100">
        <v>14059</v>
      </c>
      <c r="B100" t="s">
        <v>1473</v>
      </c>
      <c r="C100">
        <v>3</v>
      </c>
      <c r="D100" t="s">
        <v>1468</v>
      </c>
      <c r="E100" t="s">
        <v>175</v>
      </c>
      <c r="F100" t="s">
        <v>1471</v>
      </c>
      <c r="G100">
        <v>100</v>
      </c>
      <c r="H100">
        <v>20</v>
      </c>
      <c r="I100">
        <v>0.55000001192092896</v>
      </c>
      <c r="J100" t="s">
        <v>268</v>
      </c>
      <c r="K100" t="s">
        <v>271</v>
      </c>
      <c r="L100" s="67" t="str">
        <f>VLOOKUP($A100,MFMaster!$A$2:$C$300,2,FALSE)</f>
        <v>4-6 stories</v>
      </c>
      <c r="M100" s="67" t="str">
        <f>VLOOKUP($A100,MFMaster!$A$2:$CG$232,85,FALSE)</f>
        <v/>
      </c>
      <c r="P100"/>
      <c r="Q100"/>
    </row>
    <row r="101" spans="1:17">
      <c r="A101">
        <v>14163</v>
      </c>
      <c r="B101" t="s">
        <v>1470</v>
      </c>
      <c r="C101">
        <v>1</v>
      </c>
      <c r="D101" t="s">
        <v>255</v>
      </c>
      <c r="E101" t="s">
        <v>182</v>
      </c>
      <c r="F101"/>
      <c r="G101">
        <v>100</v>
      </c>
      <c r="H101">
        <v>5665</v>
      </c>
      <c r="I101">
        <v>1.1000000238418599</v>
      </c>
      <c r="J101" t="s">
        <v>268</v>
      </c>
      <c r="K101" t="s">
        <v>268</v>
      </c>
      <c r="L101" s="67" t="str">
        <f>VLOOKUP($A101,MFMaster!$A$2:$C$300,2,FALSE)</f>
        <v>4-6 stories</v>
      </c>
      <c r="M101" s="67" t="str">
        <f>VLOOKUP($A101,MFMaster!$A$2:$CG$232,85,FALSE)</f>
        <v/>
      </c>
      <c r="P101"/>
      <c r="Q101"/>
    </row>
    <row r="102" spans="1:17">
      <c r="A102">
        <v>14163</v>
      </c>
      <c r="B102" t="s">
        <v>1467</v>
      </c>
      <c r="C102">
        <v>2</v>
      </c>
      <c r="D102" t="s">
        <v>1468</v>
      </c>
      <c r="E102" t="s">
        <v>175</v>
      </c>
      <c r="F102" t="s">
        <v>1469</v>
      </c>
      <c r="G102">
        <v>4</v>
      </c>
      <c r="H102">
        <v>216</v>
      </c>
      <c r="I102">
        <v>0.55000001192092896</v>
      </c>
      <c r="J102" t="s">
        <v>268</v>
      </c>
      <c r="K102" t="s">
        <v>268</v>
      </c>
      <c r="L102" s="67" t="str">
        <f>VLOOKUP($A102,MFMaster!$A$2:$C$300,2,FALSE)</f>
        <v>4-6 stories</v>
      </c>
      <c r="M102" s="67" t="str">
        <f>VLOOKUP($A102,MFMaster!$A$2:$CG$232,85,FALSE)</f>
        <v/>
      </c>
      <c r="P102"/>
      <c r="Q102"/>
    </row>
    <row r="103" spans="1:17">
      <c r="A103">
        <v>14240</v>
      </c>
      <c r="B103" t="s">
        <v>1470</v>
      </c>
      <c r="C103">
        <v>1</v>
      </c>
      <c r="D103" t="s">
        <v>1468</v>
      </c>
      <c r="E103" t="s">
        <v>175</v>
      </c>
      <c r="F103" t="s">
        <v>1469</v>
      </c>
      <c r="G103">
        <v>86</v>
      </c>
      <c r="H103">
        <v>769</v>
      </c>
      <c r="I103">
        <v>0.44999998807907099</v>
      </c>
      <c r="J103" t="s">
        <v>268</v>
      </c>
      <c r="K103" t="s">
        <v>271</v>
      </c>
      <c r="L103" s="67" t="str">
        <f>VLOOKUP($A103,MFMaster!$A$2:$C$300,2,FALSE)</f>
        <v>1-3 stories</v>
      </c>
      <c r="M103" s="67" t="str">
        <f>VLOOKUP($A103,MFMaster!$A$2:$CG$232,85,FALSE)</f>
        <v/>
      </c>
      <c r="P103"/>
      <c r="Q103"/>
    </row>
    <row r="104" spans="1:17">
      <c r="A104">
        <v>14258</v>
      </c>
      <c r="B104" t="s">
        <v>1470</v>
      </c>
      <c r="C104">
        <v>1</v>
      </c>
      <c r="D104" t="s">
        <v>1468</v>
      </c>
      <c r="E104" t="s">
        <v>175</v>
      </c>
      <c r="F104" t="s">
        <v>1471</v>
      </c>
      <c r="G104">
        <v>100</v>
      </c>
      <c r="H104">
        <v>1439</v>
      </c>
      <c r="I104">
        <v>0.55000001192092896</v>
      </c>
      <c r="J104" t="s">
        <v>268</v>
      </c>
      <c r="K104" t="s">
        <v>271</v>
      </c>
      <c r="L104" s="67" t="str">
        <f>VLOOKUP($A104,MFMaster!$A$2:$C$300,2,FALSE)</f>
        <v>1-3 stories</v>
      </c>
      <c r="M104" s="67">
        <f>VLOOKUP($A104,MFMaster!$A$2:$CG$232,85,FALSE)</f>
        <v>436.75485229492199</v>
      </c>
      <c r="P104"/>
      <c r="Q104"/>
    </row>
    <row r="105" spans="1:17">
      <c r="A105">
        <v>14259</v>
      </c>
      <c r="B105" t="s">
        <v>1467</v>
      </c>
      <c r="C105">
        <v>1</v>
      </c>
      <c r="D105" t="s">
        <v>255</v>
      </c>
      <c r="E105" t="s">
        <v>175</v>
      </c>
      <c r="F105" t="s">
        <v>1469</v>
      </c>
      <c r="G105">
        <v>90</v>
      </c>
      <c r="H105">
        <v>6433</v>
      </c>
      <c r="I105">
        <v>0.80000001192092896</v>
      </c>
      <c r="J105" t="s">
        <v>268</v>
      </c>
      <c r="K105" t="s">
        <v>268</v>
      </c>
      <c r="L105" s="67" t="str">
        <f>VLOOKUP($A105,MFMaster!$A$2:$C$300,2,FALSE)</f>
        <v>4-6 stories</v>
      </c>
      <c r="M105" s="67" t="str">
        <f>VLOOKUP($A105,MFMaster!$A$2:$CG$232,85,FALSE)</f>
        <v/>
      </c>
      <c r="P105"/>
      <c r="Q105"/>
    </row>
    <row r="106" spans="1:17">
      <c r="A106">
        <v>14346</v>
      </c>
      <c r="B106" t="s">
        <v>1467</v>
      </c>
      <c r="C106">
        <v>1</v>
      </c>
      <c r="D106" t="s">
        <v>255</v>
      </c>
      <c r="E106" t="s">
        <v>175</v>
      </c>
      <c r="F106" t="s">
        <v>1469</v>
      </c>
      <c r="G106">
        <v>91</v>
      </c>
      <c r="H106">
        <v>4114</v>
      </c>
      <c r="I106">
        <v>0.75</v>
      </c>
      <c r="J106" t="s">
        <v>268</v>
      </c>
      <c r="K106" t="s">
        <v>271</v>
      </c>
      <c r="L106" s="67" t="str">
        <f>VLOOKUP($A106,MFMaster!$A$2:$C$300,2,FALSE)</f>
        <v>1-3 stories</v>
      </c>
      <c r="M106" s="67">
        <f>VLOOKUP($A106,MFMaster!$A$2:$CG$232,85,FALSE)</f>
        <v>171.58226013183599</v>
      </c>
      <c r="P106"/>
      <c r="Q106"/>
    </row>
    <row r="107" spans="1:17">
      <c r="A107">
        <v>14346</v>
      </c>
      <c r="B107" t="s">
        <v>1472</v>
      </c>
      <c r="C107">
        <v>2</v>
      </c>
      <c r="D107" t="s">
        <v>255</v>
      </c>
      <c r="E107" t="s">
        <v>182</v>
      </c>
      <c r="F107"/>
      <c r="G107">
        <v>24</v>
      </c>
      <c r="H107">
        <v>196</v>
      </c>
      <c r="I107">
        <v>1.1000000238418599</v>
      </c>
      <c r="J107" t="s">
        <v>268</v>
      </c>
      <c r="K107" t="s">
        <v>268</v>
      </c>
      <c r="L107" s="67" t="str">
        <f>VLOOKUP($A107,MFMaster!$A$2:$C$300,2,FALSE)</f>
        <v>1-3 stories</v>
      </c>
      <c r="M107" s="67">
        <f>VLOOKUP($A107,MFMaster!$A$2:$CG$232,85,FALSE)</f>
        <v>171.58226013183599</v>
      </c>
      <c r="P107"/>
      <c r="Q107"/>
    </row>
    <row r="108" spans="1:17">
      <c r="A108">
        <v>14507</v>
      </c>
      <c r="B108" t="s">
        <v>1467</v>
      </c>
      <c r="C108">
        <v>1</v>
      </c>
      <c r="D108" t="s">
        <v>255</v>
      </c>
      <c r="E108" t="s">
        <v>175</v>
      </c>
      <c r="F108" t="s">
        <v>1471</v>
      </c>
      <c r="G108">
        <v>100</v>
      </c>
      <c r="H108">
        <v>640</v>
      </c>
      <c r="I108">
        <v>0.85000002384185802</v>
      </c>
      <c r="J108" t="s">
        <v>268</v>
      </c>
      <c r="K108" t="s">
        <v>268</v>
      </c>
      <c r="L108" s="67" t="str">
        <f>VLOOKUP($A108,MFMaster!$A$2:$C$300,2,FALSE)</f>
        <v>1-3 stories</v>
      </c>
      <c r="M108" s="67">
        <f>VLOOKUP($A108,MFMaster!$A$2:$CG$232,85,FALSE)</f>
        <v>412.14782714843801</v>
      </c>
      <c r="P108"/>
      <c r="Q108"/>
    </row>
    <row r="109" spans="1:17">
      <c r="A109">
        <v>14507</v>
      </c>
      <c r="B109" t="s">
        <v>1472</v>
      </c>
      <c r="C109">
        <v>2</v>
      </c>
      <c r="D109" t="s">
        <v>1468</v>
      </c>
      <c r="E109" t="s">
        <v>182</v>
      </c>
      <c r="F109"/>
      <c r="G109">
        <v>0</v>
      </c>
      <c r="H109">
        <v>65</v>
      </c>
      <c r="I109">
        <v>0.94999998807907104</v>
      </c>
      <c r="J109" t="s">
        <v>268</v>
      </c>
      <c r="K109" t="s">
        <v>268</v>
      </c>
      <c r="L109" s="67" t="str">
        <f>VLOOKUP($A109,MFMaster!$A$2:$C$300,2,FALSE)</f>
        <v>1-3 stories</v>
      </c>
      <c r="M109" s="67">
        <f>VLOOKUP($A109,MFMaster!$A$2:$CG$232,85,FALSE)</f>
        <v>412.14782714843801</v>
      </c>
      <c r="P109"/>
      <c r="Q109"/>
    </row>
    <row r="110" spans="1:17">
      <c r="A110">
        <v>14613</v>
      </c>
      <c r="B110" t="s">
        <v>1470</v>
      </c>
      <c r="C110">
        <v>1</v>
      </c>
      <c r="D110" t="s">
        <v>1468</v>
      </c>
      <c r="E110" t="s">
        <v>175</v>
      </c>
      <c r="F110" t="s">
        <v>1469</v>
      </c>
      <c r="G110">
        <v>100</v>
      </c>
      <c r="H110">
        <v>1116</v>
      </c>
      <c r="I110">
        <v>0.44999998807907099</v>
      </c>
      <c r="J110" t="s">
        <v>268</v>
      </c>
      <c r="K110" t="s">
        <v>271</v>
      </c>
      <c r="L110" s="67" t="str">
        <f>VLOOKUP($A110,MFMaster!$A$2:$C$300,2,FALSE)</f>
        <v>1-3 stories</v>
      </c>
      <c r="M110" s="67">
        <f>VLOOKUP($A110,MFMaster!$A$2:$CG$232,85,FALSE)</f>
        <v>99.650344848632798</v>
      </c>
      <c r="P110"/>
      <c r="Q110"/>
    </row>
    <row r="111" spans="1:17">
      <c r="A111">
        <v>14613</v>
      </c>
      <c r="B111" t="s">
        <v>1467</v>
      </c>
      <c r="C111">
        <v>2</v>
      </c>
      <c r="D111" t="s">
        <v>255</v>
      </c>
      <c r="E111" t="s">
        <v>175</v>
      </c>
      <c r="F111" t="s">
        <v>1469</v>
      </c>
      <c r="G111">
        <v>100</v>
      </c>
      <c r="H111">
        <v>594</v>
      </c>
      <c r="I111">
        <v>0.75</v>
      </c>
      <c r="J111" t="s">
        <v>268</v>
      </c>
      <c r="K111" t="s">
        <v>271</v>
      </c>
      <c r="L111" s="67" t="str">
        <f>VLOOKUP($A111,MFMaster!$A$2:$C$300,2,FALSE)</f>
        <v>1-3 stories</v>
      </c>
      <c r="M111" s="67">
        <f>VLOOKUP($A111,MFMaster!$A$2:$CG$232,85,FALSE)</f>
        <v>99.650344848632798</v>
      </c>
      <c r="P111"/>
      <c r="Q111"/>
    </row>
    <row r="112" spans="1:17">
      <c r="A112">
        <v>14614</v>
      </c>
      <c r="B112" t="s">
        <v>1472</v>
      </c>
      <c r="C112">
        <v>1</v>
      </c>
      <c r="D112" t="s">
        <v>1468</v>
      </c>
      <c r="E112" t="s">
        <v>175</v>
      </c>
      <c r="F112" t="s">
        <v>1469</v>
      </c>
      <c r="G112">
        <v>100</v>
      </c>
      <c r="H112">
        <v>731</v>
      </c>
      <c r="I112">
        <v>0.44999998807907099</v>
      </c>
      <c r="J112" t="s">
        <v>268</v>
      </c>
      <c r="K112" t="s">
        <v>271</v>
      </c>
      <c r="L112" s="67" t="str">
        <f>VLOOKUP($A112,MFMaster!$A$2:$C$300,2,FALSE)</f>
        <v>1-3 stories</v>
      </c>
      <c r="M112" s="67">
        <f>VLOOKUP($A112,MFMaster!$A$2:$CG$232,85,FALSE)</f>
        <v>320.28689575195301</v>
      </c>
      <c r="P112"/>
      <c r="Q112"/>
    </row>
    <row r="113" spans="1:17">
      <c r="A113">
        <v>20021</v>
      </c>
      <c r="B113" t="s">
        <v>1467</v>
      </c>
      <c r="C113">
        <v>1</v>
      </c>
      <c r="D113" t="s">
        <v>255</v>
      </c>
      <c r="E113" t="s">
        <v>175</v>
      </c>
      <c r="F113" t="s">
        <v>1469</v>
      </c>
      <c r="G113">
        <v>100</v>
      </c>
      <c r="H113">
        <v>12347</v>
      </c>
      <c r="I113">
        <v>0.80000001192092896</v>
      </c>
      <c r="J113" t="s">
        <v>268</v>
      </c>
      <c r="K113" t="s">
        <v>268</v>
      </c>
      <c r="L113" s="67" t="str">
        <f>VLOOKUP($A113,MFMaster!$A$2:$C$300,2,FALSE)</f>
        <v>7+ stories</v>
      </c>
      <c r="M113" s="67" t="str">
        <f>VLOOKUP($A113,MFMaster!$A$2:$CG$232,85,FALSE)</f>
        <v/>
      </c>
      <c r="P113"/>
      <c r="Q113"/>
    </row>
    <row r="114" spans="1:17">
      <c r="A114">
        <v>20021</v>
      </c>
      <c r="B114" t="s">
        <v>1472</v>
      </c>
      <c r="C114">
        <v>2</v>
      </c>
      <c r="D114" t="s">
        <v>255</v>
      </c>
      <c r="E114" t="s">
        <v>175</v>
      </c>
      <c r="F114" t="s">
        <v>1469</v>
      </c>
      <c r="G114">
        <v>0</v>
      </c>
      <c r="H114">
        <v>556</v>
      </c>
      <c r="I114">
        <v>0.75</v>
      </c>
      <c r="J114" t="s">
        <v>268</v>
      </c>
      <c r="K114" t="s">
        <v>271</v>
      </c>
      <c r="L114" s="67" t="str">
        <f>VLOOKUP($A114,MFMaster!$A$2:$C$300,2,FALSE)</f>
        <v>7+ stories</v>
      </c>
      <c r="M114" s="67" t="str">
        <f>VLOOKUP($A114,MFMaster!$A$2:$CG$232,85,FALSE)</f>
        <v/>
      </c>
      <c r="P114"/>
      <c r="Q114"/>
    </row>
    <row r="115" spans="1:17">
      <c r="A115">
        <v>20101</v>
      </c>
      <c r="B115" t="s">
        <v>1474</v>
      </c>
      <c r="C115">
        <v>1</v>
      </c>
      <c r="D115" t="s">
        <v>1468</v>
      </c>
      <c r="E115" t="s">
        <v>182</v>
      </c>
      <c r="F115"/>
      <c r="G115">
        <v>69</v>
      </c>
      <c r="H115">
        <v>654</v>
      </c>
      <c r="I115">
        <v>0.89999997615814198</v>
      </c>
      <c r="J115" t="s">
        <v>268</v>
      </c>
      <c r="K115" t="s">
        <v>271</v>
      </c>
      <c r="L115" s="67" t="str">
        <f>VLOOKUP($A115,MFMaster!$A$2:$C$300,2,FALSE)</f>
        <v>1-3 stories</v>
      </c>
      <c r="M115" s="67">
        <f>VLOOKUP($A115,MFMaster!$A$2:$CG$232,85,FALSE)</f>
        <v>167.65873718261699</v>
      </c>
      <c r="P115"/>
      <c r="Q115"/>
    </row>
    <row r="116" spans="1:17">
      <c r="A116">
        <v>20101</v>
      </c>
      <c r="B116" t="s">
        <v>1475</v>
      </c>
      <c r="C116">
        <v>2</v>
      </c>
      <c r="D116" t="s">
        <v>255</v>
      </c>
      <c r="E116" t="s">
        <v>182</v>
      </c>
      <c r="F116"/>
      <c r="G116">
        <v>53</v>
      </c>
      <c r="H116">
        <v>732</v>
      </c>
      <c r="I116">
        <v>0.94999998807907104</v>
      </c>
      <c r="J116" t="s">
        <v>268</v>
      </c>
      <c r="K116" t="s">
        <v>271</v>
      </c>
      <c r="L116" s="67" t="str">
        <f>VLOOKUP($A116,MFMaster!$A$2:$C$300,2,FALSE)</f>
        <v>1-3 stories</v>
      </c>
      <c r="M116" s="67">
        <f>VLOOKUP($A116,MFMaster!$A$2:$CG$232,85,FALSE)</f>
        <v>167.65873718261699</v>
      </c>
      <c r="P116"/>
      <c r="Q116"/>
    </row>
    <row r="117" spans="1:17">
      <c r="A117">
        <v>20101</v>
      </c>
      <c r="B117" t="s">
        <v>1476</v>
      </c>
      <c r="C117">
        <v>3</v>
      </c>
      <c r="D117" t="s">
        <v>255</v>
      </c>
      <c r="E117" t="s">
        <v>182</v>
      </c>
      <c r="F117"/>
      <c r="G117"/>
      <c r="H117">
        <v>3206</v>
      </c>
      <c r="I117">
        <v>0.94999998807907104</v>
      </c>
      <c r="J117" t="s">
        <v>268</v>
      </c>
      <c r="K117" t="s">
        <v>271</v>
      </c>
      <c r="L117" s="67" t="str">
        <f>VLOOKUP($A117,MFMaster!$A$2:$C$300,2,FALSE)</f>
        <v>1-3 stories</v>
      </c>
      <c r="M117" s="67">
        <f>VLOOKUP($A117,MFMaster!$A$2:$CG$232,85,FALSE)</f>
        <v>167.65873718261699</v>
      </c>
      <c r="P117"/>
      <c r="Q117"/>
    </row>
    <row r="118" spans="1:17">
      <c r="A118">
        <v>20119</v>
      </c>
      <c r="B118" t="s">
        <v>1472</v>
      </c>
      <c r="C118">
        <v>1</v>
      </c>
      <c r="D118" t="s">
        <v>1468</v>
      </c>
      <c r="E118" t="s">
        <v>175</v>
      </c>
      <c r="F118" t="s">
        <v>1469</v>
      </c>
      <c r="G118">
        <v>100</v>
      </c>
      <c r="H118">
        <v>4068</v>
      </c>
      <c r="I118">
        <v>0.44999998807907099</v>
      </c>
      <c r="J118" t="s">
        <v>268</v>
      </c>
      <c r="K118" t="s">
        <v>271</v>
      </c>
      <c r="L118" s="67" t="str">
        <f>VLOOKUP($A118,MFMaster!$A$2:$C$300,2,FALSE)</f>
        <v>1-3 stories</v>
      </c>
      <c r="M118" s="67">
        <f>VLOOKUP($A118,MFMaster!$A$2:$CG$232,85,FALSE)</f>
        <v>116.07144165039099</v>
      </c>
      <c r="P118"/>
      <c r="Q118"/>
    </row>
    <row r="119" spans="1:17">
      <c r="A119">
        <v>20119</v>
      </c>
      <c r="B119" t="s">
        <v>1473</v>
      </c>
      <c r="C119">
        <v>2</v>
      </c>
      <c r="D119" t="s">
        <v>255</v>
      </c>
      <c r="E119" t="s">
        <v>175</v>
      </c>
      <c r="F119" t="s">
        <v>1469</v>
      </c>
      <c r="G119">
        <v>0</v>
      </c>
      <c r="H119">
        <v>89</v>
      </c>
      <c r="I119">
        <v>0.75</v>
      </c>
      <c r="J119" t="s">
        <v>268</v>
      </c>
      <c r="K119" t="s">
        <v>271</v>
      </c>
      <c r="L119" s="67" t="str">
        <f>VLOOKUP($A119,MFMaster!$A$2:$C$300,2,FALSE)</f>
        <v>1-3 stories</v>
      </c>
      <c r="M119" s="67">
        <f>VLOOKUP($A119,MFMaster!$A$2:$CG$232,85,FALSE)</f>
        <v>116.07144165039099</v>
      </c>
      <c r="P119"/>
      <c r="Q119"/>
    </row>
    <row r="120" spans="1:17">
      <c r="A120">
        <v>20119</v>
      </c>
      <c r="B120" t="s">
        <v>1474</v>
      </c>
      <c r="C120">
        <v>3</v>
      </c>
      <c r="D120" t="s">
        <v>1468</v>
      </c>
      <c r="E120" t="s">
        <v>175</v>
      </c>
      <c r="F120" t="s">
        <v>1469</v>
      </c>
      <c r="G120">
        <v>0</v>
      </c>
      <c r="H120">
        <v>168</v>
      </c>
      <c r="I120">
        <v>0.44999998807907099</v>
      </c>
      <c r="J120" t="s">
        <v>268</v>
      </c>
      <c r="K120" t="s">
        <v>271</v>
      </c>
      <c r="L120" s="67" t="str">
        <f>VLOOKUP($A120,MFMaster!$A$2:$C$300,2,FALSE)</f>
        <v>1-3 stories</v>
      </c>
      <c r="M120" s="67">
        <f>VLOOKUP($A120,MFMaster!$A$2:$CG$232,85,FALSE)</f>
        <v>116.07144165039099</v>
      </c>
      <c r="P120"/>
      <c r="Q120"/>
    </row>
    <row r="121" spans="1:17">
      <c r="A121">
        <v>20165</v>
      </c>
      <c r="B121" t="s">
        <v>1470</v>
      </c>
      <c r="C121">
        <v>1</v>
      </c>
      <c r="D121" t="s">
        <v>1468</v>
      </c>
      <c r="E121" t="s">
        <v>175</v>
      </c>
      <c r="F121" t="s">
        <v>1469</v>
      </c>
      <c r="G121">
        <v>100</v>
      </c>
      <c r="H121">
        <v>576</v>
      </c>
      <c r="I121">
        <v>0.44999998807907099</v>
      </c>
      <c r="J121" t="s">
        <v>268</v>
      </c>
      <c r="K121" t="s">
        <v>271</v>
      </c>
      <c r="L121" s="67" t="str">
        <f>VLOOKUP($A121,MFMaster!$A$2:$C$300,2,FALSE)</f>
        <v>1-3 stories</v>
      </c>
      <c r="M121" s="67">
        <f>VLOOKUP($A121,MFMaster!$A$2:$CG$232,85,FALSE)</f>
        <v>628.72027587890602</v>
      </c>
      <c r="P121"/>
      <c r="Q121"/>
    </row>
    <row r="122" spans="1:17">
      <c r="A122">
        <v>20165</v>
      </c>
      <c r="B122" t="s">
        <v>1467</v>
      </c>
      <c r="C122">
        <v>2</v>
      </c>
      <c r="D122" t="s">
        <v>1468</v>
      </c>
      <c r="E122" t="s">
        <v>175</v>
      </c>
      <c r="F122" t="s">
        <v>1469</v>
      </c>
      <c r="G122">
        <v>35</v>
      </c>
      <c r="H122">
        <v>312</v>
      </c>
      <c r="I122">
        <v>0.44999998807907099</v>
      </c>
      <c r="J122" t="s">
        <v>268</v>
      </c>
      <c r="K122" t="s">
        <v>271</v>
      </c>
      <c r="L122" s="67" t="str">
        <f>VLOOKUP($A122,MFMaster!$A$2:$C$300,2,FALSE)</f>
        <v>1-3 stories</v>
      </c>
      <c r="M122" s="67">
        <f>VLOOKUP($A122,MFMaster!$A$2:$CG$232,85,FALSE)</f>
        <v>628.72027587890602</v>
      </c>
      <c r="P122"/>
      <c r="Q122"/>
    </row>
    <row r="123" spans="1:17">
      <c r="A123">
        <v>20193</v>
      </c>
      <c r="B123" t="s">
        <v>1470</v>
      </c>
      <c r="C123">
        <v>1</v>
      </c>
      <c r="D123" t="s">
        <v>255</v>
      </c>
      <c r="E123" t="s">
        <v>182</v>
      </c>
      <c r="F123"/>
      <c r="G123">
        <v>100</v>
      </c>
      <c r="H123">
        <v>1310</v>
      </c>
      <c r="I123">
        <v>1.1000000238418599</v>
      </c>
      <c r="J123" t="s">
        <v>268</v>
      </c>
      <c r="K123" t="s">
        <v>268</v>
      </c>
      <c r="L123" s="67" t="str">
        <f>VLOOKUP($A123,MFMaster!$A$2:$C$300,2,FALSE)</f>
        <v>1-3 stories</v>
      </c>
      <c r="M123" s="67">
        <f>VLOOKUP($A123,MFMaster!$A$2:$CG$232,85,FALSE)</f>
        <v>538.903076171875</v>
      </c>
      <c r="P123"/>
      <c r="Q123"/>
    </row>
    <row r="124" spans="1:17">
      <c r="A124">
        <v>20193</v>
      </c>
      <c r="B124" t="s">
        <v>1467</v>
      </c>
      <c r="C124">
        <v>2</v>
      </c>
      <c r="D124" t="s">
        <v>255</v>
      </c>
      <c r="E124" t="s">
        <v>182</v>
      </c>
      <c r="F124"/>
      <c r="G124">
        <v>0</v>
      </c>
      <c r="H124">
        <v>260</v>
      </c>
      <c r="I124">
        <v>1.1000000238418599</v>
      </c>
      <c r="J124" t="s">
        <v>268</v>
      </c>
      <c r="K124" t="s">
        <v>268</v>
      </c>
      <c r="L124" s="67" t="str">
        <f>VLOOKUP($A124,MFMaster!$A$2:$C$300,2,FALSE)</f>
        <v>1-3 stories</v>
      </c>
      <c r="M124" s="67">
        <f>VLOOKUP($A124,MFMaster!$A$2:$CG$232,85,FALSE)</f>
        <v>538.903076171875</v>
      </c>
      <c r="P124"/>
      <c r="Q124"/>
    </row>
    <row r="125" spans="1:17">
      <c r="A125">
        <v>20195</v>
      </c>
      <c r="B125" t="s">
        <v>1477</v>
      </c>
      <c r="C125">
        <v>3</v>
      </c>
      <c r="D125" t="s">
        <v>255</v>
      </c>
      <c r="E125" t="s">
        <v>175</v>
      </c>
      <c r="F125" t="s">
        <v>1471</v>
      </c>
      <c r="G125">
        <v>0</v>
      </c>
      <c r="H125">
        <v>576</v>
      </c>
      <c r="I125">
        <v>0.85000002384185802</v>
      </c>
      <c r="J125" t="s">
        <v>268</v>
      </c>
      <c r="K125" t="s">
        <v>268</v>
      </c>
      <c r="L125" s="67" t="str">
        <f>VLOOKUP($A125,MFMaster!$A$2:$C$300,2,FALSE)</f>
        <v>4-6 stories</v>
      </c>
      <c r="M125" s="67" t="str">
        <f>VLOOKUP($A125,MFMaster!$A$2:$CG$232,85,FALSE)</f>
        <v/>
      </c>
      <c r="P125"/>
      <c r="Q125"/>
    </row>
    <row r="126" spans="1:17">
      <c r="A126">
        <v>20195</v>
      </c>
      <c r="B126" t="s">
        <v>1475</v>
      </c>
      <c r="C126">
        <v>1</v>
      </c>
      <c r="D126" t="s">
        <v>1468</v>
      </c>
      <c r="E126" t="s">
        <v>175</v>
      </c>
      <c r="F126" t="s">
        <v>1469</v>
      </c>
      <c r="G126">
        <v>50</v>
      </c>
      <c r="H126">
        <v>984</v>
      </c>
      <c r="I126">
        <v>0.44999998807907099</v>
      </c>
      <c r="J126" t="s">
        <v>268</v>
      </c>
      <c r="K126" t="s">
        <v>271</v>
      </c>
      <c r="L126" s="67" t="str">
        <f>VLOOKUP($A126,MFMaster!$A$2:$C$300,2,FALSE)</f>
        <v>4-6 stories</v>
      </c>
      <c r="M126" s="67" t="str">
        <f>VLOOKUP($A126,MFMaster!$A$2:$CG$232,85,FALSE)</f>
        <v/>
      </c>
      <c r="P126"/>
      <c r="Q126"/>
    </row>
    <row r="127" spans="1:17">
      <c r="A127">
        <v>20195</v>
      </c>
      <c r="B127" t="s">
        <v>1476</v>
      </c>
      <c r="C127">
        <v>2</v>
      </c>
      <c r="D127" t="s">
        <v>255</v>
      </c>
      <c r="E127" t="s">
        <v>182</v>
      </c>
      <c r="F127"/>
      <c r="G127">
        <v>20</v>
      </c>
      <c r="H127">
        <v>690</v>
      </c>
      <c r="I127">
        <v>1.1000000238418599</v>
      </c>
      <c r="J127" t="s">
        <v>268</v>
      </c>
      <c r="K127" t="s">
        <v>268</v>
      </c>
      <c r="L127" s="67" t="str">
        <f>VLOOKUP($A127,MFMaster!$A$2:$C$300,2,FALSE)</f>
        <v>4-6 stories</v>
      </c>
      <c r="M127" s="67" t="str">
        <f>VLOOKUP($A127,MFMaster!$A$2:$CG$232,85,FALSE)</f>
        <v/>
      </c>
      <c r="P127"/>
      <c r="Q127"/>
    </row>
    <row r="128" spans="1:17">
      <c r="A128">
        <v>20241</v>
      </c>
      <c r="B128" t="s">
        <v>1472</v>
      </c>
      <c r="C128">
        <v>1</v>
      </c>
      <c r="D128" t="s">
        <v>255</v>
      </c>
      <c r="E128" t="s">
        <v>182</v>
      </c>
      <c r="F128"/>
      <c r="G128">
        <v>52</v>
      </c>
      <c r="H128">
        <v>463</v>
      </c>
      <c r="I128">
        <v>1.1000000238418599</v>
      </c>
      <c r="J128" t="s">
        <v>268</v>
      </c>
      <c r="K128" t="s">
        <v>268</v>
      </c>
      <c r="L128" s="67" t="str">
        <f>VLOOKUP($A128,MFMaster!$A$2:$C$300,2,FALSE)</f>
        <v>1-3 stories</v>
      </c>
      <c r="M128" s="67">
        <f>VLOOKUP($A128,MFMaster!$A$2:$CG$232,85,FALSE)</f>
        <v>1257.44055175781</v>
      </c>
      <c r="P128"/>
      <c r="Q128"/>
    </row>
    <row r="129" spans="1:17">
      <c r="A129">
        <v>20241</v>
      </c>
      <c r="B129" t="s">
        <v>1473</v>
      </c>
      <c r="C129">
        <v>2</v>
      </c>
      <c r="D129" t="s">
        <v>255</v>
      </c>
      <c r="E129" t="s">
        <v>182</v>
      </c>
      <c r="F129"/>
      <c r="G129">
        <v>100</v>
      </c>
      <c r="H129">
        <v>26</v>
      </c>
      <c r="I129">
        <v>1.1000000238418599</v>
      </c>
      <c r="J129" t="s">
        <v>268</v>
      </c>
      <c r="K129" t="s">
        <v>268</v>
      </c>
      <c r="L129" s="67" t="str">
        <f>VLOOKUP($A129,MFMaster!$A$2:$C$300,2,FALSE)</f>
        <v>1-3 stories</v>
      </c>
      <c r="M129" s="67">
        <f>VLOOKUP($A129,MFMaster!$A$2:$CG$232,85,FALSE)</f>
        <v>1257.44055175781</v>
      </c>
      <c r="P129"/>
      <c r="Q129"/>
    </row>
    <row r="130" spans="1:17">
      <c r="A130">
        <v>20241</v>
      </c>
      <c r="B130" t="s">
        <v>1474</v>
      </c>
      <c r="C130">
        <v>3</v>
      </c>
      <c r="D130" t="s">
        <v>255</v>
      </c>
      <c r="E130" t="s">
        <v>175</v>
      </c>
      <c r="F130" t="s">
        <v>1471</v>
      </c>
      <c r="G130">
        <v>100</v>
      </c>
      <c r="H130">
        <v>84</v>
      </c>
      <c r="I130">
        <v>0.85000002384185802</v>
      </c>
      <c r="J130" t="s">
        <v>268</v>
      </c>
      <c r="K130" t="s">
        <v>268</v>
      </c>
      <c r="L130" s="67" t="str">
        <f>VLOOKUP($A130,MFMaster!$A$2:$C$300,2,FALSE)</f>
        <v>1-3 stories</v>
      </c>
      <c r="M130" s="67">
        <f>VLOOKUP($A130,MFMaster!$A$2:$CG$232,85,FALSE)</f>
        <v>1257.44055175781</v>
      </c>
      <c r="P130"/>
      <c r="Q130"/>
    </row>
    <row r="131" spans="1:17">
      <c r="A131">
        <v>20289</v>
      </c>
      <c r="B131" t="s">
        <v>1470</v>
      </c>
      <c r="C131">
        <v>1</v>
      </c>
      <c r="D131" t="s">
        <v>255</v>
      </c>
      <c r="E131" t="s">
        <v>175</v>
      </c>
      <c r="F131" t="s">
        <v>1471</v>
      </c>
      <c r="G131">
        <v>100</v>
      </c>
      <c r="H131">
        <v>544</v>
      </c>
      <c r="I131">
        <v>0.75</v>
      </c>
      <c r="J131" t="s">
        <v>268</v>
      </c>
      <c r="K131" t="s">
        <v>271</v>
      </c>
      <c r="L131" s="67" t="str">
        <f>VLOOKUP($A131,MFMaster!$A$2:$C$300,2,FALSE)</f>
        <v>1-3 stories</v>
      </c>
      <c r="M131" s="67">
        <f>VLOOKUP($A131,MFMaster!$A$2:$CG$232,85,FALSE)</f>
        <v>943.08038330078102</v>
      </c>
      <c r="P131"/>
      <c r="Q131"/>
    </row>
    <row r="132" spans="1:17">
      <c r="A132">
        <v>20532</v>
      </c>
      <c r="B132" t="s">
        <v>1467</v>
      </c>
      <c r="C132">
        <v>1</v>
      </c>
      <c r="D132" t="s">
        <v>255</v>
      </c>
      <c r="E132" t="s">
        <v>182</v>
      </c>
      <c r="F132"/>
      <c r="G132">
        <v>100</v>
      </c>
      <c r="H132">
        <v>729</v>
      </c>
      <c r="I132">
        <v>1.1000000238418599</v>
      </c>
      <c r="J132" t="s">
        <v>268</v>
      </c>
      <c r="K132" t="s">
        <v>268</v>
      </c>
      <c r="L132" s="67" t="str">
        <f>VLOOKUP($A132,MFMaster!$A$2:$C$300,2,FALSE)</f>
        <v>1-3 stories</v>
      </c>
      <c r="M132" s="67">
        <f>VLOOKUP($A132,MFMaster!$A$2:$CG$232,85,FALSE)</f>
        <v>502.97622680664102</v>
      </c>
      <c r="P132"/>
      <c r="Q132"/>
    </row>
    <row r="133" spans="1:17">
      <c r="A133">
        <v>20532</v>
      </c>
      <c r="B133" t="s">
        <v>1472</v>
      </c>
      <c r="C133">
        <v>2</v>
      </c>
      <c r="D133" t="s">
        <v>1468</v>
      </c>
      <c r="E133" t="s">
        <v>175</v>
      </c>
      <c r="F133" t="s">
        <v>1471</v>
      </c>
      <c r="G133">
        <v>100</v>
      </c>
      <c r="H133">
        <v>58</v>
      </c>
      <c r="I133">
        <v>0.60000002384185802</v>
      </c>
      <c r="J133" t="s">
        <v>268</v>
      </c>
      <c r="K133" t="s">
        <v>268</v>
      </c>
      <c r="L133" s="67" t="str">
        <f>VLOOKUP($A133,MFMaster!$A$2:$C$300,2,FALSE)</f>
        <v>1-3 stories</v>
      </c>
      <c r="M133" s="67">
        <f>VLOOKUP($A133,MFMaster!$A$2:$CG$232,85,FALSE)</f>
        <v>502.97622680664102</v>
      </c>
      <c r="P133"/>
      <c r="Q133"/>
    </row>
    <row r="134" spans="1:17">
      <c r="A134">
        <v>20566</v>
      </c>
      <c r="B134" t="s">
        <v>1470</v>
      </c>
      <c r="C134">
        <v>1</v>
      </c>
      <c r="D134" t="s">
        <v>255</v>
      </c>
      <c r="E134" t="s">
        <v>182</v>
      </c>
      <c r="F134"/>
      <c r="G134">
        <v>100</v>
      </c>
      <c r="H134">
        <v>880</v>
      </c>
      <c r="I134">
        <v>1.1000000238418599</v>
      </c>
      <c r="J134" t="s">
        <v>268</v>
      </c>
      <c r="K134" t="s">
        <v>268</v>
      </c>
      <c r="L134" s="67" t="str">
        <f>VLOOKUP($A134,MFMaster!$A$2:$C$300,2,FALSE)</f>
        <v>1-3 stories</v>
      </c>
      <c r="M134" s="67">
        <f>VLOOKUP($A134,MFMaster!$A$2:$CG$232,85,FALSE)</f>
        <v>754.46429443359398</v>
      </c>
      <c r="P134"/>
      <c r="Q134"/>
    </row>
    <row r="135" spans="1:17">
      <c r="A135">
        <v>20581</v>
      </c>
      <c r="B135" t="s">
        <v>1470</v>
      </c>
      <c r="C135">
        <v>1</v>
      </c>
      <c r="D135" t="s">
        <v>255</v>
      </c>
      <c r="E135" t="s">
        <v>175</v>
      </c>
      <c r="F135" t="s">
        <v>1471</v>
      </c>
      <c r="G135">
        <v>100</v>
      </c>
      <c r="H135">
        <v>596</v>
      </c>
      <c r="I135">
        <v>0.75</v>
      </c>
      <c r="J135" t="s">
        <v>268</v>
      </c>
      <c r="K135" t="s">
        <v>271</v>
      </c>
      <c r="L135" s="67" t="str">
        <f>VLOOKUP($A135,MFMaster!$A$2:$C$300,2,FALSE)</f>
        <v>1-3 stories</v>
      </c>
      <c r="M135" s="67">
        <f>VLOOKUP($A135,MFMaster!$A$2:$CG$232,85,FALSE)</f>
        <v>1257.44055175781</v>
      </c>
      <c r="P135"/>
      <c r="Q135"/>
    </row>
    <row r="136" spans="1:17">
      <c r="A136">
        <v>20665</v>
      </c>
      <c r="B136" t="s">
        <v>1470</v>
      </c>
      <c r="C136">
        <v>1</v>
      </c>
      <c r="D136" t="s">
        <v>1468</v>
      </c>
      <c r="E136" t="s">
        <v>175</v>
      </c>
      <c r="F136" t="s">
        <v>1471</v>
      </c>
      <c r="G136">
        <v>100</v>
      </c>
      <c r="H136">
        <v>471</v>
      </c>
      <c r="I136">
        <v>0.55000001192092896</v>
      </c>
      <c r="J136" t="s">
        <v>268</v>
      </c>
      <c r="K136" t="s">
        <v>271</v>
      </c>
      <c r="L136" s="67" t="str">
        <f>VLOOKUP($A136,MFMaster!$A$2:$C$300,2,FALSE)</f>
        <v>1-3 stories</v>
      </c>
      <c r="M136" s="67">
        <f>VLOOKUP($A136,MFMaster!$A$2:$CG$232,85,FALSE)</f>
        <v>685.87664794921898</v>
      </c>
      <c r="P136"/>
      <c r="Q136"/>
    </row>
    <row r="137" spans="1:17">
      <c r="A137">
        <v>20665</v>
      </c>
      <c r="B137" t="s">
        <v>1467</v>
      </c>
      <c r="C137">
        <v>2</v>
      </c>
      <c r="D137" t="s">
        <v>255</v>
      </c>
      <c r="E137" t="s">
        <v>175</v>
      </c>
      <c r="F137" t="s">
        <v>1471</v>
      </c>
      <c r="G137">
        <v>80</v>
      </c>
      <c r="H137">
        <v>1257</v>
      </c>
      <c r="I137">
        <v>0.75</v>
      </c>
      <c r="J137" t="s">
        <v>268</v>
      </c>
      <c r="K137" t="s">
        <v>271</v>
      </c>
      <c r="L137" s="67" t="str">
        <f>VLOOKUP($A137,MFMaster!$A$2:$C$300,2,FALSE)</f>
        <v>1-3 stories</v>
      </c>
      <c r="M137" s="67">
        <f>VLOOKUP($A137,MFMaster!$A$2:$CG$232,85,FALSE)</f>
        <v>685.87664794921898</v>
      </c>
      <c r="P137"/>
      <c r="Q137"/>
    </row>
    <row r="138" spans="1:17">
      <c r="A138">
        <v>20705</v>
      </c>
      <c r="B138" t="s">
        <v>1470</v>
      </c>
      <c r="C138">
        <v>1</v>
      </c>
      <c r="D138" t="s">
        <v>1468</v>
      </c>
      <c r="E138" t="s">
        <v>175</v>
      </c>
      <c r="F138" t="s">
        <v>1469</v>
      </c>
      <c r="G138">
        <v>100</v>
      </c>
      <c r="H138">
        <v>426</v>
      </c>
      <c r="I138">
        <v>0.44999998807907099</v>
      </c>
      <c r="J138" t="s">
        <v>268</v>
      </c>
      <c r="K138" t="s">
        <v>271</v>
      </c>
      <c r="L138" s="67" t="str">
        <f>VLOOKUP($A138,MFMaster!$A$2:$C$300,2,FALSE)</f>
        <v>1-3 stories</v>
      </c>
      <c r="M138" s="67">
        <f>VLOOKUP($A138,MFMaster!$A$2:$CG$232,85,FALSE)</f>
        <v>1257.44055175781</v>
      </c>
      <c r="P138"/>
      <c r="Q138"/>
    </row>
    <row r="139" spans="1:17">
      <c r="A139">
        <v>20803</v>
      </c>
      <c r="B139" t="s">
        <v>1470</v>
      </c>
      <c r="C139">
        <v>1</v>
      </c>
      <c r="D139" t="s">
        <v>1468</v>
      </c>
      <c r="E139" t="s">
        <v>175</v>
      </c>
      <c r="F139" t="s">
        <v>1469</v>
      </c>
      <c r="G139">
        <v>100</v>
      </c>
      <c r="H139">
        <v>438</v>
      </c>
      <c r="I139">
        <v>0.44999998807907099</v>
      </c>
      <c r="J139" t="s">
        <v>268</v>
      </c>
      <c r="K139" t="s">
        <v>271</v>
      </c>
      <c r="L139" s="67" t="str">
        <f>VLOOKUP($A139,MFMaster!$A$2:$C$300,2,FALSE)</f>
        <v>1-3 stories</v>
      </c>
      <c r="M139" s="67">
        <f>VLOOKUP($A139,MFMaster!$A$2:$CG$232,85,FALSE)</f>
        <v>838.293701171875</v>
      </c>
      <c r="P139"/>
      <c r="Q139"/>
    </row>
    <row r="140" spans="1:17">
      <c r="A140">
        <v>21000</v>
      </c>
      <c r="B140" t="s">
        <v>1472</v>
      </c>
      <c r="C140">
        <v>1</v>
      </c>
      <c r="D140" t="s">
        <v>255</v>
      </c>
      <c r="E140" t="s">
        <v>175</v>
      </c>
      <c r="F140" t="s">
        <v>1471</v>
      </c>
      <c r="G140">
        <v>75</v>
      </c>
      <c r="H140">
        <v>1528</v>
      </c>
      <c r="I140">
        <v>0.75</v>
      </c>
      <c r="J140" t="s">
        <v>268</v>
      </c>
      <c r="K140" t="s">
        <v>271</v>
      </c>
      <c r="L140" s="67" t="str">
        <f>VLOOKUP($A140,MFMaster!$A$2:$C$300,2,FALSE)</f>
        <v>1-3 stories</v>
      </c>
      <c r="M140" s="67">
        <f>VLOOKUP($A140,MFMaster!$A$2:$CG$232,85,FALSE)</f>
        <v>251.48811340332</v>
      </c>
      <c r="P140"/>
      <c r="Q140"/>
    </row>
    <row r="141" spans="1:17">
      <c r="A141">
        <v>21000</v>
      </c>
      <c r="B141" t="s">
        <v>1473</v>
      </c>
      <c r="C141">
        <v>2</v>
      </c>
      <c r="D141" t="s">
        <v>255</v>
      </c>
      <c r="E141" t="s">
        <v>175</v>
      </c>
      <c r="F141" t="s">
        <v>1469</v>
      </c>
      <c r="G141">
        <v>47</v>
      </c>
      <c r="H141">
        <v>77</v>
      </c>
      <c r="I141">
        <v>0.75</v>
      </c>
      <c r="J141" t="s">
        <v>268</v>
      </c>
      <c r="K141" t="s">
        <v>271</v>
      </c>
      <c r="L141" s="67" t="str">
        <f>VLOOKUP($A141,MFMaster!$A$2:$C$300,2,FALSE)</f>
        <v>1-3 stories</v>
      </c>
      <c r="M141" s="67">
        <f>VLOOKUP($A141,MFMaster!$A$2:$CG$232,85,FALSE)</f>
        <v>251.48811340332</v>
      </c>
      <c r="P141"/>
      <c r="Q141"/>
    </row>
    <row r="142" spans="1:17">
      <c r="A142">
        <v>21000</v>
      </c>
      <c r="B142" t="s">
        <v>1474</v>
      </c>
      <c r="C142">
        <v>3</v>
      </c>
      <c r="D142"/>
      <c r="E142"/>
      <c r="F142"/>
      <c r="G142"/>
      <c r="H142">
        <v>36</v>
      </c>
      <c r="I142"/>
      <c r="J142"/>
      <c r="K142"/>
      <c r="L142" s="67" t="str">
        <f>VLOOKUP($A142,MFMaster!$A$2:$C$300,2,FALSE)</f>
        <v>1-3 stories</v>
      </c>
      <c r="M142" s="67">
        <f>VLOOKUP($A142,MFMaster!$A$2:$CG$232,85,FALSE)</f>
        <v>251.48811340332</v>
      </c>
      <c r="P142"/>
      <c r="Q142"/>
    </row>
    <row r="143" spans="1:17">
      <c r="A143">
        <v>21268</v>
      </c>
      <c r="B143" t="s">
        <v>1470</v>
      </c>
      <c r="C143">
        <v>1</v>
      </c>
      <c r="D143" t="s">
        <v>255</v>
      </c>
      <c r="E143" t="s">
        <v>182</v>
      </c>
      <c r="F143"/>
      <c r="G143">
        <v>100</v>
      </c>
      <c r="H143">
        <v>600</v>
      </c>
      <c r="I143">
        <v>1.1000000238418599</v>
      </c>
      <c r="J143" t="s">
        <v>268</v>
      </c>
      <c r="K143" t="s">
        <v>268</v>
      </c>
      <c r="L143" s="67" t="str">
        <f>VLOOKUP($A143,MFMaster!$A$2:$C$300,2,FALSE)</f>
        <v>1-3 stories</v>
      </c>
      <c r="M143" s="67">
        <f>VLOOKUP($A143,MFMaster!$A$2:$CG$232,85,FALSE)</f>
        <v>1257.44055175781</v>
      </c>
      <c r="P143"/>
      <c r="Q143"/>
    </row>
    <row r="144" spans="1:17">
      <c r="A144">
        <v>21346</v>
      </c>
      <c r="B144" t="s">
        <v>1478</v>
      </c>
      <c r="C144">
        <v>1</v>
      </c>
      <c r="D144" t="s">
        <v>1468</v>
      </c>
      <c r="E144" t="s">
        <v>175</v>
      </c>
      <c r="F144" t="s">
        <v>1471</v>
      </c>
      <c r="G144">
        <v>80</v>
      </c>
      <c r="H144">
        <v>766</v>
      </c>
      <c r="I144">
        <v>0.55000001192092896</v>
      </c>
      <c r="J144" t="s">
        <v>268</v>
      </c>
      <c r="K144" t="s">
        <v>271</v>
      </c>
      <c r="L144" s="67" t="str">
        <f>VLOOKUP($A144,MFMaster!$A$2:$C$300,2,FALSE)</f>
        <v>1-3 stories</v>
      </c>
      <c r="M144" s="67" t="str">
        <f>VLOOKUP($A144,MFMaster!$A$2:$CG$232,85,FALSE)</f>
        <v/>
      </c>
      <c r="P144"/>
      <c r="Q144"/>
    </row>
    <row r="145" spans="1:17">
      <c r="A145">
        <v>21424</v>
      </c>
      <c r="B145" t="s">
        <v>1467</v>
      </c>
      <c r="C145">
        <v>1</v>
      </c>
      <c r="D145" t="s">
        <v>255</v>
      </c>
      <c r="E145" t="s">
        <v>182</v>
      </c>
      <c r="F145"/>
      <c r="G145">
        <v>100</v>
      </c>
      <c r="H145">
        <v>1220</v>
      </c>
      <c r="I145">
        <v>0.94999998807907104</v>
      </c>
      <c r="J145" t="s">
        <v>268</v>
      </c>
      <c r="K145" t="s">
        <v>271</v>
      </c>
      <c r="L145" s="67" t="str">
        <f>VLOOKUP($A145,MFMaster!$A$2:$C$300,2,FALSE)</f>
        <v>1-3 stories</v>
      </c>
      <c r="M145" s="67" t="str">
        <f>VLOOKUP($A145,MFMaster!$A$2:$CG$232,85,FALSE)</f>
        <v/>
      </c>
      <c r="P145"/>
      <c r="Q145"/>
    </row>
    <row r="146" spans="1:17">
      <c r="A146">
        <v>21424</v>
      </c>
      <c r="B146" t="s">
        <v>1472</v>
      </c>
      <c r="C146">
        <v>2</v>
      </c>
      <c r="D146" t="s">
        <v>255</v>
      </c>
      <c r="E146" t="s">
        <v>182</v>
      </c>
      <c r="F146"/>
      <c r="G146">
        <v>43</v>
      </c>
      <c r="H146">
        <v>812</v>
      </c>
      <c r="I146">
        <v>0.94999998807907104</v>
      </c>
      <c r="J146" t="s">
        <v>268</v>
      </c>
      <c r="K146" t="s">
        <v>271</v>
      </c>
      <c r="L146" s="67" t="str">
        <f>VLOOKUP($A146,MFMaster!$A$2:$C$300,2,FALSE)</f>
        <v>1-3 stories</v>
      </c>
      <c r="M146" s="67" t="str">
        <f>VLOOKUP($A146,MFMaster!$A$2:$CG$232,85,FALSE)</f>
        <v/>
      </c>
      <c r="P146"/>
      <c r="Q146"/>
    </row>
    <row r="147" spans="1:17">
      <c r="A147">
        <v>21424</v>
      </c>
      <c r="B147" t="s">
        <v>1473</v>
      </c>
      <c r="C147">
        <v>3</v>
      </c>
      <c r="D147" t="s">
        <v>255</v>
      </c>
      <c r="E147" t="s">
        <v>182</v>
      </c>
      <c r="F147"/>
      <c r="G147">
        <v>100</v>
      </c>
      <c r="H147">
        <v>96</v>
      </c>
      <c r="I147">
        <v>1.1000000238418599</v>
      </c>
      <c r="J147" t="s">
        <v>268</v>
      </c>
      <c r="K147" t="s">
        <v>268</v>
      </c>
      <c r="L147" s="67" t="str">
        <f>VLOOKUP($A147,MFMaster!$A$2:$C$300,2,FALSE)</f>
        <v>1-3 stories</v>
      </c>
      <c r="M147" s="67" t="str">
        <f>VLOOKUP($A147,MFMaster!$A$2:$CG$232,85,FALSE)</f>
        <v/>
      </c>
      <c r="P147"/>
      <c r="Q147"/>
    </row>
    <row r="148" spans="1:17">
      <c r="A148">
        <v>21488</v>
      </c>
      <c r="B148" t="s">
        <v>1470</v>
      </c>
      <c r="C148">
        <v>1</v>
      </c>
      <c r="D148" t="s">
        <v>1468</v>
      </c>
      <c r="E148" t="s">
        <v>175</v>
      </c>
      <c r="F148" t="s">
        <v>1469</v>
      </c>
      <c r="G148">
        <v>100</v>
      </c>
      <c r="H148">
        <v>656</v>
      </c>
      <c r="I148">
        <v>0.44999998807907099</v>
      </c>
      <c r="J148" t="s">
        <v>268</v>
      </c>
      <c r="K148" t="s">
        <v>271</v>
      </c>
      <c r="L148" s="67" t="str">
        <f>VLOOKUP($A148,MFMaster!$A$2:$C$300,2,FALSE)</f>
        <v>1-3 stories</v>
      </c>
      <c r="M148" s="67">
        <f>VLOOKUP($A148,MFMaster!$A$2:$CG$232,85,FALSE)</f>
        <v>943.08038330078102</v>
      </c>
      <c r="P148"/>
      <c r="Q148"/>
    </row>
    <row r="149" spans="1:17">
      <c r="A149">
        <v>21505</v>
      </c>
      <c r="B149" t="s">
        <v>1470</v>
      </c>
      <c r="C149">
        <v>1</v>
      </c>
      <c r="D149" t="s">
        <v>255</v>
      </c>
      <c r="E149" t="s">
        <v>182</v>
      </c>
      <c r="F149"/>
      <c r="G149">
        <v>50</v>
      </c>
      <c r="H149">
        <v>1400</v>
      </c>
      <c r="I149">
        <v>1.1000000238418599</v>
      </c>
      <c r="J149" t="s">
        <v>268</v>
      </c>
      <c r="K149" t="s">
        <v>268</v>
      </c>
      <c r="L149" s="67" t="str">
        <f>VLOOKUP($A149,MFMaster!$A$2:$C$300,2,FALSE)</f>
        <v>1-3 stories</v>
      </c>
      <c r="M149" s="67">
        <f>VLOOKUP($A149,MFMaster!$A$2:$CG$232,85,FALSE)</f>
        <v>628.72027587890602</v>
      </c>
      <c r="P149"/>
      <c r="Q149"/>
    </row>
    <row r="150" spans="1:17">
      <c r="A150">
        <v>21564</v>
      </c>
      <c r="B150" t="s">
        <v>1467</v>
      </c>
      <c r="C150">
        <v>1</v>
      </c>
      <c r="D150" t="s">
        <v>255</v>
      </c>
      <c r="E150" t="s">
        <v>175</v>
      </c>
      <c r="F150" t="s">
        <v>1471</v>
      </c>
      <c r="G150">
        <v>99</v>
      </c>
      <c r="H150">
        <v>1973</v>
      </c>
      <c r="I150">
        <v>0.75</v>
      </c>
      <c r="J150" t="s">
        <v>268</v>
      </c>
      <c r="K150" t="s">
        <v>271</v>
      </c>
      <c r="L150" s="67" t="str">
        <f>VLOOKUP($A150,MFMaster!$A$2:$C$300,2,FALSE)</f>
        <v>1-3 stories</v>
      </c>
      <c r="M150" s="67">
        <f>VLOOKUP($A150,MFMaster!$A$2:$CG$232,85,FALSE)</f>
        <v>328.02795410156301</v>
      </c>
      <c r="P150"/>
      <c r="Q150"/>
    </row>
    <row r="151" spans="1:17">
      <c r="A151">
        <v>21564</v>
      </c>
      <c r="B151" t="s">
        <v>1472</v>
      </c>
      <c r="C151">
        <v>2</v>
      </c>
      <c r="D151" t="s">
        <v>255</v>
      </c>
      <c r="E151" t="s">
        <v>182</v>
      </c>
      <c r="F151"/>
      <c r="G151">
        <v>100</v>
      </c>
      <c r="H151">
        <v>64</v>
      </c>
      <c r="I151">
        <v>1.1000000238418599</v>
      </c>
      <c r="J151" t="s">
        <v>268</v>
      </c>
      <c r="K151" t="s">
        <v>268</v>
      </c>
      <c r="L151" s="67" t="str">
        <f>VLOOKUP($A151,MFMaster!$A$2:$C$300,2,FALSE)</f>
        <v>1-3 stories</v>
      </c>
      <c r="M151" s="67">
        <f>VLOOKUP($A151,MFMaster!$A$2:$CG$232,85,FALSE)</f>
        <v>328.02795410156301</v>
      </c>
      <c r="P151"/>
      <c r="Q151"/>
    </row>
    <row r="152" spans="1:17">
      <c r="A152">
        <v>21576</v>
      </c>
      <c r="B152" t="s">
        <v>1470</v>
      </c>
      <c r="C152">
        <v>1</v>
      </c>
      <c r="D152" t="s">
        <v>255</v>
      </c>
      <c r="E152" t="s">
        <v>182</v>
      </c>
      <c r="F152"/>
      <c r="G152">
        <v>100</v>
      </c>
      <c r="H152">
        <v>2688</v>
      </c>
      <c r="I152">
        <v>1.1000000238418599</v>
      </c>
      <c r="J152" t="s">
        <v>268</v>
      </c>
      <c r="K152" t="s">
        <v>268</v>
      </c>
      <c r="L152" s="67" t="str">
        <f>VLOOKUP($A152,MFMaster!$A$2:$C$300,2,FALSE)</f>
        <v>1-3 stories</v>
      </c>
      <c r="M152" s="67">
        <f>VLOOKUP($A152,MFMaster!$A$2:$CG$232,85,FALSE)</f>
        <v>314.36013793945301</v>
      </c>
      <c r="P152"/>
      <c r="Q152"/>
    </row>
    <row r="153" spans="1:17">
      <c r="A153">
        <v>21576</v>
      </c>
      <c r="B153" t="s">
        <v>1467</v>
      </c>
      <c r="C153">
        <v>2</v>
      </c>
      <c r="D153"/>
      <c r="E153"/>
      <c r="F153"/>
      <c r="G153"/>
      <c r="H153">
        <v>180</v>
      </c>
      <c r="I153"/>
      <c r="J153" t="s">
        <v>268</v>
      </c>
      <c r="K153" t="s">
        <v>268</v>
      </c>
      <c r="L153" s="67" t="str">
        <f>VLOOKUP($A153,MFMaster!$A$2:$C$300,2,FALSE)</f>
        <v>1-3 stories</v>
      </c>
      <c r="M153" s="67">
        <f>VLOOKUP($A153,MFMaster!$A$2:$CG$232,85,FALSE)</f>
        <v>314.36013793945301</v>
      </c>
      <c r="P153"/>
      <c r="Q153"/>
    </row>
    <row r="154" spans="1:17">
      <c r="A154">
        <v>21627</v>
      </c>
      <c r="B154" t="s">
        <v>1467</v>
      </c>
      <c r="C154">
        <v>1</v>
      </c>
      <c r="D154" t="s">
        <v>1468</v>
      </c>
      <c r="E154" t="s">
        <v>175</v>
      </c>
      <c r="F154" t="s">
        <v>1471</v>
      </c>
      <c r="G154">
        <v>50</v>
      </c>
      <c r="H154">
        <v>1992</v>
      </c>
      <c r="I154">
        <v>0.60000002384185802</v>
      </c>
      <c r="J154" t="s">
        <v>268</v>
      </c>
      <c r="K154" t="s">
        <v>268</v>
      </c>
      <c r="L154" s="67" t="str">
        <f>VLOOKUP($A154,MFMaster!$A$2:$C$300,2,FALSE)</f>
        <v>1-3 stories</v>
      </c>
      <c r="M154" s="67" t="str">
        <f>VLOOKUP($A154,MFMaster!$A$2:$CG$232,85,FALSE)</f>
        <v/>
      </c>
      <c r="P154"/>
      <c r="Q154"/>
    </row>
    <row r="155" spans="1:17">
      <c r="A155">
        <v>21642</v>
      </c>
      <c r="B155" t="s">
        <v>1470</v>
      </c>
      <c r="C155">
        <v>1</v>
      </c>
      <c r="D155" t="s">
        <v>1468</v>
      </c>
      <c r="E155" t="s">
        <v>175</v>
      </c>
      <c r="F155" t="s">
        <v>1471</v>
      </c>
      <c r="G155">
        <v>22</v>
      </c>
      <c r="H155">
        <v>724</v>
      </c>
      <c r="I155">
        <v>0.55000001192092896</v>
      </c>
      <c r="J155" t="s">
        <v>268</v>
      </c>
      <c r="K155" t="s">
        <v>271</v>
      </c>
      <c r="L155" s="67" t="str">
        <f>VLOOKUP($A155,MFMaster!$A$2:$C$300,2,FALSE)</f>
        <v>1-3 stories</v>
      </c>
      <c r="M155" s="67">
        <f>VLOOKUP($A155,MFMaster!$A$2:$CG$232,85,FALSE)</f>
        <v>943.08038330078102</v>
      </c>
      <c r="P155"/>
      <c r="Q155"/>
    </row>
    <row r="156" spans="1:17">
      <c r="A156">
        <v>21691</v>
      </c>
      <c r="B156" t="s">
        <v>1467</v>
      </c>
      <c r="C156">
        <v>1</v>
      </c>
      <c r="D156" t="s">
        <v>1468</v>
      </c>
      <c r="E156" t="s">
        <v>175</v>
      </c>
      <c r="F156" t="s">
        <v>1469</v>
      </c>
      <c r="G156">
        <v>75</v>
      </c>
      <c r="H156">
        <v>200</v>
      </c>
      <c r="I156">
        <v>0.44999998807907099</v>
      </c>
      <c r="J156" t="s">
        <v>268</v>
      </c>
      <c r="K156" t="s">
        <v>271</v>
      </c>
      <c r="L156" s="67" t="str">
        <f>VLOOKUP($A156,MFMaster!$A$2:$C$300,2,FALSE)</f>
        <v>1-3 stories</v>
      </c>
      <c r="M156" s="67">
        <f>VLOOKUP($A156,MFMaster!$A$2:$CG$232,85,FALSE)</f>
        <v>943.08038330078102</v>
      </c>
      <c r="P156"/>
      <c r="Q156"/>
    </row>
    <row r="157" spans="1:17">
      <c r="A157">
        <v>21691</v>
      </c>
      <c r="B157" t="s">
        <v>1472</v>
      </c>
      <c r="C157">
        <v>2</v>
      </c>
      <c r="D157" t="s">
        <v>1468</v>
      </c>
      <c r="E157" t="s">
        <v>175</v>
      </c>
      <c r="F157" t="s">
        <v>1471</v>
      </c>
      <c r="G157">
        <v>100</v>
      </c>
      <c r="H157">
        <v>15</v>
      </c>
      <c r="I157">
        <v>0.55000001192092896</v>
      </c>
      <c r="J157" t="s">
        <v>268</v>
      </c>
      <c r="K157" t="s">
        <v>271</v>
      </c>
      <c r="L157" s="67" t="str">
        <f>VLOOKUP($A157,MFMaster!$A$2:$C$300,2,FALSE)</f>
        <v>1-3 stories</v>
      </c>
      <c r="M157" s="67">
        <f>VLOOKUP($A157,MFMaster!$A$2:$CG$232,85,FALSE)</f>
        <v>943.08038330078102</v>
      </c>
      <c r="P157"/>
      <c r="Q157"/>
    </row>
    <row r="158" spans="1:17">
      <c r="A158">
        <v>21757</v>
      </c>
      <c r="B158" t="s">
        <v>1470</v>
      </c>
      <c r="C158">
        <v>1</v>
      </c>
      <c r="D158" t="s">
        <v>1468</v>
      </c>
      <c r="E158" t="s">
        <v>175</v>
      </c>
      <c r="F158" t="s">
        <v>1469</v>
      </c>
      <c r="G158">
        <v>100</v>
      </c>
      <c r="H158">
        <v>672</v>
      </c>
      <c r="I158">
        <v>0.44999998807907099</v>
      </c>
      <c r="J158" t="s">
        <v>268</v>
      </c>
      <c r="K158" t="s">
        <v>271</v>
      </c>
      <c r="L158" s="67" t="str">
        <f>VLOOKUP($A158,MFMaster!$A$2:$C$300,2,FALSE)</f>
        <v>1-3 stories</v>
      </c>
      <c r="M158" s="67">
        <f>VLOOKUP($A158,MFMaster!$A$2:$CG$232,85,FALSE)</f>
        <v>1257.44055175781</v>
      </c>
      <c r="P158"/>
      <c r="Q158"/>
    </row>
    <row r="159" spans="1:17">
      <c r="A159">
        <v>21839</v>
      </c>
      <c r="B159" t="s">
        <v>1470</v>
      </c>
      <c r="C159">
        <v>1</v>
      </c>
      <c r="D159" t="s">
        <v>1468</v>
      </c>
      <c r="E159" t="s">
        <v>175</v>
      </c>
      <c r="F159" t="s">
        <v>1469</v>
      </c>
      <c r="G159">
        <v>100</v>
      </c>
      <c r="H159">
        <v>2424</v>
      </c>
      <c r="I159">
        <v>0.44999998807907099</v>
      </c>
      <c r="J159" t="s">
        <v>268</v>
      </c>
      <c r="K159" t="s">
        <v>271</v>
      </c>
      <c r="L159" s="67" t="str">
        <f>VLOOKUP($A159,MFMaster!$A$2:$C$300,2,FALSE)</f>
        <v>4-6 stories</v>
      </c>
      <c r="M159" s="67" t="str">
        <f>VLOOKUP($A159,MFMaster!$A$2:$CG$232,85,FALSE)</f>
        <v/>
      </c>
      <c r="P159"/>
      <c r="Q159"/>
    </row>
    <row r="160" spans="1:17">
      <c r="A160">
        <v>21844</v>
      </c>
      <c r="B160" t="s">
        <v>1467</v>
      </c>
      <c r="C160">
        <v>1</v>
      </c>
      <c r="D160" t="s">
        <v>1468</v>
      </c>
      <c r="E160" t="s">
        <v>175</v>
      </c>
      <c r="F160" t="s">
        <v>1471</v>
      </c>
      <c r="G160">
        <v>100</v>
      </c>
      <c r="H160">
        <v>885</v>
      </c>
      <c r="I160">
        <v>0.55000001192092896</v>
      </c>
      <c r="J160" t="s">
        <v>268</v>
      </c>
      <c r="K160" t="s">
        <v>271</v>
      </c>
      <c r="L160" s="67" t="str">
        <f>VLOOKUP($A160,MFMaster!$A$2:$C$300,2,FALSE)</f>
        <v>1-3 stories</v>
      </c>
      <c r="M160" s="67">
        <f>VLOOKUP($A160,MFMaster!$A$2:$CG$232,85,FALSE)</f>
        <v>628.72027587890602</v>
      </c>
      <c r="P160"/>
      <c r="Q160"/>
    </row>
    <row r="161" spans="1:17">
      <c r="A161">
        <v>21844</v>
      </c>
      <c r="B161" t="s">
        <v>1472</v>
      </c>
      <c r="C161">
        <v>2</v>
      </c>
      <c r="D161" t="s">
        <v>1468</v>
      </c>
      <c r="E161" t="s">
        <v>175</v>
      </c>
      <c r="F161" t="s">
        <v>1471</v>
      </c>
      <c r="G161">
        <v>0</v>
      </c>
      <c r="H161">
        <v>132</v>
      </c>
      <c r="I161">
        <v>0.55000001192092896</v>
      </c>
      <c r="J161" t="s">
        <v>268</v>
      </c>
      <c r="K161" t="s">
        <v>271</v>
      </c>
      <c r="L161" s="67" t="str">
        <f>VLOOKUP($A161,MFMaster!$A$2:$C$300,2,FALSE)</f>
        <v>1-3 stories</v>
      </c>
      <c r="M161" s="67">
        <f>VLOOKUP($A161,MFMaster!$A$2:$CG$232,85,FALSE)</f>
        <v>628.72027587890602</v>
      </c>
      <c r="P161"/>
      <c r="Q161"/>
    </row>
    <row r="162" spans="1:17">
      <c r="A162">
        <v>21910</v>
      </c>
      <c r="B162" t="s">
        <v>1467</v>
      </c>
      <c r="C162">
        <v>1</v>
      </c>
      <c r="D162" t="s">
        <v>1468</v>
      </c>
      <c r="E162" t="s">
        <v>175</v>
      </c>
      <c r="F162" t="s">
        <v>1469</v>
      </c>
      <c r="G162">
        <v>50</v>
      </c>
      <c r="H162">
        <v>1008</v>
      </c>
      <c r="I162">
        <v>0.44999998807907099</v>
      </c>
      <c r="J162" t="s">
        <v>268</v>
      </c>
      <c r="K162" t="s">
        <v>271</v>
      </c>
      <c r="L162" s="67" t="str">
        <f>VLOOKUP($A162,MFMaster!$A$2:$C$300,2,FALSE)</f>
        <v>1-3 stories</v>
      </c>
      <c r="M162" s="67">
        <f>VLOOKUP($A162,MFMaster!$A$2:$CG$232,85,FALSE)</f>
        <v>184.01568603515599</v>
      </c>
      <c r="P162"/>
      <c r="Q162"/>
    </row>
    <row r="163" spans="1:17">
      <c r="A163">
        <v>21910</v>
      </c>
      <c r="B163" t="s">
        <v>1472</v>
      </c>
      <c r="C163">
        <v>2</v>
      </c>
      <c r="D163" t="s">
        <v>1468</v>
      </c>
      <c r="E163" t="s">
        <v>175</v>
      </c>
      <c r="F163" t="s">
        <v>1469</v>
      </c>
      <c r="G163">
        <v>50</v>
      </c>
      <c r="H163">
        <v>1008</v>
      </c>
      <c r="I163">
        <v>0.44999998807907099</v>
      </c>
      <c r="J163" t="s">
        <v>268</v>
      </c>
      <c r="K163" t="s">
        <v>271</v>
      </c>
      <c r="L163" s="67" t="str">
        <f>VLOOKUP($A163,MFMaster!$A$2:$C$300,2,FALSE)</f>
        <v>1-3 stories</v>
      </c>
      <c r="M163" s="67">
        <f>VLOOKUP($A163,MFMaster!$A$2:$CG$232,85,FALSE)</f>
        <v>184.01568603515599</v>
      </c>
      <c r="P163"/>
      <c r="Q163"/>
    </row>
    <row r="164" spans="1:17">
      <c r="A164">
        <v>21952</v>
      </c>
      <c r="B164" t="s">
        <v>1470</v>
      </c>
      <c r="C164">
        <v>1</v>
      </c>
      <c r="D164" t="s">
        <v>255</v>
      </c>
      <c r="E164" t="s">
        <v>182</v>
      </c>
      <c r="F164"/>
      <c r="G164">
        <v>100</v>
      </c>
      <c r="H164">
        <v>1626</v>
      </c>
      <c r="I164">
        <v>0.94999998807907104</v>
      </c>
      <c r="J164" t="s">
        <v>268</v>
      </c>
      <c r="K164" t="s">
        <v>271</v>
      </c>
      <c r="L164" s="67" t="str">
        <f>VLOOKUP($A164,MFMaster!$A$2:$C$300,2,FALSE)</f>
        <v>1-3 stories</v>
      </c>
      <c r="M164" s="67">
        <f>VLOOKUP($A164,MFMaster!$A$2:$CG$232,85,FALSE)</f>
        <v>419.14685058593801</v>
      </c>
      <c r="P164"/>
      <c r="Q164"/>
    </row>
    <row r="165" spans="1:17">
      <c r="A165">
        <v>21985</v>
      </c>
      <c r="B165" t="s">
        <v>1470</v>
      </c>
      <c r="C165">
        <v>1</v>
      </c>
      <c r="D165" t="s">
        <v>1468</v>
      </c>
      <c r="E165" t="s">
        <v>175</v>
      </c>
      <c r="F165" t="s">
        <v>1471</v>
      </c>
      <c r="G165">
        <v>0</v>
      </c>
      <c r="H165">
        <v>33</v>
      </c>
      <c r="I165">
        <v>0.55000001192092896</v>
      </c>
      <c r="J165" t="s">
        <v>268</v>
      </c>
      <c r="K165" t="s">
        <v>271</v>
      </c>
      <c r="L165" s="67" t="str">
        <f>VLOOKUP($A165,MFMaster!$A$2:$C$300,2,FALSE)</f>
        <v>1-3 stories</v>
      </c>
      <c r="M165" s="67">
        <f>VLOOKUP($A165,MFMaster!$A$2:$CG$232,85,FALSE)</f>
        <v>754.46429443359398</v>
      </c>
      <c r="P165"/>
      <c r="Q165"/>
    </row>
    <row r="166" spans="1:17">
      <c r="A166">
        <v>21985</v>
      </c>
      <c r="B166" t="s">
        <v>1467</v>
      </c>
      <c r="C166">
        <v>2</v>
      </c>
      <c r="D166" t="s">
        <v>1468</v>
      </c>
      <c r="E166" t="s">
        <v>175</v>
      </c>
      <c r="F166" t="s">
        <v>1471</v>
      </c>
      <c r="G166">
        <v>97</v>
      </c>
      <c r="H166">
        <v>1032</v>
      </c>
      <c r="I166">
        <v>0.55000001192092896</v>
      </c>
      <c r="J166" t="s">
        <v>268</v>
      </c>
      <c r="K166" t="s">
        <v>271</v>
      </c>
      <c r="L166" s="67" t="str">
        <f>VLOOKUP($A166,MFMaster!$A$2:$C$300,2,FALSE)</f>
        <v>1-3 stories</v>
      </c>
      <c r="M166" s="67">
        <f>VLOOKUP($A166,MFMaster!$A$2:$CG$232,85,FALSE)</f>
        <v>754.46429443359398</v>
      </c>
      <c r="P166"/>
      <c r="Q166"/>
    </row>
    <row r="167" spans="1:17">
      <c r="A167">
        <v>21998</v>
      </c>
      <c r="B167" t="s">
        <v>1473</v>
      </c>
      <c r="C167">
        <v>1</v>
      </c>
      <c r="D167" t="s">
        <v>1468</v>
      </c>
      <c r="E167" t="s">
        <v>175</v>
      </c>
      <c r="F167" t="s">
        <v>1471</v>
      </c>
      <c r="G167">
        <v>75</v>
      </c>
      <c r="H167">
        <v>549</v>
      </c>
      <c r="I167">
        <v>0.55000001192092896</v>
      </c>
      <c r="J167" t="s">
        <v>268</v>
      </c>
      <c r="K167" t="s">
        <v>271</v>
      </c>
      <c r="L167" s="67" t="str">
        <f>VLOOKUP($A167,MFMaster!$A$2:$C$300,2,FALSE)</f>
        <v>1-3 stories</v>
      </c>
      <c r="M167" s="67" t="str">
        <f>VLOOKUP($A167,MFMaster!$A$2:$CG$232,85,FALSE)</f>
        <v/>
      </c>
      <c r="P167"/>
      <c r="Q167"/>
    </row>
    <row r="168" spans="1:17">
      <c r="A168">
        <v>22058</v>
      </c>
      <c r="B168" t="s">
        <v>1470</v>
      </c>
      <c r="C168">
        <v>1</v>
      </c>
      <c r="D168" t="s">
        <v>1468</v>
      </c>
      <c r="E168" t="s">
        <v>175</v>
      </c>
      <c r="F168" t="s">
        <v>1469</v>
      </c>
      <c r="G168">
        <v>88</v>
      </c>
      <c r="H168">
        <v>2143</v>
      </c>
      <c r="I168">
        <v>0.55000001192092896</v>
      </c>
      <c r="J168" t="s">
        <v>268</v>
      </c>
      <c r="K168" t="s">
        <v>268</v>
      </c>
      <c r="L168" s="67" t="str">
        <f>VLOOKUP($A168,MFMaster!$A$2:$C$300,2,FALSE)</f>
        <v>1-3 stories</v>
      </c>
      <c r="M168" s="67">
        <f>VLOOKUP($A168,MFMaster!$A$2:$CG$232,85,FALSE)</f>
        <v>251.48811340332</v>
      </c>
      <c r="P168"/>
      <c r="Q168"/>
    </row>
    <row r="169" spans="1:17">
      <c r="A169">
        <v>22058</v>
      </c>
      <c r="B169" t="s">
        <v>1467</v>
      </c>
      <c r="C169">
        <v>2</v>
      </c>
      <c r="D169" t="s">
        <v>1468</v>
      </c>
      <c r="E169" t="s">
        <v>175</v>
      </c>
      <c r="F169" t="s">
        <v>1469</v>
      </c>
      <c r="G169">
        <v>100</v>
      </c>
      <c r="H169">
        <v>640</v>
      </c>
      <c r="I169">
        <v>0.55000001192092896</v>
      </c>
      <c r="J169" t="s">
        <v>268</v>
      </c>
      <c r="K169" t="s">
        <v>268</v>
      </c>
      <c r="L169" s="67" t="str">
        <f>VLOOKUP($A169,MFMaster!$A$2:$C$300,2,FALSE)</f>
        <v>1-3 stories</v>
      </c>
      <c r="M169" s="67">
        <f>VLOOKUP($A169,MFMaster!$A$2:$CG$232,85,FALSE)</f>
        <v>251.48811340332</v>
      </c>
      <c r="P169"/>
      <c r="Q169"/>
    </row>
    <row r="170" spans="1:17">
      <c r="A170">
        <v>22106</v>
      </c>
      <c r="B170" t="s">
        <v>1470</v>
      </c>
      <c r="C170">
        <v>1</v>
      </c>
      <c r="D170" t="s">
        <v>1468</v>
      </c>
      <c r="E170" t="s">
        <v>175</v>
      </c>
      <c r="F170" t="s">
        <v>1469</v>
      </c>
      <c r="G170">
        <v>100</v>
      </c>
      <c r="H170">
        <v>1620</v>
      </c>
      <c r="I170">
        <v>0.44999998807907099</v>
      </c>
      <c r="J170" t="s">
        <v>268</v>
      </c>
      <c r="K170" t="s">
        <v>271</v>
      </c>
      <c r="L170" s="67" t="str">
        <f>VLOOKUP($A170,MFMaster!$A$2:$C$300,2,FALSE)</f>
        <v>1-3 stories</v>
      </c>
      <c r="M170" s="67">
        <f>VLOOKUP($A170,MFMaster!$A$2:$CG$232,85,FALSE)</f>
        <v>235.770095825195</v>
      </c>
      <c r="P170"/>
      <c r="Q170"/>
    </row>
    <row r="171" spans="1:17">
      <c r="A171">
        <v>22262</v>
      </c>
      <c r="B171" t="s">
        <v>1470</v>
      </c>
      <c r="C171">
        <v>1</v>
      </c>
      <c r="D171" t="s">
        <v>1468</v>
      </c>
      <c r="E171" t="s">
        <v>175</v>
      </c>
      <c r="F171" t="s">
        <v>1471</v>
      </c>
      <c r="G171">
        <v>9</v>
      </c>
      <c r="H171">
        <v>720</v>
      </c>
      <c r="I171">
        <v>0.60000002384185802</v>
      </c>
      <c r="J171" t="s">
        <v>268</v>
      </c>
      <c r="K171" t="s">
        <v>268</v>
      </c>
      <c r="L171" s="67" t="str">
        <f>VLOOKUP($A171,MFMaster!$A$2:$C$300,2,FALSE)</f>
        <v>1-3 stories</v>
      </c>
      <c r="M171" s="67">
        <f>VLOOKUP($A171,MFMaster!$A$2:$CG$232,85,FALSE)</f>
        <v>943.08038330078102</v>
      </c>
      <c r="P171"/>
      <c r="Q171"/>
    </row>
    <row r="172" spans="1:17">
      <c r="A172">
        <v>22262</v>
      </c>
      <c r="B172" t="s">
        <v>1467</v>
      </c>
      <c r="C172">
        <v>2</v>
      </c>
      <c r="D172" t="s">
        <v>255</v>
      </c>
      <c r="E172" t="s">
        <v>175</v>
      </c>
      <c r="F172" t="s">
        <v>1469</v>
      </c>
      <c r="G172">
        <v>40</v>
      </c>
      <c r="H172">
        <v>288</v>
      </c>
      <c r="I172">
        <v>0.80000001192092896</v>
      </c>
      <c r="J172" t="s">
        <v>268</v>
      </c>
      <c r="K172" t="s">
        <v>268</v>
      </c>
      <c r="L172" s="67" t="str">
        <f>VLOOKUP($A172,MFMaster!$A$2:$C$300,2,FALSE)</f>
        <v>1-3 stories</v>
      </c>
      <c r="M172" s="67">
        <f>VLOOKUP($A172,MFMaster!$A$2:$CG$232,85,FALSE)</f>
        <v>943.08038330078102</v>
      </c>
      <c r="P172"/>
      <c r="Q172"/>
    </row>
    <row r="173" spans="1:17">
      <c r="A173">
        <v>22371</v>
      </c>
      <c r="B173" t="s">
        <v>1470</v>
      </c>
      <c r="C173">
        <v>1</v>
      </c>
      <c r="D173" t="s">
        <v>1468</v>
      </c>
      <c r="E173" t="s">
        <v>175</v>
      </c>
      <c r="F173" t="s">
        <v>1471</v>
      </c>
      <c r="G173">
        <v>100</v>
      </c>
      <c r="H173">
        <v>630</v>
      </c>
      <c r="I173">
        <v>0.60000002384185802</v>
      </c>
      <c r="J173" t="s">
        <v>268</v>
      </c>
      <c r="K173" t="s">
        <v>268</v>
      </c>
      <c r="L173" s="67" t="str">
        <f>VLOOKUP($A173,MFMaster!$A$2:$C$300,2,FALSE)</f>
        <v>1-3 stories</v>
      </c>
      <c r="M173" s="67">
        <f>VLOOKUP($A173,MFMaster!$A$2:$CG$232,85,FALSE)</f>
        <v>1257.44055175781</v>
      </c>
      <c r="P173"/>
      <c r="Q173"/>
    </row>
    <row r="174" spans="1:17">
      <c r="A174">
        <v>22450</v>
      </c>
      <c r="B174" t="s">
        <v>1470</v>
      </c>
      <c r="C174">
        <v>1</v>
      </c>
      <c r="D174" t="s">
        <v>255</v>
      </c>
      <c r="E174" t="s">
        <v>175</v>
      </c>
      <c r="F174" t="s">
        <v>1471</v>
      </c>
      <c r="G174">
        <v>100</v>
      </c>
      <c r="H174">
        <v>1150</v>
      </c>
      <c r="I174">
        <v>0.85000002384185802</v>
      </c>
      <c r="J174" t="s">
        <v>268</v>
      </c>
      <c r="K174" t="s">
        <v>268</v>
      </c>
      <c r="L174" s="67" t="str">
        <f>VLOOKUP($A174,MFMaster!$A$2:$C$300,2,FALSE)</f>
        <v>1-3 stories</v>
      </c>
      <c r="M174" s="67">
        <f>VLOOKUP($A174,MFMaster!$A$2:$CG$232,85,FALSE)</f>
        <v>538.903076171875</v>
      </c>
      <c r="P174"/>
      <c r="Q174"/>
    </row>
    <row r="175" spans="1:17">
      <c r="A175">
        <v>22536</v>
      </c>
      <c r="B175" t="s">
        <v>1470</v>
      </c>
      <c r="C175">
        <v>1</v>
      </c>
      <c r="D175" t="s">
        <v>255</v>
      </c>
      <c r="E175" t="s">
        <v>182</v>
      </c>
      <c r="F175"/>
      <c r="G175">
        <v>99</v>
      </c>
      <c r="H175">
        <v>3279</v>
      </c>
      <c r="I175">
        <v>1.1000000238418599</v>
      </c>
      <c r="J175" t="s">
        <v>268</v>
      </c>
      <c r="K175" t="s">
        <v>268</v>
      </c>
      <c r="L175" s="67" t="str">
        <f>VLOOKUP($A175,MFMaster!$A$2:$C$300,2,FALSE)</f>
        <v>1-3 stories</v>
      </c>
      <c r="M175" s="67">
        <f>VLOOKUP($A175,MFMaster!$A$2:$CG$232,85,FALSE)</f>
        <v>100.59523773193401</v>
      </c>
      <c r="P175"/>
      <c r="Q175"/>
    </row>
    <row r="176" spans="1:17">
      <c r="A176">
        <v>22536</v>
      </c>
      <c r="B176" t="s">
        <v>1467</v>
      </c>
      <c r="C176">
        <v>2</v>
      </c>
      <c r="D176" t="s">
        <v>1468</v>
      </c>
      <c r="E176" t="s">
        <v>175</v>
      </c>
      <c r="F176" t="s">
        <v>1469</v>
      </c>
      <c r="G176">
        <v>99</v>
      </c>
      <c r="H176">
        <v>1232</v>
      </c>
      <c r="I176">
        <v>0.55000001192092896</v>
      </c>
      <c r="J176" t="s">
        <v>268</v>
      </c>
      <c r="K176" t="s">
        <v>268</v>
      </c>
      <c r="L176" s="67" t="str">
        <f>VLOOKUP($A176,MFMaster!$A$2:$C$300,2,FALSE)</f>
        <v>1-3 stories</v>
      </c>
      <c r="M176" s="67">
        <f>VLOOKUP($A176,MFMaster!$A$2:$CG$232,85,FALSE)</f>
        <v>100.59523773193401</v>
      </c>
      <c r="P176"/>
      <c r="Q176"/>
    </row>
    <row r="177" spans="1:17">
      <c r="A177">
        <v>22536</v>
      </c>
      <c r="B177" t="s">
        <v>1472</v>
      </c>
      <c r="C177">
        <v>3</v>
      </c>
      <c r="D177" t="s">
        <v>255</v>
      </c>
      <c r="E177" t="s">
        <v>182</v>
      </c>
      <c r="F177"/>
      <c r="G177">
        <v>100</v>
      </c>
      <c r="H177">
        <v>2100</v>
      </c>
      <c r="I177">
        <v>1.1000000238418599</v>
      </c>
      <c r="J177" t="s">
        <v>268</v>
      </c>
      <c r="K177" t="s">
        <v>268</v>
      </c>
      <c r="L177" s="67" t="str">
        <f>VLOOKUP($A177,MFMaster!$A$2:$C$300,2,FALSE)</f>
        <v>1-3 stories</v>
      </c>
      <c r="M177" s="67">
        <f>VLOOKUP($A177,MFMaster!$A$2:$CG$232,85,FALSE)</f>
        <v>100.59523773193401</v>
      </c>
      <c r="P177"/>
      <c r="Q177"/>
    </row>
    <row r="178" spans="1:17">
      <c r="A178">
        <v>22870</v>
      </c>
      <c r="B178" t="s">
        <v>1470</v>
      </c>
      <c r="C178">
        <v>1</v>
      </c>
      <c r="D178" t="s">
        <v>1468</v>
      </c>
      <c r="E178" t="s">
        <v>175</v>
      </c>
      <c r="F178" t="s">
        <v>1469</v>
      </c>
      <c r="G178">
        <v>100</v>
      </c>
      <c r="H178">
        <v>1228</v>
      </c>
      <c r="I178">
        <v>0.44999998807907099</v>
      </c>
      <c r="J178" t="s">
        <v>268</v>
      </c>
      <c r="K178" t="s">
        <v>271</v>
      </c>
      <c r="L178" s="67" t="str">
        <f>VLOOKUP($A178,MFMaster!$A$2:$C$300,2,FALSE)</f>
        <v>1-3 stories</v>
      </c>
      <c r="M178" s="67">
        <f>VLOOKUP($A178,MFMaster!$A$2:$CG$232,85,FALSE)</f>
        <v>471.54019165039102</v>
      </c>
      <c r="P178"/>
      <c r="Q178"/>
    </row>
    <row r="179" spans="1:17">
      <c r="A179">
        <v>22870</v>
      </c>
      <c r="B179" t="s">
        <v>1467</v>
      </c>
      <c r="C179">
        <v>2</v>
      </c>
      <c r="D179" t="s">
        <v>1468</v>
      </c>
      <c r="E179" t="s">
        <v>175</v>
      </c>
      <c r="F179" t="s">
        <v>1469</v>
      </c>
      <c r="G179">
        <v>100</v>
      </c>
      <c r="H179">
        <v>208</v>
      </c>
      <c r="I179">
        <v>0.44999998807907099</v>
      </c>
      <c r="J179" t="s">
        <v>268</v>
      </c>
      <c r="K179" t="s">
        <v>271</v>
      </c>
      <c r="L179" s="67" t="str">
        <f>VLOOKUP($A179,MFMaster!$A$2:$C$300,2,FALSE)</f>
        <v>1-3 stories</v>
      </c>
      <c r="M179" s="67">
        <f>VLOOKUP($A179,MFMaster!$A$2:$CG$232,85,FALSE)</f>
        <v>471.54019165039102</v>
      </c>
      <c r="P179"/>
      <c r="Q179"/>
    </row>
    <row r="180" spans="1:17">
      <c r="A180">
        <v>22870</v>
      </c>
      <c r="B180" t="s">
        <v>1472</v>
      </c>
      <c r="C180">
        <v>3</v>
      </c>
      <c r="D180" t="s">
        <v>255</v>
      </c>
      <c r="E180" t="s">
        <v>182</v>
      </c>
      <c r="F180"/>
      <c r="G180">
        <v>0</v>
      </c>
      <c r="H180">
        <v>60</v>
      </c>
      <c r="I180">
        <v>1.1000000238418599</v>
      </c>
      <c r="J180" t="s">
        <v>268</v>
      </c>
      <c r="K180" t="s">
        <v>268</v>
      </c>
      <c r="L180" s="67" t="str">
        <f>VLOOKUP($A180,MFMaster!$A$2:$C$300,2,FALSE)</f>
        <v>1-3 stories</v>
      </c>
      <c r="M180" s="67">
        <f>VLOOKUP($A180,MFMaster!$A$2:$CG$232,85,FALSE)</f>
        <v>471.54019165039102</v>
      </c>
      <c r="P180"/>
      <c r="Q180"/>
    </row>
    <row r="181" spans="1:17">
      <c r="A181">
        <v>22906</v>
      </c>
      <c r="B181" t="s">
        <v>1470</v>
      </c>
      <c r="C181">
        <v>1</v>
      </c>
      <c r="D181" t="s">
        <v>1468</v>
      </c>
      <c r="E181" t="s">
        <v>175</v>
      </c>
      <c r="F181" t="s">
        <v>1469</v>
      </c>
      <c r="G181">
        <v>100</v>
      </c>
      <c r="H181">
        <v>1279</v>
      </c>
      <c r="I181">
        <v>0.44999998807907099</v>
      </c>
      <c r="J181" t="s">
        <v>268</v>
      </c>
      <c r="K181" t="s">
        <v>271</v>
      </c>
      <c r="L181" s="67" t="str">
        <f>VLOOKUP($A181,MFMaster!$A$2:$C$300,2,FALSE)</f>
        <v>1-3 stories</v>
      </c>
      <c r="M181" s="67">
        <f>VLOOKUP($A181,MFMaster!$A$2:$CG$232,85,FALSE)</f>
        <v>628.72027587890602</v>
      </c>
      <c r="P181"/>
      <c r="Q181"/>
    </row>
    <row r="182" spans="1:17">
      <c r="A182">
        <v>23106</v>
      </c>
      <c r="B182" t="s">
        <v>1472</v>
      </c>
      <c r="C182">
        <v>1</v>
      </c>
      <c r="D182" t="s">
        <v>255</v>
      </c>
      <c r="E182" t="s">
        <v>175</v>
      </c>
      <c r="F182" t="s">
        <v>1471</v>
      </c>
      <c r="G182">
        <v>10</v>
      </c>
      <c r="H182">
        <v>12939</v>
      </c>
      <c r="I182">
        <v>0.75</v>
      </c>
      <c r="J182" t="s">
        <v>268</v>
      </c>
      <c r="K182" t="s">
        <v>271</v>
      </c>
      <c r="L182" s="67" t="str">
        <f>VLOOKUP($A182,MFMaster!$A$2:$C$300,2,FALSE)</f>
        <v>7+ stories</v>
      </c>
      <c r="M182" s="67" t="str">
        <f>VLOOKUP($A182,MFMaster!$A$2:$CG$232,85,FALSE)</f>
        <v/>
      </c>
      <c r="P182"/>
      <c r="Q182"/>
    </row>
    <row r="183" spans="1:17">
      <c r="A183">
        <v>23425</v>
      </c>
      <c r="B183" t="s">
        <v>1470</v>
      </c>
      <c r="C183">
        <v>1</v>
      </c>
      <c r="D183" t="s">
        <v>255</v>
      </c>
      <c r="E183" t="s">
        <v>182</v>
      </c>
      <c r="F183"/>
      <c r="G183">
        <v>100</v>
      </c>
      <c r="H183">
        <v>596</v>
      </c>
      <c r="I183">
        <v>1.1000000238418599</v>
      </c>
      <c r="J183" t="s">
        <v>268</v>
      </c>
      <c r="K183" t="s">
        <v>268</v>
      </c>
      <c r="L183" s="67" t="str">
        <f>VLOOKUP($A183,MFMaster!$A$2:$C$300,2,FALSE)</f>
        <v>1-3 stories</v>
      </c>
      <c r="M183" s="67">
        <f>VLOOKUP($A183,MFMaster!$A$2:$CG$232,85,FALSE)</f>
        <v>754.46429443359398</v>
      </c>
      <c r="P183"/>
      <c r="Q183"/>
    </row>
    <row r="184" spans="1:17">
      <c r="A184">
        <v>23531</v>
      </c>
      <c r="B184" t="s">
        <v>1470</v>
      </c>
      <c r="C184">
        <v>1</v>
      </c>
      <c r="D184" t="s">
        <v>1468</v>
      </c>
      <c r="E184" t="s">
        <v>175</v>
      </c>
      <c r="F184" t="s">
        <v>1469</v>
      </c>
      <c r="G184">
        <v>100</v>
      </c>
      <c r="H184">
        <v>774</v>
      </c>
      <c r="I184">
        <v>0.44999998807907099</v>
      </c>
      <c r="J184" t="s">
        <v>268</v>
      </c>
      <c r="K184" t="s">
        <v>271</v>
      </c>
      <c r="L184" s="67" t="str">
        <f>VLOOKUP($A184,MFMaster!$A$2:$C$300,2,FALSE)</f>
        <v>1-3 stories</v>
      </c>
      <c r="M184" s="67">
        <f>VLOOKUP($A184,MFMaster!$A$2:$CG$232,85,FALSE)</f>
        <v>419.14685058593801</v>
      </c>
      <c r="P184"/>
      <c r="Q184"/>
    </row>
    <row r="185" spans="1:17">
      <c r="A185">
        <v>23531</v>
      </c>
      <c r="B185" t="s">
        <v>1467</v>
      </c>
      <c r="C185">
        <v>2</v>
      </c>
      <c r="D185" t="s">
        <v>255</v>
      </c>
      <c r="E185" t="s">
        <v>175</v>
      </c>
      <c r="F185" t="s">
        <v>1469</v>
      </c>
      <c r="G185">
        <v>41</v>
      </c>
      <c r="H185">
        <v>540</v>
      </c>
      <c r="I185">
        <v>0.75</v>
      </c>
      <c r="J185" t="s">
        <v>268</v>
      </c>
      <c r="K185" t="s">
        <v>271</v>
      </c>
      <c r="L185" s="67" t="str">
        <f>VLOOKUP($A185,MFMaster!$A$2:$C$300,2,FALSE)</f>
        <v>1-3 stories</v>
      </c>
      <c r="M185" s="67">
        <f>VLOOKUP($A185,MFMaster!$A$2:$CG$232,85,FALSE)</f>
        <v>419.14685058593801</v>
      </c>
      <c r="P185"/>
      <c r="Q185"/>
    </row>
    <row r="186" spans="1:17">
      <c r="A186">
        <v>23623</v>
      </c>
      <c r="B186" t="s">
        <v>1470</v>
      </c>
      <c r="C186">
        <v>1</v>
      </c>
      <c r="D186" t="s">
        <v>255</v>
      </c>
      <c r="E186" t="s">
        <v>182</v>
      </c>
      <c r="F186"/>
      <c r="G186">
        <v>100</v>
      </c>
      <c r="H186">
        <v>576</v>
      </c>
      <c r="I186">
        <v>0.85000002384185802</v>
      </c>
      <c r="J186" t="s">
        <v>271</v>
      </c>
      <c r="K186" t="s">
        <v>268</v>
      </c>
      <c r="L186" s="67" t="str">
        <f>VLOOKUP($A186,MFMaster!$A$2:$C$300,2,FALSE)</f>
        <v>1-3 stories</v>
      </c>
      <c r="M186" s="67">
        <f>VLOOKUP($A186,MFMaster!$A$2:$CG$232,85,FALSE)</f>
        <v>314.36013793945301</v>
      </c>
      <c r="P186"/>
      <c r="Q186"/>
    </row>
    <row r="187" spans="1:17">
      <c r="A187">
        <v>23623</v>
      </c>
      <c r="B187" t="s">
        <v>1467</v>
      </c>
      <c r="C187">
        <v>2</v>
      </c>
      <c r="D187" t="s">
        <v>1468</v>
      </c>
      <c r="E187" t="s">
        <v>175</v>
      </c>
      <c r="F187" t="s">
        <v>1471</v>
      </c>
      <c r="G187">
        <v>43</v>
      </c>
      <c r="H187">
        <v>432</v>
      </c>
      <c r="I187">
        <v>0.55000001192092896</v>
      </c>
      <c r="J187" t="s">
        <v>268</v>
      </c>
      <c r="K187" t="s">
        <v>271</v>
      </c>
      <c r="L187" s="67" t="str">
        <f>VLOOKUP($A187,MFMaster!$A$2:$C$300,2,FALSE)</f>
        <v>1-3 stories</v>
      </c>
      <c r="M187" s="67">
        <f>VLOOKUP($A187,MFMaster!$A$2:$CG$232,85,FALSE)</f>
        <v>314.36013793945301</v>
      </c>
      <c r="P187"/>
      <c r="Q187"/>
    </row>
    <row r="188" spans="1:17">
      <c r="A188">
        <v>23681</v>
      </c>
      <c r="B188" t="s">
        <v>1470</v>
      </c>
      <c r="C188">
        <v>1</v>
      </c>
      <c r="D188" t="s">
        <v>1468</v>
      </c>
      <c r="E188" t="s">
        <v>175</v>
      </c>
      <c r="F188" t="s">
        <v>1469</v>
      </c>
      <c r="G188">
        <v>100</v>
      </c>
      <c r="H188">
        <v>1240</v>
      </c>
      <c r="I188">
        <v>0.44999998807907099</v>
      </c>
      <c r="J188" t="s">
        <v>268</v>
      </c>
      <c r="K188" t="s">
        <v>271</v>
      </c>
      <c r="L188" s="67" t="str">
        <f>VLOOKUP($A188,MFMaster!$A$2:$C$300,2,FALSE)</f>
        <v>1-3 stories</v>
      </c>
      <c r="M188" s="67">
        <f>VLOOKUP($A188,MFMaster!$A$2:$CG$232,85,FALSE)</f>
        <v>943.08038330078102</v>
      </c>
      <c r="P188"/>
      <c r="Q188"/>
    </row>
    <row r="189" spans="1:17">
      <c r="A189">
        <v>23681</v>
      </c>
      <c r="B189" t="s">
        <v>1467</v>
      </c>
      <c r="C189">
        <v>2</v>
      </c>
      <c r="D189" t="s">
        <v>1468</v>
      </c>
      <c r="E189" t="s">
        <v>175</v>
      </c>
      <c r="F189" t="s">
        <v>1469</v>
      </c>
      <c r="G189">
        <v>0</v>
      </c>
      <c r="H189">
        <v>80</v>
      </c>
      <c r="I189">
        <v>0.44999998807907099</v>
      </c>
      <c r="J189" t="s">
        <v>268</v>
      </c>
      <c r="K189" t="s">
        <v>271</v>
      </c>
      <c r="L189" s="67" t="str">
        <f>VLOOKUP($A189,MFMaster!$A$2:$C$300,2,FALSE)</f>
        <v>1-3 stories</v>
      </c>
      <c r="M189" s="67">
        <f>VLOOKUP($A189,MFMaster!$A$2:$CG$232,85,FALSE)</f>
        <v>943.08038330078102</v>
      </c>
      <c r="P189"/>
      <c r="Q189"/>
    </row>
    <row r="190" spans="1:17">
      <c r="A190">
        <v>23685</v>
      </c>
      <c r="B190" t="s">
        <v>1470</v>
      </c>
      <c r="C190">
        <v>1</v>
      </c>
      <c r="D190" t="s">
        <v>1468</v>
      </c>
      <c r="E190" t="s">
        <v>175</v>
      </c>
      <c r="F190" t="s">
        <v>1469</v>
      </c>
      <c r="G190">
        <v>100</v>
      </c>
      <c r="H190">
        <v>597</v>
      </c>
      <c r="I190">
        <v>0.44999998807907099</v>
      </c>
      <c r="J190" t="s">
        <v>268</v>
      </c>
      <c r="K190" t="s">
        <v>271</v>
      </c>
      <c r="L190" s="67" t="str">
        <f>VLOOKUP($A190,MFMaster!$A$2:$C$300,2,FALSE)</f>
        <v>1-3 stories</v>
      </c>
      <c r="M190" s="67">
        <f>VLOOKUP($A190,MFMaster!$A$2:$CG$232,85,FALSE)</f>
        <v>754.46429443359398</v>
      </c>
      <c r="P190"/>
      <c r="Q190"/>
    </row>
    <row r="191" spans="1:17">
      <c r="A191">
        <v>23685</v>
      </c>
      <c r="B191" t="s">
        <v>1467</v>
      </c>
      <c r="C191">
        <v>2</v>
      </c>
      <c r="D191" t="s">
        <v>255</v>
      </c>
      <c r="E191" t="s">
        <v>175</v>
      </c>
      <c r="F191" t="s">
        <v>1469</v>
      </c>
      <c r="G191">
        <v>100</v>
      </c>
      <c r="H191">
        <v>380</v>
      </c>
      <c r="I191">
        <v>0.75</v>
      </c>
      <c r="J191" t="s">
        <v>268</v>
      </c>
      <c r="K191" t="s">
        <v>271</v>
      </c>
      <c r="L191" s="67" t="str">
        <f>VLOOKUP($A191,MFMaster!$A$2:$C$300,2,FALSE)</f>
        <v>1-3 stories</v>
      </c>
      <c r="M191" s="67">
        <f>VLOOKUP($A191,MFMaster!$A$2:$CG$232,85,FALSE)</f>
        <v>754.46429443359398</v>
      </c>
      <c r="P191"/>
      <c r="Q191"/>
    </row>
    <row r="192" spans="1:17">
      <c r="A192">
        <v>23800</v>
      </c>
      <c r="B192" t="s">
        <v>1473</v>
      </c>
      <c r="C192">
        <v>1</v>
      </c>
      <c r="D192" t="s">
        <v>1468</v>
      </c>
      <c r="E192" t="s">
        <v>175</v>
      </c>
      <c r="F192" t="s">
        <v>1469</v>
      </c>
      <c r="G192">
        <v>50</v>
      </c>
      <c r="H192">
        <v>1413</v>
      </c>
      <c r="I192">
        <v>0.55000001192092896</v>
      </c>
      <c r="J192" t="s">
        <v>268</v>
      </c>
      <c r="K192" t="s">
        <v>268</v>
      </c>
      <c r="L192" s="67" t="str">
        <f>VLOOKUP($A192,MFMaster!$A$2:$C$300,2,FALSE)</f>
        <v>1-3 stories</v>
      </c>
      <c r="M192" s="67" t="str">
        <f>VLOOKUP($A192,MFMaster!$A$2:$CG$232,85,FALSE)</f>
        <v/>
      </c>
      <c r="P192"/>
      <c r="Q192"/>
    </row>
    <row r="193" spans="1:17">
      <c r="A193">
        <v>23899</v>
      </c>
      <c r="B193" t="s">
        <v>1467</v>
      </c>
      <c r="C193">
        <v>1</v>
      </c>
      <c r="D193" t="s">
        <v>1468</v>
      </c>
      <c r="E193" t="s">
        <v>175</v>
      </c>
      <c r="F193" t="s">
        <v>1469</v>
      </c>
      <c r="G193">
        <v>100</v>
      </c>
      <c r="H193">
        <v>2745</v>
      </c>
      <c r="I193">
        <v>0.44999998807907099</v>
      </c>
      <c r="J193" t="s">
        <v>268</v>
      </c>
      <c r="K193" t="s">
        <v>271</v>
      </c>
      <c r="L193" s="67" t="str">
        <f>VLOOKUP($A193,MFMaster!$A$2:$C$300,2,FALSE)</f>
        <v>1-3 stories</v>
      </c>
      <c r="M193" s="67">
        <f>VLOOKUP($A193,MFMaster!$A$2:$CG$232,85,FALSE)</f>
        <v>167.65873718261699</v>
      </c>
      <c r="P193"/>
      <c r="Q193"/>
    </row>
    <row r="194" spans="1:17">
      <c r="A194">
        <v>23899</v>
      </c>
      <c r="B194" t="s">
        <v>1472</v>
      </c>
      <c r="C194">
        <v>2</v>
      </c>
      <c r="D194" t="s">
        <v>1468</v>
      </c>
      <c r="E194" t="s">
        <v>175</v>
      </c>
      <c r="F194" t="s">
        <v>1469</v>
      </c>
      <c r="G194">
        <v>0</v>
      </c>
      <c r="H194">
        <v>280</v>
      </c>
      <c r="I194">
        <v>0.44999998807907099</v>
      </c>
      <c r="J194" t="s">
        <v>268</v>
      </c>
      <c r="K194" t="s">
        <v>271</v>
      </c>
      <c r="L194" s="67" t="str">
        <f>VLOOKUP($A194,MFMaster!$A$2:$C$300,2,FALSE)</f>
        <v>1-3 stories</v>
      </c>
      <c r="M194" s="67">
        <f>VLOOKUP($A194,MFMaster!$A$2:$CG$232,85,FALSE)</f>
        <v>167.65873718261699</v>
      </c>
      <c r="P194"/>
      <c r="Q194"/>
    </row>
    <row r="195" spans="1:17">
      <c r="A195">
        <v>23996</v>
      </c>
      <c r="B195" t="s">
        <v>1470</v>
      </c>
      <c r="C195">
        <v>1</v>
      </c>
      <c r="D195" t="s">
        <v>255</v>
      </c>
      <c r="E195" t="s">
        <v>175</v>
      </c>
      <c r="F195" t="s">
        <v>1471</v>
      </c>
      <c r="G195">
        <v>84</v>
      </c>
      <c r="H195">
        <v>9808</v>
      </c>
      <c r="I195">
        <v>0.75</v>
      </c>
      <c r="J195" t="s">
        <v>268</v>
      </c>
      <c r="K195" t="s">
        <v>271</v>
      </c>
      <c r="L195" s="67" t="str">
        <f>VLOOKUP($A195,MFMaster!$A$2:$C$300,2,FALSE)</f>
        <v>7+ stories</v>
      </c>
      <c r="M195" s="67" t="str">
        <f>VLOOKUP($A195,MFMaster!$A$2:$CG$232,85,FALSE)</f>
        <v/>
      </c>
      <c r="P195"/>
      <c r="Q195"/>
    </row>
    <row r="196" spans="1:17">
      <c r="A196">
        <v>23996</v>
      </c>
      <c r="B196" t="s">
        <v>1467</v>
      </c>
      <c r="C196">
        <v>2</v>
      </c>
      <c r="D196"/>
      <c r="E196"/>
      <c r="F196"/>
      <c r="G196">
        <v>100</v>
      </c>
      <c r="H196">
        <v>105</v>
      </c>
      <c r="I196"/>
      <c r="J196" t="s">
        <v>268</v>
      </c>
      <c r="K196"/>
      <c r="L196" s="67" t="str">
        <f>VLOOKUP($A196,MFMaster!$A$2:$C$300,2,FALSE)</f>
        <v>7+ stories</v>
      </c>
      <c r="M196" s="67" t="str">
        <f>VLOOKUP($A196,MFMaster!$A$2:$CG$232,85,FALSE)</f>
        <v/>
      </c>
      <c r="P196"/>
      <c r="Q196"/>
    </row>
    <row r="197" spans="1:17">
      <c r="A197">
        <v>24009</v>
      </c>
      <c r="B197" t="s">
        <v>1470</v>
      </c>
      <c r="C197">
        <v>1</v>
      </c>
      <c r="D197" t="s">
        <v>1468</v>
      </c>
      <c r="E197" t="s">
        <v>175</v>
      </c>
      <c r="F197" t="s">
        <v>1471</v>
      </c>
      <c r="G197">
        <v>100</v>
      </c>
      <c r="H197">
        <v>752</v>
      </c>
      <c r="I197">
        <v>0.55000001192092896</v>
      </c>
      <c r="J197" t="s">
        <v>268</v>
      </c>
      <c r="K197" t="s">
        <v>271</v>
      </c>
      <c r="L197" s="67" t="str">
        <f>VLOOKUP($A197,MFMaster!$A$2:$C$300,2,FALSE)</f>
        <v>1-3 stories</v>
      </c>
      <c r="M197" s="67" t="str">
        <f>VLOOKUP($A197,MFMaster!$A$2:$CG$232,85,FALSE)</f>
        <v/>
      </c>
      <c r="P197"/>
      <c r="Q197"/>
    </row>
    <row r="198" spans="1:17">
      <c r="A198">
        <v>24123</v>
      </c>
      <c r="B198" t="s">
        <v>1472</v>
      </c>
      <c r="C198">
        <v>1</v>
      </c>
      <c r="D198" t="s">
        <v>1468</v>
      </c>
      <c r="E198" t="s">
        <v>182</v>
      </c>
      <c r="F198"/>
      <c r="G198">
        <v>100</v>
      </c>
      <c r="H198">
        <v>286</v>
      </c>
      <c r="I198">
        <v>0.94999998807907104</v>
      </c>
      <c r="J198" t="s">
        <v>268</v>
      </c>
      <c r="K198" t="s">
        <v>268</v>
      </c>
      <c r="L198" s="67" t="str">
        <f>VLOOKUP($A198,MFMaster!$A$2:$C$300,2,FALSE)</f>
        <v>1-3 stories</v>
      </c>
      <c r="M198" s="67" t="str">
        <f>VLOOKUP($A198,MFMaster!$A$2:$CG$232,85,FALSE)</f>
        <v/>
      </c>
      <c r="P198"/>
      <c r="Q198"/>
    </row>
    <row r="199" spans="1:17">
      <c r="A199">
        <v>24123</v>
      </c>
      <c r="B199" t="s">
        <v>1473</v>
      </c>
      <c r="C199">
        <v>2</v>
      </c>
      <c r="D199" t="s">
        <v>1468</v>
      </c>
      <c r="E199" t="s">
        <v>182</v>
      </c>
      <c r="F199"/>
      <c r="G199">
        <v>0</v>
      </c>
      <c r="H199">
        <v>62</v>
      </c>
      <c r="I199">
        <v>0.75</v>
      </c>
      <c r="J199" t="s">
        <v>271</v>
      </c>
      <c r="K199" t="s">
        <v>268</v>
      </c>
      <c r="L199" s="67" t="str">
        <f>VLOOKUP($A199,MFMaster!$A$2:$C$300,2,FALSE)</f>
        <v>1-3 stories</v>
      </c>
      <c r="M199" s="67" t="str">
        <f>VLOOKUP($A199,MFMaster!$A$2:$CG$232,85,FALSE)</f>
        <v/>
      </c>
      <c r="P199"/>
      <c r="Q199"/>
    </row>
    <row r="200" spans="1:17">
      <c r="A200">
        <v>24123</v>
      </c>
      <c r="B200" t="s">
        <v>1474</v>
      </c>
      <c r="C200">
        <v>3</v>
      </c>
      <c r="D200" t="s">
        <v>1468</v>
      </c>
      <c r="E200" t="s">
        <v>175</v>
      </c>
      <c r="F200" t="s">
        <v>1469</v>
      </c>
      <c r="G200">
        <v>100</v>
      </c>
      <c r="H200">
        <v>10</v>
      </c>
      <c r="I200">
        <v>0.55000001192092896</v>
      </c>
      <c r="J200" t="s">
        <v>268</v>
      </c>
      <c r="K200" t="s">
        <v>268</v>
      </c>
      <c r="L200" s="67" t="str">
        <f>VLOOKUP($A200,MFMaster!$A$2:$C$300,2,FALSE)</f>
        <v>1-3 stories</v>
      </c>
      <c r="M200" s="67" t="str">
        <f>VLOOKUP($A200,MFMaster!$A$2:$CG$232,85,FALSE)</f>
        <v/>
      </c>
      <c r="P200"/>
      <c r="Q200"/>
    </row>
    <row r="201" spans="1:17">
      <c r="A201">
        <v>24139</v>
      </c>
      <c r="B201" t="s">
        <v>1470</v>
      </c>
      <c r="C201">
        <v>1</v>
      </c>
      <c r="D201" t="s">
        <v>255</v>
      </c>
      <c r="E201" t="s">
        <v>175</v>
      </c>
      <c r="F201" t="s">
        <v>1469</v>
      </c>
      <c r="G201">
        <v>100</v>
      </c>
      <c r="H201">
        <v>1152</v>
      </c>
      <c r="I201">
        <v>0.75</v>
      </c>
      <c r="J201" t="s">
        <v>268</v>
      </c>
      <c r="K201" t="s">
        <v>271</v>
      </c>
      <c r="L201" s="67" t="str">
        <f>VLOOKUP($A201,MFMaster!$A$2:$C$300,2,FALSE)</f>
        <v>1-3 stories</v>
      </c>
      <c r="M201" s="67">
        <f>VLOOKUP($A201,MFMaster!$A$2:$CG$232,85,FALSE)</f>
        <v>471.54019165039102</v>
      </c>
      <c r="P201"/>
      <c r="Q201"/>
    </row>
    <row r="202" spans="1:17">
      <c r="A202">
        <v>24637</v>
      </c>
      <c r="B202" t="s">
        <v>1470</v>
      </c>
      <c r="C202">
        <v>1</v>
      </c>
      <c r="D202" t="s">
        <v>255</v>
      </c>
      <c r="E202" t="s">
        <v>175</v>
      </c>
      <c r="F202" t="s">
        <v>1471</v>
      </c>
      <c r="G202">
        <v>100</v>
      </c>
      <c r="H202">
        <v>3313</v>
      </c>
      <c r="I202">
        <v>0.85000002384185802</v>
      </c>
      <c r="J202" t="s">
        <v>268</v>
      </c>
      <c r="K202" t="s">
        <v>268</v>
      </c>
      <c r="L202" s="67" t="str">
        <f>VLOOKUP($A202,MFMaster!$A$2:$C$300,2,FALSE)</f>
        <v>1-3 stories</v>
      </c>
      <c r="M202" s="67">
        <f>VLOOKUP($A202,MFMaster!$A$2:$CG$232,85,FALSE)</f>
        <v>209.57342529296901</v>
      </c>
      <c r="P202"/>
      <c r="Q202"/>
    </row>
    <row r="203" spans="1:17">
      <c r="A203">
        <v>24802</v>
      </c>
      <c r="B203" t="s">
        <v>1470</v>
      </c>
      <c r="C203">
        <v>1</v>
      </c>
      <c r="D203" t="s">
        <v>1468</v>
      </c>
      <c r="E203" t="s">
        <v>175</v>
      </c>
      <c r="F203" t="s">
        <v>1471</v>
      </c>
      <c r="G203">
        <v>100</v>
      </c>
      <c r="H203">
        <v>2300</v>
      </c>
      <c r="I203">
        <v>0.55000001192092896</v>
      </c>
      <c r="J203" t="s">
        <v>268</v>
      </c>
      <c r="K203" t="s">
        <v>271</v>
      </c>
      <c r="L203" s="67" t="str">
        <f>VLOOKUP($A203,MFMaster!$A$2:$C$300,2,FALSE)</f>
        <v>1-3 stories</v>
      </c>
      <c r="M203" s="67">
        <f>VLOOKUP($A203,MFMaster!$A$2:$CG$232,85,FALSE)</f>
        <v>314.36013793945301</v>
      </c>
      <c r="P203"/>
      <c r="Q203"/>
    </row>
    <row r="204" spans="1:17">
      <c r="A204">
        <v>29940</v>
      </c>
      <c r="B204" t="s">
        <v>1470</v>
      </c>
      <c r="C204">
        <v>1</v>
      </c>
      <c r="D204" t="s">
        <v>1468</v>
      </c>
      <c r="E204" t="s">
        <v>175</v>
      </c>
      <c r="F204" t="s">
        <v>1469</v>
      </c>
      <c r="G204">
        <v>52</v>
      </c>
      <c r="H204">
        <v>7854</v>
      </c>
      <c r="I204">
        <v>0.44999998807907099</v>
      </c>
      <c r="J204" t="s">
        <v>268</v>
      </c>
      <c r="K204" t="s">
        <v>271</v>
      </c>
      <c r="L204" s="67" t="str">
        <f>VLOOKUP($A204,MFMaster!$A$2:$C$300,2,FALSE)</f>
        <v>4-6 stories</v>
      </c>
      <c r="M204" s="67" t="str">
        <f>VLOOKUP($A204,MFMaster!$A$2:$CG$232,85,FALSE)</f>
        <v/>
      </c>
      <c r="P204"/>
      <c r="Q204"/>
    </row>
    <row r="205" spans="1:17">
      <c r="A205">
        <v>60022</v>
      </c>
      <c r="B205" t="s">
        <v>1470</v>
      </c>
      <c r="C205">
        <v>1</v>
      </c>
      <c r="D205" t="s">
        <v>1468</v>
      </c>
      <c r="E205" t="s">
        <v>175</v>
      </c>
      <c r="F205" t="s">
        <v>1469</v>
      </c>
      <c r="G205">
        <v>100</v>
      </c>
      <c r="H205">
        <v>636</v>
      </c>
      <c r="I205">
        <v>0.44999998807907099</v>
      </c>
      <c r="J205" t="s">
        <v>268</v>
      </c>
      <c r="K205" t="s">
        <v>271</v>
      </c>
      <c r="L205" s="67" t="str">
        <f>VLOOKUP($A205,MFMaster!$A$2:$C$300,2,FALSE)</f>
        <v>1-3 stories</v>
      </c>
      <c r="M205" s="67">
        <f>VLOOKUP($A205,MFMaster!$A$2:$CG$232,85,FALSE)</f>
        <v>600.53796386718795</v>
      </c>
      <c r="P205"/>
      <c r="Q205"/>
    </row>
    <row r="206" spans="1:17">
      <c r="A206">
        <v>60051</v>
      </c>
      <c r="B206" t="s">
        <v>1470</v>
      </c>
      <c r="C206">
        <v>1</v>
      </c>
      <c r="D206" t="s">
        <v>1468</v>
      </c>
      <c r="E206" t="s">
        <v>175</v>
      </c>
      <c r="F206" t="s">
        <v>1469</v>
      </c>
      <c r="G206">
        <v>86</v>
      </c>
      <c r="H206">
        <v>647</v>
      </c>
      <c r="I206">
        <v>0.44999998807907099</v>
      </c>
      <c r="J206" t="s">
        <v>268</v>
      </c>
      <c r="K206" t="s">
        <v>271</v>
      </c>
      <c r="L206" s="67" t="str">
        <f>VLOOKUP($A206,MFMaster!$A$2:$C$300,2,FALSE)</f>
        <v>1-3 stories</v>
      </c>
      <c r="M206" s="67">
        <f>VLOOKUP($A206,MFMaster!$A$2:$CG$232,85,FALSE)</f>
        <v>960.86071777343795</v>
      </c>
      <c r="P206"/>
      <c r="Q206"/>
    </row>
    <row r="207" spans="1:17">
      <c r="A207">
        <v>60051</v>
      </c>
      <c r="B207" t="s">
        <v>1467</v>
      </c>
      <c r="C207">
        <v>2</v>
      </c>
      <c r="D207" t="s">
        <v>255</v>
      </c>
      <c r="E207" t="s">
        <v>175</v>
      </c>
      <c r="F207" t="s">
        <v>1469</v>
      </c>
      <c r="G207">
        <v>100</v>
      </c>
      <c r="H207">
        <v>255</v>
      </c>
      <c r="I207">
        <v>0.75</v>
      </c>
      <c r="J207" t="s">
        <v>268</v>
      </c>
      <c r="K207" t="s">
        <v>271</v>
      </c>
      <c r="L207" s="67" t="str">
        <f>VLOOKUP($A207,MFMaster!$A$2:$C$300,2,FALSE)</f>
        <v>1-3 stories</v>
      </c>
      <c r="M207" s="67">
        <f>VLOOKUP($A207,MFMaster!$A$2:$CG$232,85,FALSE)</f>
        <v>960.86071777343795</v>
      </c>
      <c r="P207"/>
      <c r="Q207"/>
    </row>
    <row r="208" spans="1:17">
      <c r="A208">
        <v>60071</v>
      </c>
      <c r="B208" t="s">
        <v>1472</v>
      </c>
      <c r="C208">
        <v>1</v>
      </c>
      <c r="D208" t="s">
        <v>1468</v>
      </c>
      <c r="E208" t="s">
        <v>175</v>
      </c>
      <c r="F208" t="s">
        <v>1469</v>
      </c>
      <c r="G208">
        <v>97</v>
      </c>
      <c r="H208">
        <v>2802</v>
      </c>
      <c r="I208">
        <v>0.55000001192092896</v>
      </c>
      <c r="J208" t="s">
        <v>268</v>
      </c>
      <c r="K208" t="s">
        <v>268</v>
      </c>
      <c r="L208" s="67" t="str">
        <f>VLOOKUP($A208,MFMaster!$A$2:$C$300,2,FALSE)</f>
        <v>4-6 stories</v>
      </c>
      <c r="M208" s="67" t="str">
        <f>VLOOKUP($A208,MFMaster!$A$2:$CG$232,85,FALSE)</f>
        <v/>
      </c>
      <c r="P208"/>
      <c r="Q208"/>
    </row>
    <row r="209" spans="1:17">
      <c r="A209">
        <v>60071</v>
      </c>
      <c r="B209" t="s">
        <v>1473</v>
      </c>
      <c r="C209">
        <v>2</v>
      </c>
      <c r="D209" t="s">
        <v>1468</v>
      </c>
      <c r="E209" t="s">
        <v>175</v>
      </c>
      <c r="F209" t="s">
        <v>1469</v>
      </c>
      <c r="G209">
        <v>100</v>
      </c>
      <c r="H209">
        <v>442</v>
      </c>
      <c r="I209">
        <v>0.44999998807907099</v>
      </c>
      <c r="J209" t="s">
        <v>268</v>
      </c>
      <c r="K209" t="s">
        <v>271</v>
      </c>
      <c r="L209" s="67" t="str">
        <f>VLOOKUP($A209,MFMaster!$A$2:$C$300,2,FALSE)</f>
        <v>4-6 stories</v>
      </c>
      <c r="M209" s="67" t="str">
        <f>VLOOKUP($A209,MFMaster!$A$2:$CG$232,85,FALSE)</f>
        <v/>
      </c>
      <c r="P209"/>
      <c r="Q209"/>
    </row>
    <row r="210" spans="1:17">
      <c r="A210">
        <v>60099</v>
      </c>
      <c r="B210" t="s">
        <v>1470</v>
      </c>
      <c r="C210">
        <v>1</v>
      </c>
      <c r="D210" t="s">
        <v>255</v>
      </c>
      <c r="E210" t="s">
        <v>175</v>
      </c>
      <c r="F210" t="s">
        <v>1471</v>
      </c>
      <c r="G210">
        <v>100</v>
      </c>
      <c r="H210">
        <v>1036</v>
      </c>
      <c r="I210">
        <v>0.85000002384185802</v>
      </c>
      <c r="J210" t="s">
        <v>268</v>
      </c>
      <c r="K210" t="s">
        <v>268</v>
      </c>
      <c r="L210" s="67" t="str">
        <f>VLOOKUP($A210,MFMaster!$A$2:$C$300,2,FALSE)</f>
        <v>1-3 stories</v>
      </c>
      <c r="M210" s="67">
        <f>VLOOKUP($A210,MFMaster!$A$2:$CG$232,85,FALSE)</f>
        <v>300.26898193359398</v>
      </c>
      <c r="P210"/>
      <c r="Q210"/>
    </row>
    <row r="211" spans="1:17">
      <c r="A211">
        <v>71001</v>
      </c>
      <c r="B211" t="s">
        <v>1470</v>
      </c>
      <c r="C211">
        <v>1</v>
      </c>
      <c r="D211" t="s">
        <v>1468</v>
      </c>
      <c r="E211" t="s">
        <v>175</v>
      </c>
      <c r="F211" t="s">
        <v>1471</v>
      </c>
      <c r="G211">
        <v>100</v>
      </c>
      <c r="H211">
        <v>540</v>
      </c>
      <c r="I211">
        <v>0.55000001192092896</v>
      </c>
      <c r="J211" t="s">
        <v>268</v>
      </c>
      <c r="K211" t="s">
        <v>271</v>
      </c>
      <c r="L211" s="67" t="str">
        <f>VLOOKUP($A211,MFMaster!$A$2:$C$300,2,FALSE)</f>
        <v>1-3 stories</v>
      </c>
      <c r="M211" s="67">
        <f>VLOOKUP($A211,MFMaster!$A$2:$CG$232,85,FALSE)</f>
        <v>136.90428161621099</v>
      </c>
      <c r="P211"/>
      <c r="Q211"/>
    </row>
    <row r="212" spans="1:17">
      <c r="A212">
        <v>71001</v>
      </c>
      <c r="B212" t="s">
        <v>1467</v>
      </c>
      <c r="C212">
        <v>2</v>
      </c>
      <c r="D212" t="s">
        <v>255</v>
      </c>
      <c r="E212" t="s">
        <v>182</v>
      </c>
      <c r="F212"/>
      <c r="G212">
        <v>0</v>
      </c>
      <c r="H212">
        <v>9</v>
      </c>
      <c r="I212">
        <v>1.1000000238418599</v>
      </c>
      <c r="J212" t="s">
        <v>268</v>
      </c>
      <c r="K212" t="s">
        <v>268</v>
      </c>
      <c r="L212" s="67" t="str">
        <f>VLOOKUP($A212,MFMaster!$A$2:$C$300,2,FALSE)</f>
        <v>1-3 stories</v>
      </c>
      <c r="M212" s="67">
        <f>VLOOKUP($A212,MFMaster!$A$2:$CG$232,85,FALSE)</f>
        <v>136.90428161621099</v>
      </c>
      <c r="P212"/>
      <c r="Q212"/>
    </row>
    <row r="213" spans="1:17">
      <c r="A213">
        <v>71002</v>
      </c>
      <c r="B213" t="s">
        <v>1470</v>
      </c>
      <c r="C213">
        <v>1</v>
      </c>
      <c r="D213" t="s">
        <v>1468</v>
      </c>
      <c r="E213" t="s">
        <v>175</v>
      </c>
      <c r="F213" t="s">
        <v>1469</v>
      </c>
      <c r="G213">
        <v>100</v>
      </c>
      <c r="H213">
        <v>1366</v>
      </c>
      <c r="I213">
        <v>0.44999998807907099</v>
      </c>
      <c r="J213" t="s">
        <v>268</v>
      </c>
      <c r="K213" t="s">
        <v>271</v>
      </c>
      <c r="L213" s="67" t="str">
        <f>VLOOKUP($A213,MFMaster!$A$2:$C$300,2,FALSE)</f>
        <v>4-6 stories</v>
      </c>
      <c r="M213" s="67" t="str">
        <f>VLOOKUP($A213,MFMaster!$A$2:$CG$232,85,FALSE)</f>
        <v/>
      </c>
      <c r="P213"/>
      <c r="Q213"/>
    </row>
    <row r="214" spans="1:17">
      <c r="A214">
        <v>71002</v>
      </c>
      <c r="B214" t="s">
        <v>1467</v>
      </c>
      <c r="C214">
        <v>2</v>
      </c>
      <c r="D214" t="s">
        <v>1468</v>
      </c>
      <c r="E214" t="s">
        <v>175</v>
      </c>
      <c r="F214" t="s">
        <v>1471</v>
      </c>
      <c r="G214">
        <v>100</v>
      </c>
      <c r="H214">
        <v>14</v>
      </c>
      <c r="I214">
        <v>0.55000001192092896</v>
      </c>
      <c r="J214" t="s">
        <v>268</v>
      </c>
      <c r="K214" t="s">
        <v>271</v>
      </c>
      <c r="L214" s="67" t="str">
        <f>VLOOKUP($A214,MFMaster!$A$2:$C$300,2,FALSE)</f>
        <v>4-6 stories</v>
      </c>
      <c r="M214" s="67" t="str">
        <f>VLOOKUP($A214,MFMaster!$A$2:$CG$232,85,FALSE)</f>
        <v/>
      </c>
      <c r="P214"/>
      <c r="Q214"/>
    </row>
    <row r="215" spans="1:17">
      <c r="A215">
        <v>71002</v>
      </c>
      <c r="B215" t="s">
        <v>1472</v>
      </c>
      <c r="C215">
        <v>3</v>
      </c>
      <c r="D215" t="s">
        <v>1468</v>
      </c>
      <c r="E215" t="s">
        <v>175</v>
      </c>
      <c r="F215" t="s">
        <v>1469</v>
      </c>
      <c r="G215">
        <v>0</v>
      </c>
      <c r="H215">
        <v>13</v>
      </c>
      <c r="I215">
        <v>0.55000001192092896</v>
      </c>
      <c r="J215" t="s">
        <v>268</v>
      </c>
      <c r="K215" t="s">
        <v>268</v>
      </c>
      <c r="L215" s="67" t="str">
        <f>VLOOKUP($A215,MFMaster!$A$2:$C$300,2,FALSE)</f>
        <v>4-6 stories</v>
      </c>
      <c r="M215" s="67" t="str">
        <f>VLOOKUP($A215,MFMaster!$A$2:$CG$232,85,FALSE)</f>
        <v/>
      </c>
      <c r="P215"/>
      <c r="Q215"/>
    </row>
    <row r="216" spans="1:17">
      <c r="A216">
        <v>71003</v>
      </c>
      <c r="B216" t="s">
        <v>1470</v>
      </c>
      <c r="C216">
        <v>1</v>
      </c>
      <c r="D216" t="s">
        <v>255</v>
      </c>
      <c r="E216" t="s">
        <v>175</v>
      </c>
      <c r="F216" t="s">
        <v>1469</v>
      </c>
      <c r="G216">
        <v>100</v>
      </c>
      <c r="H216">
        <v>413</v>
      </c>
      <c r="I216">
        <v>0.80000001192092896</v>
      </c>
      <c r="J216" t="s">
        <v>268</v>
      </c>
      <c r="K216" t="s">
        <v>268</v>
      </c>
      <c r="L216" s="67" t="str">
        <f>VLOOKUP($A216,MFMaster!$A$2:$C$300,2,FALSE)</f>
        <v>1-3 stories</v>
      </c>
      <c r="M216" s="67">
        <f>VLOOKUP($A216,MFMaster!$A$2:$CG$232,85,FALSE)</f>
        <v>182.53904724121099</v>
      </c>
      <c r="P216"/>
      <c r="Q216"/>
    </row>
    <row r="217" spans="1:17">
      <c r="A217">
        <v>71003</v>
      </c>
      <c r="B217" t="s">
        <v>1467</v>
      </c>
      <c r="C217">
        <v>2</v>
      </c>
      <c r="D217" t="s">
        <v>1468</v>
      </c>
      <c r="E217" t="s">
        <v>175</v>
      </c>
      <c r="F217" t="s">
        <v>1469</v>
      </c>
      <c r="G217">
        <v>10</v>
      </c>
      <c r="H217">
        <v>24</v>
      </c>
      <c r="I217">
        <v>0.44999998807907099</v>
      </c>
      <c r="J217" t="s">
        <v>268</v>
      </c>
      <c r="K217" t="s">
        <v>271</v>
      </c>
      <c r="L217" s="67" t="str">
        <f>VLOOKUP($A217,MFMaster!$A$2:$C$300,2,FALSE)</f>
        <v>1-3 stories</v>
      </c>
      <c r="M217" s="67">
        <f>VLOOKUP($A217,MFMaster!$A$2:$CG$232,85,FALSE)</f>
        <v>182.53904724121099</v>
      </c>
      <c r="P217"/>
      <c r="Q217"/>
    </row>
    <row r="218" spans="1:17">
      <c r="A218">
        <v>71004</v>
      </c>
      <c r="B218" t="s">
        <v>1470</v>
      </c>
      <c r="C218">
        <v>1</v>
      </c>
      <c r="D218" t="s">
        <v>255</v>
      </c>
      <c r="E218" t="s">
        <v>175</v>
      </c>
      <c r="F218" t="s">
        <v>1471</v>
      </c>
      <c r="G218">
        <v>98</v>
      </c>
      <c r="H218">
        <v>790</v>
      </c>
      <c r="I218">
        <v>0.85000002384185802</v>
      </c>
      <c r="J218" t="s">
        <v>268</v>
      </c>
      <c r="K218" t="s">
        <v>268</v>
      </c>
      <c r="L218" s="67" t="str">
        <f>VLOOKUP($A218,MFMaster!$A$2:$C$300,2,FALSE)</f>
        <v>1-3 stories</v>
      </c>
      <c r="M218" s="67">
        <f>VLOOKUP($A218,MFMaster!$A$2:$CG$232,85,FALSE)</f>
        <v>136.90428161621099</v>
      </c>
      <c r="P218"/>
      <c r="Q218"/>
    </row>
    <row r="219" spans="1:17">
      <c r="A219">
        <v>71005</v>
      </c>
      <c r="B219" t="s">
        <v>1467</v>
      </c>
      <c r="C219">
        <v>1</v>
      </c>
      <c r="D219" t="s">
        <v>255</v>
      </c>
      <c r="E219" t="s">
        <v>182</v>
      </c>
      <c r="F219"/>
      <c r="G219">
        <v>100</v>
      </c>
      <c r="H219">
        <v>1026</v>
      </c>
      <c r="I219">
        <v>1.1000000238418599</v>
      </c>
      <c r="J219" t="s">
        <v>268</v>
      </c>
      <c r="K219" t="s">
        <v>268</v>
      </c>
      <c r="L219" s="67" t="str">
        <f>VLOOKUP($A219,MFMaster!$A$2:$C$300,2,FALSE)</f>
        <v>1-3 stories</v>
      </c>
      <c r="M219" s="67">
        <f>VLOOKUP($A219,MFMaster!$A$2:$CG$232,85,FALSE)</f>
        <v>121.69268798828099</v>
      </c>
      <c r="P219"/>
      <c r="Q219"/>
    </row>
    <row r="220" spans="1:17">
      <c r="A220">
        <v>71005</v>
      </c>
      <c r="B220" t="s">
        <v>1472</v>
      </c>
      <c r="C220">
        <v>2</v>
      </c>
      <c r="D220" t="s">
        <v>1468</v>
      </c>
      <c r="E220" t="s">
        <v>175</v>
      </c>
      <c r="F220" t="s">
        <v>1469</v>
      </c>
      <c r="G220">
        <v>100</v>
      </c>
      <c r="H220">
        <v>51</v>
      </c>
      <c r="I220">
        <v>0.44999998807907099</v>
      </c>
      <c r="J220" t="s">
        <v>268</v>
      </c>
      <c r="K220" t="s">
        <v>271</v>
      </c>
      <c r="L220" s="67" t="str">
        <f>VLOOKUP($A220,MFMaster!$A$2:$C$300,2,FALSE)</f>
        <v>1-3 stories</v>
      </c>
      <c r="M220" s="67">
        <f>VLOOKUP($A220,MFMaster!$A$2:$CG$232,85,FALSE)</f>
        <v>121.69268798828099</v>
      </c>
      <c r="P220"/>
      <c r="Q220"/>
    </row>
    <row r="221" spans="1:17">
      <c r="A221">
        <v>71006</v>
      </c>
      <c r="B221" t="s">
        <v>1467</v>
      </c>
      <c r="C221">
        <v>1</v>
      </c>
      <c r="D221" t="s">
        <v>1468</v>
      </c>
      <c r="E221" t="s">
        <v>175</v>
      </c>
      <c r="F221" t="s">
        <v>1469</v>
      </c>
      <c r="G221">
        <v>100</v>
      </c>
      <c r="H221">
        <v>361</v>
      </c>
      <c r="I221">
        <v>0.44999998807907099</v>
      </c>
      <c r="J221" t="s">
        <v>268</v>
      </c>
      <c r="K221" t="s">
        <v>271</v>
      </c>
      <c r="L221" s="67" t="str">
        <f>VLOOKUP($A221,MFMaster!$A$2:$C$300,2,FALSE)</f>
        <v>1-3 stories</v>
      </c>
      <c r="M221" s="67">
        <f>VLOOKUP($A221,MFMaster!$A$2:$CG$232,85,FALSE)</f>
        <v>219.04685974121099</v>
      </c>
      <c r="P221"/>
      <c r="Q221"/>
    </row>
    <row r="222" spans="1:17">
      <c r="A222">
        <v>71007</v>
      </c>
      <c r="B222" t="s">
        <v>1470</v>
      </c>
      <c r="C222">
        <v>1</v>
      </c>
      <c r="D222" t="s">
        <v>255</v>
      </c>
      <c r="E222" t="s">
        <v>182</v>
      </c>
      <c r="F222" t="s">
        <v>1469</v>
      </c>
      <c r="G222">
        <v>97</v>
      </c>
      <c r="H222">
        <v>794</v>
      </c>
      <c r="I222">
        <v>1.1000000238418599</v>
      </c>
      <c r="J222" t="s">
        <v>268</v>
      </c>
      <c r="K222" t="s">
        <v>268</v>
      </c>
      <c r="L222" s="67" t="str">
        <f>VLOOKUP($A222,MFMaster!$A$2:$C$300,2,FALSE)</f>
        <v>1-3 stories</v>
      </c>
      <c r="M222" s="67">
        <f>VLOOKUP($A222,MFMaster!$A$2:$CG$232,85,FALSE)</f>
        <v>219.04685974121099</v>
      </c>
      <c r="P222"/>
      <c r="Q222"/>
    </row>
    <row r="223" spans="1:17">
      <c r="A223">
        <v>71007</v>
      </c>
      <c r="B223" t="s">
        <v>1467</v>
      </c>
      <c r="C223">
        <v>2</v>
      </c>
      <c r="D223" t="s">
        <v>1468</v>
      </c>
      <c r="E223" t="s">
        <v>182</v>
      </c>
      <c r="F223"/>
      <c r="G223">
        <v>100</v>
      </c>
      <c r="H223">
        <v>20</v>
      </c>
      <c r="I223">
        <v>0.94999998807907104</v>
      </c>
      <c r="J223" t="s">
        <v>268</v>
      </c>
      <c r="K223" t="s">
        <v>268</v>
      </c>
      <c r="L223" s="67" t="str">
        <f>VLOOKUP($A223,MFMaster!$A$2:$C$300,2,FALSE)</f>
        <v>1-3 stories</v>
      </c>
      <c r="M223" s="67">
        <f>VLOOKUP($A223,MFMaster!$A$2:$CG$232,85,FALSE)</f>
        <v>219.04685974121099</v>
      </c>
      <c r="P223"/>
      <c r="Q223"/>
    </row>
    <row r="224" spans="1:17">
      <c r="A224">
        <v>71008</v>
      </c>
      <c r="B224" t="s">
        <v>1472</v>
      </c>
      <c r="C224">
        <v>1</v>
      </c>
      <c r="D224" t="s">
        <v>1468</v>
      </c>
      <c r="E224" t="s">
        <v>175</v>
      </c>
      <c r="F224" t="s">
        <v>1469</v>
      </c>
      <c r="G224">
        <v>100</v>
      </c>
      <c r="H224">
        <v>767</v>
      </c>
      <c r="I224">
        <v>0.44999998807907099</v>
      </c>
      <c r="J224" t="s">
        <v>268</v>
      </c>
      <c r="K224" t="s">
        <v>271</v>
      </c>
      <c r="L224" s="67" t="str">
        <f>VLOOKUP($A224,MFMaster!$A$2:$C$300,2,FALSE)</f>
        <v>1-3 stories</v>
      </c>
      <c r="M224" s="67">
        <f>VLOOKUP($A224,MFMaster!$A$2:$CG$232,85,FALSE)</f>
        <v>182.53904724121099</v>
      </c>
      <c r="P224"/>
      <c r="Q224"/>
    </row>
    <row r="225" spans="1:17">
      <c r="A225">
        <v>71009</v>
      </c>
      <c r="B225" t="s">
        <v>1467</v>
      </c>
      <c r="C225">
        <v>1</v>
      </c>
      <c r="D225" t="s">
        <v>255</v>
      </c>
      <c r="E225" t="s">
        <v>175</v>
      </c>
      <c r="F225" t="s">
        <v>1469</v>
      </c>
      <c r="G225">
        <v>100</v>
      </c>
      <c r="H225">
        <v>484</v>
      </c>
      <c r="I225">
        <v>0.80000001192092896</v>
      </c>
      <c r="J225" t="s">
        <v>268</v>
      </c>
      <c r="K225" t="s">
        <v>268</v>
      </c>
      <c r="L225" s="67" t="str">
        <f>VLOOKUP($A225,MFMaster!$A$2:$C$300,2,FALSE)</f>
        <v>1-3 stories</v>
      </c>
      <c r="M225" s="67" t="str">
        <f>VLOOKUP($A225,MFMaster!$A$2:$CG$232,85,FALSE)</f>
        <v/>
      </c>
      <c r="P225"/>
      <c r="Q225"/>
    </row>
    <row r="226" spans="1:17">
      <c r="A226">
        <v>71009</v>
      </c>
      <c r="B226" t="s">
        <v>1472</v>
      </c>
      <c r="C226">
        <v>2</v>
      </c>
      <c r="D226" t="s">
        <v>255</v>
      </c>
      <c r="E226" t="s">
        <v>182</v>
      </c>
      <c r="F226"/>
      <c r="G226">
        <v>0</v>
      </c>
      <c r="H226">
        <v>9</v>
      </c>
      <c r="I226">
        <v>1.1000000238418599</v>
      </c>
      <c r="J226" t="s">
        <v>268</v>
      </c>
      <c r="K226" t="s">
        <v>268</v>
      </c>
      <c r="L226" s="67" t="str">
        <f>VLOOKUP($A226,MFMaster!$A$2:$C$300,2,FALSE)</f>
        <v>1-3 stories</v>
      </c>
      <c r="M226" s="67" t="str">
        <f>VLOOKUP($A226,MFMaster!$A$2:$CG$232,85,FALSE)</f>
        <v/>
      </c>
      <c r="P226"/>
      <c r="Q226"/>
    </row>
    <row r="227" spans="1:17">
      <c r="A227">
        <v>71010</v>
      </c>
      <c r="B227" t="s">
        <v>1467</v>
      </c>
      <c r="C227">
        <v>1</v>
      </c>
      <c r="D227" t="s">
        <v>255</v>
      </c>
      <c r="E227" t="s">
        <v>175</v>
      </c>
      <c r="F227" t="s">
        <v>1469</v>
      </c>
      <c r="G227">
        <v>100</v>
      </c>
      <c r="H227">
        <v>813</v>
      </c>
      <c r="I227">
        <v>0.80000001192092896</v>
      </c>
      <c r="J227" t="s">
        <v>268</v>
      </c>
      <c r="K227" t="s">
        <v>268</v>
      </c>
      <c r="L227" s="67" t="str">
        <f>VLOOKUP($A227,MFMaster!$A$2:$C$300,2,FALSE)</f>
        <v>1-3 stories</v>
      </c>
      <c r="M227" s="67">
        <f>VLOOKUP($A227,MFMaster!$A$2:$CG$232,85,FALSE)</f>
        <v>182.53904724121099</v>
      </c>
      <c r="P227"/>
      <c r="Q227"/>
    </row>
    <row r="228" spans="1:17">
      <c r="A228">
        <v>71010</v>
      </c>
      <c r="B228" t="s">
        <v>1472</v>
      </c>
      <c r="C228">
        <v>2</v>
      </c>
      <c r="D228" t="s">
        <v>1468</v>
      </c>
      <c r="E228" t="s">
        <v>175</v>
      </c>
      <c r="F228" t="s">
        <v>1471</v>
      </c>
      <c r="G228">
        <v>100</v>
      </c>
      <c r="H228">
        <v>20</v>
      </c>
      <c r="I228">
        <v>0.60000002384185802</v>
      </c>
      <c r="J228" t="s">
        <v>268</v>
      </c>
      <c r="K228" t="s">
        <v>268</v>
      </c>
      <c r="L228" s="67" t="str">
        <f>VLOOKUP($A228,MFMaster!$A$2:$C$300,2,FALSE)</f>
        <v>1-3 stories</v>
      </c>
      <c r="M228" s="67">
        <f>VLOOKUP($A228,MFMaster!$A$2:$CG$232,85,FALSE)</f>
        <v>182.53904724121099</v>
      </c>
      <c r="P228"/>
      <c r="Q228"/>
    </row>
    <row r="229" spans="1:17">
      <c r="A229">
        <v>71011</v>
      </c>
      <c r="B229" t="s">
        <v>1472</v>
      </c>
      <c r="C229">
        <v>1</v>
      </c>
      <c r="D229" t="s">
        <v>255</v>
      </c>
      <c r="E229" t="s">
        <v>175</v>
      </c>
      <c r="F229" t="s">
        <v>1471</v>
      </c>
      <c r="G229">
        <v>90</v>
      </c>
      <c r="H229">
        <v>674</v>
      </c>
      <c r="I229">
        <v>0.75</v>
      </c>
      <c r="J229" t="s">
        <v>268</v>
      </c>
      <c r="K229" t="s">
        <v>271</v>
      </c>
      <c r="L229" s="67" t="str">
        <f>VLOOKUP($A229,MFMaster!$A$2:$C$300,2,FALSE)</f>
        <v>1-3 stories</v>
      </c>
      <c r="M229" s="67">
        <f>VLOOKUP($A229,MFMaster!$A$2:$CG$232,85,FALSE)</f>
        <v>136.90428161621099</v>
      </c>
      <c r="P229"/>
      <c r="Q229"/>
    </row>
    <row r="230" spans="1:17">
      <c r="A230">
        <v>71012</v>
      </c>
      <c r="B230" t="s">
        <v>1467</v>
      </c>
      <c r="C230">
        <v>1</v>
      </c>
      <c r="D230" t="s">
        <v>255</v>
      </c>
      <c r="E230" t="s">
        <v>175</v>
      </c>
      <c r="F230" t="s">
        <v>1471</v>
      </c>
      <c r="G230">
        <v>90</v>
      </c>
      <c r="H230">
        <v>497</v>
      </c>
      <c r="I230">
        <v>0.85000002384185802</v>
      </c>
      <c r="J230" t="s">
        <v>268</v>
      </c>
      <c r="K230" t="s">
        <v>268</v>
      </c>
      <c r="L230" s="67" t="str">
        <f>VLOOKUP($A230,MFMaster!$A$2:$C$300,2,FALSE)</f>
        <v>1-3 stories</v>
      </c>
      <c r="M230" s="67">
        <f>VLOOKUP($A230,MFMaster!$A$2:$CG$232,85,FALSE)</f>
        <v>182.53904724121099</v>
      </c>
      <c r="P230"/>
      <c r="Q230"/>
    </row>
    <row r="231" spans="1:17">
      <c r="A231">
        <v>71013</v>
      </c>
      <c r="B231" t="s">
        <v>1467</v>
      </c>
      <c r="C231">
        <v>1</v>
      </c>
      <c r="D231" t="s">
        <v>1468</v>
      </c>
      <c r="E231" t="s">
        <v>175</v>
      </c>
      <c r="F231" t="s">
        <v>1469</v>
      </c>
      <c r="G231">
        <v>94</v>
      </c>
      <c r="H231">
        <v>834</v>
      </c>
      <c r="I231">
        <v>0.55000001192092896</v>
      </c>
      <c r="J231" t="s">
        <v>268</v>
      </c>
      <c r="K231" t="s">
        <v>268</v>
      </c>
      <c r="L231" s="67" t="str">
        <f>VLOOKUP($A231,MFMaster!$A$2:$C$300,2,FALSE)</f>
        <v>1-3 stories</v>
      </c>
      <c r="M231" s="67" t="str">
        <f>VLOOKUP($A231,MFMaster!$A$2:$CG$232,85,FALSE)</f>
        <v/>
      </c>
      <c r="P231"/>
      <c r="Q231"/>
    </row>
    <row r="232" spans="1:17">
      <c r="A232">
        <v>71013</v>
      </c>
      <c r="B232" t="s">
        <v>1472</v>
      </c>
      <c r="C232">
        <v>2</v>
      </c>
      <c r="D232" t="s">
        <v>255</v>
      </c>
      <c r="E232" t="s">
        <v>182</v>
      </c>
      <c r="F232" t="s">
        <v>1471</v>
      </c>
      <c r="G232">
        <v>100</v>
      </c>
      <c r="H232">
        <v>24</v>
      </c>
      <c r="I232">
        <v>1.1000000238418599</v>
      </c>
      <c r="J232" t="s">
        <v>268</v>
      </c>
      <c r="K232" t="s">
        <v>268</v>
      </c>
      <c r="L232" s="67" t="str">
        <f>VLOOKUP($A232,MFMaster!$A$2:$C$300,2,FALSE)</f>
        <v>1-3 stories</v>
      </c>
      <c r="M232" s="67" t="str">
        <f>VLOOKUP($A232,MFMaster!$A$2:$CG$232,85,FALSE)</f>
        <v/>
      </c>
      <c r="P232"/>
      <c r="Q232"/>
    </row>
    <row r="233" spans="1:17">
      <c r="A233">
        <v>71014</v>
      </c>
      <c r="B233" t="s">
        <v>1470</v>
      </c>
      <c r="C233">
        <v>1</v>
      </c>
      <c r="D233" t="s">
        <v>1468</v>
      </c>
      <c r="E233" t="s">
        <v>175</v>
      </c>
      <c r="F233" t="s">
        <v>1469</v>
      </c>
      <c r="G233">
        <v>100</v>
      </c>
      <c r="H233">
        <v>729</v>
      </c>
      <c r="I233">
        <v>0.44999998807907099</v>
      </c>
      <c r="J233" t="s">
        <v>268</v>
      </c>
      <c r="K233" t="s">
        <v>271</v>
      </c>
      <c r="L233" s="67" t="str">
        <f>VLOOKUP($A233,MFMaster!$A$2:$C$300,2,FALSE)</f>
        <v>1-3 stories</v>
      </c>
      <c r="M233" s="67">
        <f>VLOOKUP($A233,MFMaster!$A$2:$CG$232,85,FALSE)</f>
        <v>136.90428161621099</v>
      </c>
      <c r="P233"/>
      <c r="Q233"/>
    </row>
    <row r="234" spans="1:17">
      <c r="A234">
        <v>72001</v>
      </c>
      <c r="B234" t="s">
        <v>1470</v>
      </c>
      <c r="C234">
        <v>1</v>
      </c>
      <c r="D234" t="s">
        <v>1468</v>
      </c>
      <c r="E234" t="s">
        <v>175</v>
      </c>
      <c r="F234" t="s">
        <v>1469</v>
      </c>
      <c r="G234">
        <v>100</v>
      </c>
      <c r="H234">
        <v>1490</v>
      </c>
      <c r="I234">
        <v>0.44999998807907099</v>
      </c>
      <c r="J234" t="s">
        <v>268</v>
      </c>
      <c r="K234" t="s">
        <v>271</v>
      </c>
      <c r="L234" s="67" t="str">
        <f>VLOOKUP($A234,MFMaster!$A$2:$C$300,2,FALSE)</f>
        <v>1-3 stories</v>
      </c>
      <c r="M234" s="67">
        <f>VLOOKUP($A234,MFMaster!$A$2:$CG$232,85,FALSE)</f>
        <v>78.231018066406307</v>
      </c>
      <c r="P234"/>
      <c r="Q234"/>
    </row>
    <row r="235" spans="1:17">
      <c r="A235">
        <v>72001</v>
      </c>
      <c r="B235" t="s">
        <v>1467</v>
      </c>
      <c r="C235">
        <v>2</v>
      </c>
      <c r="D235" t="s">
        <v>1468</v>
      </c>
      <c r="E235" t="s">
        <v>182</v>
      </c>
      <c r="F235"/>
      <c r="G235">
        <v>0</v>
      </c>
      <c r="H235">
        <v>68</v>
      </c>
      <c r="I235">
        <v>0.94999998807907104</v>
      </c>
      <c r="J235" t="s">
        <v>268</v>
      </c>
      <c r="K235" t="s">
        <v>268</v>
      </c>
      <c r="L235" s="67" t="str">
        <f>VLOOKUP($A235,MFMaster!$A$2:$C$300,2,FALSE)</f>
        <v>1-3 stories</v>
      </c>
      <c r="M235" s="67">
        <f>VLOOKUP($A235,MFMaster!$A$2:$CG$232,85,FALSE)</f>
        <v>78.231018066406307</v>
      </c>
      <c r="P235"/>
      <c r="Q235"/>
    </row>
    <row r="236" spans="1:17">
      <c r="A236">
        <v>72002</v>
      </c>
      <c r="B236" t="s">
        <v>1470</v>
      </c>
      <c r="C236">
        <v>1</v>
      </c>
      <c r="D236" t="s">
        <v>1468</v>
      </c>
      <c r="E236" t="s">
        <v>175</v>
      </c>
      <c r="F236" t="s">
        <v>1469</v>
      </c>
      <c r="G236">
        <v>100</v>
      </c>
      <c r="H236">
        <v>1576</v>
      </c>
      <c r="I236">
        <v>0.44999998807907099</v>
      </c>
      <c r="J236" t="s">
        <v>268</v>
      </c>
      <c r="K236" t="s">
        <v>271</v>
      </c>
      <c r="L236" s="67" t="str">
        <f>VLOOKUP($A236,MFMaster!$A$2:$C$300,2,FALSE)</f>
        <v>4-6 stories</v>
      </c>
      <c r="M236" s="67" t="str">
        <f>VLOOKUP($A236,MFMaster!$A$2:$CG$232,85,FALSE)</f>
        <v/>
      </c>
      <c r="P236"/>
      <c r="Q236"/>
    </row>
    <row r="237" spans="1:17">
      <c r="A237">
        <v>72002</v>
      </c>
      <c r="B237" t="s">
        <v>1467</v>
      </c>
      <c r="C237">
        <v>2</v>
      </c>
      <c r="D237" t="s">
        <v>255</v>
      </c>
      <c r="E237" t="s">
        <v>175</v>
      </c>
      <c r="F237" t="s">
        <v>1469</v>
      </c>
      <c r="G237">
        <v>50</v>
      </c>
      <c r="H237">
        <v>70</v>
      </c>
      <c r="I237">
        <v>0.75</v>
      </c>
      <c r="J237" t="s">
        <v>268</v>
      </c>
      <c r="K237" t="s">
        <v>271</v>
      </c>
      <c r="L237" s="67" t="str">
        <f>VLOOKUP($A237,MFMaster!$A$2:$C$300,2,FALSE)</f>
        <v>4-6 stories</v>
      </c>
      <c r="M237" s="67" t="str">
        <f>VLOOKUP($A237,MFMaster!$A$2:$CG$232,85,FALSE)</f>
        <v/>
      </c>
      <c r="P237"/>
      <c r="Q237"/>
    </row>
    <row r="238" spans="1:17">
      <c r="A238">
        <v>72002</v>
      </c>
      <c r="B238" t="s">
        <v>1472</v>
      </c>
      <c r="C238">
        <v>3</v>
      </c>
      <c r="D238" t="s">
        <v>1468</v>
      </c>
      <c r="E238" t="s">
        <v>175</v>
      </c>
      <c r="F238" t="s">
        <v>1469</v>
      </c>
      <c r="G238">
        <v>0</v>
      </c>
      <c r="H238">
        <v>24</v>
      </c>
      <c r="I238">
        <v>0.55000001192092896</v>
      </c>
      <c r="J238" t="s">
        <v>268</v>
      </c>
      <c r="K238" t="s">
        <v>268</v>
      </c>
      <c r="L238" s="67" t="str">
        <f>VLOOKUP($A238,MFMaster!$A$2:$C$300,2,FALSE)</f>
        <v>4-6 stories</v>
      </c>
      <c r="M238" s="67" t="str">
        <f>VLOOKUP($A238,MFMaster!$A$2:$CG$232,85,FALSE)</f>
        <v/>
      </c>
      <c r="P238"/>
      <c r="Q238"/>
    </row>
    <row r="239" spans="1:17">
      <c r="A239">
        <v>72003</v>
      </c>
      <c r="B239" t="s">
        <v>1467</v>
      </c>
      <c r="C239">
        <v>1</v>
      </c>
      <c r="D239" t="s">
        <v>255</v>
      </c>
      <c r="E239" t="s">
        <v>175</v>
      </c>
      <c r="F239" t="s">
        <v>1471</v>
      </c>
      <c r="G239">
        <v>96</v>
      </c>
      <c r="H239">
        <v>1363</v>
      </c>
      <c r="I239">
        <v>0.75</v>
      </c>
      <c r="J239" t="s">
        <v>268</v>
      </c>
      <c r="K239" t="s">
        <v>271</v>
      </c>
      <c r="L239" s="67" t="str">
        <f>VLOOKUP($A239,MFMaster!$A$2:$C$300,2,FALSE)</f>
        <v>4-6 stories</v>
      </c>
      <c r="M239" s="67" t="str">
        <f>VLOOKUP($A239,MFMaster!$A$2:$CG$232,85,FALSE)</f>
        <v/>
      </c>
      <c r="P239"/>
      <c r="Q239"/>
    </row>
    <row r="240" spans="1:17">
      <c r="A240">
        <v>72004</v>
      </c>
      <c r="B240" t="s">
        <v>1467</v>
      </c>
      <c r="C240">
        <v>1</v>
      </c>
      <c r="D240" t="s">
        <v>1468</v>
      </c>
      <c r="E240" t="s">
        <v>175</v>
      </c>
      <c r="F240" t="s">
        <v>1469</v>
      </c>
      <c r="G240">
        <v>69</v>
      </c>
      <c r="H240">
        <v>1520</v>
      </c>
      <c r="I240">
        <v>0.55000001192092896</v>
      </c>
      <c r="J240" t="s">
        <v>268</v>
      </c>
      <c r="K240" t="s">
        <v>268</v>
      </c>
      <c r="L240" s="67" t="str">
        <f>VLOOKUP($A240,MFMaster!$A$2:$C$300,2,FALSE)</f>
        <v>4-6 stories</v>
      </c>
      <c r="M240" s="67" t="str">
        <f>VLOOKUP($A240,MFMaster!$A$2:$CG$232,85,FALSE)</f>
        <v/>
      </c>
      <c r="P240"/>
      <c r="Q240"/>
    </row>
    <row r="241" spans="1:17">
      <c r="A241">
        <v>72004</v>
      </c>
      <c r="B241" t="s">
        <v>1472</v>
      </c>
      <c r="C241">
        <v>2</v>
      </c>
      <c r="D241" t="s">
        <v>255</v>
      </c>
      <c r="E241" t="s">
        <v>182</v>
      </c>
      <c r="F241"/>
      <c r="G241">
        <v>100</v>
      </c>
      <c r="H241">
        <v>26</v>
      </c>
      <c r="I241">
        <v>1.1000000238418599</v>
      </c>
      <c r="J241" t="s">
        <v>268</v>
      </c>
      <c r="K241" t="s">
        <v>268</v>
      </c>
      <c r="L241" s="67" t="str">
        <f>VLOOKUP($A241,MFMaster!$A$2:$C$300,2,FALSE)</f>
        <v>4-6 stories</v>
      </c>
      <c r="M241" s="67" t="str">
        <f>VLOOKUP($A241,MFMaster!$A$2:$CG$232,85,FALSE)</f>
        <v/>
      </c>
      <c r="P241"/>
      <c r="Q241"/>
    </row>
    <row r="242" spans="1:17">
      <c r="A242">
        <v>72005</v>
      </c>
      <c r="B242" t="s">
        <v>1470</v>
      </c>
      <c r="C242">
        <v>1</v>
      </c>
      <c r="D242" t="s">
        <v>1468</v>
      </c>
      <c r="E242" t="s">
        <v>175</v>
      </c>
      <c r="F242" t="s">
        <v>1471</v>
      </c>
      <c r="G242">
        <v>100</v>
      </c>
      <c r="H242">
        <v>1128</v>
      </c>
      <c r="I242">
        <v>0.55000001192092896</v>
      </c>
      <c r="J242" t="s">
        <v>268</v>
      </c>
      <c r="K242" t="s">
        <v>271</v>
      </c>
      <c r="L242" s="67" t="str">
        <f>VLOOKUP($A242,MFMaster!$A$2:$C$300,2,FALSE)</f>
        <v>1-3 stories</v>
      </c>
      <c r="M242" s="67">
        <f>VLOOKUP($A242,MFMaster!$A$2:$CG$232,85,FALSE)</f>
        <v>91.269523620605497</v>
      </c>
      <c r="P242"/>
      <c r="Q242"/>
    </row>
    <row r="243" spans="1:17">
      <c r="A243">
        <v>72006</v>
      </c>
      <c r="B243" t="s">
        <v>1467</v>
      </c>
      <c r="C243">
        <v>1</v>
      </c>
      <c r="D243" t="s">
        <v>1468</v>
      </c>
      <c r="E243" t="s">
        <v>175</v>
      </c>
      <c r="F243" t="s">
        <v>1469</v>
      </c>
      <c r="G243">
        <v>93</v>
      </c>
      <c r="H243">
        <v>1106</v>
      </c>
      <c r="I243">
        <v>0.44999998807907099</v>
      </c>
      <c r="J243" t="s">
        <v>268</v>
      </c>
      <c r="K243" t="s">
        <v>271</v>
      </c>
      <c r="L243" s="67" t="str">
        <f>VLOOKUP($A243,MFMaster!$A$2:$C$300,2,FALSE)</f>
        <v>1-3 stories</v>
      </c>
      <c r="M243" s="67">
        <f>VLOOKUP($A243,MFMaster!$A$2:$CG$232,85,FALSE)</f>
        <v>91.269523620605497</v>
      </c>
      <c r="P243"/>
      <c r="Q243"/>
    </row>
    <row r="244" spans="1:17">
      <c r="A244">
        <v>72007</v>
      </c>
      <c r="B244" t="s">
        <v>1470</v>
      </c>
      <c r="C244">
        <v>1</v>
      </c>
      <c r="D244" t="s">
        <v>1468</v>
      </c>
      <c r="E244" t="s">
        <v>175</v>
      </c>
      <c r="F244" t="s">
        <v>1469</v>
      </c>
      <c r="G244">
        <v>100</v>
      </c>
      <c r="H244">
        <v>1296</v>
      </c>
      <c r="I244">
        <v>0.44999998807907099</v>
      </c>
      <c r="J244" t="s">
        <v>268</v>
      </c>
      <c r="K244" t="s">
        <v>271</v>
      </c>
      <c r="L244" s="67" t="str">
        <f>VLOOKUP($A244,MFMaster!$A$2:$C$300,2,FALSE)</f>
        <v>1-3 stories</v>
      </c>
      <c r="M244" s="67">
        <f>VLOOKUP($A244,MFMaster!$A$2:$CG$232,85,FALSE)</f>
        <v>91.269523620605497</v>
      </c>
      <c r="P244"/>
      <c r="Q244"/>
    </row>
    <row r="245" spans="1:17">
      <c r="A245">
        <v>72008</v>
      </c>
      <c r="B245" t="s">
        <v>1467</v>
      </c>
      <c r="C245">
        <v>1</v>
      </c>
      <c r="D245" t="s">
        <v>255</v>
      </c>
      <c r="E245" t="s">
        <v>175</v>
      </c>
      <c r="F245" t="s">
        <v>1469</v>
      </c>
      <c r="G245">
        <v>100</v>
      </c>
      <c r="H245">
        <v>853</v>
      </c>
      <c r="I245">
        <v>0.75</v>
      </c>
      <c r="J245" t="s">
        <v>268</v>
      </c>
      <c r="K245" t="s">
        <v>271</v>
      </c>
      <c r="L245" s="67" t="str">
        <f>VLOOKUP($A245,MFMaster!$A$2:$C$300,2,FALSE)</f>
        <v>1-3 stories</v>
      </c>
      <c r="M245" s="67">
        <f>VLOOKUP($A245,MFMaster!$A$2:$CG$232,85,FALSE)</f>
        <v>99.566741943359403</v>
      </c>
      <c r="P245"/>
      <c r="Q245"/>
    </row>
    <row r="246" spans="1:17">
      <c r="A246">
        <v>72009</v>
      </c>
      <c r="B246" t="s">
        <v>1473</v>
      </c>
      <c r="C246">
        <v>1</v>
      </c>
      <c r="D246" t="s">
        <v>1468</v>
      </c>
      <c r="E246" t="s">
        <v>175</v>
      </c>
      <c r="F246" t="s">
        <v>1469</v>
      </c>
      <c r="G246">
        <v>100</v>
      </c>
      <c r="H246">
        <v>1198</v>
      </c>
      <c r="I246">
        <v>0.44999998807907099</v>
      </c>
      <c r="J246" t="s">
        <v>268</v>
      </c>
      <c r="K246" t="s">
        <v>271</v>
      </c>
      <c r="L246" s="67" t="str">
        <f>VLOOKUP($A246,MFMaster!$A$2:$C$300,2,FALSE)</f>
        <v>1-3 stories</v>
      </c>
      <c r="M246" s="67" t="str">
        <f>VLOOKUP($A246,MFMaster!$A$2:$CG$232,85,FALSE)</f>
        <v/>
      </c>
      <c r="P246"/>
      <c r="Q246"/>
    </row>
    <row r="247" spans="1:17">
      <c r="A247">
        <v>72009</v>
      </c>
      <c r="B247" t="s">
        <v>1474</v>
      </c>
      <c r="C247">
        <v>2</v>
      </c>
      <c r="D247" t="s">
        <v>255</v>
      </c>
      <c r="E247" t="s">
        <v>182</v>
      </c>
      <c r="F247"/>
      <c r="G247">
        <v>17</v>
      </c>
      <c r="H247">
        <v>167</v>
      </c>
      <c r="I247">
        <v>1.1000000238418599</v>
      </c>
      <c r="J247" t="s">
        <v>268</v>
      </c>
      <c r="K247" t="s">
        <v>268</v>
      </c>
      <c r="L247" s="67" t="str">
        <f>VLOOKUP($A247,MFMaster!$A$2:$C$300,2,FALSE)</f>
        <v>1-3 stories</v>
      </c>
      <c r="M247" s="67" t="str">
        <f>VLOOKUP($A247,MFMaster!$A$2:$CG$232,85,FALSE)</f>
        <v/>
      </c>
      <c r="P247"/>
      <c r="Q247"/>
    </row>
    <row r="248" spans="1:17">
      <c r="A248">
        <v>72010</v>
      </c>
      <c r="B248" t="s">
        <v>1467</v>
      </c>
      <c r="C248">
        <v>1</v>
      </c>
      <c r="D248" t="s">
        <v>255</v>
      </c>
      <c r="E248" t="s">
        <v>182</v>
      </c>
      <c r="F248"/>
      <c r="G248">
        <v>100</v>
      </c>
      <c r="H248">
        <v>1272</v>
      </c>
      <c r="I248">
        <v>1.1000000238418599</v>
      </c>
      <c r="J248" t="s">
        <v>268</v>
      </c>
      <c r="K248" t="s">
        <v>268</v>
      </c>
      <c r="L248" s="67" t="str">
        <f>VLOOKUP($A248,MFMaster!$A$2:$C$300,2,FALSE)</f>
        <v>4-6 stories</v>
      </c>
      <c r="M248" s="67" t="str">
        <f>VLOOKUP($A248,MFMaster!$A$2:$CG$232,85,FALSE)</f>
        <v/>
      </c>
      <c r="P248"/>
      <c r="Q248"/>
    </row>
    <row r="249" spans="1:17">
      <c r="A249">
        <v>73001</v>
      </c>
      <c r="B249" t="s">
        <v>1470</v>
      </c>
      <c r="C249">
        <v>1</v>
      </c>
      <c r="D249" t="s">
        <v>255</v>
      </c>
      <c r="E249" t="s">
        <v>182</v>
      </c>
      <c r="F249"/>
      <c r="G249">
        <v>100</v>
      </c>
      <c r="H249">
        <v>1013</v>
      </c>
      <c r="I249">
        <v>1.1000000238418599</v>
      </c>
      <c r="J249" t="s">
        <v>268</v>
      </c>
      <c r="K249" t="s">
        <v>268</v>
      </c>
      <c r="L249" s="67" t="str">
        <f>VLOOKUP($A249,MFMaster!$A$2:$C$300,2,FALSE)</f>
        <v>4-6 stories</v>
      </c>
      <c r="M249" s="67" t="str">
        <f>VLOOKUP($A249,MFMaster!$A$2:$CG$232,85,FALSE)</f>
        <v/>
      </c>
      <c r="P249"/>
      <c r="Q249"/>
    </row>
    <row r="250" spans="1:17">
      <c r="A250">
        <v>73001</v>
      </c>
      <c r="B250" t="s">
        <v>1467</v>
      </c>
      <c r="C250">
        <v>2</v>
      </c>
      <c r="D250" t="s">
        <v>1468</v>
      </c>
      <c r="E250" t="s">
        <v>175</v>
      </c>
      <c r="F250" t="s">
        <v>1469</v>
      </c>
      <c r="G250">
        <v>100</v>
      </c>
      <c r="H250">
        <v>856</v>
      </c>
      <c r="I250">
        <v>0.44999998807907099</v>
      </c>
      <c r="J250" t="s">
        <v>268</v>
      </c>
      <c r="K250" t="s">
        <v>271</v>
      </c>
      <c r="L250" s="67" t="str">
        <f>VLOOKUP($A250,MFMaster!$A$2:$C$300,2,FALSE)</f>
        <v>4-6 stories</v>
      </c>
      <c r="M250" s="67" t="str">
        <f>VLOOKUP($A250,MFMaster!$A$2:$CG$232,85,FALSE)</f>
        <v/>
      </c>
      <c r="P250"/>
      <c r="Q250"/>
    </row>
    <row r="251" spans="1:17">
      <c r="A251">
        <v>73002</v>
      </c>
      <c r="B251" t="s">
        <v>1472</v>
      </c>
      <c r="C251">
        <v>1</v>
      </c>
      <c r="D251" t="s">
        <v>1468</v>
      </c>
      <c r="E251" t="s">
        <v>175</v>
      </c>
      <c r="F251" t="s">
        <v>1469</v>
      </c>
      <c r="G251">
        <v>100</v>
      </c>
      <c r="H251">
        <v>1528</v>
      </c>
      <c r="I251">
        <v>0.44999998807907099</v>
      </c>
      <c r="J251" t="s">
        <v>268</v>
      </c>
      <c r="K251" t="s">
        <v>271</v>
      </c>
      <c r="L251" s="67" t="str">
        <f>VLOOKUP($A251,MFMaster!$A$2:$C$300,2,FALSE)</f>
        <v>4-6 stories</v>
      </c>
      <c r="M251" s="67" t="str">
        <f>VLOOKUP($A251,MFMaster!$A$2:$CG$232,85,FALSE)</f>
        <v/>
      </c>
      <c r="P251"/>
      <c r="Q251"/>
    </row>
    <row r="252" spans="1:17">
      <c r="A252">
        <v>73002</v>
      </c>
      <c r="B252" t="s">
        <v>1473</v>
      </c>
      <c r="C252">
        <v>2</v>
      </c>
      <c r="D252" t="s">
        <v>255</v>
      </c>
      <c r="E252" t="s">
        <v>182</v>
      </c>
      <c r="F252"/>
      <c r="G252">
        <v>11</v>
      </c>
      <c r="H252">
        <v>161</v>
      </c>
      <c r="I252">
        <v>1.1000000238418599</v>
      </c>
      <c r="J252" t="s">
        <v>268</v>
      </c>
      <c r="K252" t="s">
        <v>268</v>
      </c>
      <c r="L252" s="67" t="str">
        <f>VLOOKUP($A252,MFMaster!$A$2:$C$300,2,FALSE)</f>
        <v>4-6 stories</v>
      </c>
      <c r="M252" s="67" t="str">
        <f>VLOOKUP($A252,MFMaster!$A$2:$CG$232,85,FALSE)</f>
        <v/>
      </c>
      <c r="P252"/>
      <c r="Q252"/>
    </row>
    <row r="253" spans="1:17">
      <c r="A253">
        <v>73002</v>
      </c>
      <c r="B253" t="s">
        <v>1474</v>
      </c>
      <c r="C253">
        <v>3</v>
      </c>
      <c r="D253" t="s">
        <v>255</v>
      </c>
      <c r="E253" t="s">
        <v>175</v>
      </c>
      <c r="F253" t="s">
        <v>1471</v>
      </c>
      <c r="G253">
        <v>100</v>
      </c>
      <c r="H253">
        <v>60</v>
      </c>
      <c r="I253">
        <v>0.75</v>
      </c>
      <c r="J253" t="s">
        <v>268</v>
      </c>
      <c r="K253" t="s">
        <v>271</v>
      </c>
      <c r="L253" s="67" t="str">
        <f>VLOOKUP($A253,MFMaster!$A$2:$C$300,2,FALSE)</f>
        <v>4-6 stories</v>
      </c>
      <c r="M253" s="67" t="str">
        <f>VLOOKUP($A253,MFMaster!$A$2:$CG$232,85,FALSE)</f>
        <v/>
      </c>
      <c r="P253"/>
      <c r="Q253"/>
    </row>
    <row r="254" spans="1:17">
      <c r="A254">
        <v>73003</v>
      </c>
      <c r="B254" t="s">
        <v>1467</v>
      </c>
      <c r="C254">
        <v>1</v>
      </c>
      <c r="D254" t="s">
        <v>1468</v>
      </c>
      <c r="E254" t="s">
        <v>175</v>
      </c>
      <c r="F254" t="s">
        <v>1469</v>
      </c>
      <c r="G254">
        <v>100</v>
      </c>
      <c r="H254">
        <v>1678</v>
      </c>
      <c r="I254">
        <v>0.55000001192092896</v>
      </c>
      <c r="J254" t="s">
        <v>268</v>
      </c>
      <c r="K254" t="s">
        <v>268</v>
      </c>
      <c r="L254" s="67" t="str">
        <f>VLOOKUP($A254,MFMaster!$A$2:$C$300,2,FALSE)</f>
        <v>1-3 stories</v>
      </c>
      <c r="M254" s="67">
        <f>VLOOKUP($A254,MFMaster!$A$2:$CG$232,85,FALSE)</f>
        <v>60.846343994140597</v>
      </c>
      <c r="P254"/>
      <c r="Q254"/>
    </row>
    <row r="255" spans="1:17">
      <c r="A255">
        <v>73004</v>
      </c>
      <c r="B255" t="s">
        <v>1470</v>
      </c>
      <c r="C255">
        <v>1</v>
      </c>
      <c r="D255" t="s">
        <v>1468</v>
      </c>
      <c r="E255" t="s">
        <v>175</v>
      </c>
      <c r="F255" t="s">
        <v>1469</v>
      </c>
      <c r="G255">
        <v>100</v>
      </c>
      <c r="H255">
        <v>1567</v>
      </c>
      <c r="I255">
        <v>0.55000001192092896</v>
      </c>
      <c r="J255" t="s">
        <v>268</v>
      </c>
      <c r="K255" t="s">
        <v>268</v>
      </c>
      <c r="L255" s="67" t="str">
        <f>VLOOKUP($A255,MFMaster!$A$2:$C$300,2,FALSE)</f>
        <v>1-3 stories</v>
      </c>
      <c r="M255" s="67">
        <f>VLOOKUP($A255,MFMaster!$A$2:$CG$232,85,FALSE)</f>
        <v>57.643905639648402</v>
      </c>
      <c r="P255"/>
      <c r="Q255"/>
    </row>
    <row r="256" spans="1:17">
      <c r="A256">
        <v>73005</v>
      </c>
      <c r="B256" t="s">
        <v>1470</v>
      </c>
      <c r="C256">
        <v>1</v>
      </c>
      <c r="D256" t="s">
        <v>255</v>
      </c>
      <c r="E256" t="s">
        <v>175</v>
      </c>
      <c r="F256" t="s">
        <v>1469</v>
      </c>
      <c r="G256">
        <v>90</v>
      </c>
      <c r="H256">
        <v>1645</v>
      </c>
      <c r="I256">
        <v>0.80000001192092896</v>
      </c>
      <c r="J256" t="s">
        <v>268</v>
      </c>
      <c r="K256" t="s">
        <v>268</v>
      </c>
      <c r="L256" s="67" t="str">
        <f>VLOOKUP($A256,MFMaster!$A$2:$C$300,2,FALSE)</f>
        <v>1-3 stories</v>
      </c>
      <c r="M256" s="67">
        <f>VLOOKUP($A256,MFMaster!$A$2:$CG$232,85,FALSE)</f>
        <v>54.761714935302699</v>
      </c>
      <c r="P256"/>
      <c r="Q256"/>
    </row>
    <row r="257" spans="1:17">
      <c r="A257">
        <v>73006</v>
      </c>
      <c r="B257" t="s">
        <v>1470</v>
      </c>
      <c r="C257">
        <v>1</v>
      </c>
      <c r="D257" t="s">
        <v>1468</v>
      </c>
      <c r="E257" t="s">
        <v>175</v>
      </c>
      <c r="F257" t="s">
        <v>1469</v>
      </c>
      <c r="G257">
        <v>96</v>
      </c>
      <c r="H257">
        <v>906</v>
      </c>
      <c r="I257">
        <v>0.55000001192092896</v>
      </c>
      <c r="J257" t="s">
        <v>268</v>
      </c>
      <c r="K257" t="s">
        <v>268</v>
      </c>
      <c r="L257" s="67" t="str">
        <f>VLOOKUP($A257,MFMaster!$A$2:$C$300,2,FALSE)</f>
        <v>1-3 stories</v>
      </c>
      <c r="M257" s="67">
        <f>VLOOKUP($A257,MFMaster!$A$2:$CG$232,85,FALSE)</f>
        <v>73.015617370605497</v>
      </c>
      <c r="P257"/>
      <c r="Q257"/>
    </row>
    <row r="258" spans="1:17">
      <c r="A258">
        <v>73006</v>
      </c>
      <c r="B258" t="s">
        <v>1467</v>
      </c>
      <c r="C258">
        <v>2</v>
      </c>
      <c r="D258" t="s">
        <v>255</v>
      </c>
      <c r="E258" t="s">
        <v>182</v>
      </c>
      <c r="F258"/>
      <c r="G258">
        <v>58</v>
      </c>
      <c r="H258">
        <v>781</v>
      </c>
      <c r="I258">
        <v>1.1000000238418599</v>
      </c>
      <c r="J258" t="s">
        <v>268</v>
      </c>
      <c r="K258" t="s">
        <v>268</v>
      </c>
      <c r="L258" s="67" t="str">
        <f>VLOOKUP($A258,MFMaster!$A$2:$C$300,2,FALSE)</f>
        <v>1-3 stories</v>
      </c>
      <c r="M258" s="67">
        <f>VLOOKUP($A258,MFMaster!$A$2:$CG$232,85,FALSE)</f>
        <v>73.015617370605497</v>
      </c>
      <c r="P258"/>
      <c r="Q258"/>
    </row>
    <row r="259" spans="1:17">
      <c r="A259">
        <v>73007</v>
      </c>
      <c r="B259" t="s">
        <v>1467</v>
      </c>
      <c r="C259">
        <v>1</v>
      </c>
      <c r="D259" t="s">
        <v>1468</v>
      </c>
      <c r="E259" t="s">
        <v>175</v>
      </c>
      <c r="F259" t="s">
        <v>1469</v>
      </c>
      <c r="G259">
        <v>100</v>
      </c>
      <c r="H259">
        <v>1720</v>
      </c>
      <c r="I259">
        <v>0.55000001192092896</v>
      </c>
      <c r="J259" t="s">
        <v>268</v>
      </c>
      <c r="K259" t="s">
        <v>268</v>
      </c>
      <c r="L259" s="67" t="str">
        <f>VLOOKUP($A259,MFMaster!$A$2:$C$300,2,FALSE)</f>
        <v>1-3 stories</v>
      </c>
      <c r="M259" s="67">
        <f>VLOOKUP($A259,MFMaster!$A$2:$CG$232,85,FALSE)</f>
        <v>64.425544738769503</v>
      </c>
      <c r="P259"/>
      <c r="Q259"/>
    </row>
    <row r="260" spans="1:17">
      <c r="A260">
        <v>73008</v>
      </c>
      <c r="B260" t="s">
        <v>1467</v>
      </c>
      <c r="C260">
        <v>1</v>
      </c>
      <c r="D260" t="s">
        <v>255</v>
      </c>
      <c r="E260" t="s">
        <v>175</v>
      </c>
      <c r="F260" t="s">
        <v>1471</v>
      </c>
      <c r="G260">
        <v>100</v>
      </c>
      <c r="H260">
        <v>1250</v>
      </c>
      <c r="I260">
        <v>0.85000002384185802</v>
      </c>
      <c r="J260" t="s">
        <v>268</v>
      </c>
      <c r="K260" t="s">
        <v>268</v>
      </c>
      <c r="L260" s="67" t="str">
        <f>VLOOKUP($A260,MFMaster!$A$2:$C$300,2,FALSE)</f>
        <v>1-3 stories</v>
      </c>
      <c r="M260" s="67">
        <f>VLOOKUP($A260,MFMaster!$A$2:$CG$232,85,FALSE)</f>
        <v>52.154014587402301</v>
      </c>
      <c r="P260"/>
      <c r="Q260"/>
    </row>
    <row r="261" spans="1:17">
      <c r="A261">
        <v>73009</v>
      </c>
      <c r="B261" t="s">
        <v>1470</v>
      </c>
      <c r="C261">
        <v>1</v>
      </c>
      <c r="D261" t="s">
        <v>1468</v>
      </c>
      <c r="E261" t="s">
        <v>175</v>
      </c>
      <c r="F261" t="s">
        <v>1471</v>
      </c>
      <c r="G261">
        <v>100</v>
      </c>
      <c r="H261">
        <v>1802</v>
      </c>
      <c r="I261">
        <v>0.55000001192092896</v>
      </c>
      <c r="J261" t="s">
        <v>268</v>
      </c>
      <c r="K261" t="s">
        <v>271</v>
      </c>
      <c r="L261" s="67" t="str">
        <f>VLOOKUP($A261,MFMaster!$A$2:$C$300,2,FALSE)</f>
        <v>4-6 stories</v>
      </c>
      <c r="M261" s="67" t="str">
        <f>VLOOKUP($A261,MFMaster!$A$2:$CG$232,85,FALSE)</f>
        <v/>
      </c>
      <c r="P261"/>
      <c r="Q261"/>
    </row>
    <row r="262" spans="1:17">
      <c r="A262">
        <v>73010</v>
      </c>
      <c r="B262" t="s">
        <v>1472</v>
      </c>
      <c r="C262">
        <v>1</v>
      </c>
      <c r="D262" t="s">
        <v>1468</v>
      </c>
      <c r="E262" t="s">
        <v>175</v>
      </c>
      <c r="F262" t="s">
        <v>1469</v>
      </c>
      <c r="G262">
        <v>100</v>
      </c>
      <c r="H262">
        <v>1934</v>
      </c>
      <c r="I262">
        <v>0.55000001192092896</v>
      </c>
      <c r="J262" t="s">
        <v>268</v>
      </c>
      <c r="K262" t="s">
        <v>268</v>
      </c>
      <c r="L262" s="67" t="str">
        <f>VLOOKUP($A262,MFMaster!$A$2:$C$300,2,FALSE)</f>
        <v>1-3 stories</v>
      </c>
      <c r="M262" s="67" t="str">
        <f>VLOOKUP($A262,MFMaster!$A$2:$CG$232,85,FALSE)</f>
        <v/>
      </c>
      <c r="P262"/>
      <c r="Q262"/>
    </row>
    <row r="263" spans="1:17">
      <c r="A263">
        <v>73010</v>
      </c>
      <c r="B263" t="s">
        <v>1473</v>
      </c>
      <c r="C263">
        <v>2</v>
      </c>
      <c r="D263" t="s">
        <v>255</v>
      </c>
      <c r="E263" t="s">
        <v>182</v>
      </c>
      <c r="F263"/>
      <c r="G263">
        <v>0</v>
      </c>
      <c r="H263">
        <v>9</v>
      </c>
      <c r="I263">
        <v>1.1000000238418599</v>
      </c>
      <c r="J263" t="s">
        <v>268</v>
      </c>
      <c r="K263" t="s">
        <v>268</v>
      </c>
      <c r="L263" s="67" t="str">
        <f>VLOOKUP($A263,MFMaster!$A$2:$C$300,2,FALSE)</f>
        <v>1-3 stories</v>
      </c>
      <c r="M263" s="67" t="str">
        <f>VLOOKUP($A263,MFMaster!$A$2:$CG$232,85,FALSE)</f>
        <v/>
      </c>
      <c r="P263"/>
      <c r="Q263"/>
    </row>
    <row r="264" spans="1:17">
      <c r="A264">
        <v>74001</v>
      </c>
      <c r="B264" t="s">
        <v>1467</v>
      </c>
      <c r="C264">
        <v>1</v>
      </c>
      <c r="D264" t="s">
        <v>1468</v>
      </c>
      <c r="E264" t="s">
        <v>175</v>
      </c>
      <c r="F264" t="s">
        <v>1471</v>
      </c>
      <c r="G264">
        <v>99</v>
      </c>
      <c r="H264">
        <v>5150</v>
      </c>
      <c r="I264">
        <v>0.60000002384185802</v>
      </c>
      <c r="J264" t="s">
        <v>268</v>
      </c>
      <c r="K264" t="s">
        <v>268</v>
      </c>
      <c r="L264" s="67" t="str">
        <f>VLOOKUP($A264,MFMaster!$A$2:$C$300,2,FALSE)</f>
        <v>4-6 stories</v>
      </c>
      <c r="M264" s="67" t="str">
        <f>VLOOKUP($A264,MFMaster!$A$2:$CG$232,85,FALSE)</f>
        <v/>
      </c>
      <c r="P264"/>
      <c r="Q264"/>
    </row>
    <row r="265" spans="1:17">
      <c r="A265">
        <v>74002</v>
      </c>
      <c r="B265" t="s">
        <v>1472</v>
      </c>
      <c r="C265">
        <v>1</v>
      </c>
      <c r="D265" t="s">
        <v>1468</v>
      </c>
      <c r="E265" t="s">
        <v>175</v>
      </c>
      <c r="F265" t="s">
        <v>1471</v>
      </c>
      <c r="G265">
        <v>100</v>
      </c>
      <c r="H265">
        <v>2280</v>
      </c>
      <c r="I265">
        <v>0.55000001192092896</v>
      </c>
      <c r="J265" t="s">
        <v>268</v>
      </c>
      <c r="K265" t="s">
        <v>271</v>
      </c>
      <c r="L265" s="67" t="str">
        <f>VLOOKUP($A265,MFMaster!$A$2:$C$300,2,FALSE)</f>
        <v>4-6 stories</v>
      </c>
      <c r="M265" s="67" t="str">
        <f>VLOOKUP($A265,MFMaster!$A$2:$CG$232,85,FALSE)</f>
        <v/>
      </c>
      <c r="P265"/>
      <c r="Q265"/>
    </row>
    <row r="266" spans="1:17">
      <c r="A266">
        <v>74002</v>
      </c>
      <c r="B266" t="s">
        <v>1473</v>
      </c>
      <c r="C266">
        <v>3</v>
      </c>
      <c r="D266" t="s">
        <v>1468</v>
      </c>
      <c r="E266" t="s">
        <v>175</v>
      </c>
      <c r="F266" t="s">
        <v>1469</v>
      </c>
      <c r="G266">
        <v>0</v>
      </c>
      <c r="H266">
        <v>112</v>
      </c>
      <c r="I266">
        <v>0.44999998807907099</v>
      </c>
      <c r="J266" t="s">
        <v>268</v>
      </c>
      <c r="K266" t="s">
        <v>271</v>
      </c>
      <c r="L266" s="67" t="str">
        <f>VLOOKUP($A266,MFMaster!$A$2:$C$300,2,FALSE)</f>
        <v>4-6 stories</v>
      </c>
      <c r="M266" s="67" t="str">
        <f>VLOOKUP($A266,MFMaster!$A$2:$CG$232,85,FALSE)</f>
        <v/>
      </c>
      <c r="P266"/>
      <c r="Q266"/>
    </row>
    <row r="267" spans="1:17">
      <c r="A267">
        <v>74003</v>
      </c>
      <c r="B267" t="s">
        <v>1470</v>
      </c>
      <c r="C267">
        <v>1</v>
      </c>
      <c r="D267" t="s">
        <v>255</v>
      </c>
      <c r="E267" t="s">
        <v>175</v>
      </c>
      <c r="F267" t="s">
        <v>1471</v>
      </c>
      <c r="G267">
        <v>90</v>
      </c>
      <c r="H267">
        <v>3161</v>
      </c>
      <c r="I267">
        <v>0.75</v>
      </c>
      <c r="J267" t="s">
        <v>268</v>
      </c>
      <c r="K267" t="s">
        <v>271</v>
      </c>
      <c r="L267" s="67" t="str">
        <f>VLOOKUP($A267,MFMaster!$A$2:$C$300,2,FALSE)</f>
        <v>1-3 stories</v>
      </c>
      <c r="M267" s="67">
        <f>VLOOKUP($A267,MFMaster!$A$2:$CG$232,85,FALSE)</f>
        <v>36.507808685302699</v>
      </c>
      <c r="P267"/>
      <c r="Q267"/>
    </row>
    <row r="268" spans="1:17">
      <c r="A268">
        <v>74003</v>
      </c>
      <c r="B268" t="s">
        <v>1467</v>
      </c>
      <c r="C268">
        <v>2</v>
      </c>
      <c r="D268" t="s">
        <v>255</v>
      </c>
      <c r="E268" t="s">
        <v>175</v>
      </c>
      <c r="F268" t="s">
        <v>1469</v>
      </c>
      <c r="G268">
        <v>0</v>
      </c>
      <c r="H268">
        <v>56</v>
      </c>
      <c r="I268">
        <v>0.75</v>
      </c>
      <c r="J268" t="s">
        <v>268</v>
      </c>
      <c r="K268" t="s">
        <v>271</v>
      </c>
      <c r="L268" s="67" t="str">
        <f>VLOOKUP($A268,MFMaster!$A$2:$C$300,2,FALSE)</f>
        <v>1-3 stories</v>
      </c>
      <c r="M268" s="67">
        <f>VLOOKUP($A268,MFMaster!$A$2:$CG$232,85,FALSE)</f>
        <v>36.507808685302699</v>
      </c>
      <c r="P268"/>
      <c r="Q268"/>
    </row>
    <row r="269" spans="1:17">
      <c r="A269">
        <v>74004</v>
      </c>
      <c r="B269" t="s">
        <v>1470</v>
      </c>
      <c r="C269">
        <v>1</v>
      </c>
      <c r="D269" t="s">
        <v>255</v>
      </c>
      <c r="E269" t="s">
        <v>175</v>
      </c>
      <c r="F269" t="s">
        <v>1471</v>
      </c>
      <c r="G269">
        <v>6</v>
      </c>
      <c r="H269">
        <v>1726</v>
      </c>
      <c r="I269">
        <v>0.75</v>
      </c>
      <c r="J269" t="s">
        <v>268</v>
      </c>
      <c r="K269" t="s">
        <v>271</v>
      </c>
      <c r="L269" s="67" t="str">
        <f>VLOOKUP($A269,MFMaster!$A$2:$C$300,2,FALSE)</f>
        <v>1-3 stories</v>
      </c>
      <c r="M269" s="67">
        <f>VLOOKUP($A269,MFMaster!$A$2:$CG$232,85,FALSE)</f>
        <v>45.634761810302699</v>
      </c>
      <c r="P269"/>
      <c r="Q269"/>
    </row>
    <row r="270" spans="1:17">
      <c r="A270">
        <v>74005</v>
      </c>
      <c r="B270" t="s">
        <v>1467</v>
      </c>
      <c r="C270">
        <v>1</v>
      </c>
      <c r="D270" t="s">
        <v>1468</v>
      </c>
      <c r="E270" t="s">
        <v>175</v>
      </c>
      <c r="F270" t="s">
        <v>1469</v>
      </c>
      <c r="G270">
        <v>83</v>
      </c>
      <c r="H270">
        <v>3399</v>
      </c>
      <c r="I270">
        <v>0.55000001192092896</v>
      </c>
      <c r="J270" t="s">
        <v>268</v>
      </c>
      <c r="K270" t="s">
        <v>268</v>
      </c>
      <c r="L270" s="67" t="str">
        <f>VLOOKUP($A270,MFMaster!$A$2:$C$300,2,FALSE)</f>
        <v>1-3 stories</v>
      </c>
      <c r="M270" s="67">
        <f>VLOOKUP($A270,MFMaster!$A$2:$CG$232,85,FALSE)</f>
        <v>40.564231872558601</v>
      </c>
      <c r="P270"/>
      <c r="Q270"/>
    </row>
    <row r="271" spans="1:17">
      <c r="A271">
        <v>74005</v>
      </c>
      <c r="B271" t="s">
        <v>1472</v>
      </c>
      <c r="C271">
        <v>2</v>
      </c>
      <c r="D271" t="s">
        <v>255</v>
      </c>
      <c r="E271" t="s">
        <v>175</v>
      </c>
      <c r="F271" t="s">
        <v>1469</v>
      </c>
      <c r="G271">
        <v>0</v>
      </c>
      <c r="H271">
        <v>5</v>
      </c>
      <c r="I271">
        <v>0.80000001192092896</v>
      </c>
      <c r="J271" t="s">
        <v>268</v>
      </c>
      <c r="K271" t="s">
        <v>268</v>
      </c>
      <c r="L271" s="67" t="str">
        <f>VLOOKUP($A271,MFMaster!$A$2:$C$300,2,FALSE)</f>
        <v>1-3 stories</v>
      </c>
      <c r="M271" s="67">
        <f>VLOOKUP($A271,MFMaster!$A$2:$CG$232,85,FALSE)</f>
        <v>40.564231872558601</v>
      </c>
      <c r="P271"/>
      <c r="Q271"/>
    </row>
    <row r="272" spans="1:17">
      <c r="A272">
        <v>74006</v>
      </c>
      <c r="B272" t="s">
        <v>1470</v>
      </c>
      <c r="C272">
        <v>1</v>
      </c>
      <c r="D272" t="s">
        <v>1468</v>
      </c>
      <c r="E272" t="s">
        <v>175</v>
      </c>
      <c r="F272" t="s">
        <v>1469</v>
      </c>
      <c r="G272">
        <v>100</v>
      </c>
      <c r="H272">
        <v>1866</v>
      </c>
      <c r="I272">
        <v>0.44999998807907099</v>
      </c>
      <c r="J272" t="s">
        <v>268</v>
      </c>
      <c r="K272" t="s">
        <v>271</v>
      </c>
      <c r="L272" s="67" t="str">
        <f>VLOOKUP($A272,MFMaster!$A$2:$C$300,2,FALSE)</f>
        <v>1-3 stories</v>
      </c>
      <c r="M272" s="67">
        <f>VLOOKUP($A272,MFMaster!$A$2:$CG$232,85,FALSE)</f>
        <v>47.6188774108887</v>
      </c>
      <c r="P272"/>
      <c r="Q272"/>
    </row>
    <row r="273" spans="1:17">
      <c r="A273">
        <v>74007</v>
      </c>
      <c r="B273" t="s">
        <v>1467</v>
      </c>
      <c r="C273">
        <v>1</v>
      </c>
      <c r="D273" t="s">
        <v>255</v>
      </c>
      <c r="E273" t="s">
        <v>175</v>
      </c>
      <c r="F273" t="s">
        <v>1471</v>
      </c>
      <c r="G273">
        <v>100</v>
      </c>
      <c r="H273">
        <v>3918</v>
      </c>
      <c r="I273">
        <v>0.85000002384185802</v>
      </c>
      <c r="J273" t="s">
        <v>268</v>
      </c>
      <c r="K273" t="s">
        <v>268</v>
      </c>
      <c r="L273" s="67" t="str">
        <f>VLOOKUP($A273,MFMaster!$A$2:$C$300,2,FALSE)</f>
        <v>4-6 stories</v>
      </c>
      <c r="M273" s="67" t="str">
        <f>VLOOKUP($A273,MFMaster!$A$2:$CG$232,85,FALSE)</f>
        <v/>
      </c>
      <c r="P273"/>
      <c r="Q273"/>
    </row>
    <row r="274" spans="1:17">
      <c r="A274">
        <v>74008</v>
      </c>
      <c r="B274" t="s">
        <v>1467</v>
      </c>
      <c r="C274">
        <v>1</v>
      </c>
      <c r="D274" t="s">
        <v>1468</v>
      </c>
      <c r="E274" t="s">
        <v>175</v>
      </c>
      <c r="F274" t="s">
        <v>1469</v>
      </c>
      <c r="G274">
        <v>95</v>
      </c>
      <c r="H274">
        <v>1774</v>
      </c>
      <c r="I274">
        <v>0.44999998807907099</v>
      </c>
      <c r="J274" t="s">
        <v>268</v>
      </c>
      <c r="K274" t="s">
        <v>271</v>
      </c>
      <c r="L274" s="67" t="str">
        <f>VLOOKUP($A274,MFMaster!$A$2:$C$300,2,FALSE)</f>
        <v>4-6 stories</v>
      </c>
      <c r="M274" s="67" t="str">
        <f>VLOOKUP($A274,MFMaster!$A$2:$CG$232,85,FALSE)</f>
        <v/>
      </c>
      <c r="P274"/>
      <c r="Q274"/>
    </row>
    <row r="275" spans="1:17">
      <c r="A275">
        <v>74008</v>
      </c>
      <c r="B275" t="s">
        <v>1472</v>
      </c>
      <c r="C275">
        <v>2</v>
      </c>
      <c r="D275" t="s">
        <v>255</v>
      </c>
      <c r="E275" t="s">
        <v>175</v>
      </c>
      <c r="F275" t="s">
        <v>1471</v>
      </c>
      <c r="G275">
        <v>50</v>
      </c>
      <c r="H275">
        <v>90</v>
      </c>
      <c r="I275">
        <v>0.75</v>
      </c>
      <c r="J275" t="s">
        <v>268</v>
      </c>
      <c r="K275" t="s">
        <v>271</v>
      </c>
      <c r="L275" s="67" t="str">
        <f>VLOOKUP($A275,MFMaster!$A$2:$C$300,2,FALSE)</f>
        <v>4-6 stories</v>
      </c>
      <c r="M275" s="67" t="str">
        <f>VLOOKUP($A275,MFMaster!$A$2:$CG$232,85,FALSE)</f>
        <v/>
      </c>
      <c r="P275"/>
      <c r="Q275"/>
    </row>
    <row r="276" spans="1:17">
      <c r="A276">
        <v>74009</v>
      </c>
      <c r="B276" t="s">
        <v>1470</v>
      </c>
      <c r="C276">
        <v>1</v>
      </c>
      <c r="D276" t="s">
        <v>255</v>
      </c>
      <c r="E276" t="s">
        <v>175</v>
      </c>
      <c r="F276" t="s">
        <v>1471</v>
      </c>
      <c r="G276">
        <v>85</v>
      </c>
      <c r="H276">
        <v>4496</v>
      </c>
      <c r="I276">
        <v>0.85000002384185802</v>
      </c>
      <c r="J276" t="s">
        <v>268</v>
      </c>
      <c r="K276" t="s">
        <v>268</v>
      </c>
      <c r="L276" s="67" t="str">
        <f>VLOOKUP($A276,MFMaster!$A$2:$C$300,2,FALSE)</f>
        <v>4-6 stories</v>
      </c>
      <c r="M276" s="67" t="str">
        <f>VLOOKUP($A276,MFMaster!$A$2:$CG$232,85,FALSE)</f>
        <v/>
      </c>
      <c r="P276"/>
      <c r="Q276"/>
    </row>
    <row r="277" spans="1:17">
      <c r="A277">
        <v>74010</v>
      </c>
      <c r="B277" t="s">
        <v>1467</v>
      </c>
      <c r="C277">
        <v>1</v>
      </c>
      <c r="D277" t="s">
        <v>255</v>
      </c>
      <c r="E277" t="s">
        <v>175</v>
      </c>
      <c r="F277" t="s">
        <v>1469</v>
      </c>
      <c r="G277">
        <v>100</v>
      </c>
      <c r="H277">
        <v>3451</v>
      </c>
      <c r="I277">
        <v>0.75</v>
      </c>
      <c r="J277" t="s">
        <v>268</v>
      </c>
      <c r="K277" t="s">
        <v>271</v>
      </c>
      <c r="L277" s="67" t="str">
        <f>VLOOKUP($A277,MFMaster!$A$2:$C$300,2,FALSE)</f>
        <v>4-6 stories</v>
      </c>
      <c r="M277" s="67" t="str">
        <f>VLOOKUP($A277,MFMaster!$A$2:$CG$232,85,FALSE)</f>
        <v/>
      </c>
      <c r="P277"/>
      <c r="Q277"/>
    </row>
    <row r="278" spans="1:17">
      <c r="A278">
        <v>74011</v>
      </c>
      <c r="B278" t="s">
        <v>1473</v>
      </c>
      <c r="C278">
        <v>1</v>
      </c>
      <c r="D278" t="s">
        <v>1468</v>
      </c>
      <c r="E278" t="s">
        <v>175</v>
      </c>
      <c r="F278" t="s">
        <v>1469</v>
      </c>
      <c r="G278">
        <v>100</v>
      </c>
      <c r="H278">
        <v>1424</v>
      </c>
      <c r="I278">
        <v>0.55000001192092896</v>
      </c>
      <c r="J278" t="s">
        <v>268</v>
      </c>
      <c r="K278" t="s">
        <v>268</v>
      </c>
      <c r="L278" s="67" t="str">
        <f>VLOOKUP($A278,MFMaster!$A$2:$C$300,2,FALSE)</f>
        <v>1-3 stories</v>
      </c>
      <c r="M278" s="67">
        <f>VLOOKUP($A278,MFMaster!$A$2:$CG$232,85,FALSE)</f>
        <v>31.292406082153299</v>
      </c>
      <c r="P278"/>
      <c r="Q278"/>
    </row>
    <row r="279" spans="1:17">
      <c r="A279">
        <v>74011</v>
      </c>
      <c r="B279" t="s">
        <v>1474</v>
      </c>
      <c r="C279">
        <v>2</v>
      </c>
      <c r="D279" t="s">
        <v>255</v>
      </c>
      <c r="E279" t="s">
        <v>175</v>
      </c>
      <c r="F279" t="s">
        <v>1469</v>
      </c>
      <c r="G279">
        <v>48</v>
      </c>
      <c r="H279">
        <v>138</v>
      </c>
      <c r="I279">
        <v>0.80000001192092896</v>
      </c>
      <c r="J279" t="s">
        <v>268</v>
      </c>
      <c r="K279" t="s">
        <v>268</v>
      </c>
      <c r="L279" s="67" t="str">
        <f>VLOOKUP($A279,MFMaster!$A$2:$C$300,2,FALSE)</f>
        <v>1-3 stories</v>
      </c>
      <c r="M279" s="67">
        <f>VLOOKUP($A279,MFMaster!$A$2:$CG$232,85,FALSE)</f>
        <v>31.292406082153299</v>
      </c>
      <c r="P279"/>
      <c r="Q279"/>
    </row>
    <row r="280" spans="1:17">
      <c r="A280">
        <v>74012</v>
      </c>
      <c r="B280" t="s">
        <v>1467</v>
      </c>
      <c r="C280">
        <v>1</v>
      </c>
      <c r="D280" t="s">
        <v>255</v>
      </c>
      <c r="E280" t="s">
        <v>182</v>
      </c>
      <c r="F280"/>
      <c r="G280">
        <v>100</v>
      </c>
      <c r="H280">
        <v>3939</v>
      </c>
      <c r="I280">
        <v>1.1000000238418599</v>
      </c>
      <c r="J280" t="s">
        <v>268</v>
      </c>
      <c r="K280" t="s">
        <v>268</v>
      </c>
      <c r="L280" s="67" t="str">
        <f>VLOOKUP($A280,MFMaster!$A$2:$C$300,2,FALSE)</f>
        <v>4-6 stories</v>
      </c>
      <c r="M280" s="67" t="str">
        <f>VLOOKUP($A280,MFMaster!$A$2:$CG$232,85,FALSE)</f>
        <v/>
      </c>
      <c r="P280"/>
      <c r="Q280"/>
    </row>
    <row r="281" spans="1:17">
      <c r="A281">
        <v>74012</v>
      </c>
      <c r="B281" t="s">
        <v>1472</v>
      </c>
      <c r="C281">
        <v>2</v>
      </c>
      <c r="D281" t="s">
        <v>1468</v>
      </c>
      <c r="E281" t="s">
        <v>175</v>
      </c>
      <c r="F281" t="s">
        <v>1469</v>
      </c>
      <c r="G281">
        <v>0</v>
      </c>
      <c r="H281">
        <v>84</v>
      </c>
      <c r="I281">
        <v>0.55000001192092896</v>
      </c>
      <c r="J281" t="s">
        <v>268</v>
      </c>
      <c r="K281" t="s">
        <v>268</v>
      </c>
      <c r="L281" s="67" t="str">
        <f>VLOOKUP($A281,MFMaster!$A$2:$C$300,2,FALSE)</f>
        <v>4-6 stories</v>
      </c>
      <c r="M281" s="67" t="str">
        <f>VLOOKUP($A281,MFMaster!$A$2:$CG$232,85,FALSE)</f>
        <v/>
      </c>
      <c r="P281"/>
      <c r="Q281"/>
    </row>
    <row r="282" spans="1:17">
      <c r="A282">
        <v>74013</v>
      </c>
      <c r="B282" t="s">
        <v>1472</v>
      </c>
      <c r="C282">
        <v>1</v>
      </c>
      <c r="D282" t="s">
        <v>1468</v>
      </c>
      <c r="E282" t="s">
        <v>175</v>
      </c>
      <c r="F282" t="s">
        <v>1469</v>
      </c>
      <c r="G282">
        <v>88</v>
      </c>
      <c r="H282">
        <v>4318</v>
      </c>
      <c r="I282">
        <v>0.44999998807907099</v>
      </c>
      <c r="J282" t="s">
        <v>268</v>
      </c>
      <c r="K282" t="s">
        <v>271</v>
      </c>
      <c r="L282" s="67" t="str">
        <f>VLOOKUP($A282,MFMaster!$A$2:$C$300,2,FALSE)</f>
        <v>4-6 stories</v>
      </c>
      <c r="M282" s="67" t="str">
        <f>VLOOKUP($A282,MFMaster!$A$2:$CG$232,85,FALSE)</f>
        <v/>
      </c>
      <c r="P282"/>
      <c r="Q282"/>
    </row>
    <row r="283" spans="1:17">
      <c r="A283">
        <v>74013</v>
      </c>
      <c r="B283" t="s">
        <v>1473</v>
      </c>
      <c r="C283">
        <v>2</v>
      </c>
      <c r="D283" t="s">
        <v>255</v>
      </c>
      <c r="E283" t="s">
        <v>175</v>
      </c>
      <c r="F283" t="s">
        <v>1469</v>
      </c>
      <c r="G283">
        <v>50</v>
      </c>
      <c r="H283">
        <v>785</v>
      </c>
      <c r="I283">
        <v>0.75</v>
      </c>
      <c r="J283" t="s">
        <v>268</v>
      </c>
      <c r="K283" t="s">
        <v>271</v>
      </c>
      <c r="L283" s="67" t="str">
        <f>VLOOKUP($A283,MFMaster!$A$2:$C$300,2,FALSE)</f>
        <v>4-6 stories</v>
      </c>
      <c r="M283" s="67" t="str">
        <f>VLOOKUP($A283,MFMaster!$A$2:$CG$232,85,FALSE)</f>
        <v/>
      </c>
      <c r="P283"/>
      <c r="Q283"/>
    </row>
    <row r="284" spans="1:17">
      <c r="A284">
        <v>74014</v>
      </c>
      <c r="B284" t="s">
        <v>1472</v>
      </c>
      <c r="C284">
        <v>1</v>
      </c>
      <c r="D284" t="s">
        <v>255</v>
      </c>
      <c r="E284" t="s">
        <v>182</v>
      </c>
      <c r="F284"/>
      <c r="G284">
        <v>95</v>
      </c>
      <c r="H284">
        <v>3513</v>
      </c>
      <c r="I284">
        <v>1.1000000238418599</v>
      </c>
      <c r="J284" t="s">
        <v>268</v>
      </c>
      <c r="K284" t="s">
        <v>268</v>
      </c>
      <c r="L284" s="67" t="str">
        <f>VLOOKUP($A284,MFMaster!$A$2:$C$300,2,FALSE)</f>
        <v>4-6 stories</v>
      </c>
      <c r="M284" s="67" t="str">
        <f>VLOOKUP($A284,MFMaster!$A$2:$CG$232,85,FALSE)</f>
        <v/>
      </c>
      <c r="P284"/>
      <c r="Q284"/>
    </row>
    <row r="285" spans="1:17">
      <c r="A285">
        <v>74015</v>
      </c>
      <c r="B285" t="s">
        <v>1470</v>
      </c>
      <c r="C285">
        <v>1</v>
      </c>
      <c r="D285" t="s">
        <v>255</v>
      </c>
      <c r="E285" t="s">
        <v>175</v>
      </c>
      <c r="F285" t="s">
        <v>1471</v>
      </c>
      <c r="G285">
        <v>100</v>
      </c>
      <c r="H285">
        <v>1460</v>
      </c>
      <c r="I285">
        <v>0.85000002384185802</v>
      </c>
      <c r="J285" t="s">
        <v>268</v>
      </c>
      <c r="K285" t="s">
        <v>268</v>
      </c>
      <c r="L285" s="67" t="str">
        <f>VLOOKUP($A285,MFMaster!$A$2:$C$300,2,FALSE)</f>
        <v>1-3 stories</v>
      </c>
      <c r="M285" s="67">
        <f>VLOOKUP($A285,MFMaster!$A$2:$CG$232,85,FALSE)</f>
        <v>40.564231872558601</v>
      </c>
      <c r="P285"/>
      <c r="Q285"/>
    </row>
    <row r="286" spans="1:17">
      <c r="A286">
        <v>75001</v>
      </c>
      <c r="B286" t="s">
        <v>1470</v>
      </c>
      <c r="C286">
        <v>1</v>
      </c>
      <c r="D286" t="s">
        <v>255</v>
      </c>
      <c r="E286" t="s">
        <v>175</v>
      </c>
      <c r="F286" t="s">
        <v>1469</v>
      </c>
      <c r="G286">
        <v>100</v>
      </c>
      <c r="H286">
        <v>1414</v>
      </c>
      <c r="I286">
        <v>0.80000001192092896</v>
      </c>
      <c r="J286" t="s">
        <v>268</v>
      </c>
      <c r="K286" t="s">
        <v>268</v>
      </c>
      <c r="L286" s="67" t="str">
        <f>VLOOKUP($A286,MFMaster!$A$2:$C$300,2,FALSE)</f>
        <v>1-3 stories</v>
      </c>
      <c r="M286" s="67">
        <f>VLOOKUP($A286,MFMaster!$A$2:$CG$232,85,FALSE)</f>
        <v>28.821952819824201</v>
      </c>
      <c r="P286"/>
      <c r="Q286"/>
    </row>
    <row r="287" spans="1:17">
      <c r="A287">
        <v>75001</v>
      </c>
      <c r="B287" t="s">
        <v>1467</v>
      </c>
      <c r="C287">
        <v>2</v>
      </c>
      <c r="D287" t="s">
        <v>255</v>
      </c>
      <c r="E287" t="s">
        <v>175</v>
      </c>
      <c r="F287" t="s">
        <v>1469</v>
      </c>
      <c r="G287">
        <v>13</v>
      </c>
      <c r="H287">
        <v>332</v>
      </c>
      <c r="I287">
        <v>0.75</v>
      </c>
      <c r="J287" t="s">
        <v>268</v>
      </c>
      <c r="K287" t="s">
        <v>271</v>
      </c>
      <c r="L287" s="67" t="str">
        <f>VLOOKUP($A287,MFMaster!$A$2:$C$300,2,FALSE)</f>
        <v>1-3 stories</v>
      </c>
      <c r="M287" s="67">
        <f>VLOOKUP($A287,MFMaster!$A$2:$CG$232,85,FALSE)</f>
        <v>28.821952819824201</v>
      </c>
      <c r="P287"/>
      <c r="Q287"/>
    </row>
    <row r="288" spans="1:17">
      <c r="A288">
        <v>75002</v>
      </c>
      <c r="B288" t="s">
        <v>1470</v>
      </c>
      <c r="C288">
        <v>1</v>
      </c>
      <c r="D288" t="s">
        <v>255</v>
      </c>
      <c r="E288" t="s">
        <v>175</v>
      </c>
      <c r="F288" t="s">
        <v>1469</v>
      </c>
      <c r="G288">
        <v>94</v>
      </c>
      <c r="H288">
        <v>5930</v>
      </c>
      <c r="I288">
        <v>0.75</v>
      </c>
      <c r="J288" t="s">
        <v>268</v>
      </c>
      <c r="K288" t="s">
        <v>271</v>
      </c>
      <c r="L288" s="67" t="str">
        <f>VLOOKUP($A288,MFMaster!$A$2:$C$300,2,FALSE)</f>
        <v>7+ stories</v>
      </c>
      <c r="M288" s="67" t="str">
        <f>VLOOKUP($A288,MFMaster!$A$2:$CG$232,85,FALSE)</f>
        <v/>
      </c>
      <c r="P288"/>
      <c r="Q288"/>
    </row>
    <row r="289" spans="1:17">
      <c r="A289">
        <v>75002</v>
      </c>
      <c r="B289" t="s">
        <v>1467</v>
      </c>
      <c r="C289">
        <v>2</v>
      </c>
      <c r="D289" t="s">
        <v>1468</v>
      </c>
      <c r="E289" t="s">
        <v>175</v>
      </c>
      <c r="F289" t="s">
        <v>1469</v>
      </c>
      <c r="G289">
        <v>94</v>
      </c>
      <c r="H289">
        <v>3591</v>
      </c>
      <c r="I289">
        <v>0.44999998807907099</v>
      </c>
      <c r="J289" t="s">
        <v>268</v>
      </c>
      <c r="K289" t="s">
        <v>271</v>
      </c>
      <c r="L289" s="67" t="str">
        <f>VLOOKUP($A289,MFMaster!$A$2:$C$300,2,FALSE)</f>
        <v>7+ stories</v>
      </c>
      <c r="M289" s="67" t="str">
        <f>VLOOKUP($A289,MFMaster!$A$2:$CG$232,85,FALSE)</f>
        <v/>
      </c>
      <c r="P289"/>
      <c r="Q289"/>
    </row>
    <row r="290" spans="1:17">
      <c r="A290">
        <v>75002</v>
      </c>
      <c r="B290" t="s">
        <v>1472</v>
      </c>
      <c r="C290">
        <v>3</v>
      </c>
      <c r="D290" t="s">
        <v>255</v>
      </c>
      <c r="E290" t="s">
        <v>182</v>
      </c>
      <c r="F290"/>
      <c r="G290">
        <v>8</v>
      </c>
      <c r="H290">
        <v>773</v>
      </c>
      <c r="I290">
        <v>1.1000000238418599</v>
      </c>
      <c r="J290" t="s">
        <v>268</v>
      </c>
      <c r="K290" t="s">
        <v>268</v>
      </c>
      <c r="L290" s="67" t="str">
        <f>VLOOKUP($A290,MFMaster!$A$2:$C$300,2,FALSE)</f>
        <v>7+ stories</v>
      </c>
      <c r="M290" s="67" t="str">
        <f>VLOOKUP($A290,MFMaster!$A$2:$CG$232,85,FALSE)</f>
        <v/>
      </c>
      <c r="P290"/>
      <c r="Q290"/>
    </row>
    <row r="291" spans="1:17">
      <c r="A291">
        <v>75003</v>
      </c>
      <c r="B291" t="s">
        <v>1467</v>
      </c>
      <c r="C291">
        <v>1</v>
      </c>
      <c r="D291" t="s">
        <v>255</v>
      </c>
      <c r="E291" t="s">
        <v>175</v>
      </c>
      <c r="F291" t="s">
        <v>1471</v>
      </c>
      <c r="G291">
        <v>100</v>
      </c>
      <c r="H291">
        <v>3680</v>
      </c>
      <c r="I291">
        <v>0.75</v>
      </c>
      <c r="J291" t="s">
        <v>268</v>
      </c>
      <c r="K291" t="s">
        <v>271</v>
      </c>
      <c r="L291" s="67" t="str">
        <f>VLOOKUP($A291,MFMaster!$A$2:$C$300,2,FALSE)</f>
        <v>4-6 stories</v>
      </c>
      <c r="M291" s="67" t="str">
        <f>VLOOKUP($A291,MFMaster!$A$2:$CG$232,85,FALSE)</f>
        <v/>
      </c>
      <c r="P291"/>
      <c r="Q291"/>
    </row>
    <row r="292" spans="1:17">
      <c r="A292">
        <v>75003</v>
      </c>
      <c r="B292" t="s">
        <v>1472</v>
      </c>
      <c r="C292">
        <v>2</v>
      </c>
      <c r="D292" t="s">
        <v>1468</v>
      </c>
      <c r="E292" t="s">
        <v>175</v>
      </c>
      <c r="F292" t="s">
        <v>1471</v>
      </c>
      <c r="G292">
        <v>100</v>
      </c>
      <c r="H292">
        <v>112</v>
      </c>
      <c r="I292">
        <v>0.55000001192092896</v>
      </c>
      <c r="J292" t="s">
        <v>268</v>
      </c>
      <c r="K292" t="s">
        <v>271</v>
      </c>
      <c r="L292" s="67" t="str">
        <f>VLOOKUP($A292,MFMaster!$A$2:$C$300,2,FALSE)</f>
        <v>4-6 stories</v>
      </c>
      <c r="M292" s="67" t="str">
        <f>VLOOKUP($A292,MFMaster!$A$2:$CG$232,85,FALSE)</f>
        <v/>
      </c>
      <c r="P292"/>
      <c r="Q292"/>
    </row>
    <row r="293" spans="1:17">
      <c r="A293">
        <v>75004</v>
      </c>
      <c r="B293" t="s">
        <v>1467</v>
      </c>
      <c r="C293">
        <v>1</v>
      </c>
      <c r="D293" t="s">
        <v>255</v>
      </c>
      <c r="E293" t="s">
        <v>175</v>
      </c>
      <c r="F293" t="s">
        <v>1469</v>
      </c>
      <c r="G293">
        <v>60</v>
      </c>
      <c r="H293">
        <v>4240</v>
      </c>
      <c r="I293">
        <v>0.75</v>
      </c>
      <c r="J293" t="s">
        <v>268</v>
      </c>
      <c r="K293" t="s">
        <v>271</v>
      </c>
      <c r="L293" s="67" t="str">
        <f>VLOOKUP($A293,MFMaster!$A$2:$C$300,2,FALSE)</f>
        <v>1-3 stories</v>
      </c>
      <c r="M293" s="67">
        <f>VLOOKUP($A293,MFMaster!$A$2:$CG$232,85,FALSE)</f>
        <v>19.557754516601602</v>
      </c>
      <c r="P293"/>
      <c r="Q293"/>
    </row>
    <row r="294" spans="1:17">
      <c r="A294">
        <v>75005</v>
      </c>
      <c r="B294" t="s">
        <v>1472</v>
      </c>
      <c r="C294">
        <v>1</v>
      </c>
      <c r="D294" t="s">
        <v>255</v>
      </c>
      <c r="E294" t="s">
        <v>175</v>
      </c>
      <c r="F294" t="s">
        <v>1469</v>
      </c>
      <c r="G294">
        <v>100</v>
      </c>
      <c r="H294">
        <v>4553</v>
      </c>
      <c r="I294">
        <v>0.80000001192092896</v>
      </c>
      <c r="J294" t="s">
        <v>268</v>
      </c>
      <c r="K294" t="s">
        <v>268</v>
      </c>
      <c r="L294" s="67" t="str">
        <f>VLOOKUP($A294,MFMaster!$A$2:$C$300,2,FALSE)</f>
        <v>4-6 stories</v>
      </c>
      <c r="M294" s="67" t="str">
        <f>VLOOKUP($A294,MFMaster!$A$2:$CG$232,85,FALSE)</f>
        <v/>
      </c>
      <c r="P294"/>
      <c r="Q294"/>
    </row>
    <row r="295" spans="1:17">
      <c r="A295">
        <v>75005</v>
      </c>
      <c r="B295" t="s">
        <v>1473</v>
      </c>
      <c r="C295">
        <v>2</v>
      </c>
      <c r="D295" t="s">
        <v>1468</v>
      </c>
      <c r="E295" t="s">
        <v>175</v>
      </c>
      <c r="F295" t="s">
        <v>1469</v>
      </c>
      <c r="G295">
        <v>100</v>
      </c>
      <c r="H295">
        <v>128</v>
      </c>
      <c r="I295">
        <v>0.44999998807907099</v>
      </c>
      <c r="J295" t="s">
        <v>268</v>
      </c>
      <c r="K295" t="s">
        <v>271</v>
      </c>
      <c r="L295" s="67" t="str">
        <f>VLOOKUP($A295,MFMaster!$A$2:$C$300,2,FALSE)</f>
        <v>4-6 stories</v>
      </c>
      <c r="M295" s="67" t="str">
        <f>VLOOKUP($A295,MFMaster!$A$2:$CG$232,85,FALSE)</f>
        <v/>
      </c>
      <c r="P295"/>
      <c r="Q295"/>
    </row>
    <row r="296" spans="1:17">
      <c r="A296">
        <v>75006</v>
      </c>
      <c r="B296" t="s">
        <v>1467</v>
      </c>
      <c r="C296">
        <v>1</v>
      </c>
      <c r="D296" t="s">
        <v>255</v>
      </c>
      <c r="E296" t="s">
        <v>175</v>
      </c>
      <c r="F296" t="s">
        <v>1469</v>
      </c>
      <c r="G296">
        <v>100</v>
      </c>
      <c r="H296">
        <v>2898</v>
      </c>
      <c r="I296">
        <v>0.80000001192092896</v>
      </c>
      <c r="J296" t="s">
        <v>268</v>
      </c>
      <c r="K296" t="s">
        <v>268</v>
      </c>
      <c r="L296" s="67" t="str">
        <f>VLOOKUP($A296,MFMaster!$A$2:$C$300,2,FALSE)</f>
        <v>4-6 stories</v>
      </c>
      <c r="M296" s="67" t="str">
        <f>VLOOKUP($A296,MFMaster!$A$2:$CG$232,85,FALSE)</f>
        <v/>
      </c>
      <c r="P296"/>
      <c r="Q296"/>
    </row>
    <row r="297" spans="1:17">
      <c r="A297">
        <v>75006</v>
      </c>
      <c r="B297" t="s">
        <v>1472</v>
      </c>
      <c r="C297">
        <v>2</v>
      </c>
      <c r="D297" t="s">
        <v>1468</v>
      </c>
      <c r="E297" t="s">
        <v>182</v>
      </c>
      <c r="F297"/>
      <c r="G297">
        <v>12</v>
      </c>
      <c r="H297">
        <v>414</v>
      </c>
      <c r="I297">
        <v>0.94999998807907104</v>
      </c>
      <c r="J297" t="s">
        <v>268</v>
      </c>
      <c r="K297" t="s">
        <v>268</v>
      </c>
      <c r="L297" s="67" t="str">
        <f>VLOOKUP($A297,MFMaster!$A$2:$C$300,2,FALSE)</f>
        <v>4-6 stories</v>
      </c>
      <c r="M297" s="67" t="str">
        <f>VLOOKUP($A297,MFMaster!$A$2:$CG$232,85,FALSE)</f>
        <v/>
      </c>
      <c r="P297"/>
      <c r="Q297"/>
    </row>
    <row r="298" spans="1:17">
      <c r="A298">
        <v>75007</v>
      </c>
      <c r="B298" t="s">
        <v>1472</v>
      </c>
      <c r="C298">
        <v>1</v>
      </c>
      <c r="D298" t="s">
        <v>1468</v>
      </c>
      <c r="E298" t="s">
        <v>175</v>
      </c>
      <c r="F298" t="s">
        <v>1469</v>
      </c>
      <c r="G298">
        <v>90</v>
      </c>
      <c r="H298">
        <v>4164</v>
      </c>
      <c r="I298">
        <v>0.44999998807907099</v>
      </c>
      <c r="J298" t="s">
        <v>268</v>
      </c>
      <c r="K298" t="s">
        <v>271</v>
      </c>
      <c r="L298" s="67" t="str">
        <f>VLOOKUP($A298,MFMaster!$A$2:$C$300,2,FALSE)</f>
        <v>4-6 stories</v>
      </c>
      <c r="M298" s="67" t="str">
        <f>VLOOKUP($A298,MFMaster!$A$2:$CG$232,85,FALSE)</f>
        <v/>
      </c>
      <c r="P298"/>
      <c r="Q298"/>
    </row>
    <row r="299" spans="1:17">
      <c r="A299">
        <v>75007</v>
      </c>
      <c r="B299" t="s">
        <v>1473</v>
      </c>
      <c r="C299">
        <v>2</v>
      </c>
      <c r="D299" t="s">
        <v>255</v>
      </c>
      <c r="E299" t="s">
        <v>175</v>
      </c>
      <c r="F299" t="s">
        <v>1471</v>
      </c>
      <c r="G299">
        <v>20</v>
      </c>
      <c r="H299">
        <v>1156</v>
      </c>
      <c r="I299">
        <v>0.75</v>
      </c>
      <c r="J299" t="s">
        <v>268</v>
      </c>
      <c r="K299" t="s">
        <v>271</v>
      </c>
      <c r="L299" s="67" t="str">
        <f>VLOOKUP($A299,MFMaster!$A$2:$C$300,2,FALSE)</f>
        <v>4-6 stories</v>
      </c>
      <c r="M299" s="67" t="str">
        <f>VLOOKUP($A299,MFMaster!$A$2:$CG$232,85,FALSE)</f>
        <v/>
      </c>
      <c r="P299"/>
      <c r="Q299"/>
    </row>
    <row r="300" spans="1:17">
      <c r="A300">
        <v>75008</v>
      </c>
      <c r="B300" t="s">
        <v>1472</v>
      </c>
      <c r="C300">
        <v>1</v>
      </c>
      <c r="D300" t="s">
        <v>1468</v>
      </c>
      <c r="E300" t="s">
        <v>175</v>
      </c>
      <c r="F300" t="s">
        <v>1469</v>
      </c>
      <c r="G300">
        <v>81</v>
      </c>
      <c r="H300">
        <v>3632</v>
      </c>
      <c r="I300">
        <v>0.44999998807907099</v>
      </c>
      <c r="J300" t="s">
        <v>268</v>
      </c>
      <c r="K300" t="s">
        <v>271</v>
      </c>
      <c r="L300" s="67" t="str">
        <f>VLOOKUP($A300,MFMaster!$A$2:$C$300,2,FALSE)</f>
        <v>1-3 stories</v>
      </c>
      <c r="M300" s="67">
        <f>VLOOKUP($A300,MFMaster!$A$2:$CG$232,85,FALSE)</f>
        <v>26.7130317687988</v>
      </c>
      <c r="P300"/>
      <c r="Q300"/>
    </row>
    <row r="301" spans="1:17">
      <c r="A301">
        <v>75009</v>
      </c>
      <c r="B301" t="s">
        <v>1473</v>
      </c>
      <c r="C301">
        <v>1</v>
      </c>
      <c r="D301" t="s">
        <v>1468</v>
      </c>
      <c r="E301" t="s">
        <v>175</v>
      </c>
      <c r="F301" t="s">
        <v>1469</v>
      </c>
      <c r="G301">
        <v>100</v>
      </c>
      <c r="H301">
        <v>2000</v>
      </c>
      <c r="I301">
        <v>0.44999998807907099</v>
      </c>
      <c r="J301" t="s">
        <v>268</v>
      </c>
      <c r="K301" t="s">
        <v>271</v>
      </c>
      <c r="L301" s="67" t="str">
        <f>VLOOKUP($A301,MFMaster!$A$2:$C$300,2,FALSE)</f>
        <v>1-3 stories</v>
      </c>
      <c r="M301" s="67" t="str">
        <f>VLOOKUP($A301,MFMaster!$A$2:$CG$232,85,FALSE)</f>
        <v/>
      </c>
      <c r="P301"/>
      <c r="Q301"/>
    </row>
    <row r="302" spans="1:17">
      <c r="A302">
        <v>75009</v>
      </c>
      <c r="B302" t="s">
        <v>1474</v>
      </c>
      <c r="C302">
        <v>2</v>
      </c>
      <c r="D302" t="s">
        <v>1468</v>
      </c>
      <c r="E302" t="s">
        <v>182</v>
      </c>
      <c r="F302"/>
      <c r="G302">
        <v>80</v>
      </c>
      <c r="H302">
        <v>1333</v>
      </c>
      <c r="I302">
        <v>0.94999998807907104</v>
      </c>
      <c r="J302" t="s">
        <v>268</v>
      </c>
      <c r="K302" t="s">
        <v>268</v>
      </c>
      <c r="L302" s="67" t="str">
        <f>VLOOKUP($A302,MFMaster!$A$2:$C$300,2,FALSE)</f>
        <v>1-3 stories</v>
      </c>
      <c r="M302" s="67" t="str">
        <f>VLOOKUP($A302,MFMaster!$A$2:$CG$232,85,FALSE)</f>
        <v/>
      </c>
      <c r="P302"/>
      <c r="Q302"/>
    </row>
    <row r="303" spans="1:17">
      <c r="A303">
        <v>75010</v>
      </c>
      <c r="B303" t="s">
        <v>1467</v>
      </c>
      <c r="C303">
        <v>1</v>
      </c>
      <c r="D303" t="s">
        <v>255</v>
      </c>
      <c r="E303" t="s">
        <v>175</v>
      </c>
      <c r="F303" t="s">
        <v>1471</v>
      </c>
      <c r="G303">
        <v>98</v>
      </c>
      <c r="H303">
        <v>3483</v>
      </c>
      <c r="I303">
        <v>0.85000002384185802</v>
      </c>
      <c r="J303" t="s">
        <v>268</v>
      </c>
      <c r="K303" t="s">
        <v>268</v>
      </c>
      <c r="L303" s="67" t="str">
        <f>VLOOKUP($A303,MFMaster!$A$2:$C$300,2,FALSE)</f>
        <v>1-3 stories</v>
      </c>
      <c r="M303" s="67">
        <f>VLOOKUP($A303,MFMaster!$A$2:$CG$232,85,FALSE)</f>
        <v>30.423171997070298</v>
      </c>
      <c r="P303"/>
      <c r="Q303"/>
    </row>
    <row r="304" spans="1:17">
      <c r="A304">
        <v>75011</v>
      </c>
      <c r="B304" t="s">
        <v>1467</v>
      </c>
      <c r="C304">
        <v>1</v>
      </c>
      <c r="D304" t="s">
        <v>1468</v>
      </c>
      <c r="E304" t="s">
        <v>175</v>
      </c>
      <c r="F304" t="s">
        <v>1469</v>
      </c>
      <c r="G304">
        <v>95</v>
      </c>
      <c r="H304">
        <v>4690</v>
      </c>
      <c r="I304">
        <v>0.44999998807907099</v>
      </c>
      <c r="J304" t="s">
        <v>268</v>
      </c>
      <c r="K304" t="s">
        <v>271</v>
      </c>
      <c r="L304" s="67" t="str">
        <f>VLOOKUP($A304,MFMaster!$A$2:$C$300,2,FALSE)</f>
        <v>4-6 stories</v>
      </c>
      <c r="M304" s="67" t="str">
        <f>VLOOKUP($A304,MFMaster!$A$2:$CG$232,85,FALSE)</f>
        <v/>
      </c>
      <c r="P304"/>
      <c r="Q304"/>
    </row>
    <row r="305" spans="1:17">
      <c r="A305">
        <v>75011</v>
      </c>
      <c r="B305" t="s">
        <v>1472</v>
      </c>
      <c r="C305">
        <v>2</v>
      </c>
      <c r="D305" t="s">
        <v>255</v>
      </c>
      <c r="E305" t="s">
        <v>175</v>
      </c>
      <c r="F305" t="s">
        <v>1469</v>
      </c>
      <c r="G305">
        <v>100</v>
      </c>
      <c r="H305">
        <v>40</v>
      </c>
      <c r="I305">
        <v>0.80000001192092896</v>
      </c>
      <c r="J305" t="s">
        <v>268</v>
      </c>
      <c r="K305" t="s">
        <v>268</v>
      </c>
      <c r="L305" s="67" t="str">
        <f>VLOOKUP($A305,MFMaster!$A$2:$C$300,2,FALSE)</f>
        <v>4-6 stories</v>
      </c>
      <c r="M305" s="67" t="str">
        <f>VLOOKUP($A305,MFMaster!$A$2:$CG$232,85,FALSE)</f>
        <v/>
      </c>
      <c r="P305"/>
      <c r="Q305"/>
    </row>
    <row r="306" spans="1:17">
      <c r="A306">
        <v>75012</v>
      </c>
      <c r="B306" t="s">
        <v>1467</v>
      </c>
      <c r="C306">
        <v>1</v>
      </c>
      <c r="D306" t="s">
        <v>1468</v>
      </c>
      <c r="E306" t="s">
        <v>175</v>
      </c>
      <c r="F306" t="s">
        <v>1469</v>
      </c>
      <c r="G306">
        <v>100</v>
      </c>
      <c r="H306">
        <v>1455</v>
      </c>
      <c r="I306">
        <v>0.55000001192092896</v>
      </c>
      <c r="J306" t="s">
        <v>268</v>
      </c>
      <c r="K306" t="s">
        <v>268</v>
      </c>
      <c r="L306" s="67" t="str">
        <f>VLOOKUP($A306,MFMaster!$A$2:$C$300,2,FALSE)</f>
        <v>1-3 stories</v>
      </c>
      <c r="M306" s="67" t="str">
        <f>VLOOKUP($A306,MFMaster!$A$2:$CG$232,85,FALSE)</f>
        <v/>
      </c>
      <c r="P306"/>
      <c r="Q306"/>
    </row>
    <row r="307" spans="1:17">
      <c r="A307">
        <v>75012</v>
      </c>
      <c r="B307" t="s">
        <v>1472</v>
      </c>
      <c r="C307">
        <v>2</v>
      </c>
      <c r="D307" t="s">
        <v>1468</v>
      </c>
      <c r="E307" t="s">
        <v>182</v>
      </c>
      <c r="F307"/>
      <c r="G307">
        <v>0</v>
      </c>
      <c r="H307">
        <v>87</v>
      </c>
      <c r="I307">
        <v>0.94999998807907104</v>
      </c>
      <c r="J307" t="s">
        <v>268</v>
      </c>
      <c r="K307" t="s">
        <v>268</v>
      </c>
      <c r="L307" s="67" t="str">
        <f>VLOOKUP($A307,MFMaster!$A$2:$C$300,2,FALSE)</f>
        <v>1-3 stories</v>
      </c>
      <c r="M307" s="67" t="str">
        <f>VLOOKUP($A307,MFMaster!$A$2:$CG$232,85,FALSE)</f>
        <v/>
      </c>
      <c r="P307"/>
      <c r="Q307"/>
    </row>
    <row r="308" spans="1:17">
      <c r="A308">
        <v>75013</v>
      </c>
      <c r="B308" t="s">
        <v>1467</v>
      </c>
      <c r="C308">
        <v>1</v>
      </c>
      <c r="D308" t="s">
        <v>1468</v>
      </c>
      <c r="E308" t="s">
        <v>175</v>
      </c>
      <c r="F308" t="s">
        <v>1469</v>
      </c>
      <c r="G308">
        <v>100</v>
      </c>
      <c r="H308">
        <v>2221</v>
      </c>
      <c r="I308">
        <v>0.44999998807907099</v>
      </c>
      <c r="J308" t="s">
        <v>268</v>
      </c>
      <c r="K308" t="s">
        <v>271</v>
      </c>
      <c r="L308" s="67" t="str">
        <f>VLOOKUP($A308,MFMaster!$A$2:$C$300,2,FALSE)</f>
        <v>4-6 stories</v>
      </c>
      <c r="M308" s="67" t="str">
        <f>VLOOKUP($A308,MFMaster!$A$2:$CG$232,85,FALSE)</f>
        <v/>
      </c>
      <c r="P308"/>
      <c r="Q308"/>
    </row>
    <row r="309" spans="1:17">
      <c r="A309">
        <v>75013</v>
      </c>
      <c r="B309" t="s">
        <v>1472</v>
      </c>
      <c r="C309">
        <v>2</v>
      </c>
      <c r="D309" t="s">
        <v>255</v>
      </c>
      <c r="E309" t="s">
        <v>175</v>
      </c>
      <c r="F309" t="s">
        <v>1471</v>
      </c>
      <c r="G309">
        <v>61</v>
      </c>
      <c r="H309">
        <v>1141</v>
      </c>
      <c r="I309">
        <v>0.85000002384185802</v>
      </c>
      <c r="J309" t="s">
        <v>268</v>
      </c>
      <c r="K309" t="s">
        <v>268</v>
      </c>
      <c r="L309" s="67" t="str">
        <f>VLOOKUP($A309,MFMaster!$A$2:$C$300,2,FALSE)</f>
        <v>4-6 stories</v>
      </c>
      <c r="M309" s="67" t="str">
        <f>VLOOKUP($A309,MFMaster!$A$2:$CG$232,85,FALSE)</f>
        <v/>
      </c>
      <c r="P309"/>
      <c r="Q309"/>
    </row>
    <row r="310" spans="1:17">
      <c r="A310">
        <v>76001</v>
      </c>
      <c r="B310" t="s">
        <v>1470</v>
      </c>
      <c r="C310">
        <v>1</v>
      </c>
      <c r="D310" t="s">
        <v>1468</v>
      </c>
      <c r="E310" t="s">
        <v>182</v>
      </c>
      <c r="F310"/>
      <c r="G310">
        <v>97</v>
      </c>
      <c r="H310">
        <v>7066</v>
      </c>
      <c r="I310">
        <v>0.94999998807907104</v>
      </c>
      <c r="J310" t="s">
        <v>268</v>
      </c>
      <c r="K310" t="s">
        <v>268</v>
      </c>
      <c r="L310" s="67" t="str">
        <f>VLOOKUP($A310,MFMaster!$A$2:$C$300,2,FALSE)</f>
        <v>4-6 stories</v>
      </c>
      <c r="M310" s="67" t="str">
        <f>VLOOKUP($A310,MFMaster!$A$2:$CG$232,85,FALSE)</f>
        <v/>
      </c>
      <c r="P310"/>
      <c r="Q310"/>
    </row>
    <row r="311" spans="1:17">
      <c r="A311">
        <v>76002</v>
      </c>
      <c r="B311" t="s">
        <v>1470</v>
      </c>
      <c r="C311">
        <v>1</v>
      </c>
      <c r="D311" t="s">
        <v>255</v>
      </c>
      <c r="E311" t="s">
        <v>182</v>
      </c>
      <c r="F311"/>
      <c r="G311">
        <v>32</v>
      </c>
      <c r="H311">
        <v>19224</v>
      </c>
      <c r="I311">
        <v>1.1000000238418599</v>
      </c>
      <c r="J311" t="s">
        <v>268</v>
      </c>
      <c r="K311" t="s">
        <v>268</v>
      </c>
      <c r="L311" s="67" t="str">
        <f>VLOOKUP($A311,MFMaster!$A$2:$C$300,2,FALSE)</f>
        <v>4-6 stories</v>
      </c>
      <c r="M311" s="67" t="str">
        <f>VLOOKUP($A311,MFMaster!$A$2:$CG$232,85,FALSE)</f>
        <v/>
      </c>
    </row>
    <row r="312" spans="1:17">
      <c r="A312">
        <v>76003</v>
      </c>
      <c r="B312" t="s">
        <v>1472</v>
      </c>
      <c r="C312">
        <v>1</v>
      </c>
      <c r="D312" t="s">
        <v>255</v>
      </c>
      <c r="E312" t="s">
        <v>175</v>
      </c>
      <c r="F312" t="s">
        <v>1469</v>
      </c>
      <c r="G312">
        <v>99</v>
      </c>
      <c r="H312">
        <v>8993</v>
      </c>
      <c r="I312">
        <v>0.75</v>
      </c>
      <c r="J312" t="s">
        <v>268</v>
      </c>
      <c r="K312" t="s">
        <v>271</v>
      </c>
      <c r="L312" s="67" t="str">
        <f>VLOOKUP($A312,MFMaster!$A$2:$C$300,2,FALSE)</f>
        <v>7+ stories</v>
      </c>
      <c r="M312" s="67" t="str">
        <f>VLOOKUP($A312,MFMaster!$A$2:$CG$232,85,FALSE)</f>
        <v/>
      </c>
    </row>
    <row r="313" spans="1:17">
      <c r="A313">
        <v>76003</v>
      </c>
      <c r="B313" t="s">
        <v>1473</v>
      </c>
      <c r="C313">
        <v>2</v>
      </c>
      <c r="D313" t="s">
        <v>1468</v>
      </c>
      <c r="E313" t="s">
        <v>182</v>
      </c>
      <c r="F313"/>
      <c r="G313">
        <v>25</v>
      </c>
      <c r="H313">
        <v>163</v>
      </c>
      <c r="I313">
        <v>0.94999998807907104</v>
      </c>
      <c r="J313" t="s">
        <v>268</v>
      </c>
      <c r="K313" t="s">
        <v>268</v>
      </c>
      <c r="L313" s="67" t="str">
        <f>VLOOKUP($A313,MFMaster!$A$2:$C$300,2,FALSE)</f>
        <v>7+ stories</v>
      </c>
      <c r="M313" s="67" t="str">
        <f>VLOOKUP($A313,MFMaster!$A$2:$CG$232,85,FALSE)</f>
        <v/>
      </c>
    </row>
    <row r="314" spans="1:17">
      <c r="A314">
        <v>76004</v>
      </c>
      <c r="B314" t="s">
        <v>1472</v>
      </c>
      <c r="C314">
        <v>1</v>
      </c>
      <c r="D314" t="s">
        <v>1468</v>
      </c>
      <c r="E314" t="s">
        <v>175</v>
      </c>
      <c r="F314" t="s">
        <v>1469</v>
      </c>
      <c r="G314">
        <v>42</v>
      </c>
      <c r="H314">
        <v>10443</v>
      </c>
      <c r="I314">
        <v>0.44999998807907099</v>
      </c>
      <c r="J314" t="s">
        <v>268</v>
      </c>
      <c r="K314" t="s">
        <v>271</v>
      </c>
      <c r="L314" s="67" t="str">
        <f>VLOOKUP($A314,MFMaster!$A$2:$C$300,2,FALSE)</f>
        <v>4-6 stories</v>
      </c>
      <c r="M314" s="67" t="str">
        <f>VLOOKUP($A314,MFMaster!$A$2:$CG$232,85,FALSE)</f>
        <v/>
      </c>
    </row>
    <row r="315" spans="1:17">
      <c r="A315">
        <v>76004</v>
      </c>
      <c r="B315" t="s">
        <v>1473</v>
      </c>
      <c r="C315">
        <v>2</v>
      </c>
      <c r="D315" t="s">
        <v>255</v>
      </c>
      <c r="E315" t="s">
        <v>175</v>
      </c>
      <c r="F315" t="s">
        <v>1471</v>
      </c>
      <c r="G315">
        <v>2</v>
      </c>
      <c r="H315">
        <v>132</v>
      </c>
      <c r="I315">
        <v>0.75</v>
      </c>
      <c r="J315" t="s">
        <v>268</v>
      </c>
      <c r="K315" t="s">
        <v>271</v>
      </c>
      <c r="L315" s="67" t="str">
        <f>VLOOKUP($A315,MFMaster!$A$2:$C$300,2,FALSE)</f>
        <v>4-6 stories</v>
      </c>
      <c r="M315" s="67" t="str">
        <f>VLOOKUP($A315,MFMaster!$A$2:$CG$232,85,FALSE)</f>
        <v/>
      </c>
    </row>
    <row r="316" spans="1:17">
      <c r="A316">
        <v>76004</v>
      </c>
      <c r="B316" t="s">
        <v>1474</v>
      </c>
      <c r="C316">
        <v>3</v>
      </c>
      <c r="D316"/>
      <c r="E316"/>
      <c r="F316"/>
      <c r="G316">
        <v>0</v>
      </c>
      <c r="H316">
        <v>33</v>
      </c>
      <c r="I316"/>
      <c r="J316" t="s">
        <v>268</v>
      </c>
      <c r="K316" t="s">
        <v>268</v>
      </c>
      <c r="L316" s="67" t="str">
        <f>VLOOKUP($A316,MFMaster!$A$2:$C$300,2,FALSE)</f>
        <v>4-6 stories</v>
      </c>
      <c r="M316" s="67" t="str">
        <f>VLOOKUP($A316,MFMaster!$A$2:$CG$232,85,FALSE)</f>
        <v/>
      </c>
    </row>
    <row r="317" spans="1:17">
      <c r="A317">
        <v>76005</v>
      </c>
      <c r="B317" t="s">
        <v>1470</v>
      </c>
      <c r="C317">
        <v>1</v>
      </c>
      <c r="D317" t="s">
        <v>1468</v>
      </c>
      <c r="E317" t="s">
        <v>175</v>
      </c>
      <c r="F317" t="s">
        <v>1469</v>
      </c>
      <c r="G317">
        <v>93</v>
      </c>
      <c r="H317">
        <v>5373</v>
      </c>
      <c r="I317">
        <v>0.44999998807907099</v>
      </c>
      <c r="J317" t="s">
        <v>268</v>
      </c>
      <c r="K317" t="s">
        <v>271</v>
      </c>
      <c r="L317" s="67" t="str">
        <f>VLOOKUP($A317,MFMaster!$A$2:$C$300,2,FALSE)</f>
        <v>4-6 stories</v>
      </c>
      <c r="M317" s="67" t="str">
        <f>VLOOKUP($A317,MFMaster!$A$2:$CG$232,85,FALSE)</f>
        <v/>
      </c>
    </row>
    <row r="318" spans="1:17">
      <c r="A318">
        <v>76006</v>
      </c>
      <c r="B318" t="s">
        <v>1467</v>
      </c>
      <c r="C318">
        <v>1</v>
      </c>
      <c r="D318" t="s">
        <v>1468</v>
      </c>
      <c r="E318" t="s">
        <v>175</v>
      </c>
      <c r="F318" t="s">
        <v>1469</v>
      </c>
      <c r="G318">
        <v>100</v>
      </c>
      <c r="H318">
        <v>4760</v>
      </c>
      <c r="I318">
        <v>0.44999998807907099</v>
      </c>
      <c r="J318" t="s">
        <v>268</v>
      </c>
      <c r="K318" t="s">
        <v>271</v>
      </c>
      <c r="L318" s="67" t="str">
        <f>VLOOKUP($A318,MFMaster!$A$2:$C$300,2,FALSE)</f>
        <v>7+ stories</v>
      </c>
      <c r="M318" s="67" t="str">
        <f>VLOOKUP($A318,MFMaster!$A$2:$CG$232,85,FALSE)</f>
        <v/>
      </c>
    </row>
    <row r="319" spans="1:17">
      <c r="A319">
        <v>76006</v>
      </c>
      <c r="B319" t="s">
        <v>1472</v>
      </c>
      <c r="C319">
        <v>2</v>
      </c>
      <c r="D319" t="s">
        <v>255</v>
      </c>
      <c r="E319" t="s">
        <v>175</v>
      </c>
      <c r="F319" t="s">
        <v>1469</v>
      </c>
      <c r="G319">
        <v>100</v>
      </c>
      <c r="H319">
        <v>430</v>
      </c>
      <c r="I319">
        <v>0.75</v>
      </c>
      <c r="J319" t="s">
        <v>268</v>
      </c>
      <c r="K319" t="s">
        <v>271</v>
      </c>
      <c r="L319" s="67" t="str">
        <f>VLOOKUP($A319,MFMaster!$A$2:$C$300,2,FALSE)</f>
        <v>7+ stories</v>
      </c>
      <c r="M319" s="67" t="str">
        <f>VLOOKUP($A319,MFMaster!$A$2:$CG$232,85,FALSE)</f>
        <v/>
      </c>
    </row>
    <row r="320" spans="1:17">
      <c r="A320">
        <v>76006</v>
      </c>
      <c r="B320" t="s">
        <v>1473</v>
      </c>
      <c r="C320">
        <v>3</v>
      </c>
      <c r="D320" t="s">
        <v>255</v>
      </c>
      <c r="E320" t="s">
        <v>182</v>
      </c>
      <c r="F320"/>
      <c r="G320">
        <v>18</v>
      </c>
      <c r="H320">
        <v>724</v>
      </c>
      <c r="I320">
        <v>1.1000000238418599</v>
      </c>
      <c r="J320" t="s">
        <v>268</v>
      </c>
      <c r="K320" t="s">
        <v>268</v>
      </c>
      <c r="L320" s="67" t="str">
        <f>VLOOKUP($A320,MFMaster!$A$2:$C$300,2,FALSE)</f>
        <v>7+ stories</v>
      </c>
      <c r="M320" s="67" t="str">
        <f>VLOOKUP($A320,MFMaster!$A$2:$CG$232,85,FALSE)</f>
        <v/>
      </c>
    </row>
    <row r="321" spans="1:13">
      <c r="A321">
        <v>76007</v>
      </c>
      <c r="B321" t="s">
        <v>1473</v>
      </c>
      <c r="C321">
        <v>1</v>
      </c>
      <c r="D321" t="s">
        <v>1468</v>
      </c>
      <c r="E321" t="s">
        <v>175</v>
      </c>
      <c r="F321" t="s">
        <v>1469</v>
      </c>
      <c r="G321">
        <v>90</v>
      </c>
      <c r="H321">
        <v>3350</v>
      </c>
      <c r="I321">
        <v>0.44999998807907099</v>
      </c>
      <c r="J321" t="s">
        <v>268</v>
      </c>
      <c r="K321" t="s">
        <v>271</v>
      </c>
      <c r="L321" s="67" t="str">
        <f>VLOOKUP($A321,MFMaster!$A$2:$C$300,2,FALSE)</f>
        <v>4-6 stories</v>
      </c>
      <c r="M321" s="67" t="str">
        <f>VLOOKUP($A321,MFMaster!$A$2:$CG$232,85,FALSE)</f>
        <v/>
      </c>
    </row>
    <row r="322" spans="1:13">
      <c r="A322">
        <v>76007</v>
      </c>
      <c r="B322" t="s">
        <v>1474</v>
      </c>
      <c r="C322">
        <v>2</v>
      </c>
      <c r="D322" t="s">
        <v>255</v>
      </c>
      <c r="E322" t="s">
        <v>175</v>
      </c>
      <c r="F322" t="s">
        <v>1469</v>
      </c>
      <c r="G322">
        <v>9</v>
      </c>
      <c r="H322">
        <v>1100</v>
      </c>
      <c r="I322">
        <v>0.75</v>
      </c>
      <c r="J322" t="s">
        <v>268</v>
      </c>
      <c r="K322" t="s">
        <v>271</v>
      </c>
      <c r="L322" s="67" t="str">
        <f>VLOOKUP($A322,MFMaster!$A$2:$C$300,2,FALSE)</f>
        <v>4-6 stories</v>
      </c>
      <c r="M322" s="67" t="str">
        <f>VLOOKUP($A322,MFMaster!$A$2:$CG$232,85,FALSE)</f>
        <v/>
      </c>
    </row>
    <row r="323" spans="1:13">
      <c r="A323">
        <v>76007</v>
      </c>
      <c r="B323" t="s">
        <v>1475</v>
      </c>
      <c r="C323">
        <v>3</v>
      </c>
      <c r="D323" t="s">
        <v>1468</v>
      </c>
      <c r="E323" t="s">
        <v>175</v>
      </c>
      <c r="F323" t="s">
        <v>1469</v>
      </c>
      <c r="G323">
        <v>0</v>
      </c>
      <c r="H323">
        <v>50</v>
      </c>
      <c r="I323">
        <v>0.55000001192092896</v>
      </c>
      <c r="J323" t="s">
        <v>268</v>
      </c>
      <c r="K323" t="s">
        <v>268</v>
      </c>
      <c r="L323" s="67" t="str">
        <f>VLOOKUP($A323,MFMaster!$A$2:$C$300,2,FALSE)</f>
        <v>4-6 stories</v>
      </c>
      <c r="M323" s="67" t="str">
        <f>VLOOKUP($A323,MFMaster!$A$2:$CG$232,85,FALSE)</f>
        <v/>
      </c>
    </row>
    <row r="324" spans="1:13">
      <c r="A324">
        <v>76008</v>
      </c>
      <c r="B324" t="s">
        <v>1467</v>
      </c>
      <c r="C324">
        <v>1</v>
      </c>
      <c r="D324" t="s">
        <v>1468</v>
      </c>
      <c r="E324" t="s">
        <v>175</v>
      </c>
      <c r="F324" t="s">
        <v>1469</v>
      </c>
      <c r="G324">
        <v>95</v>
      </c>
      <c r="H324">
        <v>6700</v>
      </c>
      <c r="I324">
        <v>0.44999998807907099</v>
      </c>
      <c r="J324" t="s">
        <v>268</v>
      </c>
      <c r="K324" t="s">
        <v>271</v>
      </c>
      <c r="L324" s="67" t="str">
        <f>VLOOKUP($A324,MFMaster!$A$2:$C$300,2,FALSE)</f>
        <v>7+ stories</v>
      </c>
      <c r="M324" s="67" t="str">
        <f>VLOOKUP($A324,MFMaster!$A$2:$CG$232,85,FALSE)</f>
        <v/>
      </c>
    </row>
    <row r="325" spans="1:13">
      <c r="A325">
        <v>76009</v>
      </c>
      <c r="B325" t="s">
        <v>1470</v>
      </c>
      <c r="C325">
        <v>1</v>
      </c>
      <c r="D325" t="s">
        <v>255</v>
      </c>
      <c r="E325" t="s">
        <v>175</v>
      </c>
      <c r="F325" t="s">
        <v>1469</v>
      </c>
      <c r="G325">
        <v>100</v>
      </c>
      <c r="H325">
        <v>3488</v>
      </c>
      <c r="I325">
        <v>0.80000001192092896</v>
      </c>
      <c r="J325" t="s">
        <v>268</v>
      </c>
      <c r="K325" t="s">
        <v>268</v>
      </c>
      <c r="L325" s="67" t="str">
        <f>VLOOKUP($A325,MFMaster!$A$2:$C$300,2,FALSE)</f>
        <v>1-3 stories</v>
      </c>
      <c r="M325" s="67">
        <f>VLOOKUP($A325,MFMaster!$A$2:$CG$232,85,FALSE)</f>
        <v>16.346778869628899</v>
      </c>
    </row>
    <row r="326" spans="1:13">
      <c r="A326">
        <v>76010</v>
      </c>
      <c r="B326" t="s">
        <v>1473</v>
      </c>
      <c r="C326">
        <v>1</v>
      </c>
      <c r="D326" t="s">
        <v>1468</v>
      </c>
      <c r="E326" t="s">
        <v>175</v>
      </c>
      <c r="F326" t="s">
        <v>1469</v>
      </c>
      <c r="G326">
        <v>100</v>
      </c>
      <c r="H326">
        <v>8839</v>
      </c>
      <c r="I326">
        <v>0.44999998807907099</v>
      </c>
      <c r="J326" t="s">
        <v>268</v>
      </c>
      <c r="K326" t="s">
        <v>271</v>
      </c>
      <c r="L326" s="67" t="str">
        <f>VLOOKUP($A326,MFMaster!$A$2:$C$300,2,FALSE)</f>
        <v>1-3 stories</v>
      </c>
      <c r="M326" s="67">
        <f>VLOOKUP($A326,MFMaster!$A$2:$CG$232,85,FALSE)</f>
        <v>16.106386184692401</v>
      </c>
    </row>
    <row r="327" spans="1:13">
      <c r="A327">
        <v>76010</v>
      </c>
      <c r="B327" t="s">
        <v>1474</v>
      </c>
      <c r="C327">
        <v>3</v>
      </c>
      <c r="D327" t="s">
        <v>255</v>
      </c>
      <c r="E327" t="s">
        <v>182</v>
      </c>
      <c r="F327"/>
      <c r="G327">
        <v>15</v>
      </c>
      <c r="H327">
        <v>665</v>
      </c>
      <c r="I327">
        <v>1.1000000238418599</v>
      </c>
      <c r="J327" t="s">
        <v>268</v>
      </c>
      <c r="K327" t="s">
        <v>268</v>
      </c>
      <c r="L327" s="67" t="str">
        <f>VLOOKUP($A327,MFMaster!$A$2:$C$300,2,FALSE)</f>
        <v>1-3 stories</v>
      </c>
      <c r="M327" s="67">
        <f>VLOOKUP($A327,MFMaster!$A$2:$CG$232,85,FALSE)</f>
        <v>16.106386184692401</v>
      </c>
    </row>
    <row r="328" spans="1:13">
      <c r="A328">
        <v>76011</v>
      </c>
      <c r="B328" t="s">
        <v>1467</v>
      </c>
      <c r="C328">
        <v>1</v>
      </c>
      <c r="D328" t="s">
        <v>1468</v>
      </c>
      <c r="E328" t="s">
        <v>175</v>
      </c>
      <c r="F328" t="s">
        <v>1469</v>
      </c>
      <c r="G328">
        <v>95</v>
      </c>
      <c r="H328">
        <v>6491</v>
      </c>
      <c r="I328">
        <v>0.44999998807907099</v>
      </c>
      <c r="J328" t="s">
        <v>268</v>
      </c>
      <c r="K328" t="s">
        <v>271</v>
      </c>
      <c r="L328" s="67" t="str">
        <f>VLOOKUP($A328,MFMaster!$A$2:$C$300,2,FALSE)</f>
        <v>7+ stories</v>
      </c>
      <c r="M328" s="67" t="str">
        <f>VLOOKUP($A328,MFMaster!$A$2:$CG$232,85,FALSE)</f>
        <v/>
      </c>
    </row>
    <row r="329" spans="1:13">
      <c r="A329">
        <v>76012</v>
      </c>
      <c r="B329" t="s">
        <v>1467</v>
      </c>
      <c r="C329">
        <v>1</v>
      </c>
      <c r="D329" t="s">
        <v>1468</v>
      </c>
      <c r="E329" t="s">
        <v>175</v>
      </c>
      <c r="F329" t="s">
        <v>1469</v>
      </c>
      <c r="G329">
        <v>96</v>
      </c>
      <c r="H329">
        <v>11674</v>
      </c>
      <c r="I329">
        <v>0.44999998807907099</v>
      </c>
      <c r="J329" t="s">
        <v>268</v>
      </c>
      <c r="K329" t="s">
        <v>271</v>
      </c>
      <c r="L329" s="67" t="str">
        <f>VLOOKUP($A329,MFMaster!$A$2:$C$300,2,FALSE)</f>
        <v>4-6 stories</v>
      </c>
      <c r="M329" s="67" t="str">
        <f>VLOOKUP($A329,MFMaster!$A$2:$CG$232,85,FALSE)</f>
        <v/>
      </c>
    </row>
    <row r="330" spans="1:13">
      <c r="A330">
        <v>76012</v>
      </c>
      <c r="B330" t="s">
        <v>1472</v>
      </c>
      <c r="C330">
        <v>2</v>
      </c>
      <c r="D330" t="s">
        <v>255</v>
      </c>
      <c r="E330" t="s">
        <v>175</v>
      </c>
      <c r="F330" t="s">
        <v>1469</v>
      </c>
      <c r="G330">
        <v>62</v>
      </c>
      <c r="H330">
        <v>65</v>
      </c>
      <c r="I330">
        <v>0.75</v>
      </c>
      <c r="J330" t="s">
        <v>268</v>
      </c>
      <c r="K330" t="s">
        <v>271</v>
      </c>
      <c r="L330" s="67" t="str">
        <f>VLOOKUP($A330,MFMaster!$A$2:$C$300,2,FALSE)</f>
        <v>4-6 stories</v>
      </c>
      <c r="M330" s="67" t="str">
        <f>VLOOKUP($A330,MFMaster!$A$2:$CG$232,85,FALSE)</f>
        <v/>
      </c>
    </row>
    <row r="331" spans="1:13">
      <c r="A331">
        <v>76013</v>
      </c>
      <c r="B331" t="s">
        <v>1472</v>
      </c>
      <c r="C331">
        <v>1</v>
      </c>
      <c r="D331" t="s">
        <v>1468</v>
      </c>
      <c r="E331" t="s">
        <v>175</v>
      </c>
      <c r="F331" t="s">
        <v>1469</v>
      </c>
      <c r="G331">
        <v>85</v>
      </c>
      <c r="H331">
        <v>7410</v>
      </c>
      <c r="I331">
        <v>0.44999998807907099</v>
      </c>
      <c r="J331" t="s">
        <v>268</v>
      </c>
      <c r="K331" t="s">
        <v>271</v>
      </c>
      <c r="L331" s="67" t="str">
        <f>VLOOKUP($A331,MFMaster!$A$2:$C$300,2,FALSE)</f>
        <v>4-6 stories</v>
      </c>
      <c r="M331" s="67" t="str">
        <f>VLOOKUP($A331,MFMaster!$A$2:$CG$232,85,FALSE)</f>
        <v/>
      </c>
    </row>
    <row r="332" spans="1:13">
      <c r="A332">
        <v>77001</v>
      </c>
      <c r="B332" t="s">
        <v>1467</v>
      </c>
      <c r="C332">
        <v>1</v>
      </c>
      <c r="D332" t="s">
        <v>1468</v>
      </c>
      <c r="E332" t="s">
        <v>175</v>
      </c>
      <c r="F332" t="s">
        <v>1469</v>
      </c>
      <c r="G332">
        <v>99</v>
      </c>
      <c r="H332">
        <v>6549</v>
      </c>
      <c r="I332">
        <v>0.44999998807907099</v>
      </c>
      <c r="J332" t="s">
        <v>268</v>
      </c>
      <c r="K332" t="s">
        <v>271</v>
      </c>
      <c r="L332" s="67" t="str">
        <f>VLOOKUP($A332,MFMaster!$A$2:$C$300,2,FALSE)</f>
        <v>4-6 stories</v>
      </c>
      <c r="M332" s="67" t="str">
        <f>VLOOKUP($A332,MFMaster!$A$2:$CG$232,85,FALSE)</f>
        <v/>
      </c>
    </row>
    <row r="333" spans="1:13">
      <c r="A333">
        <v>77001</v>
      </c>
      <c r="B333" t="s">
        <v>1472</v>
      </c>
      <c r="C333">
        <v>2</v>
      </c>
      <c r="D333" t="s">
        <v>255</v>
      </c>
      <c r="E333" t="s">
        <v>175</v>
      </c>
      <c r="F333" t="s">
        <v>1469</v>
      </c>
      <c r="G333">
        <v>8</v>
      </c>
      <c r="H333">
        <v>2083</v>
      </c>
      <c r="I333">
        <v>0.75</v>
      </c>
      <c r="J333" t="s">
        <v>268</v>
      </c>
      <c r="K333" t="s">
        <v>271</v>
      </c>
      <c r="L333" s="67" t="str">
        <f>VLOOKUP($A333,MFMaster!$A$2:$C$300,2,FALSE)</f>
        <v>4-6 stories</v>
      </c>
      <c r="M333" s="67" t="str">
        <f>VLOOKUP($A333,MFMaster!$A$2:$CG$232,85,FALSE)</f>
        <v/>
      </c>
    </row>
    <row r="334" spans="1:13">
      <c r="A334">
        <v>77001</v>
      </c>
      <c r="B334" t="s">
        <v>1473</v>
      </c>
      <c r="C334">
        <v>3</v>
      </c>
      <c r="D334" t="s">
        <v>1468</v>
      </c>
      <c r="E334" t="s">
        <v>175</v>
      </c>
      <c r="F334" t="s">
        <v>1469</v>
      </c>
      <c r="G334">
        <v>100</v>
      </c>
      <c r="H334">
        <v>20</v>
      </c>
      <c r="I334">
        <v>0.55000001192092896</v>
      </c>
      <c r="J334" t="s">
        <v>268</v>
      </c>
      <c r="K334" t="s">
        <v>268</v>
      </c>
      <c r="L334" s="67" t="str">
        <f>VLOOKUP($A334,MFMaster!$A$2:$C$300,2,FALSE)</f>
        <v>4-6 stories</v>
      </c>
      <c r="M334" s="67" t="str">
        <f>VLOOKUP($A334,MFMaster!$A$2:$CG$232,85,FALSE)</f>
        <v/>
      </c>
    </row>
    <row r="335" spans="1:13">
      <c r="A335">
        <v>77002</v>
      </c>
      <c r="B335" t="s">
        <v>1467</v>
      </c>
      <c r="C335">
        <v>1</v>
      </c>
      <c r="D335" t="s">
        <v>255</v>
      </c>
      <c r="E335" t="s">
        <v>182</v>
      </c>
      <c r="F335"/>
      <c r="G335">
        <v>99</v>
      </c>
      <c r="H335">
        <v>21658</v>
      </c>
      <c r="I335">
        <v>1.1000000238418599</v>
      </c>
      <c r="J335" t="s">
        <v>268</v>
      </c>
      <c r="K335" t="s">
        <v>268</v>
      </c>
      <c r="L335" s="67" t="str">
        <f>VLOOKUP($A335,MFMaster!$A$2:$C$300,2,FALSE)</f>
        <v>7+ stories</v>
      </c>
      <c r="M335" s="67" t="str">
        <f>VLOOKUP($A335,MFMaster!$A$2:$CG$232,85,FALSE)</f>
        <v/>
      </c>
    </row>
    <row r="336" spans="1:13">
      <c r="A336">
        <v>77003</v>
      </c>
      <c r="B336" t="s">
        <v>1472</v>
      </c>
      <c r="C336">
        <v>1</v>
      </c>
      <c r="D336" t="s">
        <v>1468</v>
      </c>
      <c r="E336" t="s">
        <v>175</v>
      </c>
      <c r="F336" t="s">
        <v>1469</v>
      </c>
      <c r="G336">
        <v>100</v>
      </c>
      <c r="H336">
        <v>14290</v>
      </c>
      <c r="I336">
        <v>0.44999998807907099</v>
      </c>
      <c r="J336" t="s">
        <v>268</v>
      </c>
      <c r="K336" t="s">
        <v>271</v>
      </c>
      <c r="L336" s="67" t="str">
        <f>VLOOKUP($A336,MFMaster!$A$2:$C$300,2,FALSE)</f>
        <v>4-6 stories</v>
      </c>
      <c r="M336" s="67" t="str">
        <f>VLOOKUP($A336,MFMaster!$A$2:$CG$232,85,FALSE)</f>
        <v/>
      </c>
    </row>
    <row r="337" spans="1:13">
      <c r="A337">
        <v>77003</v>
      </c>
      <c r="B337" t="s">
        <v>1473</v>
      </c>
      <c r="C337">
        <v>2</v>
      </c>
      <c r="D337" t="s">
        <v>255</v>
      </c>
      <c r="E337" t="s">
        <v>175</v>
      </c>
      <c r="F337" t="s">
        <v>1469</v>
      </c>
      <c r="G337">
        <v>75</v>
      </c>
      <c r="H337">
        <v>381</v>
      </c>
      <c r="I337">
        <v>0.80000001192092896</v>
      </c>
      <c r="J337" t="s">
        <v>268</v>
      </c>
      <c r="K337" t="s">
        <v>268</v>
      </c>
      <c r="L337" s="67" t="str">
        <f>VLOOKUP($A337,MFMaster!$A$2:$C$300,2,FALSE)</f>
        <v>4-6 stories</v>
      </c>
      <c r="M337" s="67" t="str">
        <f>VLOOKUP($A337,MFMaster!$A$2:$CG$232,85,FALSE)</f>
        <v/>
      </c>
    </row>
    <row r="338" spans="1:13">
      <c r="A338">
        <v>77003</v>
      </c>
      <c r="B338" t="s">
        <v>1474</v>
      </c>
      <c r="C338">
        <v>3</v>
      </c>
      <c r="D338" t="s">
        <v>255</v>
      </c>
      <c r="E338" t="s">
        <v>182</v>
      </c>
      <c r="F338"/>
      <c r="G338">
        <v>0</v>
      </c>
      <c r="H338">
        <v>672</v>
      </c>
      <c r="I338">
        <v>1.1000000238418599</v>
      </c>
      <c r="J338" t="s">
        <v>268</v>
      </c>
      <c r="K338" t="s">
        <v>268</v>
      </c>
      <c r="L338" s="67" t="str">
        <f>VLOOKUP($A338,MFMaster!$A$2:$C$300,2,FALSE)</f>
        <v>4-6 stories</v>
      </c>
      <c r="M338" s="67" t="str">
        <f>VLOOKUP($A338,MFMaster!$A$2:$CG$232,85,FALSE)</f>
        <v/>
      </c>
    </row>
    <row r="339" spans="1:13">
      <c r="A339">
        <v>77004</v>
      </c>
      <c r="B339" t="s">
        <v>1472</v>
      </c>
      <c r="C339">
        <v>1</v>
      </c>
      <c r="D339" t="s">
        <v>1468</v>
      </c>
      <c r="E339" t="s">
        <v>175</v>
      </c>
      <c r="F339" t="s">
        <v>1469</v>
      </c>
      <c r="G339">
        <v>78</v>
      </c>
      <c r="H339">
        <v>10813</v>
      </c>
      <c r="I339">
        <v>0.44999998807907099</v>
      </c>
      <c r="J339" t="s">
        <v>268</v>
      </c>
      <c r="K339" t="s">
        <v>271</v>
      </c>
      <c r="L339" s="67" t="str">
        <f>VLOOKUP($A339,MFMaster!$A$2:$C$300,2,FALSE)</f>
        <v>1-3 stories</v>
      </c>
      <c r="M339" s="67">
        <f>VLOOKUP($A339,MFMaster!$A$2:$CG$232,85,FALSE)</f>
        <v>6.93186235427856</v>
      </c>
    </row>
    <row r="340" spans="1:13">
      <c r="A340">
        <v>77005</v>
      </c>
      <c r="B340" t="s">
        <v>1473</v>
      </c>
      <c r="C340">
        <v>1</v>
      </c>
      <c r="D340" t="s">
        <v>255</v>
      </c>
      <c r="E340" t="s">
        <v>175</v>
      </c>
      <c r="F340" t="s">
        <v>1469</v>
      </c>
      <c r="G340">
        <v>50</v>
      </c>
      <c r="H340">
        <v>18753</v>
      </c>
      <c r="I340">
        <v>0.75</v>
      </c>
      <c r="J340" t="s">
        <v>268</v>
      </c>
      <c r="K340" t="s">
        <v>271</v>
      </c>
      <c r="L340" s="67" t="str">
        <f>VLOOKUP($A340,MFMaster!$A$2:$C$300,2,FALSE)</f>
        <v>7+ stories</v>
      </c>
      <c r="M340" s="67" t="str">
        <f>VLOOKUP($A340,MFMaster!$A$2:$CG$232,85,FALSE)</f>
        <v/>
      </c>
    </row>
    <row r="341" spans="1:13">
      <c r="A341">
        <v>77006</v>
      </c>
      <c r="B341" t="s">
        <v>1470</v>
      </c>
      <c r="C341">
        <v>1</v>
      </c>
      <c r="D341" t="s">
        <v>1468</v>
      </c>
      <c r="E341" t="s">
        <v>175</v>
      </c>
      <c r="F341" t="s">
        <v>1469</v>
      </c>
      <c r="G341">
        <v>77</v>
      </c>
      <c r="H341">
        <v>17230</v>
      </c>
      <c r="I341">
        <v>0.44999998807907099</v>
      </c>
      <c r="J341" t="s">
        <v>268</v>
      </c>
      <c r="K341" t="s">
        <v>271</v>
      </c>
      <c r="L341" s="67" t="str">
        <f>VLOOKUP($A341,MFMaster!$A$2:$C$300,2,FALSE)</f>
        <v>7+ stories</v>
      </c>
      <c r="M341" s="67" t="str">
        <f>VLOOKUP($A341,MFMaster!$A$2:$CG$232,85,FALSE)</f>
        <v/>
      </c>
    </row>
    <row r="342" spans="1:13">
      <c r="A342">
        <v>77006</v>
      </c>
      <c r="B342" t="s">
        <v>1467</v>
      </c>
      <c r="C342">
        <v>2</v>
      </c>
      <c r="D342" t="s">
        <v>255</v>
      </c>
      <c r="E342" t="s">
        <v>175</v>
      </c>
      <c r="F342" t="s">
        <v>1469</v>
      </c>
      <c r="G342">
        <v>22</v>
      </c>
      <c r="H342">
        <v>978</v>
      </c>
      <c r="I342">
        <v>0.75</v>
      </c>
      <c r="J342" t="s">
        <v>268</v>
      </c>
      <c r="K342" t="s">
        <v>271</v>
      </c>
      <c r="L342" s="67" t="str">
        <f>VLOOKUP($A342,MFMaster!$A$2:$C$300,2,FALSE)</f>
        <v>7+ stories</v>
      </c>
      <c r="M342" s="67" t="str">
        <f>VLOOKUP($A342,MFMaster!$A$2:$CG$232,85,FALSE)</f>
        <v/>
      </c>
    </row>
    <row r="343" spans="1:13">
      <c r="A343">
        <v>77007</v>
      </c>
      <c r="B343" t="s">
        <v>1472</v>
      </c>
      <c r="C343">
        <v>1</v>
      </c>
      <c r="D343" t="s">
        <v>1468</v>
      </c>
      <c r="E343" t="s">
        <v>175</v>
      </c>
      <c r="F343" t="s">
        <v>1469</v>
      </c>
      <c r="G343">
        <v>84</v>
      </c>
      <c r="H343">
        <v>11581</v>
      </c>
      <c r="I343">
        <v>0.44999998807907099</v>
      </c>
      <c r="J343" t="s">
        <v>268</v>
      </c>
      <c r="K343" t="s">
        <v>271</v>
      </c>
      <c r="L343" s="67" t="str">
        <f>VLOOKUP($A343,MFMaster!$A$2:$C$300,2,FALSE)</f>
        <v>4-6 stories</v>
      </c>
      <c r="M343" s="67" t="str">
        <f>VLOOKUP($A343,MFMaster!$A$2:$CG$232,85,FALSE)</f>
        <v/>
      </c>
    </row>
    <row r="344" spans="1:13">
      <c r="A344">
        <v>77008</v>
      </c>
      <c r="B344" t="s">
        <v>1467</v>
      </c>
      <c r="C344">
        <v>1</v>
      </c>
      <c r="D344" t="s">
        <v>255</v>
      </c>
      <c r="E344" t="s">
        <v>182</v>
      </c>
      <c r="F344"/>
      <c r="G344">
        <v>100</v>
      </c>
      <c r="H344">
        <v>6164</v>
      </c>
      <c r="I344">
        <v>1.1000000238418599</v>
      </c>
      <c r="J344" t="s">
        <v>268</v>
      </c>
      <c r="K344" t="s">
        <v>268</v>
      </c>
      <c r="L344" s="67" t="str">
        <f>VLOOKUP($A344,MFMaster!$A$2:$C$300,2,FALSE)</f>
        <v>7+ stories</v>
      </c>
      <c r="M344" s="67" t="str">
        <f>VLOOKUP($A344,MFMaster!$A$2:$CG$232,85,FALSE)</f>
        <v/>
      </c>
    </row>
    <row r="345" spans="1:13">
      <c r="A345">
        <v>77008</v>
      </c>
      <c r="B345" t="s">
        <v>1472</v>
      </c>
      <c r="C345">
        <v>2</v>
      </c>
      <c r="D345" t="s">
        <v>255</v>
      </c>
      <c r="E345" t="s">
        <v>182</v>
      </c>
      <c r="F345"/>
      <c r="G345">
        <v>7</v>
      </c>
      <c r="H345">
        <v>495</v>
      </c>
      <c r="I345">
        <v>1.1000000238418599</v>
      </c>
      <c r="J345" t="s">
        <v>268</v>
      </c>
      <c r="K345" t="s">
        <v>268</v>
      </c>
      <c r="L345" s="67" t="str">
        <f>VLOOKUP($A345,MFMaster!$A$2:$C$300,2,FALSE)</f>
        <v>7+ stories</v>
      </c>
      <c r="M345" s="67" t="str">
        <f>VLOOKUP($A345,MFMaster!$A$2:$CG$232,85,FALSE)</f>
        <v/>
      </c>
    </row>
    <row r="346" spans="1:13">
      <c r="A346">
        <v>77009</v>
      </c>
      <c r="B346" t="s">
        <v>1472</v>
      </c>
      <c r="C346">
        <v>1</v>
      </c>
      <c r="D346" t="s">
        <v>1468</v>
      </c>
      <c r="E346" t="s">
        <v>175</v>
      </c>
      <c r="F346" t="s">
        <v>1469</v>
      </c>
      <c r="G346">
        <v>94</v>
      </c>
      <c r="H346">
        <v>16265</v>
      </c>
      <c r="I346">
        <v>0.44999998807907099</v>
      </c>
      <c r="J346" t="s">
        <v>268</v>
      </c>
      <c r="K346" t="s">
        <v>271</v>
      </c>
      <c r="L346" s="67" t="str">
        <f>VLOOKUP($A346,MFMaster!$A$2:$C$300,2,FALSE)</f>
        <v>4-6 stories</v>
      </c>
      <c r="M346" s="67" t="str">
        <f>VLOOKUP($A346,MFMaster!$A$2:$CG$232,85,FALSE)</f>
        <v/>
      </c>
    </row>
    <row r="347" spans="1:13">
      <c r="A347">
        <v>77009</v>
      </c>
      <c r="B347" t="s">
        <v>1473</v>
      </c>
      <c r="C347">
        <v>2</v>
      </c>
      <c r="D347" t="s">
        <v>1468</v>
      </c>
      <c r="E347" t="s">
        <v>175</v>
      </c>
      <c r="F347" t="s">
        <v>1469</v>
      </c>
      <c r="G347">
        <v>5</v>
      </c>
      <c r="H347">
        <v>1487</v>
      </c>
      <c r="I347">
        <v>0.44999998807907099</v>
      </c>
      <c r="J347" t="s">
        <v>268</v>
      </c>
      <c r="K347" t="s">
        <v>271</v>
      </c>
      <c r="L347" s="67" t="str">
        <f>VLOOKUP($A347,MFMaster!$A$2:$C$300,2,FALSE)</f>
        <v>4-6 stories</v>
      </c>
      <c r="M347" s="67" t="str">
        <f>VLOOKUP($A347,MFMaster!$A$2:$CG$232,85,FALSE)</f>
        <v/>
      </c>
    </row>
    <row r="348" spans="1:13">
      <c r="A348">
        <v>77009</v>
      </c>
      <c r="B348" t="s">
        <v>1474</v>
      </c>
      <c r="C348">
        <v>3</v>
      </c>
      <c r="D348" t="s">
        <v>255</v>
      </c>
      <c r="E348" t="s">
        <v>175</v>
      </c>
      <c r="F348" t="s">
        <v>1469</v>
      </c>
      <c r="G348">
        <v>100</v>
      </c>
      <c r="H348">
        <v>84</v>
      </c>
      <c r="I348">
        <v>0.75</v>
      </c>
      <c r="J348" t="s">
        <v>268</v>
      </c>
      <c r="K348" t="s">
        <v>271</v>
      </c>
      <c r="L348" s="67" t="str">
        <f>VLOOKUP($A348,MFMaster!$A$2:$C$300,2,FALSE)</f>
        <v>4-6 stories</v>
      </c>
      <c r="M348" s="67" t="str">
        <f>VLOOKUP($A348,MFMaster!$A$2:$CG$232,85,FALSE)</f>
        <v/>
      </c>
    </row>
    <row r="349" spans="1:13">
      <c r="A349">
        <v>77010</v>
      </c>
      <c r="B349" t="s">
        <v>1473</v>
      </c>
      <c r="C349">
        <v>1</v>
      </c>
      <c r="D349" t="s">
        <v>1468</v>
      </c>
      <c r="E349" t="s">
        <v>175</v>
      </c>
      <c r="F349" t="s">
        <v>1469</v>
      </c>
      <c r="G349">
        <v>95</v>
      </c>
      <c r="H349">
        <v>20335</v>
      </c>
      <c r="I349">
        <v>0.44999998807907099</v>
      </c>
      <c r="J349" t="s">
        <v>268</v>
      </c>
      <c r="K349" t="s">
        <v>271</v>
      </c>
      <c r="L349" s="67" t="str">
        <f>VLOOKUP($A349,MFMaster!$A$2:$C$300,2,FALSE)</f>
        <v>7+ stories</v>
      </c>
      <c r="M349" s="67" t="str">
        <f>VLOOKUP($A349,MFMaster!$A$2:$CG$232,85,FALSE)</f>
        <v/>
      </c>
    </row>
    <row r="350" spans="1:13">
      <c r="A350">
        <v>77010</v>
      </c>
      <c r="B350" t="s">
        <v>1474</v>
      </c>
      <c r="C350">
        <v>2</v>
      </c>
      <c r="D350" t="s">
        <v>255</v>
      </c>
      <c r="E350" t="s">
        <v>175</v>
      </c>
      <c r="F350" t="s">
        <v>1469</v>
      </c>
      <c r="G350">
        <v>15</v>
      </c>
      <c r="H350">
        <v>2432</v>
      </c>
      <c r="I350">
        <v>0.75</v>
      </c>
      <c r="J350" t="s">
        <v>268</v>
      </c>
      <c r="K350" t="s">
        <v>271</v>
      </c>
      <c r="L350" s="67" t="str">
        <f>VLOOKUP($A350,MFMaster!$A$2:$C$300,2,FALSE)</f>
        <v>7+ stories</v>
      </c>
      <c r="M350" s="67" t="str">
        <f>VLOOKUP($A350,MFMaster!$A$2:$CG$232,85,FALSE)</f>
        <v/>
      </c>
    </row>
    <row r="351" spans="1:13">
      <c r="A351">
        <v>77011</v>
      </c>
      <c r="B351" t="s">
        <v>1472</v>
      </c>
      <c r="C351">
        <v>1</v>
      </c>
      <c r="D351" t="s">
        <v>1468</v>
      </c>
      <c r="E351" t="s">
        <v>175</v>
      </c>
      <c r="F351" t="s">
        <v>1469</v>
      </c>
      <c r="G351">
        <v>100</v>
      </c>
      <c r="H351">
        <v>7149</v>
      </c>
      <c r="I351">
        <v>0.44999998807907099</v>
      </c>
      <c r="J351" t="s">
        <v>268</v>
      </c>
      <c r="K351" t="s">
        <v>271</v>
      </c>
      <c r="L351" s="67" t="str">
        <f>VLOOKUP($A351,MFMaster!$A$2:$C$300,2,FALSE)</f>
        <v>7+ stories</v>
      </c>
      <c r="M351" s="67" t="str">
        <f>VLOOKUP($A351,MFMaster!$A$2:$CG$232,85,FALSE)</f>
        <v/>
      </c>
    </row>
    <row r="352" spans="1:13">
      <c r="A352">
        <v>78001</v>
      </c>
      <c r="B352" t="s">
        <v>1470</v>
      </c>
      <c r="C352">
        <v>1</v>
      </c>
      <c r="D352" t="s">
        <v>255</v>
      </c>
      <c r="E352" t="s">
        <v>175</v>
      </c>
      <c r="F352" t="s">
        <v>1469</v>
      </c>
      <c r="G352">
        <v>9</v>
      </c>
      <c r="H352">
        <v>115562</v>
      </c>
      <c r="I352">
        <v>0.75</v>
      </c>
      <c r="J352" t="s">
        <v>268</v>
      </c>
      <c r="K352" t="s">
        <v>271</v>
      </c>
      <c r="L352" s="67" t="str">
        <f>VLOOKUP($A352,MFMaster!$A$2:$C$300,2,FALSE)</f>
        <v>7+ stories</v>
      </c>
      <c r="M352" s="67" t="str">
        <f>VLOOKUP($A352,MFMaster!$A$2:$CG$232,85,FALSE)</f>
        <v/>
      </c>
    </row>
    <row r="353" spans="1:13">
      <c r="A353">
        <v>78001</v>
      </c>
      <c r="B353" t="s">
        <v>1467</v>
      </c>
      <c r="C353">
        <v>2</v>
      </c>
      <c r="D353" t="s">
        <v>255</v>
      </c>
      <c r="E353" t="s">
        <v>175</v>
      </c>
      <c r="F353" t="s">
        <v>1469</v>
      </c>
      <c r="G353">
        <v>4</v>
      </c>
      <c r="H353">
        <v>3266</v>
      </c>
      <c r="I353">
        <v>0.75</v>
      </c>
      <c r="J353" t="s">
        <v>268</v>
      </c>
      <c r="K353" t="s">
        <v>271</v>
      </c>
      <c r="L353" s="67" t="str">
        <f>VLOOKUP($A353,MFMaster!$A$2:$C$300,2,FALSE)</f>
        <v>7+ stories</v>
      </c>
      <c r="M353" s="67" t="str">
        <f>VLOOKUP($A353,MFMaster!$A$2:$CG$232,85,FALSE)</f>
        <v/>
      </c>
    </row>
    <row r="354" spans="1:13">
      <c r="A354">
        <v>78002</v>
      </c>
      <c r="B354" t="s">
        <v>1472</v>
      </c>
      <c r="C354">
        <v>1</v>
      </c>
      <c r="D354" t="s">
        <v>1468</v>
      </c>
      <c r="E354" t="s">
        <v>175</v>
      </c>
      <c r="F354" t="s">
        <v>1469</v>
      </c>
      <c r="G354">
        <v>90</v>
      </c>
      <c r="H354">
        <v>41747</v>
      </c>
      <c r="I354">
        <v>0.44999998807907099</v>
      </c>
      <c r="J354" t="s">
        <v>268</v>
      </c>
      <c r="K354" t="s">
        <v>271</v>
      </c>
      <c r="L354" s="67" t="str">
        <f>VLOOKUP($A354,MFMaster!$A$2:$C$300,2,FALSE)</f>
        <v>7+ stories</v>
      </c>
      <c r="M354" s="67" t="str">
        <f>VLOOKUP($A354,MFMaster!$A$2:$CG$232,85,FALSE)</f>
        <v/>
      </c>
    </row>
    <row r="355" spans="1:13">
      <c r="A355">
        <v>78002</v>
      </c>
      <c r="B355" t="s">
        <v>1473</v>
      </c>
      <c r="C355">
        <v>2</v>
      </c>
      <c r="D355" t="s">
        <v>255</v>
      </c>
      <c r="E355" t="s">
        <v>175</v>
      </c>
      <c r="F355" t="s">
        <v>1469</v>
      </c>
      <c r="G355">
        <v>48</v>
      </c>
      <c r="H355">
        <v>2378</v>
      </c>
      <c r="I355">
        <v>0.75</v>
      </c>
      <c r="J355" t="s">
        <v>268</v>
      </c>
      <c r="K355" t="s">
        <v>271</v>
      </c>
      <c r="L355" s="67" t="str">
        <f>VLOOKUP($A355,MFMaster!$A$2:$C$300,2,FALSE)</f>
        <v>7+ stories</v>
      </c>
      <c r="M355" s="67" t="str">
        <f>VLOOKUP($A355,MFMaster!$A$2:$CG$232,85,FALSE)</f>
        <v/>
      </c>
    </row>
    <row r="356" spans="1:13">
      <c r="A356">
        <v>78003</v>
      </c>
      <c r="B356" t="s">
        <v>1472</v>
      </c>
      <c r="C356">
        <v>1</v>
      </c>
      <c r="D356" t="s">
        <v>1468</v>
      </c>
      <c r="E356" t="s">
        <v>175</v>
      </c>
      <c r="F356" t="s">
        <v>1469</v>
      </c>
      <c r="G356">
        <v>90</v>
      </c>
      <c r="H356">
        <v>14106</v>
      </c>
      <c r="I356">
        <v>0.44999998807907099</v>
      </c>
      <c r="J356" t="s">
        <v>268</v>
      </c>
      <c r="K356" t="s">
        <v>271</v>
      </c>
      <c r="L356" s="67" t="str">
        <f>VLOOKUP($A356,MFMaster!$A$2:$C$300,2,FALSE)</f>
        <v>7+ stories</v>
      </c>
      <c r="M356" s="67" t="str">
        <f>VLOOKUP($A356,MFMaster!$A$2:$CG$232,85,FALSE)</f>
        <v/>
      </c>
    </row>
    <row r="357" spans="1:13">
      <c r="A357">
        <v>78004</v>
      </c>
      <c r="B357" t="s">
        <v>1472</v>
      </c>
      <c r="C357">
        <v>1</v>
      </c>
      <c r="D357" t="s">
        <v>1468</v>
      </c>
      <c r="E357" t="s">
        <v>175</v>
      </c>
      <c r="F357" t="s">
        <v>1469</v>
      </c>
      <c r="G357">
        <v>5</v>
      </c>
      <c r="H357">
        <v>14126</v>
      </c>
      <c r="I357">
        <v>0.44999998807907099</v>
      </c>
      <c r="J357" t="s">
        <v>268</v>
      </c>
      <c r="K357" t="s">
        <v>271</v>
      </c>
      <c r="L357" s="67" t="str">
        <f>VLOOKUP($A357,MFMaster!$A$2:$C$300,2,FALSE)</f>
        <v>7+ stories</v>
      </c>
      <c r="M357" s="67" t="str">
        <f>VLOOKUP($A357,MFMaster!$A$2:$CG$232,85,FALSE)</f>
        <v/>
      </c>
    </row>
    <row r="358" spans="1:13">
      <c r="A358">
        <v>78005</v>
      </c>
      <c r="B358" t="s">
        <v>1467</v>
      </c>
      <c r="C358">
        <v>1</v>
      </c>
      <c r="D358" t="s">
        <v>255</v>
      </c>
      <c r="E358" t="s">
        <v>175</v>
      </c>
      <c r="F358" t="s">
        <v>1469</v>
      </c>
      <c r="G358">
        <v>10</v>
      </c>
      <c r="H358">
        <v>123090</v>
      </c>
      <c r="I358">
        <v>0.75</v>
      </c>
      <c r="J358" t="s">
        <v>268</v>
      </c>
      <c r="K358" t="s">
        <v>271</v>
      </c>
      <c r="L358" s="67" t="str">
        <f>VLOOKUP($A358,MFMaster!$A$2:$C$300,2,FALSE)</f>
        <v>7+ stories</v>
      </c>
      <c r="M358" s="67" t="str">
        <f>VLOOKUP($A358,MFMaster!$A$2:$CG$232,85,FALSE)</f>
        <v/>
      </c>
    </row>
    <row r="359" spans="1:13">
      <c r="A359">
        <v>78006</v>
      </c>
      <c r="B359" t="s">
        <v>1467</v>
      </c>
      <c r="C359">
        <v>1</v>
      </c>
      <c r="D359" t="s">
        <v>1468</v>
      </c>
      <c r="E359" t="s">
        <v>175</v>
      </c>
      <c r="F359" t="s">
        <v>1469</v>
      </c>
      <c r="G359">
        <v>93</v>
      </c>
      <c r="H359">
        <v>31011</v>
      </c>
      <c r="I359">
        <v>0.44999998807907099</v>
      </c>
      <c r="J359" t="s">
        <v>268</v>
      </c>
      <c r="K359" t="s">
        <v>271</v>
      </c>
      <c r="L359" s="67" t="str">
        <f>VLOOKUP($A359,MFMaster!$A$2:$C$300,2,FALSE)</f>
        <v>7+ stories</v>
      </c>
      <c r="M359" s="67" t="str">
        <f>VLOOKUP($A359,MFMaster!$A$2:$CG$232,85,FALSE)</f>
        <v/>
      </c>
    </row>
    <row r="360" spans="1:13">
      <c r="A360">
        <v>78006</v>
      </c>
      <c r="B360" t="s">
        <v>1472</v>
      </c>
      <c r="C360">
        <v>2</v>
      </c>
      <c r="D360" t="s">
        <v>255</v>
      </c>
      <c r="E360" t="s">
        <v>175</v>
      </c>
      <c r="F360" t="s">
        <v>1471</v>
      </c>
      <c r="G360">
        <v>25</v>
      </c>
      <c r="H360">
        <v>1356</v>
      </c>
      <c r="I360">
        <v>0.75</v>
      </c>
      <c r="J360" t="s">
        <v>268</v>
      </c>
      <c r="K360" t="s">
        <v>271</v>
      </c>
      <c r="L360" s="67" t="str">
        <f>VLOOKUP($A360,MFMaster!$A$2:$C$300,2,FALSE)</f>
        <v>7+ stories</v>
      </c>
      <c r="M360" s="67" t="str">
        <f>VLOOKUP($A360,MFMaster!$A$2:$CG$232,85,FALSE)</f>
        <v/>
      </c>
    </row>
    <row r="361" spans="1:13">
      <c r="A361">
        <v>78007</v>
      </c>
      <c r="B361" t="s">
        <v>1467</v>
      </c>
      <c r="C361">
        <v>1</v>
      </c>
      <c r="D361" t="s">
        <v>1468</v>
      </c>
      <c r="E361" t="s">
        <v>175</v>
      </c>
      <c r="F361" t="s">
        <v>1469</v>
      </c>
      <c r="G361">
        <v>88</v>
      </c>
      <c r="H361">
        <v>14502</v>
      </c>
      <c r="I361">
        <v>0.44999998807907099</v>
      </c>
      <c r="J361" t="s">
        <v>268</v>
      </c>
      <c r="K361" t="s">
        <v>271</v>
      </c>
      <c r="L361" s="67" t="str">
        <f>VLOOKUP($A361,MFMaster!$A$2:$C$300,2,FALSE)</f>
        <v>4-6 stories</v>
      </c>
      <c r="M361" s="67" t="str">
        <f>VLOOKUP($A361,MFMaster!$A$2:$CG$232,85,FALSE)</f>
        <v/>
      </c>
    </row>
    <row r="362" spans="1:13">
      <c r="A362">
        <v>78007</v>
      </c>
      <c r="B362" t="s">
        <v>1472</v>
      </c>
      <c r="C362">
        <v>2</v>
      </c>
      <c r="D362" t="s">
        <v>255</v>
      </c>
      <c r="E362" t="s">
        <v>175</v>
      </c>
      <c r="F362" t="s">
        <v>1469</v>
      </c>
      <c r="G362">
        <v>20</v>
      </c>
      <c r="H362">
        <v>1135</v>
      </c>
      <c r="I362">
        <v>0.75</v>
      </c>
      <c r="J362" t="s">
        <v>268</v>
      </c>
      <c r="K362" t="s">
        <v>271</v>
      </c>
      <c r="L362" s="67" t="str">
        <f>VLOOKUP($A362,MFMaster!$A$2:$C$300,2,FALSE)</f>
        <v>4-6 stories</v>
      </c>
      <c r="M362" s="67" t="str">
        <f>VLOOKUP($A362,MFMaster!$A$2:$CG$232,85,FALSE)</f>
        <v/>
      </c>
    </row>
    <row r="363" spans="1:13">
      <c r="A363">
        <v>78008</v>
      </c>
      <c r="B363" t="s">
        <v>1472</v>
      </c>
      <c r="C363">
        <v>1</v>
      </c>
      <c r="D363" t="s">
        <v>1468</v>
      </c>
      <c r="E363" t="s">
        <v>175</v>
      </c>
      <c r="F363" t="s">
        <v>1469</v>
      </c>
      <c r="G363">
        <v>95</v>
      </c>
      <c r="H363">
        <v>18682</v>
      </c>
      <c r="I363">
        <v>0.44999998807907099</v>
      </c>
      <c r="J363" t="s">
        <v>268</v>
      </c>
      <c r="K363" t="s">
        <v>271</v>
      </c>
      <c r="L363" s="67" t="str">
        <f>VLOOKUP($A363,MFMaster!$A$2:$C$300,2,FALSE)</f>
        <v>4-6 stories</v>
      </c>
      <c r="M363" s="67" t="str">
        <f>VLOOKUP($A363,MFMaster!$A$2:$CG$232,85,FALSE)</f>
        <v/>
      </c>
    </row>
    <row r="364" spans="1:13">
      <c r="A364">
        <v>78008</v>
      </c>
      <c r="B364" t="s">
        <v>1473</v>
      </c>
      <c r="C364">
        <v>2</v>
      </c>
      <c r="D364" t="s">
        <v>255</v>
      </c>
      <c r="E364" t="s">
        <v>175</v>
      </c>
      <c r="F364" t="s">
        <v>1469</v>
      </c>
      <c r="G364">
        <v>18</v>
      </c>
      <c r="H364">
        <v>3294</v>
      </c>
      <c r="I364">
        <v>0.75</v>
      </c>
      <c r="J364" t="s">
        <v>268</v>
      </c>
      <c r="K364" t="s">
        <v>271</v>
      </c>
      <c r="L364" s="67" t="str">
        <f>VLOOKUP($A364,MFMaster!$A$2:$C$300,2,FALSE)</f>
        <v>4-6 stories</v>
      </c>
      <c r="M364" s="67" t="str">
        <f>VLOOKUP($A364,MFMaster!$A$2:$CG$232,85,FALSE)</f>
        <v/>
      </c>
    </row>
    <row r="365" spans="1:13">
      <c r="A365">
        <v>78009</v>
      </c>
      <c r="B365" t="s">
        <v>1472</v>
      </c>
      <c r="C365">
        <v>1</v>
      </c>
      <c r="D365" t="s">
        <v>255</v>
      </c>
      <c r="E365" t="s">
        <v>175</v>
      </c>
      <c r="F365" t="s">
        <v>1469</v>
      </c>
      <c r="G365">
        <v>80</v>
      </c>
      <c r="H365">
        <v>18100</v>
      </c>
      <c r="I365">
        <v>0.75</v>
      </c>
      <c r="J365" t="s">
        <v>268</v>
      </c>
      <c r="K365" t="s">
        <v>271</v>
      </c>
      <c r="L365" s="67" t="str">
        <f>VLOOKUP($A365,MFMaster!$A$2:$C$300,2,FALSE)</f>
        <v>4-6 stories</v>
      </c>
      <c r="M365" s="67" t="str">
        <f>VLOOKUP($A365,MFMaster!$A$2:$CG$232,85,FALSE)</f>
        <v/>
      </c>
    </row>
    <row r="366" spans="1:13">
      <c r="A366">
        <v>78009</v>
      </c>
      <c r="B366" t="s">
        <v>1473</v>
      </c>
      <c r="C366">
        <v>2</v>
      </c>
      <c r="D366" t="s">
        <v>255</v>
      </c>
      <c r="E366" t="s">
        <v>175</v>
      </c>
      <c r="F366" t="s">
        <v>1469</v>
      </c>
      <c r="G366">
        <v>30</v>
      </c>
      <c r="H366">
        <v>8565</v>
      </c>
      <c r="I366">
        <v>0.75</v>
      </c>
      <c r="J366" t="s">
        <v>268</v>
      </c>
      <c r="K366" t="s">
        <v>271</v>
      </c>
      <c r="L366" s="67" t="str">
        <f>VLOOKUP($A366,MFMaster!$A$2:$C$300,2,FALSE)</f>
        <v>4-6 stories</v>
      </c>
      <c r="M366" s="67" t="str">
        <f>VLOOKUP($A366,MFMaster!$A$2:$CG$232,85,FALSE)</f>
        <v/>
      </c>
    </row>
    <row r="367" spans="1:13">
      <c r="A367">
        <v>78010</v>
      </c>
      <c r="B367" t="s">
        <v>1470</v>
      </c>
      <c r="C367">
        <v>1</v>
      </c>
      <c r="D367" t="s">
        <v>1468</v>
      </c>
      <c r="E367" t="s">
        <v>175</v>
      </c>
      <c r="F367" t="s">
        <v>1469</v>
      </c>
      <c r="G367">
        <v>100</v>
      </c>
      <c r="H367">
        <v>12096</v>
      </c>
      <c r="I367">
        <v>0.44999998807907099</v>
      </c>
      <c r="J367" t="s">
        <v>268</v>
      </c>
      <c r="K367" t="s">
        <v>271</v>
      </c>
      <c r="L367" s="67" t="str">
        <f>VLOOKUP($A367,MFMaster!$A$2:$C$300,2,FALSE)</f>
        <v>7+ stories</v>
      </c>
      <c r="M367" s="67" t="str">
        <f>VLOOKUP($A367,MFMaster!$A$2:$CG$232,85,FALSE)</f>
        <v/>
      </c>
    </row>
    <row r="368" spans="1:13">
      <c r="A368">
        <v>78010</v>
      </c>
      <c r="B368" t="s">
        <v>1467</v>
      </c>
      <c r="C368">
        <v>2</v>
      </c>
      <c r="D368" t="s">
        <v>255</v>
      </c>
      <c r="E368" t="s">
        <v>175</v>
      </c>
      <c r="F368" t="s">
        <v>1469</v>
      </c>
      <c r="G368">
        <v>12</v>
      </c>
      <c r="H368">
        <v>849</v>
      </c>
      <c r="I368">
        <v>0.80000001192092896</v>
      </c>
      <c r="J368" t="s">
        <v>268</v>
      </c>
      <c r="K368" t="s">
        <v>268</v>
      </c>
      <c r="L368" s="67" t="str">
        <f>VLOOKUP($A368,MFMaster!$A$2:$C$300,2,FALSE)</f>
        <v>7+ stories</v>
      </c>
      <c r="M368" s="67" t="str">
        <f>VLOOKUP($A368,MFMaster!$A$2:$CG$232,85,FALSE)</f>
        <v/>
      </c>
    </row>
    <row r="369" spans="1:13">
      <c r="A369">
        <v>78011</v>
      </c>
      <c r="B369" t="s">
        <v>1472</v>
      </c>
      <c r="C369">
        <v>1</v>
      </c>
      <c r="D369" t="s">
        <v>1468</v>
      </c>
      <c r="E369" t="s">
        <v>182</v>
      </c>
      <c r="F369"/>
      <c r="G369">
        <v>88</v>
      </c>
      <c r="H369">
        <v>10094</v>
      </c>
      <c r="I369">
        <v>0.94999998807907104</v>
      </c>
      <c r="J369" t="s">
        <v>268</v>
      </c>
      <c r="K369" t="s">
        <v>268</v>
      </c>
      <c r="L369" s="67" t="str">
        <f>VLOOKUP($A369,MFMaster!$A$2:$C$300,2,FALSE)</f>
        <v>7+ stories</v>
      </c>
      <c r="M369" s="67" t="str">
        <f>VLOOKUP($A369,MFMaster!$A$2:$CG$232,85,FALSE)</f>
        <v/>
      </c>
    </row>
    <row r="370" spans="1:13">
      <c r="A370">
        <v>78011</v>
      </c>
      <c r="B370" t="s">
        <v>1473</v>
      </c>
      <c r="C370">
        <v>2</v>
      </c>
      <c r="D370" t="s">
        <v>255</v>
      </c>
      <c r="E370" t="s">
        <v>182</v>
      </c>
      <c r="F370"/>
      <c r="G370">
        <v>0</v>
      </c>
      <c r="H370">
        <v>54</v>
      </c>
      <c r="I370">
        <v>1.1000000238418599</v>
      </c>
      <c r="J370" t="s">
        <v>268</v>
      </c>
      <c r="K370" t="s">
        <v>268</v>
      </c>
      <c r="L370" s="67" t="str">
        <f>VLOOKUP($A370,MFMaster!$A$2:$C$300,2,FALSE)</f>
        <v>7+ stories</v>
      </c>
      <c r="M370" s="67" t="str">
        <f>VLOOKUP($A370,MFMaster!$A$2:$CG$232,85,FALSE)</f>
        <v/>
      </c>
    </row>
    <row r="371" spans="1:13">
      <c r="A371">
        <v>78012</v>
      </c>
      <c r="B371" t="s">
        <v>1472</v>
      </c>
      <c r="C371">
        <v>1</v>
      </c>
      <c r="D371" t="s">
        <v>1468</v>
      </c>
      <c r="E371" t="s">
        <v>175</v>
      </c>
      <c r="F371" t="s">
        <v>1469</v>
      </c>
      <c r="G371">
        <v>30</v>
      </c>
      <c r="H371">
        <v>13721</v>
      </c>
      <c r="I371">
        <v>0.44999998807907099</v>
      </c>
      <c r="J371" t="s">
        <v>268</v>
      </c>
      <c r="K371" t="s">
        <v>271</v>
      </c>
      <c r="L371" s="67" t="str">
        <f>VLOOKUP($A371,MFMaster!$A$2:$C$300,2,FALSE)</f>
        <v>7+ stories</v>
      </c>
      <c r="M371" s="67" t="str">
        <f>VLOOKUP($A371,MFMaster!$A$2:$CG$232,85,FALSE)</f>
        <v/>
      </c>
    </row>
    <row r="372" spans="1:13">
      <c r="A372">
        <v>80061</v>
      </c>
      <c r="B372" t="s">
        <v>1470</v>
      </c>
      <c r="C372">
        <v>1</v>
      </c>
      <c r="D372" t="s">
        <v>1468</v>
      </c>
      <c r="E372" t="s">
        <v>175</v>
      </c>
      <c r="F372" t="s">
        <v>1469</v>
      </c>
      <c r="G372">
        <v>100</v>
      </c>
      <c r="H372">
        <v>2648</v>
      </c>
      <c r="I372">
        <v>0.44999998807907099</v>
      </c>
      <c r="J372" t="s">
        <v>268</v>
      </c>
      <c r="K372" t="s">
        <v>271</v>
      </c>
      <c r="L372" s="67" t="str">
        <f>VLOOKUP($A372,MFMaster!$A$2:$C$300,2,FALSE)</f>
        <v>1-3 stories</v>
      </c>
      <c r="M372" s="67">
        <f>VLOOKUP($A372,MFMaster!$A$2:$CG$232,85,FALSE)</f>
        <v>85.864128112792997</v>
      </c>
    </row>
    <row r="373" spans="1:13">
      <c r="A373">
        <v>80073</v>
      </c>
      <c r="B373" t="s">
        <v>1472</v>
      </c>
      <c r="C373">
        <v>1</v>
      </c>
      <c r="D373" t="s">
        <v>1468</v>
      </c>
      <c r="E373" t="s">
        <v>175</v>
      </c>
      <c r="F373" t="s">
        <v>1469</v>
      </c>
      <c r="G373">
        <v>100</v>
      </c>
      <c r="H373">
        <v>1708</v>
      </c>
      <c r="I373">
        <v>0.44999998807907099</v>
      </c>
      <c r="J373" t="s">
        <v>268</v>
      </c>
      <c r="K373" t="s">
        <v>271</v>
      </c>
      <c r="L373" s="67" t="str">
        <f>VLOOKUP($A373,MFMaster!$A$2:$C$300,2,FALSE)</f>
        <v>1-3 stories</v>
      </c>
      <c r="M373" s="67">
        <f>VLOOKUP($A373,MFMaster!$A$2:$CG$232,85,FALSE)</f>
        <v>128.79620361328099</v>
      </c>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AL46"/>
  <sheetViews>
    <sheetView topLeftCell="R1" workbookViewId="0">
      <selection activeCell="R25" sqref="R25"/>
    </sheetView>
  </sheetViews>
  <sheetFormatPr defaultRowHeight="12.75"/>
  <cols>
    <col min="1" max="17" width="9.140625" style="67"/>
    <col min="18" max="18" width="20.7109375" style="67" customWidth="1"/>
    <col min="19" max="19" width="17" style="67" bestFit="1" customWidth="1"/>
    <col min="20" max="31" width="12" style="67" customWidth="1"/>
    <col min="32" max="32" width="7.140625" style="67" customWidth="1"/>
    <col min="33" max="33" width="12.28515625" style="67" customWidth="1"/>
    <col min="34" max="34" width="12" style="67" customWidth="1"/>
    <col min="35" max="16384" width="9.140625" style="67"/>
  </cols>
  <sheetData>
    <row r="1" spans="1:38">
      <c r="A1" t="s">
        <v>166</v>
      </c>
      <c r="B1" t="s">
        <v>1213</v>
      </c>
      <c r="C1" t="s">
        <v>257</v>
      </c>
      <c r="D1" t="s">
        <v>258</v>
      </c>
      <c r="E1" t="s">
        <v>260</v>
      </c>
      <c r="F1" t="s">
        <v>263</v>
      </c>
      <c r="G1" t="s">
        <v>264</v>
      </c>
      <c r="H1" t="s">
        <v>265</v>
      </c>
      <c r="I1" t="s">
        <v>1452</v>
      </c>
      <c r="J1" t="s">
        <v>1453</v>
      </c>
      <c r="K1" t="s">
        <v>259</v>
      </c>
      <c r="L1" t="s">
        <v>261</v>
      </c>
      <c r="M1" t="s">
        <v>262</v>
      </c>
      <c r="N1" t="s">
        <v>266</v>
      </c>
      <c r="O1" s="67" t="s">
        <v>1447</v>
      </c>
      <c r="P1" s="67" t="s">
        <v>1448</v>
      </c>
    </row>
    <row r="2" spans="1:38">
      <c r="A2">
        <v>10323</v>
      </c>
      <c r="B2" t="s">
        <v>1454</v>
      </c>
      <c r="C2" t="s">
        <v>278</v>
      </c>
      <c r="D2">
        <v>0.89999997615814198</v>
      </c>
      <c r="E2"/>
      <c r="F2">
        <v>3038</v>
      </c>
      <c r="G2" t="s">
        <v>272</v>
      </c>
      <c r="H2"/>
      <c r="I2">
        <v>0.10000000149011599</v>
      </c>
      <c r="J2">
        <v>4.5</v>
      </c>
      <c r="K2" t="b">
        <v>0</v>
      </c>
      <c r="L2" t="b">
        <v>1</v>
      </c>
      <c r="M2" t="s">
        <v>271</v>
      </c>
      <c r="N2" t="b">
        <v>1</v>
      </c>
      <c r="O2" s="67" t="str">
        <f>VLOOKUP($A2,MFMaster!$A$2:$C$300,2,FALSE)</f>
        <v>1-3 stories</v>
      </c>
      <c r="P2" s="67">
        <f>VLOOKUP($A2,MFMaster!$A$2:$CG$232,85,FALSE)</f>
        <v>256.24374389648398</v>
      </c>
    </row>
    <row r="3" spans="1:38">
      <c r="A3">
        <v>10400</v>
      </c>
      <c r="B3" t="s">
        <v>1454</v>
      </c>
      <c r="C3" t="s">
        <v>195</v>
      </c>
      <c r="D3">
        <v>1</v>
      </c>
      <c r="E3"/>
      <c r="F3">
        <v>9856</v>
      </c>
      <c r="G3" t="s">
        <v>272</v>
      </c>
      <c r="H3" t="s">
        <v>273</v>
      </c>
      <c r="I3">
        <v>5.9999998658895499E-2</v>
      </c>
      <c r="J3">
        <v>3.0999999046325701</v>
      </c>
      <c r="K3" t="b">
        <v>0</v>
      </c>
      <c r="L3" t="b">
        <v>1</v>
      </c>
      <c r="M3" t="s">
        <v>268</v>
      </c>
      <c r="N3" t="b">
        <v>0</v>
      </c>
      <c r="O3" s="67" t="str">
        <f>VLOOKUP($A3,MFMaster!$A$2:$C$300,2,FALSE)</f>
        <v>1-3 stories</v>
      </c>
      <c r="P3" s="67">
        <f>VLOOKUP($A3,MFMaster!$A$2:$CG$232,85,FALSE)</f>
        <v>34.345653533935497</v>
      </c>
    </row>
    <row r="4" spans="1:38">
      <c r="A4">
        <v>10862</v>
      </c>
      <c r="B4" t="s">
        <v>1454</v>
      </c>
      <c r="C4" t="s">
        <v>195</v>
      </c>
      <c r="D4">
        <v>0.75</v>
      </c>
      <c r="E4"/>
      <c r="F4">
        <v>8064</v>
      </c>
      <c r="G4" t="s">
        <v>272</v>
      </c>
      <c r="H4" t="s">
        <v>273</v>
      </c>
      <c r="I4">
        <v>0.10000000149011599</v>
      </c>
      <c r="J4">
        <v>3.0999999046325701</v>
      </c>
      <c r="K4" t="b">
        <v>0</v>
      </c>
      <c r="L4" t="b">
        <v>1</v>
      </c>
      <c r="M4" t="s">
        <v>268</v>
      </c>
      <c r="N4" t="b">
        <v>0</v>
      </c>
      <c r="O4" s="67" t="str">
        <f>VLOOKUP($A4,MFMaster!$A$2:$C$300,2,FALSE)</f>
        <v>1-3 stories</v>
      </c>
      <c r="P4" s="67">
        <f>VLOOKUP($A4,MFMaster!$A$2:$CG$232,85,FALSE)</f>
        <v>85.864128112792997</v>
      </c>
    </row>
    <row r="5" spans="1:38">
      <c r="A5">
        <v>11263</v>
      </c>
      <c r="B5" t="s">
        <v>1454</v>
      </c>
      <c r="C5" t="s">
        <v>279</v>
      </c>
      <c r="D5"/>
      <c r="E5"/>
      <c r="F5">
        <v>2520</v>
      </c>
      <c r="G5" t="s">
        <v>272</v>
      </c>
      <c r="H5" t="s">
        <v>205</v>
      </c>
      <c r="I5">
        <v>0.230000004172325</v>
      </c>
      <c r="J5">
        <v>3.0999999046325701</v>
      </c>
      <c r="K5" t="b">
        <v>0</v>
      </c>
      <c r="L5" t="b">
        <v>1</v>
      </c>
      <c r="M5" t="s">
        <v>268</v>
      </c>
      <c r="N5" t="b">
        <v>0</v>
      </c>
      <c r="O5" s="67" t="str">
        <f>VLOOKUP($A5,MFMaster!$A$2:$C$300,2,FALSE)</f>
        <v>1-3 stories</v>
      </c>
      <c r="P5" s="67">
        <f>VLOOKUP($A5,MFMaster!$A$2:$CG$232,85,FALSE)</f>
        <v>343.45651245117199</v>
      </c>
    </row>
    <row r="6" spans="1:38">
      <c r="A6">
        <v>11290</v>
      </c>
      <c r="B6" t="s">
        <v>1454</v>
      </c>
      <c r="C6" t="s">
        <v>278</v>
      </c>
      <c r="D6">
        <v>0.89999997615814198</v>
      </c>
      <c r="E6"/>
      <c r="F6">
        <v>6456</v>
      </c>
      <c r="G6"/>
      <c r="H6"/>
      <c r="I6">
        <v>0.10000000149011599</v>
      </c>
      <c r="J6">
        <v>3.0999999046325701</v>
      </c>
      <c r="K6" t="b">
        <v>0</v>
      </c>
      <c r="L6" t="b">
        <v>1</v>
      </c>
      <c r="M6" t="s">
        <v>268</v>
      </c>
      <c r="N6" t="b">
        <v>0</v>
      </c>
      <c r="O6" s="67" t="str">
        <f>VLOOKUP($A6,MFMaster!$A$2:$C$300,2,FALSE)</f>
        <v>1-3 stories</v>
      </c>
      <c r="P6" s="67" t="str">
        <f>VLOOKUP($A6,MFMaster!$A$2:$CG$232,85,FALSE)</f>
        <v/>
      </c>
    </row>
    <row r="7" spans="1:38">
      <c r="A7">
        <v>11887</v>
      </c>
      <c r="B7" t="s">
        <v>1454</v>
      </c>
      <c r="C7" t="s">
        <v>277</v>
      </c>
      <c r="D7">
        <v>0.89999997615814198</v>
      </c>
      <c r="E7"/>
      <c r="F7">
        <v>35836</v>
      </c>
      <c r="G7" t="s">
        <v>272</v>
      </c>
      <c r="H7" t="s">
        <v>276</v>
      </c>
      <c r="I7">
        <v>5.4999999701976797E-2</v>
      </c>
      <c r="J7">
        <v>3.0999999046325701</v>
      </c>
      <c r="K7" t="b">
        <v>0</v>
      </c>
      <c r="L7" t="b">
        <v>1</v>
      </c>
      <c r="M7" t="s">
        <v>268</v>
      </c>
      <c r="N7" t="b">
        <v>0</v>
      </c>
      <c r="O7" s="67" t="str">
        <f>VLOOKUP($A7,MFMaster!$A$2:$C$300,2,FALSE)</f>
        <v>1-3 stories</v>
      </c>
      <c r="P7" s="67">
        <f>VLOOKUP($A7,MFMaster!$A$2:$CG$232,85,FALSE)</f>
        <v>53.381153106689503</v>
      </c>
    </row>
    <row r="8" spans="1:38">
      <c r="A8">
        <v>12511</v>
      </c>
      <c r="B8" t="s">
        <v>1454</v>
      </c>
      <c r="C8" t="s">
        <v>278</v>
      </c>
      <c r="D8">
        <v>0.89999997615814198</v>
      </c>
      <c r="E8"/>
      <c r="F8">
        <v>12235</v>
      </c>
      <c r="G8"/>
      <c r="H8"/>
      <c r="I8">
        <v>0.10000000149011599</v>
      </c>
      <c r="J8">
        <v>3.0999999046325701</v>
      </c>
      <c r="K8" t="b">
        <v>0</v>
      </c>
      <c r="L8" t="b">
        <v>1</v>
      </c>
      <c r="M8" t="s">
        <v>268</v>
      </c>
      <c r="N8" t="b">
        <v>0</v>
      </c>
      <c r="O8" s="67" t="str">
        <f>VLOOKUP($A8,MFMaster!$A$2:$C$300,2,FALSE)</f>
        <v>4-6 stories</v>
      </c>
      <c r="P8" s="67" t="str">
        <f>VLOOKUP($A8,MFMaster!$A$2:$CG$232,85,FALSE)</f>
        <v/>
      </c>
    </row>
    <row r="9" spans="1:38">
      <c r="A9">
        <v>12623</v>
      </c>
      <c r="B9" t="s">
        <v>1454</v>
      </c>
      <c r="C9" t="s">
        <v>277</v>
      </c>
      <c r="D9">
        <v>1</v>
      </c>
      <c r="E9" t="s">
        <v>269</v>
      </c>
      <c r="F9">
        <v>3672</v>
      </c>
      <c r="G9" t="s">
        <v>272</v>
      </c>
      <c r="H9" t="s">
        <v>273</v>
      </c>
      <c r="I9">
        <v>2.9999999329447701E-2</v>
      </c>
      <c r="J9">
        <v>4.5</v>
      </c>
      <c r="K9" t="b">
        <v>1</v>
      </c>
      <c r="L9" t="b">
        <v>1</v>
      </c>
      <c r="M9" t="s">
        <v>268</v>
      </c>
      <c r="N9" t="b">
        <v>1</v>
      </c>
      <c r="O9" s="67" t="str">
        <f>VLOOKUP($A9,MFMaster!$A$2:$C$300,2,FALSE)</f>
        <v>1-3 stories</v>
      </c>
      <c r="P9" s="67">
        <f>VLOOKUP($A9,MFMaster!$A$2:$CG$232,85,FALSE)</f>
        <v>600.53796386718795</v>
      </c>
    </row>
    <row r="10" spans="1:38">
      <c r="A10">
        <v>13628</v>
      </c>
      <c r="B10" t="s">
        <v>1454</v>
      </c>
      <c r="C10" t="s">
        <v>278</v>
      </c>
      <c r="D10">
        <v>0.89999997615814198</v>
      </c>
      <c r="E10"/>
      <c r="F10">
        <v>2128</v>
      </c>
      <c r="G10"/>
      <c r="H10"/>
      <c r="I10">
        <v>0.10000000149011599</v>
      </c>
      <c r="J10">
        <v>3.0999999046325701</v>
      </c>
      <c r="K10" t="b">
        <v>0</v>
      </c>
      <c r="L10" t="b">
        <v>1</v>
      </c>
      <c r="M10" t="s">
        <v>268</v>
      </c>
      <c r="N10" t="b">
        <v>1</v>
      </c>
      <c r="O10" s="67" t="str">
        <f>VLOOKUP($A10,MFMaster!$A$2:$C$300,2,FALSE)</f>
        <v>1-3 stories</v>
      </c>
      <c r="P10" s="67">
        <f>VLOOKUP($A10,MFMaster!$A$2:$CG$232,85,FALSE)</f>
        <v>343.45651245117199</v>
      </c>
      <c r="R10" s="69" t="s">
        <v>1449</v>
      </c>
      <c r="S10" s="69" t="s">
        <v>209</v>
      </c>
      <c r="T10"/>
      <c r="U10"/>
      <c r="V10"/>
      <c r="W10"/>
      <c r="X10"/>
      <c r="Y10"/>
      <c r="Z10"/>
      <c r="AA10"/>
      <c r="AB10"/>
      <c r="AC10"/>
      <c r="AD10"/>
      <c r="AE10"/>
      <c r="AF10"/>
      <c r="AG10"/>
      <c r="AH10"/>
    </row>
    <row r="11" spans="1:38">
      <c r="A11">
        <v>13988</v>
      </c>
      <c r="B11" t="s">
        <v>1454</v>
      </c>
      <c r="C11" t="s">
        <v>279</v>
      </c>
      <c r="D11"/>
      <c r="E11"/>
      <c r="F11">
        <v>900</v>
      </c>
      <c r="G11" t="s">
        <v>272</v>
      </c>
      <c r="H11" t="s">
        <v>205</v>
      </c>
      <c r="I11">
        <v>0.230000004172325</v>
      </c>
      <c r="J11">
        <v>5</v>
      </c>
      <c r="K11" t="b">
        <v>0</v>
      </c>
      <c r="L11" t="b">
        <v>0</v>
      </c>
      <c r="M11"/>
      <c r="N11" t="b">
        <v>1</v>
      </c>
      <c r="O11" s="67" t="str">
        <f>VLOOKUP($A11,MFMaster!$A$2:$C$300,2,FALSE)</f>
        <v>1-3 stories</v>
      </c>
      <c r="P11" s="67">
        <f>VLOOKUP($A11,MFMaster!$A$2:$CG$232,85,FALSE)</f>
        <v>114.48550415039099</v>
      </c>
      <c r="R11"/>
      <c r="S11" t="s">
        <v>273</v>
      </c>
      <c r="T11"/>
      <c r="U11" t="s">
        <v>281</v>
      </c>
      <c r="V11" t="s">
        <v>276</v>
      </c>
      <c r="W11"/>
      <c r="X11" t="s">
        <v>282</v>
      </c>
      <c r="Y11" t="s">
        <v>270</v>
      </c>
      <c r="Z11" t="s">
        <v>283</v>
      </c>
      <c r="AA11" t="s">
        <v>205</v>
      </c>
      <c r="AB11"/>
      <c r="AC11" t="s">
        <v>284</v>
      </c>
      <c r="AD11" t="s">
        <v>210</v>
      </c>
      <c r="AE11"/>
      <c r="AF11"/>
      <c r="AG11" t="s">
        <v>1456</v>
      </c>
      <c r="AH11" t="s">
        <v>208</v>
      </c>
    </row>
    <row r="12" spans="1:38">
      <c r="A12">
        <v>14259</v>
      </c>
      <c r="B12" t="s">
        <v>1455</v>
      </c>
      <c r="C12" t="s">
        <v>274</v>
      </c>
      <c r="D12">
        <v>1</v>
      </c>
      <c r="E12" t="s">
        <v>269</v>
      </c>
      <c r="F12">
        <v>11100</v>
      </c>
      <c r="G12" t="s">
        <v>272</v>
      </c>
      <c r="H12" t="s">
        <v>276</v>
      </c>
      <c r="I12">
        <v>4.5000001788139302E-2</v>
      </c>
      <c r="J12">
        <v>4.5</v>
      </c>
      <c r="K12" t="b">
        <v>1</v>
      </c>
      <c r="L12" t="b">
        <v>1</v>
      </c>
      <c r="M12" t="s">
        <v>268</v>
      </c>
      <c r="N12" t="b">
        <v>1</v>
      </c>
      <c r="O12" s="67" t="str">
        <f>VLOOKUP($A12,MFMaster!$A$2:$C$300,2,FALSE)</f>
        <v>4-6 stories</v>
      </c>
      <c r="P12" s="67" t="str">
        <f>VLOOKUP($A12,MFMaster!$A$2:$CG$232,85,FALSE)</f>
        <v/>
      </c>
      <c r="R12" s="69" t="s">
        <v>207</v>
      </c>
      <c r="S12" t="s">
        <v>1457</v>
      </c>
      <c r="T12" t="s">
        <v>1458</v>
      </c>
      <c r="U12"/>
      <c r="V12" t="s">
        <v>1457</v>
      </c>
      <c r="W12" t="s">
        <v>1458</v>
      </c>
      <c r="X12"/>
      <c r="Y12" t="s">
        <v>1458</v>
      </c>
      <c r="Z12"/>
      <c r="AA12" t="s">
        <v>1457</v>
      </c>
      <c r="AB12" t="s">
        <v>1458</v>
      </c>
      <c r="AC12"/>
      <c r="AD12" t="s">
        <v>1457</v>
      </c>
      <c r="AE12" t="s">
        <v>1458</v>
      </c>
      <c r="AF12" t="s">
        <v>210</v>
      </c>
      <c r="AG12"/>
      <c r="AH12"/>
      <c r="AJ12" s="67" t="s">
        <v>285</v>
      </c>
      <c r="AK12" s="67" t="s">
        <v>286</v>
      </c>
    </row>
    <row r="13" spans="1:38">
      <c r="A13">
        <v>20165</v>
      </c>
      <c r="B13" t="s">
        <v>1454</v>
      </c>
      <c r="C13" t="s">
        <v>277</v>
      </c>
      <c r="D13">
        <v>0.89999997615814198</v>
      </c>
      <c r="E13"/>
      <c r="F13">
        <v>3382</v>
      </c>
      <c r="G13" t="s">
        <v>272</v>
      </c>
      <c r="H13"/>
      <c r="I13">
        <v>5.4999999701976797E-2</v>
      </c>
      <c r="J13">
        <v>3.0999999046325701</v>
      </c>
      <c r="K13" t="b">
        <v>0</v>
      </c>
      <c r="L13" t="b">
        <v>1</v>
      </c>
      <c r="M13" t="s">
        <v>268</v>
      </c>
      <c r="N13" t="b">
        <v>0</v>
      </c>
      <c r="O13" s="67" t="str">
        <f>VLOOKUP($A13,MFMaster!$A$2:$C$300,2,FALSE)</f>
        <v>1-3 stories</v>
      </c>
      <c r="P13" s="67">
        <f>VLOOKUP($A13,MFMaster!$A$2:$CG$232,85,FALSE)</f>
        <v>628.72027587890602</v>
      </c>
      <c r="R13" s="70" t="s">
        <v>279</v>
      </c>
      <c r="S13" s="71">
        <v>73.015617370605497</v>
      </c>
      <c r="T13" s="71"/>
      <c r="U13" s="71">
        <v>73.015617370605497</v>
      </c>
      <c r="V13" s="71">
        <v>943.08038330078102</v>
      </c>
      <c r="W13" s="71"/>
      <c r="X13" s="71">
        <v>943.08038330078102</v>
      </c>
      <c r="Y13" s="71"/>
      <c r="Z13" s="71"/>
      <c r="AA13" s="71">
        <v>114.48550415039099</v>
      </c>
      <c r="AB13" s="71">
        <v>343.45651245117199</v>
      </c>
      <c r="AC13" s="71">
        <v>457.94201660156295</v>
      </c>
      <c r="AD13" s="71">
        <v>2672.0611267089821</v>
      </c>
      <c r="AE13" s="71"/>
      <c r="AF13" s="71"/>
      <c r="AG13" s="71">
        <v>2672.0611267089821</v>
      </c>
      <c r="AH13" s="71">
        <v>4146.0991439819318</v>
      </c>
      <c r="AJ13" s="67" t="s">
        <v>172</v>
      </c>
      <c r="AK13" s="67" t="s">
        <v>173</v>
      </c>
    </row>
    <row r="14" spans="1:38">
      <c r="A14">
        <v>20566</v>
      </c>
      <c r="B14" t="s">
        <v>1454</v>
      </c>
      <c r="C14" t="s">
        <v>278</v>
      </c>
      <c r="D14">
        <v>0.89999997615814198</v>
      </c>
      <c r="E14"/>
      <c r="F14">
        <v>3622</v>
      </c>
      <c r="G14" t="s">
        <v>272</v>
      </c>
      <c r="H14" t="s">
        <v>273</v>
      </c>
      <c r="I14">
        <v>0.10000000149011599</v>
      </c>
      <c r="J14">
        <v>4.5</v>
      </c>
      <c r="K14" t="b">
        <v>0</v>
      </c>
      <c r="L14" t="b">
        <v>1</v>
      </c>
      <c r="M14" t="s">
        <v>271</v>
      </c>
      <c r="N14" t="b">
        <v>0</v>
      </c>
      <c r="O14" s="67" t="str">
        <f>VLOOKUP($A14,MFMaster!$A$2:$C$300,2,FALSE)</f>
        <v>1-3 stories</v>
      </c>
      <c r="P14" s="67">
        <f>VLOOKUP($A14,MFMaster!$A$2:$CG$232,85,FALSE)</f>
        <v>754.46429443359398</v>
      </c>
      <c r="R14" s="70" t="s">
        <v>195</v>
      </c>
      <c r="S14" s="71">
        <v>78.231018066406307</v>
      </c>
      <c r="T14" s="71">
        <v>120.20978164672849</v>
      </c>
      <c r="U14" s="71">
        <v>198.44079971313479</v>
      </c>
      <c r="V14" s="71"/>
      <c r="W14" s="71"/>
      <c r="X14" s="71"/>
      <c r="Y14" s="71"/>
      <c r="Z14" s="71"/>
      <c r="AA14" s="71"/>
      <c r="AB14" s="71">
        <v>136.90428161621099</v>
      </c>
      <c r="AC14" s="71">
        <v>136.90428161621099</v>
      </c>
      <c r="AD14" s="71"/>
      <c r="AE14" s="71"/>
      <c r="AF14" s="71"/>
      <c r="AG14" s="71"/>
      <c r="AH14" s="71">
        <v>335.34508132934582</v>
      </c>
      <c r="AJ14" s="73">
        <f>SUM(T13,W13,AB13,AE13)/SUM($AH$13)</f>
        <v>8.2838470698342936E-2</v>
      </c>
      <c r="AK14" s="73">
        <f>SUM(S13,V13,AA13,AD13)/SUM($AH$13)</f>
        <v>0.91716152930165706</v>
      </c>
      <c r="AL14" s="74"/>
    </row>
    <row r="15" spans="1:38">
      <c r="A15">
        <v>20665</v>
      </c>
      <c r="B15" t="s">
        <v>1454</v>
      </c>
      <c r="C15" t="s">
        <v>278</v>
      </c>
      <c r="D15">
        <v>0.89999997615814198</v>
      </c>
      <c r="E15"/>
      <c r="F15">
        <v>3150</v>
      </c>
      <c r="G15" t="s">
        <v>272</v>
      </c>
      <c r="H15"/>
      <c r="I15">
        <v>0.10000000149011599</v>
      </c>
      <c r="J15">
        <v>3.0999999046325701</v>
      </c>
      <c r="K15" t="b">
        <v>0</v>
      </c>
      <c r="L15" t="b">
        <v>1</v>
      </c>
      <c r="M15" t="s">
        <v>268</v>
      </c>
      <c r="N15" t="b">
        <v>0</v>
      </c>
      <c r="O15" s="67" t="str">
        <f>VLOOKUP($A15,MFMaster!$A$2:$C$300,2,FALSE)</f>
        <v>1-3 stories</v>
      </c>
      <c r="P15" s="67">
        <f>VLOOKUP($A15,MFMaster!$A$2:$CG$232,85,FALSE)</f>
        <v>685.87664794921898</v>
      </c>
      <c r="R15" s="70" t="s">
        <v>274</v>
      </c>
      <c r="S15" s="71">
        <v>26.7130317687988</v>
      </c>
      <c r="T15" s="71"/>
      <c r="U15" s="71">
        <v>26.7130317687988</v>
      </c>
      <c r="V15" s="71">
        <v>784.88746643066429</v>
      </c>
      <c r="W15" s="71">
        <v>0</v>
      </c>
      <c r="X15" s="71">
        <v>784.88746643066429</v>
      </c>
      <c r="Y15" s="71">
        <v>209.57342529296901</v>
      </c>
      <c r="Z15" s="71">
        <v>209.57342529296901</v>
      </c>
      <c r="AA15" s="71"/>
      <c r="AB15" s="71">
        <v>182.53904724121099</v>
      </c>
      <c r="AC15" s="71">
        <v>182.53904724121099</v>
      </c>
      <c r="AD15" s="71"/>
      <c r="AE15" s="71">
        <v>1610.779663085937</v>
      </c>
      <c r="AF15" s="71"/>
      <c r="AG15" s="71">
        <v>1610.779663085937</v>
      </c>
      <c r="AH15" s="71">
        <v>2814.4926338195801</v>
      </c>
    </row>
    <row r="16" spans="1:38">
      <c r="A16">
        <v>20705</v>
      </c>
      <c r="B16" t="s">
        <v>1454</v>
      </c>
      <c r="C16" t="s">
        <v>278</v>
      </c>
      <c r="D16">
        <v>0.89999997615814198</v>
      </c>
      <c r="E16"/>
      <c r="F16">
        <v>5540</v>
      </c>
      <c r="G16"/>
      <c r="H16"/>
      <c r="I16">
        <v>0.10000000149011599</v>
      </c>
      <c r="J16">
        <v>3.0999999046325701</v>
      </c>
      <c r="K16" t="b">
        <v>0</v>
      </c>
      <c r="L16" t="b">
        <v>1</v>
      </c>
      <c r="M16" t="s">
        <v>268</v>
      </c>
      <c r="N16" t="b">
        <v>1</v>
      </c>
      <c r="O16" s="67" t="str">
        <f>VLOOKUP($A16,MFMaster!$A$2:$C$300,2,FALSE)</f>
        <v>1-3 stories</v>
      </c>
      <c r="P16" s="67">
        <f>VLOOKUP($A16,MFMaster!$A$2:$CG$232,85,FALSE)</f>
        <v>1257.44055175781</v>
      </c>
      <c r="R16" s="70" t="s">
        <v>275</v>
      </c>
      <c r="S16" s="71">
        <v>0</v>
      </c>
      <c r="T16" s="71">
        <v>0</v>
      </c>
      <c r="U16" s="71">
        <v>0</v>
      </c>
      <c r="V16" s="71"/>
      <c r="W16" s="71"/>
      <c r="X16" s="71"/>
      <c r="Y16" s="71"/>
      <c r="Z16" s="71"/>
      <c r="AA16" s="71"/>
      <c r="AB16" s="71">
        <v>0</v>
      </c>
      <c r="AC16" s="71">
        <v>0</v>
      </c>
      <c r="AD16" s="71"/>
      <c r="AE16" s="71"/>
      <c r="AF16" s="71"/>
      <c r="AG16" s="71"/>
      <c r="AH16" s="71">
        <v>0</v>
      </c>
    </row>
    <row r="17" spans="1:34">
      <c r="A17">
        <v>20803</v>
      </c>
      <c r="B17" t="s">
        <v>1454</v>
      </c>
      <c r="C17" t="s">
        <v>278</v>
      </c>
      <c r="D17">
        <v>0.89999997615814198</v>
      </c>
      <c r="E17"/>
      <c r="F17">
        <v>2825</v>
      </c>
      <c r="G17" t="s">
        <v>272</v>
      </c>
      <c r="H17"/>
      <c r="I17">
        <v>0.10000000149011599</v>
      </c>
      <c r="J17">
        <v>3.0999999046325701</v>
      </c>
      <c r="K17" t="b">
        <v>0</v>
      </c>
      <c r="L17" t="b">
        <v>1</v>
      </c>
      <c r="M17" t="s">
        <v>268</v>
      </c>
      <c r="N17" t="b">
        <v>0</v>
      </c>
      <c r="O17" s="67" t="str">
        <f>VLOOKUP($A17,MFMaster!$A$2:$C$300,2,FALSE)</f>
        <v>1-3 stories</v>
      </c>
      <c r="P17" s="67">
        <f>VLOOKUP($A17,MFMaster!$A$2:$CG$232,85,FALSE)</f>
        <v>838.293701171875</v>
      </c>
      <c r="R17" s="70" t="s">
        <v>277</v>
      </c>
      <c r="S17" s="71">
        <v>600.53796386718795</v>
      </c>
      <c r="T17" s="71"/>
      <c r="U17" s="71">
        <v>600.53796386718795</v>
      </c>
      <c r="V17" s="71"/>
      <c r="W17" s="71">
        <v>53.381153106689503</v>
      </c>
      <c r="X17" s="71">
        <v>53.381153106689503</v>
      </c>
      <c r="Y17" s="71"/>
      <c r="Z17" s="71"/>
      <c r="AA17" s="71"/>
      <c r="AB17" s="71">
        <v>91.269523620605497</v>
      </c>
      <c r="AC17" s="71">
        <v>91.269523620605497</v>
      </c>
      <c r="AD17" s="71"/>
      <c r="AE17" s="71">
        <v>628.72027587890602</v>
      </c>
      <c r="AF17" s="71"/>
      <c r="AG17" s="71">
        <v>628.72027587890602</v>
      </c>
      <c r="AH17" s="71">
        <v>1373.9089164733889</v>
      </c>
    </row>
    <row r="18" spans="1:34">
      <c r="A18">
        <v>21000</v>
      </c>
      <c r="B18" t="s">
        <v>1454</v>
      </c>
      <c r="C18" t="s">
        <v>278</v>
      </c>
      <c r="D18">
        <v>0.89999997615814198</v>
      </c>
      <c r="E18"/>
      <c r="F18">
        <v>12776</v>
      </c>
      <c r="G18" t="s">
        <v>272</v>
      </c>
      <c r="H18" t="s">
        <v>273</v>
      </c>
      <c r="I18">
        <v>0.10000000149011599</v>
      </c>
      <c r="J18">
        <v>4.5</v>
      </c>
      <c r="K18" t="b">
        <v>0</v>
      </c>
      <c r="L18" t="b">
        <v>1</v>
      </c>
      <c r="M18" t="s">
        <v>271</v>
      </c>
      <c r="N18" t="b">
        <v>1</v>
      </c>
      <c r="O18" s="67" t="str">
        <f>VLOOKUP($A18,MFMaster!$A$2:$C$300,2,FALSE)</f>
        <v>1-3 stories</v>
      </c>
      <c r="P18" s="67">
        <f>VLOOKUP($A18,MFMaster!$A$2:$CG$232,85,FALSE)</f>
        <v>251.48811340332</v>
      </c>
      <c r="R18" s="70" t="s">
        <v>278</v>
      </c>
      <c r="S18" s="71">
        <v>502.97622680664</v>
      </c>
      <c r="T18" s="71">
        <v>754.46429443359398</v>
      </c>
      <c r="U18" s="71">
        <v>1257.4405212402339</v>
      </c>
      <c r="V18" s="71"/>
      <c r="W18" s="71"/>
      <c r="X18" s="71"/>
      <c r="Y18" s="71">
        <v>47.6188774108887</v>
      </c>
      <c r="Z18" s="71">
        <v>47.6188774108887</v>
      </c>
      <c r="AA18" s="71"/>
      <c r="AB18" s="71"/>
      <c r="AC18" s="71"/>
      <c r="AD18" s="71">
        <v>1897.7050399780246</v>
      </c>
      <c r="AE18" s="71">
        <v>2720.7280559539795</v>
      </c>
      <c r="AF18" s="71"/>
      <c r="AG18" s="71">
        <v>4618.4330959320041</v>
      </c>
      <c r="AH18" s="71">
        <v>5923.4924945831262</v>
      </c>
    </row>
    <row r="19" spans="1:34">
      <c r="A19">
        <v>21268</v>
      </c>
      <c r="B19" t="s">
        <v>1454</v>
      </c>
      <c r="C19" t="s">
        <v>279</v>
      </c>
      <c r="D19"/>
      <c r="E19"/>
      <c r="F19">
        <v>2158</v>
      </c>
      <c r="G19" t="s">
        <v>272</v>
      </c>
      <c r="H19"/>
      <c r="I19">
        <v>0.230000004172325</v>
      </c>
      <c r="J19">
        <v>3.0999999046325701</v>
      </c>
      <c r="K19" t="b">
        <v>0</v>
      </c>
      <c r="L19" t="b">
        <v>1</v>
      </c>
      <c r="M19" t="s">
        <v>268</v>
      </c>
      <c r="N19" t="b">
        <v>1</v>
      </c>
      <c r="O19" s="67" t="str">
        <f>VLOOKUP($A19,MFMaster!$A$2:$C$300,2,FALSE)</f>
        <v>1-3 stories</v>
      </c>
      <c r="P19" s="67">
        <f>VLOOKUP($A19,MFMaster!$A$2:$CG$232,85,FALSE)</f>
        <v>1257.44055175781</v>
      </c>
      <c r="R19" s="70" t="s">
        <v>210</v>
      </c>
      <c r="S19" s="71"/>
      <c r="T19" s="71"/>
      <c r="U19" s="71"/>
      <c r="V19" s="71"/>
      <c r="W19" s="71"/>
      <c r="X19" s="71"/>
      <c r="Y19" s="71"/>
      <c r="Z19" s="71"/>
      <c r="AA19" s="71"/>
      <c r="AB19" s="71"/>
      <c r="AC19" s="71"/>
      <c r="AD19" s="71"/>
      <c r="AE19" s="71"/>
      <c r="AF19" s="71"/>
      <c r="AG19" s="71"/>
      <c r="AH19" s="71"/>
    </row>
    <row r="20" spans="1:34">
      <c r="A20">
        <v>21488</v>
      </c>
      <c r="B20" t="s">
        <v>1454</v>
      </c>
      <c r="C20" t="s">
        <v>274</v>
      </c>
      <c r="D20">
        <v>0.75</v>
      </c>
      <c r="E20"/>
      <c r="F20">
        <v>2924</v>
      </c>
      <c r="G20" t="s">
        <v>267</v>
      </c>
      <c r="H20"/>
      <c r="I20">
        <v>9.00000035762787E-2</v>
      </c>
      <c r="J20">
        <v>3.0999999046325701</v>
      </c>
      <c r="K20" t="b">
        <v>0</v>
      </c>
      <c r="L20" t="b">
        <v>1</v>
      </c>
      <c r="M20" t="s">
        <v>268</v>
      </c>
      <c r="N20" t="b">
        <v>0</v>
      </c>
      <c r="O20" s="67" t="str">
        <f>VLOOKUP($A20,MFMaster!$A$2:$C$300,2,FALSE)</f>
        <v>1-3 stories</v>
      </c>
      <c r="P20" s="67">
        <f>VLOOKUP($A20,MFMaster!$A$2:$CG$232,85,FALSE)</f>
        <v>943.08038330078102</v>
      </c>
      <c r="R20" s="70" t="s">
        <v>208</v>
      </c>
      <c r="S20" s="71">
        <v>1281.4738578796384</v>
      </c>
      <c r="T20" s="71">
        <v>874.67407608032249</v>
      </c>
      <c r="U20" s="71">
        <v>2156.1479339599609</v>
      </c>
      <c r="V20" s="71">
        <v>1727.9678497314453</v>
      </c>
      <c r="W20" s="71">
        <v>53.381153106689503</v>
      </c>
      <c r="X20" s="71">
        <v>1781.3490028381348</v>
      </c>
      <c r="Y20" s="71">
        <v>257.19230270385771</v>
      </c>
      <c r="Z20" s="71">
        <v>257.19230270385771</v>
      </c>
      <c r="AA20" s="71">
        <v>114.48550415039099</v>
      </c>
      <c r="AB20" s="71">
        <v>754.16936492919945</v>
      </c>
      <c r="AC20" s="71">
        <v>868.6548690795903</v>
      </c>
      <c r="AD20" s="71">
        <v>4569.7661666870063</v>
      </c>
      <c r="AE20" s="71">
        <v>4960.2279949188223</v>
      </c>
      <c r="AF20" s="71"/>
      <c r="AG20" s="71">
        <v>9529.9941616058295</v>
      </c>
      <c r="AH20" s="71">
        <v>14593.338270187372</v>
      </c>
    </row>
    <row r="21" spans="1:34">
      <c r="A21">
        <v>21576</v>
      </c>
      <c r="B21" t="s">
        <v>1454</v>
      </c>
      <c r="C21" t="s">
        <v>278</v>
      </c>
      <c r="D21">
        <v>0.89999997615814198</v>
      </c>
      <c r="E21"/>
      <c r="F21">
        <v>11520</v>
      </c>
      <c r="G21" t="s">
        <v>272</v>
      </c>
      <c r="H21"/>
      <c r="I21">
        <v>0.10000000149011599</v>
      </c>
      <c r="J21">
        <v>4.5</v>
      </c>
      <c r="K21" t="b">
        <v>0</v>
      </c>
      <c r="L21" t="b">
        <v>1</v>
      </c>
      <c r="M21" t="s">
        <v>271</v>
      </c>
      <c r="N21" t="b">
        <v>0</v>
      </c>
      <c r="O21" s="67" t="str">
        <f>VLOOKUP($A21,MFMaster!$A$2:$C$300,2,FALSE)</f>
        <v>1-3 stories</v>
      </c>
      <c r="P21" s="67">
        <f>VLOOKUP($A21,MFMaster!$A$2:$CG$232,85,FALSE)</f>
        <v>314.36013793945301</v>
      </c>
      <c r="R21"/>
      <c r="S21"/>
      <c r="T21"/>
      <c r="U21"/>
      <c r="V21"/>
      <c r="W21"/>
      <c r="X21"/>
      <c r="Y21"/>
      <c r="Z21"/>
      <c r="AA21"/>
      <c r="AB21"/>
      <c r="AC21"/>
      <c r="AD21"/>
      <c r="AE21"/>
      <c r="AF21"/>
      <c r="AG21"/>
      <c r="AH21"/>
    </row>
    <row r="22" spans="1:34">
      <c r="A22">
        <v>21691</v>
      </c>
      <c r="B22" t="s">
        <v>1454</v>
      </c>
      <c r="C22" t="s">
        <v>279</v>
      </c>
      <c r="D22"/>
      <c r="E22" t="s">
        <v>280</v>
      </c>
      <c r="F22">
        <v>6726</v>
      </c>
      <c r="G22" t="s">
        <v>267</v>
      </c>
      <c r="H22"/>
      <c r="I22">
        <v>0.230000004172325</v>
      </c>
      <c r="J22">
        <v>7.5999999046325701</v>
      </c>
      <c r="K22" t="b">
        <v>1</v>
      </c>
      <c r="L22" t="b">
        <v>1</v>
      </c>
      <c r="M22" t="s">
        <v>271</v>
      </c>
      <c r="N22" t="b">
        <v>1</v>
      </c>
      <c r="O22" s="67" t="str">
        <f>VLOOKUP($A22,MFMaster!$A$2:$C$300,2,FALSE)</f>
        <v>1-3 stories</v>
      </c>
      <c r="P22" s="67">
        <f>VLOOKUP($A22,MFMaster!$A$2:$CG$232,85,FALSE)</f>
        <v>943.08038330078102</v>
      </c>
      <c r="R22"/>
      <c r="S22"/>
      <c r="T22"/>
      <c r="U22"/>
      <c r="V22"/>
      <c r="W22"/>
      <c r="X22"/>
      <c r="Y22"/>
      <c r="Z22"/>
      <c r="AA22"/>
      <c r="AB22"/>
      <c r="AC22"/>
      <c r="AD22"/>
      <c r="AE22"/>
      <c r="AF22"/>
      <c r="AG22"/>
      <c r="AH22" s="53"/>
    </row>
    <row r="23" spans="1:34">
      <c r="A23">
        <v>21985</v>
      </c>
      <c r="B23" t="s">
        <v>1454</v>
      </c>
      <c r="C23" t="s">
        <v>274</v>
      </c>
      <c r="D23">
        <v>0.75</v>
      </c>
      <c r="E23" t="s">
        <v>280</v>
      </c>
      <c r="F23">
        <v>3240</v>
      </c>
      <c r="G23" t="s">
        <v>267</v>
      </c>
      <c r="H23" t="s">
        <v>276</v>
      </c>
      <c r="I23">
        <v>9.00000035762787E-2</v>
      </c>
      <c r="J23">
        <v>3.9000000953674299</v>
      </c>
      <c r="K23" t="b">
        <v>1</v>
      </c>
      <c r="L23" t="b">
        <v>1</v>
      </c>
      <c r="M23" t="s">
        <v>268</v>
      </c>
      <c r="N23" t="b">
        <v>1</v>
      </c>
      <c r="O23" s="67" t="str">
        <f>VLOOKUP($A23,MFMaster!$A$2:$C$300,2,FALSE)</f>
        <v>1-3 stories</v>
      </c>
      <c r="P23" s="67">
        <f>VLOOKUP($A23,MFMaster!$A$2:$CG$232,85,FALSE)</f>
        <v>754.46429443359398</v>
      </c>
      <c r="R23"/>
      <c r="S23"/>
      <c r="T23"/>
      <c r="U23"/>
      <c r="V23"/>
      <c r="W23"/>
      <c r="X23"/>
      <c r="Y23"/>
      <c r="Z23"/>
      <c r="AA23"/>
      <c r="AB23"/>
      <c r="AC23"/>
      <c r="AD23"/>
      <c r="AE23"/>
      <c r="AF23"/>
      <c r="AG23"/>
      <c r="AH23"/>
    </row>
    <row r="24" spans="1:34">
      <c r="A24">
        <v>21998</v>
      </c>
      <c r="B24" t="s">
        <v>1454</v>
      </c>
      <c r="C24" t="s">
        <v>279</v>
      </c>
      <c r="D24"/>
      <c r="E24" t="s">
        <v>280</v>
      </c>
      <c r="F24">
        <v>4207</v>
      </c>
      <c r="G24" t="s">
        <v>272</v>
      </c>
      <c r="H24" t="s">
        <v>276</v>
      </c>
      <c r="I24">
        <v>0.230000004172325</v>
      </c>
      <c r="J24">
        <v>3.9000000953674299</v>
      </c>
      <c r="K24" t="b">
        <v>1</v>
      </c>
      <c r="L24" t="b">
        <v>1</v>
      </c>
      <c r="M24" t="s">
        <v>268</v>
      </c>
      <c r="N24" t="b">
        <v>1</v>
      </c>
      <c r="O24" s="67" t="str">
        <f>VLOOKUP($A24,MFMaster!$A$2:$C$300,2,FALSE)</f>
        <v>1-3 stories</v>
      </c>
      <c r="P24" s="67" t="str">
        <f>VLOOKUP($A24,MFMaster!$A$2:$CG$232,85,FALSE)</f>
        <v/>
      </c>
      <c r="R24"/>
      <c r="S24"/>
      <c r="T24"/>
    </row>
    <row r="25" spans="1:34">
      <c r="A25">
        <v>22058</v>
      </c>
      <c r="B25" t="s">
        <v>1454</v>
      </c>
      <c r="C25" t="s">
        <v>278</v>
      </c>
      <c r="D25">
        <v>0.89999997615814198</v>
      </c>
      <c r="E25"/>
      <c r="F25">
        <v>11880</v>
      </c>
      <c r="G25" t="s">
        <v>272</v>
      </c>
      <c r="H25" t="s">
        <v>273</v>
      </c>
      <c r="I25">
        <v>0.10000000149011599</v>
      </c>
      <c r="J25">
        <v>3.0999999046325701</v>
      </c>
      <c r="K25" t="b">
        <v>0</v>
      </c>
      <c r="L25" t="b">
        <v>1</v>
      </c>
      <c r="M25" t="s">
        <v>268</v>
      </c>
      <c r="N25" t="b">
        <v>1</v>
      </c>
      <c r="O25" s="67" t="str">
        <f>VLOOKUP($A25,MFMaster!$A$2:$C$300,2,FALSE)</f>
        <v>1-3 stories</v>
      </c>
      <c r="P25" s="67">
        <f>VLOOKUP($A25,MFMaster!$A$2:$CG$232,85,FALSE)</f>
        <v>251.48811340332</v>
      </c>
      <c r="R25"/>
      <c r="S25"/>
      <c r="T25"/>
    </row>
    <row r="26" spans="1:34">
      <c r="A26">
        <v>22450</v>
      </c>
      <c r="B26" t="s">
        <v>1454</v>
      </c>
      <c r="C26" t="s">
        <v>274</v>
      </c>
      <c r="D26">
        <v>0.89999997615814198</v>
      </c>
      <c r="E26" t="s">
        <v>280</v>
      </c>
      <c r="F26">
        <v>5123</v>
      </c>
      <c r="G26" t="s">
        <v>272</v>
      </c>
      <c r="H26"/>
      <c r="I26">
        <v>6.4999997615814195E-2</v>
      </c>
      <c r="J26">
        <v>7.5999999046325701</v>
      </c>
      <c r="K26" t="b">
        <v>1</v>
      </c>
      <c r="L26" t="b">
        <v>1</v>
      </c>
      <c r="M26" t="s">
        <v>271</v>
      </c>
      <c r="N26" t="b">
        <v>0</v>
      </c>
      <c r="O26" s="67" t="str">
        <f>VLOOKUP($A26,MFMaster!$A$2:$C$300,2,FALSE)</f>
        <v>1-3 stories</v>
      </c>
      <c r="P26" s="67">
        <f>VLOOKUP($A26,MFMaster!$A$2:$CG$232,85,FALSE)</f>
        <v>538.903076171875</v>
      </c>
      <c r="R26"/>
      <c r="S26"/>
      <c r="T26"/>
    </row>
    <row r="27" spans="1:34">
      <c r="A27">
        <v>23425</v>
      </c>
      <c r="B27" t="s">
        <v>1454</v>
      </c>
      <c r="C27" t="s">
        <v>278</v>
      </c>
      <c r="D27">
        <v>0.89999997615814198</v>
      </c>
      <c r="E27"/>
      <c r="F27">
        <v>3340</v>
      </c>
      <c r="G27" t="s">
        <v>272</v>
      </c>
      <c r="H27"/>
      <c r="I27">
        <v>0.10000000149011599</v>
      </c>
      <c r="J27">
        <v>4.5</v>
      </c>
      <c r="K27" t="b">
        <v>0</v>
      </c>
      <c r="L27" t="b">
        <v>1</v>
      </c>
      <c r="M27" t="s">
        <v>271</v>
      </c>
      <c r="N27" t="b">
        <v>0</v>
      </c>
      <c r="O27" s="67" t="str">
        <f>VLOOKUP($A27,MFMaster!$A$2:$C$300,2,FALSE)</f>
        <v>1-3 stories</v>
      </c>
      <c r="P27" s="67">
        <f>VLOOKUP($A27,MFMaster!$A$2:$CG$232,85,FALSE)</f>
        <v>754.46429443359398</v>
      </c>
      <c r="R27"/>
      <c r="S27"/>
      <c r="T27"/>
    </row>
    <row r="28" spans="1:34">
      <c r="A28">
        <v>24139</v>
      </c>
      <c r="B28" t="s">
        <v>1454</v>
      </c>
      <c r="C28" t="s">
        <v>279</v>
      </c>
      <c r="D28"/>
      <c r="E28"/>
      <c r="F28">
        <v>7280</v>
      </c>
      <c r="G28" t="s">
        <v>267</v>
      </c>
      <c r="H28"/>
      <c r="I28">
        <v>0.230000004172325</v>
      </c>
      <c r="J28">
        <v>4.5</v>
      </c>
      <c r="K28" t="b">
        <v>0</v>
      </c>
      <c r="L28" t="b">
        <v>1</v>
      </c>
      <c r="M28" t="s">
        <v>271</v>
      </c>
      <c r="N28" t="b">
        <v>1</v>
      </c>
      <c r="O28" s="67" t="str">
        <f>VLOOKUP($A28,MFMaster!$A$2:$C$300,2,FALSE)</f>
        <v>1-3 stories</v>
      </c>
      <c r="P28" s="67">
        <f>VLOOKUP($A28,MFMaster!$A$2:$CG$232,85,FALSE)</f>
        <v>471.54019165039102</v>
      </c>
    </row>
    <row r="29" spans="1:34">
      <c r="A29">
        <v>24637</v>
      </c>
      <c r="B29" t="s">
        <v>1454</v>
      </c>
      <c r="C29" t="s">
        <v>274</v>
      </c>
      <c r="D29">
        <v>1</v>
      </c>
      <c r="E29" t="s">
        <v>280</v>
      </c>
      <c r="F29">
        <v>26980</v>
      </c>
      <c r="G29" t="s">
        <v>272</v>
      </c>
      <c r="H29" t="s">
        <v>270</v>
      </c>
      <c r="I29">
        <v>4.5000001788139302E-2</v>
      </c>
      <c r="J29">
        <v>7.5999999046325701</v>
      </c>
      <c r="K29" t="b">
        <v>1</v>
      </c>
      <c r="L29" t="b">
        <v>1</v>
      </c>
      <c r="M29" t="s">
        <v>271</v>
      </c>
      <c r="N29" t="b">
        <v>0</v>
      </c>
      <c r="O29" s="67" t="str">
        <f>VLOOKUP($A29,MFMaster!$A$2:$C$300,2,FALSE)</f>
        <v>1-3 stories</v>
      </c>
      <c r="P29" s="67">
        <f>VLOOKUP($A29,MFMaster!$A$2:$CG$232,85,FALSE)</f>
        <v>209.57342529296901</v>
      </c>
    </row>
    <row r="30" spans="1:34">
      <c r="A30">
        <v>71003</v>
      </c>
      <c r="B30" t="s">
        <v>1454</v>
      </c>
      <c r="C30" t="s">
        <v>274</v>
      </c>
      <c r="D30">
        <v>1</v>
      </c>
      <c r="E30"/>
      <c r="F30">
        <v>2290</v>
      </c>
      <c r="G30" t="s">
        <v>272</v>
      </c>
      <c r="H30" t="s">
        <v>205</v>
      </c>
      <c r="I30">
        <v>4.5000001788139302E-2</v>
      </c>
      <c r="J30">
        <v>3.0999999046325701</v>
      </c>
      <c r="K30" t="b">
        <v>0</v>
      </c>
      <c r="L30" t="b">
        <v>1</v>
      </c>
      <c r="M30" t="s">
        <v>268</v>
      </c>
      <c r="N30" t="b">
        <v>0</v>
      </c>
      <c r="O30" s="67" t="str">
        <f>VLOOKUP($A30,MFMaster!$A$2:$C$300,2,FALSE)</f>
        <v>1-3 stories</v>
      </c>
      <c r="P30" s="67">
        <f>VLOOKUP($A30,MFMaster!$A$2:$CG$232,85,FALSE)</f>
        <v>182.53904724121099</v>
      </c>
    </row>
    <row r="31" spans="1:34">
      <c r="A31">
        <v>71014</v>
      </c>
      <c r="B31" t="s">
        <v>1454</v>
      </c>
      <c r="C31" t="s">
        <v>195</v>
      </c>
      <c r="D31">
        <v>0.89999997615814198</v>
      </c>
      <c r="E31"/>
      <c r="F31">
        <v>2992</v>
      </c>
      <c r="G31" t="s">
        <v>272</v>
      </c>
      <c r="H31" t="s">
        <v>205</v>
      </c>
      <c r="I31">
        <v>7.5000002980232197E-2</v>
      </c>
      <c r="J31">
        <v>3.0999999046325701</v>
      </c>
      <c r="K31" t="b">
        <v>0</v>
      </c>
      <c r="L31" t="b">
        <v>1</v>
      </c>
      <c r="M31" t="s">
        <v>268</v>
      </c>
      <c r="N31" t="b">
        <v>0</v>
      </c>
      <c r="O31" s="67" t="str">
        <f>VLOOKUP($A31,MFMaster!$A$2:$C$300,2,FALSE)</f>
        <v>1-3 stories</v>
      </c>
      <c r="P31" s="67">
        <f>VLOOKUP($A31,MFMaster!$A$2:$CG$232,85,FALSE)</f>
        <v>136.90428161621099</v>
      </c>
    </row>
    <row r="32" spans="1:34">
      <c r="A32">
        <v>72001</v>
      </c>
      <c r="B32" t="s">
        <v>1454</v>
      </c>
      <c r="C32" t="s">
        <v>195</v>
      </c>
      <c r="D32">
        <v>0.5</v>
      </c>
      <c r="E32"/>
      <c r="F32">
        <v>4522</v>
      </c>
      <c r="G32" t="s">
        <v>272</v>
      </c>
      <c r="H32" t="s">
        <v>273</v>
      </c>
      <c r="I32">
        <v>0.144999995827675</v>
      </c>
      <c r="J32">
        <v>3.0999999046325701</v>
      </c>
      <c r="K32" t="b">
        <v>0</v>
      </c>
      <c r="L32" t="b">
        <v>1</v>
      </c>
      <c r="M32" t="s">
        <v>268</v>
      </c>
      <c r="N32" t="b">
        <v>1</v>
      </c>
      <c r="O32" s="67" t="str">
        <f>VLOOKUP($A32,MFMaster!$A$2:$C$300,2,FALSE)</f>
        <v>1-3 stories</v>
      </c>
      <c r="P32" s="67">
        <f>VLOOKUP($A32,MFMaster!$A$2:$CG$232,85,FALSE)</f>
        <v>78.231018066406307</v>
      </c>
    </row>
    <row r="33" spans="1:16">
      <c r="A33">
        <v>72007</v>
      </c>
      <c r="B33" t="s">
        <v>1454</v>
      </c>
      <c r="C33" t="s">
        <v>277</v>
      </c>
      <c r="D33">
        <v>1</v>
      </c>
      <c r="E33"/>
      <c r="F33">
        <v>4836</v>
      </c>
      <c r="G33" t="s">
        <v>272</v>
      </c>
      <c r="H33" t="s">
        <v>205</v>
      </c>
      <c r="I33">
        <v>2.9999999329447701E-2</v>
      </c>
      <c r="J33">
        <v>3.0999999046325701</v>
      </c>
      <c r="K33" t="b">
        <v>0</v>
      </c>
      <c r="L33" t="b">
        <v>1</v>
      </c>
      <c r="M33" t="s">
        <v>268</v>
      </c>
      <c r="N33" t="b">
        <v>0</v>
      </c>
      <c r="O33" s="67" t="str">
        <f>VLOOKUP($A33,MFMaster!$A$2:$C$300,2,FALSE)</f>
        <v>1-3 stories</v>
      </c>
      <c r="P33" s="67">
        <f>VLOOKUP($A33,MFMaster!$A$2:$CG$232,85,FALSE)</f>
        <v>91.269523620605497</v>
      </c>
    </row>
    <row r="34" spans="1:16">
      <c r="A34">
        <v>72010</v>
      </c>
      <c r="B34" t="s">
        <v>1454</v>
      </c>
      <c r="C34" t="s">
        <v>279</v>
      </c>
      <c r="D34"/>
      <c r="E34"/>
      <c r="F34">
        <v>870</v>
      </c>
      <c r="G34" t="s">
        <v>272</v>
      </c>
      <c r="H34" t="s">
        <v>205</v>
      </c>
      <c r="I34">
        <v>0.230000004172325</v>
      </c>
      <c r="J34">
        <v>3.0999999046325701</v>
      </c>
      <c r="K34" t="b">
        <v>0</v>
      </c>
      <c r="L34" t="b">
        <v>1</v>
      </c>
      <c r="M34" t="s">
        <v>268</v>
      </c>
      <c r="N34" t="b">
        <v>1</v>
      </c>
      <c r="O34" s="67" t="str">
        <f>VLOOKUP($A34,MFMaster!$A$2:$C$300,2,FALSE)</f>
        <v>4-6 stories</v>
      </c>
      <c r="P34" s="67" t="str">
        <f>VLOOKUP($A34,MFMaster!$A$2:$CG$232,85,FALSE)</f>
        <v/>
      </c>
    </row>
    <row r="35" spans="1:16">
      <c r="A35">
        <v>73001</v>
      </c>
      <c r="B35" t="s">
        <v>1454</v>
      </c>
      <c r="C35" t="s">
        <v>279</v>
      </c>
      <c r="D35"/>
      <c r="E35"/>
      <c r="F35">
        <v>4879</v>
      </c>
      <c r="G35" t="s">
        <v>272</v>
      </c>
      <c r="H35" t="s">
        <v>273</v>
      </c>
      <c r="I35">
        <v>0.230000004172325</v>
      </c>
      <c r="J35">
        <v>3.0999999046325701</v>
      </c>
      <c r="K35" t="b">
        <v>0</v>
      </c>
      <c r="L35" t="b">
        <v>1</v>
      </c>
      <c r="M35" t="s">
        <v>268</v>
      </c>
      <c r="N35" t="b">
        <v>1</v>
      </c>
      <c r="O35" s="67" t="str">
        <f>VLOOKUP($A35,MFMaster!$A$2:$C$300,2,FALSE)</f>
        <v>4-6 stories</v>
      </c>
      <c r="P35" s="67" t="str">
        <f>VLOOKUP($A35,MFMaster!$A$2:$CG$232,85,FALSE)</f>
        <v/>
      </c>
    </row>
    <row r="36" spans="1:16">
      <c r="A36">
        <v>73002</v>
      </c>
      <c r="B36" t="s">
        <v>1454</v>
      </c>
      <c r="C36" t="s">
        <v>275</v>
      </c>
      <c r="D36">
        <v>0.89999997615814198</v>
      </c>
      <c r="E36"/>
      <c r="F36">
        <v>3287</v>
      </c>
      <c r="G36" t="s">
        <v>272</v>
      </c>
      <c r="H36" t="s">
        <v>205</v>
      </c>
      <c r="I36">
        <v>5.9999998658895499E-2</v>
      </c>
      <c r="J36">
        <v>3.0999999046325701</v>
      </c>
      <c r="K36" t="b">
        <v>0</v>
      </c>
      <c r="L36" t="b">
        <v>1</v>
      </c>
      <c r="M36" t="s">
        <v>268</v>
      </c>
      <c r="N36" t="b">
        <v>0</v>
      </c>
      <c r="O36" s="67" t="str">
        <f>VLOOKUP($A36,MFMaster!$A$2:$C$300,2,FALSE)</f>
        <v>4-6 stories</v>
      </c>
      <c r="P36" s="67" t="str">
        <f>VLOOKUP($A36,MFMaster!$A$2:$CG$232,85,FALSE)</f>
        <v/>
      </c>
    </row>
    <row r="37" spans="1:16">
      <c r="A37">
        <v>73006</v>
      </c>
      <c r="B37" t="s">
        <v>1454</v>
      </c>
      <c r="C37" t="s">
        <v>279</v>
      </c>
      <c r="D37"/>
      <c r="E37"/>
      <c r="F37">
        <v>5900</v>
      </c>
      <c r="G37" t="s">
        <v>272</v>
      </c>
      <c r="H37" t="s">
        <v>273</v>
      </c>
      <c r="I37">
        <v>0.230000004172325</v>
      </c>
      <c r="J37">
        <v>3.0999999046325701</v>
      </c>
      <c r="K37" t="b">
        <v>0</v>
      </c>
      <c r="L37" t="b">
        <v>1</v>
      </c>
      <c r="M37" t="s">
        <v>268</v>
      </c>
      <c r="N37" t="b">
        <v>1</v>
      </c>
      <c r="O37" s="67" t="str">
        <f>VLOOKUP($A37,MFMaster!$A$2:$C$300,2,FALSE)</f>
        <v>1-3 stories</v>
      </c>
      <c r="P37" s="67">
        <f>VLOOKUP($A37,MFMaster!$A$2:$CG$232,85,FALSE)</f>
        <v>73.015617370605497</v>
      </c>
    </row>
    <row r="38" spans="1:16">
      <c r="A38">
        <v>74005</v>
      </c>
      <c r="B38" t="s">
        <v>1454</v>
      </c>
      <c r="C38" t="s">
        <v>278</v>
      </c>
      <c r="D38">
        <v>0.89999997615814198</v>
      </c>
      <c r="E38"/>
      <c r="F38">
        <v>245</v>
      </c>
      <c r="G38" t="s">
        <v>272</v>
      </c>
      <c r="H38"/>
      <c r="I38">
        <v>0.10000000149011599</v>
      </c>
      <c r="J38">
        <v>3.0999999046325701</v>
      </c>
      <c r="K38" t="b">
        <v>0</v>
      </c>
      <c r="L38" t="b">
        <v>1</v>
      </c>
      <c r="M38" t="s">
        <v>268</v>
      </c>
      <c r="N38" t="b">
        <v>1</v>
      </c>
      <c r="O38" s="67" t="str">
        <f>VLOOKUP($A38,MFMaster!$A$2:$C$300,2,FALSE)</f>
        <v>1-3 stories</v>
      </c>
      <c r="P38" s="67">
        <f>VLOOKUP($A38,MFMaster!$A$2:$CG$232,85,FALSE)</f>
        <v>40.564231872558601</v>
      </c>
    </row>
    <row r="39" spans="1:16">
      <c r="A39">
        <v>74006</v>
      </c>
      <c r="B39" t="s">
        <v>1454</v>
      </c>
      <c r="C39" t="s">
        <v>278</v>
      </c>
      <c r="D39">
        <v>0.89999997615814198</v>
      </c>
      <c r="E39"/>
      <c r="F39">
        <v>7146</v>
      </c>
      <c r="G39"/>
      <c r="H39" t="s">
        <v>270</v>
      </c>
      <c r="I39">
        <v>0.10000000149011599</v>
      </c>
      <c r="J39">
        <v>3.0999999046325701</v>
      </c>
      <c r="K39" t="b">
        <v>0</v>
      </c>
      <c r="L39" t="b">
        <v>1</v>
      </c>
      <c r="M39" t="s">
        <v>268</v>
      </c>
      <c r="N39" t="b">
        <v>0</v>
      </c>
      <c r="O39" s="67" t="str">
        <f>VLOOKUP($A39,MFMaster!$A$2:$C$300,2,FALSE)</f>
        <v>1-3 stories</v>
      </c>
      <c r="P39" s="67">
        <f>VLOOKUP($A39,MFMaster!$A$2:$CG$232,85,FALSE)</f>
        <v>47.6188774108887</v>
      </c>
    </row>
    <row r="40" spans="1:16">
      <c r="A40">
        <v>75005</v>
      </c>
      <c r="B40" t="s">
        <v>1454</v>
      </c>
      <c r="C40" t="s">
        <v>275</v>
      </c>
      <c r="D40">
        <v>1</v>
      </c>
      <c r="E40"/>
      <c r="F40">
        <v>5575</v>
      </c>
      <c r="G40" t="s">
        <v>272</v>
      </c>
      <c r="H40" t="s">
        <v>273</v>
      </c>
      <c r="I40">
        <v>3.5000000149011598E-2</v>
      </c>
      <c r="J40">
        <v>3.0999999046325701</v>
      </c>
      <c r="K40" t="b">
        <v>0</v>
      </c>
      <c r="L40" t="b">
        <v>1</v>
      </c>
      <c r="M40" t="s">
        <v>268</v>
      </c>
      <c r="N40" t="b">
        <v>1</v>
      </c>
      <c r="O40" s="67" t="str">
        <f>VLOOKUP($A40,MFMaster!$A$2:$C$300,2,FALSE)</f>
        <v>4-6 stories</v>
      </c>
      <c r="P40" s="67" t="str">
        <f>VLOOKUP($A40,MFMaster!$A$2:$CG$232,85,FALSE)</f>
        <v/>
      </c>
    </row>
    <row r="41" spans="1:16">
      <c r="A41">
        <v>75008</v>
      </c>
      <c r="B41" t="s">
        <v>1454</v>
      </c>
      <c r="C41" t="s">
        <v>274</v>
      </c>
      <c r="D41">
        <v>0.89999997615814198</v>
      </c>
      <c r="E41"/>
      <c r="F41">
        <v>6358</v>
      </c>
      <c r="G41" t="s">
        <v>272</v>
      </c>
      <c r="H41" t="s">
        <v>273</v>
      </c>
      <c r="I41">
        <v>6.4999997615814195E-2</v>
      </c>
      <c r="J41">
        <v>3.0999999046325701</v>
      </c>
      <c r="K41" t="b">
        <v>0</v>
      </c>
      <c r="L41" t="b">
        <v>1</v>
      </c>
      <c r="M41" t="s">
        <v>268</v>
      </c>
      <c r="N41" t="b">
        <v>1</v>
      </c>
      <c r="O41" s="67" t="str">
        <f>VLOOKUP($A41,MFMaster!$A$2:$C$300,2,FALSE)</f>
        <v>1-3 stories</v>
      </c>
      <c r="P41" s="67">
        <f>VLOOKUP($A41,MFMaster!$A$2:$CG$232,85,FALSE)</f>
        <v>26.7130317687988</v>
      </c>
    </row>
    <row r="42" spans="1:16">
      <c r="A42">
        <v>75009</v>
      </c>
      <c r="B42" t="s">
        <v>1455</v>
      </c>
      <c r="C42" t="s">
        <v>278</v>
      </c>
      <c r="D42">
        <v>0.89999997615814198</v>
      </c>
      <c r="E42"/>
      <c r="F42">
        <v>4071</v>
      </c>
      <c r="G42" t="s">
        <v>272</v>
      </c>
      <c r="H42"/>
      <c r="I42">
        <v>0.10000000149011599</v>
      </c>
      <c r="J42">
        <v>3.0999999046325701</v>
      </c>
      <c r="K42" t="b">
        <v>0</v>
      </c>
      <c r="L42" t="b">
        <v>1</v>
      </c>
      <c r="M42" t="s">
        <v>268</v>
      </c>
      <c r="N42" t="b">
        <v>0</v>
      </c>
      <c r="O42" s="67" t="str">
        <f>VLOOKUP($A42,MFMaster!$A$2:$C$300,2,FALSE)</f>
        <v>1-3 stories</v>
      </c>
      <c r="P42" s="67" t="str">
        <f>VLOOKUP($A42,MFMaster!$A$2:$CG$232,85,FALSE)</f>
        <v/>
      </c>
    </row>
    <row r="43" spans="1:16">
      <c r="A43">
        <v>75010</v>
      </c>
      <c r="B43" t="s">
        <v>1454</v>
      </c>
      <c r="C43" t="s">
        <v>274</v>
      </c>
      <c r="D43">
        <v>0.75</v>
      </c>
      <c r="E43"/>
      <c r="F43">
        <v>7972</v>
      </c>
      <c r="G43" t="s">
        <v>272</v>
      </c>
      <c r="H43" t="s">
        <v>276</v>
      </c>
      <c r="I43">
        <v>9.00000035762787E-2</v>
      </c>
      <c r="J43">
        <v>3.0999999046325701</v>
      </c>
      <c r="K43" t="b">
        <v>0</v>
      </c>
      <c r="L43" t="b">
        <v>1</v>
      </c>
      <c r="M43" t="s">
        <v>268</v>
      </c>
      <c r="N43" t="b">
        <v>1</v>
      </c>
      <c r="O43" s="67" t="str">
        <f>VLOOKUP($A43,MFMaster!$A$2:$C$300,2,FALSE)</f>
        <v>1-3 stories</v>
      </c>
      <c r="P43" s="67">
        <f>VLOOKUP($A43,MFMaster!$A$2:$CG$232,85,FALSE)</f>
        <v>30.423171997070298</v>
      </c>
    </row>
    <row r="44" spans="1:16">
      <c r="A44">
        <v>76005</v>
      </c>
      <c r="B44" t="s">
        <v>1454</v>
      </c>
      <c r="C44" t="s">
        <v>275</v>
      </c>
      <c r="D44">
        <v>0.89999997615814198</v>
      </c>
      <c r="E44"/>
      <c r="F44">
        <v>12151</v>
      </c>
      <c r="G44" t="s">
        <v>272</v>
      </c>
      <c r="H44" t="s">
        <v>273</v>
      </c>
      <c r="I44">
        <v>5.9999998658895499E-2</v>
      </c>
      <c r="J44">
        <v>3.0999999046325701</v>
      </c>
      <c r="K44" t="b">
        <v>0</v>
      </c>
      <c r="L44" t="b">
        <v>1</v>
      </c>
      <c r="M44" t="s">
        <v>268</v>
      </c>
      <c r="N44" t="b">
        <v>0</v>
      </c>
      <c r="O44" s="67" t="str">
        <f>VLOOKUP($A44,MFMaster!$A$2:$C$300,2,FALSE)</f>
        <v>4-6 stories</v>
      </c>
      <c r="P44" s="67" t="str">
        <f>VLOOKUP($A44,MFMaster!$A$2:$CG$232,85,FALSE)</f>
        <v/>
      </c>
    </row>
    <row r="45" spans="1:16">
      <c r="A45">
        <v>76007</v>
      </c>
      <c r="B45" t="s">
        <v>1454</v>
      </c>
      <c r="C45" t="s">
        <v>274</v>
      </c>
      <c r="D45">
        <v>0.89999997615814198</v>
      </c>
      <c r="E45"/>
      <c r="F45">
        <v>11717</v>
      </c>
      <c r="G45" t="s">
        <v>272</v>
      </c>
      <c r="H45" t="s">
        <v>276</v>
      </c>
      <c r="I45">
        <v>6.4999997615814195E-2</v>
      </c>
      <c r="J45">
        <v>3.0999999046325701</v>
      </c>
      <c r="K45" t="b">
        <v>0</v>
      </c>
      <c r="L45" t="b">
        <v>1</v>
      </c>
      <c r="M45" t="s">
        <v>268</v>
      </c>
      <c r="N45" t="b">
        <v>0</v>
      </c>
      <c r="O45" s="67" t="str">
        <f>VLOOKUP($A45,MFMaster!$A$2:$C$300,2,FALSE)</f>
        <v>4-6 stories</v>
      </c>
      <c r="P45" s="67" t="str">
        <f>VLOOKUP($A45,MFMaster!$A$2:$CG$232,85,FALSE)</f>
        <v/>
      </c>
    </row>
    <row r="46" spans="1:16">
      <c r="A46">
        <v>80073</v>
      </c>
      <c r="B46" t="s">
        <v>1454</v>
      </c>
      <c r="C46" t="s">
        <v>274</v>
      </c>
      <c r="D46">
        <v>0.75</v>
      </c>
      <c r="E46"/>
      <c r="F46">
        <v>1641</v>
      </c>
      <c r="G46" t="s">
        <v>267</v>
      </c>
      <c r="H46"/>
      <c r="I46">
        <v>9.00000035762787E-2</v>
      </c>
      <c r="J46">
        <v>3.0999999046325701</v>
      </c>
      <c r="K46" t="b">
        <v>0</v>
      </c>
      <c r="L46" t="b">
        <v>1</v>
      </c>
      <c r="M46" t="s">
        <v>268</v>
      </c>
      <c r="N46" t="b">
        <v>0</v>
      </c>
      <c r="O46" s="67" t="str">
        <f>VLOOKUP($A46,MFMaster!$A$2:$C$300,2,FALSE)</f>
        <v>1-3 stories</v>
      </c>
      <c r="P46" s="67">
        <f>VLOOKUP($A46,MFMaster!$A$2:$CG$232,85,FALSE)</f>
        <v>128.79620361328099</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CL232"/>
  <sheetViews>
    <sheetView workbookViewId="0">
      <selection activeCell="O2" sqref="O2"/>
    </sheetView>
  </sheetViews>
  <sheetFormatPr defaultRowHeight="12.75"/>
  <cols>
    <col min="2" max="2" width="16.7109375" customWidth="1"/>
    <col min="3" max="3" width="12.7109375" customWidth="1"/>
    <col min="85" max="85" width="17.7109375" customWidth="1"/>
    <col min="86" max="86" width="9.42578125" customWidth="1"/>
    <col min="87" max="313" width="17.7109375" bestFit="1" customWidth="1"/>
    <col min="314" max="314" width="11.7109375" customWidth="1"/>
    <col min="315" max="315" width="12" bestFit="1" customWidth="1"/>
  </cols>
  <sheetData>
    <row r="1" spans="1:90">
      <c r="A1" t="s">
        <v>1446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row>
    <row r="2" spans="1:90">
      <c r="A2" t="s">
        <v>166</v>
      </c>
      <c r="B2" t="s">
        <v>1219</v>
      </c>
      <c r="C2" t="s">
        <v>1220</v>
      </c>
      <c r="D2" t="s">
        <v>1221</v>
      </c>
      <c r="E2" t="s">
        <v>1222</v>
      </c>
      <c r="F2" t="s">
        <v>1223</v>
      </c>
      <c r="G2" t="s">
        <v>1224</v>
      </c>
      <c r="H2" t="s">
        <v>1225</v>
      </c>
      <c r="I2" t="s">
        <v>1226</v>
      </c>
      <c r="J2" t="s">
        <v>1227</v>
      </c>
      <c r="K2" t="s">
        <v>1228</v>
      </c>
      <c r="L2" t="s">
        <v>1229</v>
      </c>
      <c r="M2" t="s">
        <v>1230</v>
      </c>
      <c r="N2" t="s">
        <v>1231</v>
      </c>
      <c r="O2" t="s">
        <v>1232</v>
      </c>
      <c r="P2" t="s">
        <v>1233</v>
      </c>
      <c r="Q2" t="s">
        <v>1234</v>
      </c>
      <c r="R2" t="s">
        <v>1235</v>
      </c>
      <c r="S2" t="s">
        <v>1236</v>
      </c>
      <c r="T2" t="s">
        <v>1237</v>
      </c>
      <c r="U2" t="s">
        <v>1238</v>
      </c>
      <c r="V2" t="s">
        <v>1239</v>
      </c>
      <c r="W2" t="s">
        <v>1240</v>
      </c>
      <c r="X2" t="s">
        <v>1241</v>
      </c>
      <c r="Y2" t="s">
        <v>1242</v>
      </c>
      <c r="Z2" t="s">
        <v>1243</v>
      </c>
      <c r="AA2" t="s">
        <v>1244</v>
      </c>
      <c r="AB2" t="s">
        <v>1245</v>
      </c>
      <c r="AC2" t="s">
        <v>1246</v>
      </c>
      <c r="AD2" t="s">
        <v>1247</v>
      </c>
      <c r="AE2" t="s">
        <v>1248</v>
      </c>
      <c r="AF2" t="s">
        <v>1249</v>
      </c>
      <c r="AG2" t="s">
        <v>1250</v>
      </c>
      <c r="AH2" t="s">
        <v>1251</v>
      </c>
      <c r="AI2" t="s">
        <v>1252</v>
      </c>
      <c r="AJ2" t="s">
        <v>1253</v>
      </c>
      <c r="AK2" t="s">
        <v>1254</v>
      </c>
      <c r="AL2" t="s">
        <v>1255</v>
      </c>
      <c r="AM2" t="s">
        <v>1256</v>
      </c>
      <c r="AN2" t="s">
        <v>1257</v>
      </c>
      <c r="AO2" t="s">
        <v>1258</v>
      </c>
      <c r="AP2" t="s">
        <v>1259</v>
      </c>
      <c r="AQ2" t="s">
        <v>1260</v>
      </c>
      <c r="AR2" t="s">
        <v>1261</v>
      </c>
      <c r="AS2" t="s">
        <v>1262</v>
      </c>
      <c r="AT2" t="s">
        <v>1263</v>
      </c>
      <c r="AU2" t="s">
        <v>1264</v>
      </c>
      <c r="AV2" t="s">
        <v>1265</v>
      </c>
      <c r="AW2" t="s">
        <v>1266</v>
      </c>
      <c r="AX2" t="s">
        <v>1267</v>
      </c>
      <c r="AY2" t="s">
        <v>1268</v>
      </c>
      <c r="AZ2" t="s">
        <v>1269</v>
      </c>
      <c r="BA2" t="s">
        <v>1270</v>
      </c>
      <c r="BB2" t="s">
        <v>1271</v>
      </c>
      <c r="BC2" t="s">
        <v>1272</v>
      </c>
      <c r="BD2" t="s">
        <v>1273</v>
      </c>
      <c r="BE2" t="s">
        <v>1274</v>
      </c>
      <c r="BF2" t="s">
        <v>1275</v>
      </c>
      <c r="BG2" t="s">
        <v>1276</v>
      </c>
      <c r="BH2" t="s">
        <v>1277</v>
      </c>
      <c r="BI2" t="s">
        <v>1278</v>
      </c>
      <c r="BJ2" t="s">
        <v>1279</v>
      </c>
      <c r="BK2" t="s">
        <v>1280</v>
      </c>
      <c r="BL2" t="s">
        <v>1281</v>
      </c>
      <c r="BM2" t="s">
        <v>1282</v>
      </c>
      <c r="BN2" t="s">
        <v>1283</v>
      </c>
      <c r="BO2" t="s">
        <v>1284</v>
      </c>
      <c r="BP2" t="s">
        <v>1285</v>
      </c>
      <c r="BQ2" t="s">
        <v>1286</v>
      </c>
      <c r="BR2" t="s">
        <v>1287</v>
      </c>
      <c r="BS2" t="s">
        <v>1288</v>
      </c>
      <c r="BT2" t="s">
        <v>1289</v>
      </c>
      <c r="BU2" t="s">
        <v>1290</v>
      </c>
      <c r="BV2" t="s">
        <v>1291</v>
      </c>
      <c r="BW2" t="s">
        <v>1292</v>
      </c>
      <c r="BX2" t="s">
        <v>1293</v>
      </c>
      <c r="BY2" t="s">
        <v>1294</v>
      </c>
      <c r="BZ2" t="s">
        <v>1295</v>
      </c>
      <c r="CA2" t="s">
        <v>1296</v>
      </c>
      <c r="CB2" t="s">
        <v>1297</v>
      </c>
      <c r="CC2" t="s">
        <v>1298</v>
      </c>
      <c r="CD2" t="s">
        <v>1299</v>
      </c>
      <c r="CE2" t="s">
        <v>1300</v>
      </c>
      <c r="CF2" t="s">
        <v>1301</v>
      </c>
      <c r="CG2" t="s">
        <v>1657</v>
      </c>
      <c r="CH2" t="s">
        <v>1658</v>
      </c>
      <c r="CI2" t="s">
        <v>1659</v>
      </c>
      <c r="CJ2" t="s">
        <v>1660</v>
      </c>
      <c r="CK2" t="s">
        <v>1662</v>
      </c>
      <c r="CL2" t="s">
        <v>1661</v>
      </c>
    </row>
    <row r="3" spans="1:90">
      <c r="A3">
        <v>128</v>
      </c>
      <c r="B3" t="s">
        <v>1302</v>
      </c>
      <c r="C3">
        <v>443.80252075195301</v>
      </c>
      <c r="D3" t="s">
        <v>1303</v>
      </c>
      <c r="E3">
        <v>1989</v>
      </c>
      <c r="F3" t="s">
        <v>1304</v>
      </c>
      <c r="G3" t="s">
        <v>167</v>
      </c>
      <c r="H3">
        <v>98499</v>
      </c>
      <c r="I3" t="s">
        <v>1305</v>
      </c>
      <c r="K3" t="s">
        <v>1306</v>
      </c>
      <c r="L3">
        <v>17</v>
      </c>
      <c r="M3">
        <v>3</v>
      </c>
      <c r="N3">
        <v>0</v>
      </c>
      <c r="O3">
        <v>3</v>
      </c>
      <c r="P3">
        <v>0</v>
      </c>
      <c r="Q3">
        <v>13515</v>
      </c>
      <c r="R3">
        <v>13515</v>
      </c>
      <c r="S3">
        <v>0</v>
      </c>
      <c r="T3">
        <v>0</v>
      </c>
      <c r="U3">
        <v>0</v>
      </c>
      <c r="V3">
        <v>17</v>
      </c>
      <c r="W3">
        <v>0</v>
      </c>
      <c r="X3">
        <v>0</v>
      </c>
      <c r="Y3">
        <v>17</v>
      </c>
      <c r="Z3" t="b">
        <v>0</v>
      </c>
      <c r="AA3" t="b">
        <v>0</v>
      </c>
      <c r="AB3">
        <v>8</v>
      </c>
      <c r="AC3">
        <v>4153.88037109375</v>
      </c>
      <c r="AD3">
        <v>158190.546875</v>
      </c>
      <c r="AE3">
        <v>162344.421875</v>
      </c>
      <c r="AI3">
        <v>553919.1875</v>
      </c>
      <c r="AJ3" t="s">
        <v>268</v>
      </c>
      <c r="AK3">
        <v>0</v>
      </c>
      <c r="AL3">
        <v>4</v>
      </c>
      <c r="AM3">
        <v>0</v>
      </c>
      <c r="AN3">
        <v>58</v>
      </c>
      <c r="AO3">
        <v>0</v>
      </c>
      <c r="AP3">
        <v>35</v>
      </c>
      <c r="AQ3">
        <v>0</v>
      </c>
      <c r="AR3">
        <v>0</v>
      </c>
      <c r="AS3">
        <v>3</v>
      </c>
      <c r="AT3" t="b">
        <v>1</v>
      </c>
      <c r="AU3">
        <v>0</v>
      </c>
      <c r="AV3">
        <v>0</v>
      </c>
      <c r="AW3">
        <v>0</v>
      </c>
      <c r="AX3" t="b">
        <v>0</v>
      </c>
      <c r="AY3" t="b">
        <v>0</v>
      </c>
      <c r="AZ3" t="b">
        <v>0</v>
      </c>
      <c r="BA3" t="b">
        <v>0</v>
      </c>
      <c r="BB3" t="s">
        <v>268</v>
      </c>
      <c r="BC3" t="s">
        <v>268</v>
      </c>
      <c r="BD3" t="s">
        <v>271</v>
      </c>
      <c r="BE3" t="s">
        <v>1307</v>
      </c>
      <c r="BF3" t="s">
        <v>1308</v>
      </c>
      <c r="BG3" t="s">
        <v>1309</v>
      </c>
      <c r="BH3" t="s">
        <v>1310</v>
      </c>
      <c r="BI3" t="s">
        <v>1311</v>
      </c>
      <c r="BJ3" t="b">
        <v>0</v>
      </c>
      <c r="BK3" t="b">
        <v>1</v>
      </c>
      <c r="BL3" t="b">
        <v>0</v>
      </c>
      <c r="BM3" t="b">
        <v>0</v>
      </c>
      <c r="BN3" t="b">
        <v>0</v>
      </c>
      <c r="BO3" t="b">
        <v>0</v>
      </c>
      <c r="BP3">
        <v>1</v>
      </c>
      <c r="BQ3">
        <v>18</v>
      </c>
      <c r="BR3">
        <v>0</v>
      </c>
      <c r="BS3">
        <v>0</v>
      </c>
      <c r="BT3" t="b">
        <v>1</v>
      </c>
      <c r="BU3">
        <v>0</v>
      </c>
      <c r="BV3">
        <v>32</v>
      </c>
      <c r="BW3">
        <v>10228</v>
      </c>
      <c r="BX3">
        <v>0</v>
      </c>
      <c r="BY3" t="s">
        <v>268</v>
      </c>
      <c r="BZ3" t="s">
        <v>268</v>
      </c>
      <c r="CA3" t="s">
        <v>271</v>
      </c>
      <c r="CB3" t="s">
        <v>271</v>
      </c>
      <c r="CC3" t="s">
        <v>1312</v>
      </c>
      <c r="CD3" t="s">
        <v>1313</v>
      </c>
      <c r="CE3" t="s">
        <v>1314</v>
      </c>
      <c r="CF3" t="s">
        <v>1315</v>
      </c>
      <c r="CG3">
        <f>IF(AND($B3="1-3 stories",$BF3="electric"),$C3,"")</f>
        <v>443.80252075195301</v>
      </c>
      <c r="CH3">
        <f>IF(CG3="","",$Q3)</f>
        <v>13515</v>
      </c>
      <c r="CI3">
        <f>IF($CG3="","",$M3)</f>
        <v>3</v>
      </c>
      <c r="CJ3">
        <f>IFERROR($CG3*CH3,"")</f>
        <v>5997991.0679626446</v>
      </c>
      <c r="CK3">
        <f>IFERROR($CG3*CI3,"")</f>
        <v>1331.4075622558589</v>
      </c>
      <c r="CL3" s="31">
        <f>SUM(CJ3:CJ232)/SUM(CG3:CG232)</f>
        <v>10292.924453971691</v>
      </c>
    </row>
    <row r="4" spans="1:90">
      <c r="A4">
        <v>10137</v>
      </c>
      <c r="B4" t="s">
        <v>1302</v>
      </c>
      <c r="C4">
        <v>300.26898193359398</v>
      </c>
      <c r="D4" t="s">
        <v>1303</v>
      </c>
      <c r="E4">
        <v>1984</v>
      </c>
      <c r="F4" t="s">
        <v>1316</v>
      </c>
      <c r="G4" t="s">
        <v>167</v>
      </c>
      <c r="H4">
        <v>98034</v>
      </c>
      <c r="I4" t="s">
        <v>1317</v>
      </c>
      <c r="K4" t="s">
        <v>1306</v>
      </c>
      <c r="L4">
        <v>16</v>
      </c>
      <c r="M4">
        <v>2</v>
      </c>
      <c r="N4">
        <v>0</v>
      </c>
      <c r="O4">
        <v>2</v>
      </c>
      <c r="P4">
        <v>0</v>
      </c>
      <c r="Q4">
        <v>12920</v>
      </c>
      <c r="R4">
        <v>12920</v>
      </c>
      <c r="S4">
        <v>0</v>
      </c>
      <c r="T4">
        <v>0</v>
      </c>
      <c r="U4">
        <v>0</v>
      </c>
      <c r="V4">
        <v>16</v>
      </c>
      <c r="W4">
        <v>0</v>
      </c>
      <c r="X4">
        <v>0</v>
      </c>
      <c r="Y4">
        <v>0</v>
      </c>
      <c r="Z4" t="b">
        <v>0</v>
      </c>
      <c r="AA4" t="b">
        <v>0</v>
      </c>
      <c r="AB4">
        <v>8</v>
      </c>
      <c r="AD4">
        <v>140968.328125</v>
      </c>
      <c r="AE4">
        <v>140968.328125</v>
      </c>
      <c r="AI4">
        <v>480983.9375</v>
      </c>
      <c r="AJ4" t="s">
        <v>268</v>
      </c>
      <c r="AK4">
        <v>0</v>
      </c>
      <c r="AL4">
        <v>0</v>
      </c>
      <c r="AM4">
        <v>46</v>
      </c>
      <c r="AN4">
        <v>4</v>
      </c>
      <c r="AO4">
        <v>0</v>
      </c>
      <c r="AP4">
        <v>0</v>
      </c>
      <c r="AQ4">
        <v>40</v>
      </c>
      <c r="AR4">
        <v>0</v>
      </c>
      <c r="AS4">
        <v>10</v>
      </c>
      <c r="AT4" t="b">
        <v>1</v>
      </c>
      <c r="AU4">
        <v>0</v>
      </c>
      <c r="AV4">
        <v>0</v>
      </c>
      <c r="AW4">
        <v>0</v>
      </c>
      <c r="AX4" t="b">
        <v>0</v>
      </c>
      <c r="AY4" t="b">
        <v>0</v>
      </c>
      <c r="AZ4" t="b">
        <v>0</v>
      </c>
      <c r="BA4" t="b">
        <v>0</v>
      </c>
      <c r="BB4" t="s">
        <v>268</v>
      </c>
      <c r="BC4" t="s">
        <v>268</v>
      </c>
      <c r="BD4" t="s">
        <v>268</v>
      </c>
      <c r="BE4" t="s">
        <v>1307</v>
      </c>
      <c r="BF4" t="s">
        <v>1308</v>
      </c>
      <c r="BG4" t="s">
        <v>1309</v>
      </c>
      <c r="BH4" t="s">
        <v>1310</v>
      </c>
      <c r="BI4" t="s">
        <v>1311</v>
      </c>
      <c r="BJ4" t="b">
        <v>0</v>
      </c>
      <c r="BK4" t="b">
        <v>1</v>
      </c>
      <c r="BL4" t="b">
        <v>0</v>
      </c>
      <c r="BM4" t="b">
        <v>0</v>
      </c>
      <c r="BN4" t="b">
        <v>0</v>
      </c>
      <c r="BO4" t="b">
        <v>0</v>
      </c>
      <c r="BP4">
        <v>4</v>
      </c>
      <c r="BQ4">
        <v>297</v>
      </c>
      <c r="BR4">
        <v>0</v>
      </c>
      <c r="BS4">
        <v>0</v>
      </c>
      <c r="BT4" t="b">
        <v>1</v>
      </c>
      <c r="BU4">
        <v>0</v>
      </c>
      <c r="BV4">
        <v>30</v>
      </c>
      <c r="BW4">
        <v>10459</v>
      </c>
      <c r="BX4">
        <v>0</v>
      </c>
      <c r="BY4" t="s">
        <v>268</v>
      </c>
      <c r="BZ4" t="s">
        <v>268</v>
      </c>
      <c r="CA4" t="s">
        <v>271</v>
      </c>
      <c r="CB4" t="s">
        <v>271</v>
      </c>
      <c r="CC4" t="s">
        <v>1312</v>
      </c>
      <c r="CD4" t="s">
        <v>1313</v>
      </c>
      <c r="CE4" t="s">
        <v>1314</v>
      </c>
      <c r="CF4" t="s">
        <v>1315</v>
      </c>
      <c r="CG4">
        <f t="shared" ref="CG4:CG67" si="0">IF(AND($B4="1-3 stories",$BF4="electric"),$C4,"")</f>
        <v>300.26898193359398</v>
      </c>
      <c r="CH4">
        <f t="shared" ref="CH4:CH67" si="1">IF(CG4="","",$Q4)</f>
        <v>12920</v>
      </c>
      <c r="CI4">
        <f t="shared" ref="CI4:CI67" si="2">IF($CG4="","",$M4)</f>
        <v>2</v>
      </c>
      <c r="CJ4">
        <f t="shared" ref="CJ4:CJ67" si="3">IFERROR($CG4*CH4,"")</f>
        <v>3879475.246582034</v>
      </c>
      <c r="CK4">
        <f t="shared" ref="CK4:CK67" si="4">IFERROR($CG4*CI4,"")</f>
        <v>600.53796386718795</v>
      </c>
    </row>
    <row r="5" spans="1:90">
      <c r="A5">
        <v>10238</v>
      </c>
      <c r="B5" t="s">
        <v>1302</v>
      </c>
      <c r="C5">
        <v>160.14344787597699</v>
      </c>
      <c r="D5" t="s">
        <v>1303</v>
      </c>
      <c r="E5">
        <v>1989</v>
      </c>
      <c r="F5" t="s">
        <v>1318</v>
      </c>
      <c r="G5" t="s">
        <v>167</v>
      </c>
      <c r="H5">
        <v>98383</v>
      </c>
      <c r="I5" t="s">
        <v>1317</v>
      </c>
      <c r="K5" t="s">
        <v>1306</v>
      </c>
      <c r="L5">
        <v>30</v>
      </c>
      <c r="M5">
        <v>3</v>
      </c>
      <c r="N5">
        <v>0</v>
      </c>
      <c r="O5">
        <v>3</v>
      </c>
      <c r="P5">
        <v>0</v>
      </c>
      <c r="Q5">
        <v>25924</v>
      </c>
      <c r="R5">
        <v>25924</v>
      </c>
      <c r="S5">
        <v>1583</v>
      </c>
      <c r="T5">
        <v>0</v>
      </c>
      <c r="U5">
        <v>3</v>
      </c>
      <c r="V5">
        <v>24</v>
      </c>
      <c r="W5">
        <v>3</v>
      </c>
      <c r="X5">
        <v>0</v>
      </c>
      <c r="Y5">
        <v>0</v>
      </c>
      <c r="Z5" t="b">
        <v>0</v>
      </c>
      <c r="AA5" t="b">
        <v>1</v>
      </c>
      <c r="AB5">
        <v>8</v>
      </c>
      <c r="AC5">
        <v>10292.6591796875</v>
      </c>
      <c r="AD5">
        <v>376892.5625</v>
      </c>
      <c r="AE5">
        <v>387185.21875</v>
      </c>
      <c r="AI5">
        <v>1321076</v>
      </c>
      <c r="AJ5" t="s">
        <v>268</v>
      </c>
      <c r="AK5">
        <v>0</v>
      </c>
      <c r="AL5">
        <v>17</v>
      </c>
      <c r="AM5">
        <v>0</v>
      </c>
      <c r="AN5">
        <v>22</v>
      </c>
      <c r="AO5">
        <v>0</v>
      </c>
      <c r="AP5">
        <v>20</v>
      </c>
      <c r="AQ5">
        <v>0</v>
      </c>
      <c r="AR5">
        <v>0</v>
      </c>
      <c r="AS5">
        <v>41</v>
      </c>
      <c r="AT5" t="b">
        <v>1</v>
      </c>
      <c r="AU5">
        <v>0</v>
      </c>
      <c r="AV5">
        <v>0</v>
      </c>
      <c r="AW5">
        <v>0</v>
      </c>
      <c r="AX5" t="b">
        <v>0</v>
      </c>
      <c r="AY5" t="b">
        <v>0</v>
      </c>
      <c r="AZ5" t="b">
        <v>0</v>
      </c>
      <c r="BA5" t="b">
        <v>0</v>
      </c>
      <c r="BB5" t="s">
        <v>268</v>
      </c>
      <c r="BC5" t="s">
        <v>268</v>
      </c>
      <c r="BD5" t="s">
        <v>268</v>
      </c>
      <c r="BE5" t="s">
        <v>1307</v>
      </c>
      <c r="BF5" t="s">
        <v>1308</v>
      </c>
      <c r="BG5" t="s">
        <v>1309</v>
      </c>
      <c r="BH5" t="s">
        <v>1310</v>
      </c>
      <c r="BI5" t="s">
        <v>1311</v>
      </c>
      <c r="BJ5" t="b">
        <v>0</v>
      </c>
      <c r="BK5" t="b">
        <v>1</v>
      </c>
      <c r="BL5" t="b">
        <v>0</v>
      </c>
      <c r="BM5" t="b">
        <v>0</v>
      </c>
      <c r="BN5" t="b">
        <v>0</v>
      </c>
      <c r="BO5" t="b">
        <v>0</v>
      </c>
      <c r="BP5">
        <v>6</v>
      </c>
      <c r="BQ5">
        <v>31</v>
      </c>
      <c r="BR5">
        <v>0</v>
      </c>
      <c r="BS5">
        <v>0</v>
      </c>
      <c r="BT5" t="b">
        <v>1</v>
      </c>
      <c r="BU5">
        <v>0</v>
      </c>
      <c r="BV5">
        <v>30</v>
      </c>
      <c r="BW5">
        <v>7500</v>
      </c>
      <c r="BX5">
        <v>0</v>
      </c>
      <c r="BY5" t="s">
        <v>268</v>
      </c>
      <c r="BZ5" t="s">
        <v>268</v>
      </c>
      <c r="CA5" t="s">
        <v>268</v>
      </c>
      <c r="CB5" t="s">
        <v>268</v>
      </c>
      <c r="CC5" t="s">
        <v>1319</v>
      </c>
      <c r="CD5" t="s">
        <v>1313</v>
      </c>
      <c r="CE5" t="s">
        <v>1314</v>
      </c>
      <c r="CF5" t="s">
        <v>1315</v>
      </c>
      <c r="CG5">
        <f t="shared" si="0"/>
        <v>160.14344787597699</v>
      </c>
      <c r="CH5">
        <f t="shared" si="1"/>
        <v>25924</v>
      </c>
      <c r="CI5">
        <f t="shared" si="2"/>
        <v>3</v>
      </c>
      <c r="CJ5">
        <f t="shared" si="3"/>
        <v>4151558.7427368276</v>
      </c>
      <c r="CK5">
        <f t="shared" si="4"/>
        <v>480.43034362793094</v>
      </c>
      <c r="CL5" t="s">
        <v>1663</v>
      </c>
    </row>
    <row r="6" spans="1:90">
      <c r="A6">
        <v>10260</v>
      </c>
      <c r="B6" t="s">
        <v>1302</v>
      </c>
      <c r="C6">
        <v>480.43035888671898</v>
      </c>
      <c r="D6" t="s">
        <v>1303</v>
      </c>
      <c r="E6">
        <v>1981</v>
      </c>
      <c r="F6" t="s">
        <v>1320</v>
      </c>
      <c r="G6" t="s">
        <v>167</v>
      </c>
      <c r="H6">
        <v>98105</v>
      </c>
      <c r="I6" t="s">
        <v>1321</v>
      </c>
      <c r="K6" t="s">
        <v>1306</v>
      </c>
      <c r="L6">
        <v>10</v>
      </c>
      <c r="M6">
        <v>3</v>
      </c>
      <c r="N6">
        <v>0</v>
      </c>
      <c r="O6">
        <v>3</v>
      </c>
      <c r="P6">
        <v>0</v>
      </c>
      <c r="Q6">
        <v>6800</v>
      </c>
      <c r="R6">
        <v>6800</v>
      </c>
      <c r="S6">
        <v>30</v>
      </c>
      <c r="T6">
        <v>0</v>
      </c>
      <c r="U6">
        <v>0</v>
      </c>
      <c r="V6">
        <v>7</v>
      </c>
      <c r="W6">
        <v>3</v>
      </c>
      <c r="X6">
        <v>0</v>
      </c>
      <c r="Y6">
        <v>0</v>
      </c>
      <c r="Z6" t="b">
        <v>0</v>
      </c>
      <c r="AA6" t="b">
        <v>1</v>
      </c>
      <c r="AB6">
        <v>8</v>
      </c>
      <c r="AC6">
        <v>8326.4853515625</v>
      </c>
      <c r="AD6">
        <v>62302.07421875</v>
      </c>
      <c r="AE6">
        <v>70628.5625</v>
      </c>
      <c r="AI6">
        <v>240984.65625</v>
      </c>
      <c r="AJ6" t="s">
        <v>268</v>
      </c>
      <c r="AK6">
        <v>0</v>
      </c>
      <c r="AL6">
        <v>12</v>
      </c>
      <c r="AM6">
        <v>0</v>
      </c>
      <c r="AN6">
        <v>23</v>
      </c>
      <c r="AO6">
        <v>0</v>
      </c>
      <c r="AP6">
        <v>53</v>
      </c>
      <c r="AQ6">
        <v>0</v>
      </c>
      <c r="AR6">
        <v>0</v>
      </c>
      <c r="AS6">
        <v>12</v>
      </c>
      <c r="AT6" t="b">
        <v>0</v>
      </c>
      <c r="AU6">
        <v>2</v>
      </c>
      <c r="AV6">
        <v>2</v>
      </c>
      <c r="AW6">
        <v>0</v>
      </c>
      <c r="AX6" t="b">
        <v>0</v>
      </c>
      <c r="AY6" t="b">
        <v>0</v>
      </c>
      <c r="AZ6" t="b">
        <v>0</v>
      </c>
      <c r="BA6" t="b">
        <v>0</v>
      </c>
      <c r="BB6" t="s">
        <v>268</v>
      </c>
      <c r="BC6" t="s">
        <v>268</v>
      </c>
      <c r="BD6" t="s">
        <v>268</v>
      </c>
      <c r="BE6" t="s">
        <v>1307</v>
      </c>
      <c r="BF6" t="s">
        <v>1308</v>
      </c>
      <c r="BG6" t="s">
        <v>1309</v>
      </c>
      <c r="BH6" t="s">
        <v>1310</v>
      </c>
      <c r="BI6" t="s">
        <v>1322</v>
      </c>
      <c r="BJ6" t="b">
        <v>0</v>
      </c>
      <c r="BK6" t="b">
        <v>1</v>
      </c>
      <c r="BL6" t="b">
        <v>0</v>
      </c>
      <c r="BM6" t="b">
        <v>0</v>
      </c>
      <c r="BN6" t="b">
        <v>0</v>
      </c>
      <c r="BO6" t="b">
        <v>0</v>
      </c>
      <c r="BP6">
        <v>1</v>
      </c>
      <c r="BQ6">
        <v>12</v>
      </c>
      <c r="BR6">
        <v>0</v>
      </c>
      <c r="BS6">
        <v>0</v>
      </c>
      <c r="BT6" t="b">
        <v>1</v>
      </c>
      <c r="BU6">
        <v>0</v>
      </c>
      <c r="BV6">
        <v>10</v>
      </c>
      <c r="BW6">
        <v>2000</v>
      </c>
      <c r="BX6">
        <v>1</v>
      </c>
      <c r="BY6" t="s">
        <v>268</v>
      </c>
      <c r="BZ6" t="s">
        <v>271</v>
      </c>
      <c r="CA6" t="s">
        <v>268</v>
      </c>
      <c r="CB6" t="s">
        <v>268</v>
      </c>
      <c r="CC6" t="s">
        <v>1319</v>
      </c>
      <c r="CD6" t="s">
        <v>1313</v>
      </c>
      <c r="CE6" t="s">
        <v>1323</v>
      </c>
      <c r="CF6" t="s">
        <v>1315</v>
      </c>
      <c r="CG6">
        <f t="shared" si="0"/>
        <v>480.43035888671898</v>
      </c>
      <c r="CH6">
        <f t="shared" si="1"/>
        <v>6800</v>
      </c>
      <c r="CI6">
        <f t="shared" si="2"/>
        <v>3</v>
      </c>
      <c r="CJ6">
        <f t="shared" si="3"/>
        <v>3266926.4404296889</v>
      </c>
      <c r="CK6">
        <f t="shared" si="4"/>
        <v>1441.2910766601569</v>
      </c>
      <c r="CL6" s="72">
        <f>SUM(CK3:CK232)/SUM(CG3:CG232)</f>
        <v>2.2343753700876618</v>
      </c>
    </row>
    <row r="7" spans="1:90">
      <c r="A7">
        <v>10323</v>
      </c>
      <c r="B7" t="s">
        <v>1302</v>
      </c>
      <c r="C7">
        <v>256.24374389648398</v>
      </c>
      <c r="D7" t="s">
        <v>1324</v>
      </c>
      <c r="E7">
        <v>1965</v>
      </c>
      <c r="F7" t="s">
        <v>1325</v>
      </c>
      <c r="G7" t="s">
        <v>168</v>
      </c>
      <c r="H7">
        <v>97401</v>
      </c>
      <c r="I7" t="s">
        <v>1326</v>
      </c>
      <c r="K7" t="s">
        <v>1306</v>
      </c>
      <c r="L7">
        <v>7</v>
      </c>
      <c r="M7">
        <v>2</v>
      </c>
      <c r="N7">
        <v>0</v>
      </c>
      <c r="O7">
        <v>2</v>
      </c>
      <c r="P7">
        <v>0</v>
      </c>
      <c r="Q7">
        <v>6229</v>
      </c>
      <c r="R7">
        <v>6229</v>
      </c>
      <c r="S7">
        <v>153</v>
      </c>
      <c r="T7">
        <v>0</v>
      </c>
      <c r="U7">
        <v>0</v>
      </c>
      <c r="V7">
        <v>5</v>
      </c>
      <c r="W7">
        <v>2</v>
      </c>
      <c r="X7">
        <v>0</v>
      </c>
      <c r="Y7">
        <v>0</v>
      </c>
      <c r="Z7" t="b">
        <v>0</v>
      </c>
      <c r="AA7" t="b">
        <v>1</v>
      </c>
      <c r="AB7">
        <v>7.5</v>
      </c>
      <c r="AC7">
        <v>4039.81030273438</v>
      </c>
      <c r="AD7">
        <v>42693.82421875</v>
      </c>
      <c r="AE7">
        <v>46733.6328125</v>
      </c>
      <c r="AI7">
        <v>159455.15625</v>
      </c>
      <c r="AJ7" t="s">
        <v>268</v>
      </c>
      <c r="AK7">
        <v>0</v>
      </c>
      <c r="AL7">
        <v>6</v>
      </c>
      <c r="AM7">
        <v>0</v>
      </c>
      <c r="AN7">
        <v>34</v>
      </c>
      <c r="AO7">
        <v>0</v>
      </c>
      <c r="AP7">
        <v>54</v>
      </c>
      <c r="AQ7">
        <v>0</v>
      </c>
      <c r="AR7">
        <v>0</v>
      </c>
      <c r="AS7">
        <v>6</v>
      </c>
      <c r="AT7" t="b">
        <v>0</v>
      </c>
      <c r="AU7">
        <v>1</v>
      </c>
      <c r="AV7">
        <v>1</v>
      </c>
      <c r="AW7">
        <v>0</v>
      </c>
      <c r="AX7" t="b">
        <v>0</v>
      </c>
      <c r="AY7" t="b">
        <v>0</v>
      </c>
      <c r="AZ7" t="b">
        <v>0</v>
      </c>
      <c r="BA7" t="b">
        <v>0</v>
      </c>
      <c r="BB7" t="s">
        <v>268</v>
      </c>
      <c r="BC7" t="s">
        <v>268</v>
      </c>
      <c r="BD7" t="s">
        <v>268</v>
      </c>
      <c r="BE7" t="s">
        <v>1307</v>
      </c>
      <c r="BF7" t="s">
        <v>1308</v>
      </c>
      <c r="BG7" t="s">
        <v>1309</v>
      </c>
      <c r="BH7" t="s">
        <v>1310</v>
      </c>
      <c r="BI7" t="s">
        <v>1311</v>
      </c>
      <c r="BJ7" t="b">
        <v>0</v>
      </c>
      <c r="BK7" t="b">
        <v>1</v>
      </c>
      <c r="BL7" t="b">
        <v>0</v>
      </c>
      <c r="BM7" t="b">
        <v>0</v>
      </c>
      <c r="BN7" t="b">
        <v>0</v>
      </c>
      <c r="BO7" t="b">
        <v>0</v>
      </c>
      <c r="BP7">
        <v>1</v>
      </c>
      <c r="BQ7">
        <v>8</v>
      </c>
      <c r="BR7">
        <v>0</v>
      </c>
      <c r="BS7">
        <v>0</v>
      </c>
      <c r="BT7" t="b">
        <v>1</v>
      </c>
      <c r="BV7">
        <v>7</v>
      </c>
      <c r="BW7">
        <v>2975</v>
      </c>
      <c r="BX7">
        <v>0</v>
      </c>
      <c r="BY7" t="s">
        <v>268</v>
      </c>
      <c r="BZ7" t="s">
        <v>268</v>
      </c>
      <c r="CA7" t="s">
        <v>268</v>
      </c>
      <c r="CB7" t="s">
        <v>271</v>
      </c>
      <c r="CC7" t="s">
        <v>1319</v>
      </c>
      <c r="CD7" t="s">
        <v>1313</v>
      </c>
      <c r="CE7" t="s">
        <v>1327</v>
      </c>
      <c r="CF7" t="s">
        <v>1315</v>
      </c>
      <c r="CG7">
        <f t="shared" si="0"/>
        <v>256.24374389648398</v>
      </c>
      <c r="CH7">
        <f t="shared" si="1"/>
        <v>6229</v>
      </c>
      <c r="CI7">
        <f t="shared" si="2"/>
        <v>2</v>
      </c>
      <c r="CJ7">
        <f t="shared" si="3"/>
        <v>1596142.2807311986</v>
      </c>
      <c r="CK7">
        <f t="shared" si="4"/>
        <v>512.48748779296795</v>
      </c>
    </row>
    <row r="8" spans="1:90">
      <c r="A8">
        <v>10400</v>
      </c>
      <c r="B8" t="s">
        <v>1302</v>
      </c>
      <c r="C8">
        <v>34.345653533935497</v>
      </c>
      <c r="D8" t="s">
        <v>1324</v>
      </c>
      <c r="E8">
        <v>1968</v>
      </c>
      <c r="F8" t="s">
        <v>1328</v>
      </c>
      <c r="G8" t="s">
        <v>167</v>
      </c>
      <c r="H8">
        <v>98036</v>
      </c>
      <c r="I8" t="s">
        <v>1329</v>
      </c>
      <c r="K8" t="s">
        <v>1306</v>
      </c>
      <c r="L8">
        <v>60</v>
      </c>
      <c r="M8">
        <v>3</v>
      </c>
      <c r="N8">
        <v>0</v>
      </c>
      <c r="O8">
        <v>3</v>
      </c>
      <c r="P8">
        <v>0</v>
      </c>
      <c r="Q8">
        <v>51192</v>
      </c>
      <c r="R8">
        <v>51192</v>
      </c>
      <c r="S8">
        <v>9050</v>
      </c>
      <c r="T8">
        <v>0</v>
      </c>
      <c r="U8">
        <v>0</v>
      </c>
      <c r="V8">
        <v>30</v>
      </c>
      <c r="W8">
        <v>30</v>
      </c>
      <c r="X8">
        <v>0</v>
      </c>
      <c r="Y8">
        <v>5</v>
      </c>
      <c r="Z8" t="b">
        <v>0</v>
      </c>
      <c r="AA8" t="b">
        <v>1</v>
      </c>
      <c r="AB8">
        <v>8</v>
      </c>
      <c r="AC8">
        <v>106214.265625</v>
      </c>
      <c r="AD8">
        <v>317451.53125</v>
      </c>
      <c r="AE8">
        <v>423665.8125</v>
      </c>
      <c r="AI8">
        <v>1445547.75</v>
      </c>
      <c r="AJ8" t="s">
        <v>271</v>
      </c>
      <c r="AK8">
        <v>0</v>
      </c>
      <c r="AL8">
        <v>30</v>
      </c>
      <c r="AM8">
        <v>0</v>
      </c>
      <c r="AN8">
        <v>16</v>
      </c>
      <c r="AO8">
        <v>0</v>
      </c>
      <c r="AP8">
        <v>17</v>
      </c>
      <c r="AQ8">
        <v>0</v>
      </c>
      <c r="AR8">
        <v>0</v>
      </c>
      <c r="AS8">
        <v>37</v>
      </c>
      <c r="AT8" t="b">
        <v>1</v>
      </c>
      <c r="AU8">
        <v>6</v>
      </c>
      <c r="AV8">
        <v>6</v>
      </c>
      <c r="AW8">
        <v>1</v>
      </c>
      <c r="AX8" t="b">
        <v>0</v>
      </c>
      <c r="AY8" t="b">
        <v>0</v>
      </c>
      <c r="AZ8" t="b">
        <v>1</v>
      </c>
      <c r="BA8" t="b">
        <v>1</v>
      </c>
      <c r="BB8" t="s">
        <v>268</v>
      </c>
      <c r="BC8" t="s">
        <v>268</v>
      </c>
      <c r="BD8" t="s">
        <v>268</v>
      </c>
      <c r="BE8" t="s">
        <v>1307</v>
      </c>
      <c r="BF8" t="s">
        <v>1308</v>
      </c>
      <c r="BG8" t="s">
        <v>1309</v>
      </c>
      <c r="BH8" t="s">
        <v>1310</v>
      </c>
      <c r="BI8" t="s">
        <v>1322</v>
      </c>
      <c r="BJ8" t="b">
        <v>0</v>
      </c>
      <c r="BK8" t="b">
        <v>1</v>
      </c>
      <c r="BL8" t="b">
        <v>0</v>
      </c>
      <c r="BM8" t="b">
        <v>0</v>
      </c>
      <c r="BN8" t="b">
        <v>0</v>
      </c>
      <c r="BO8" t="b">
        <v>0</v>
      </c>
      <c r="BP8">
        <v>1</v>
      </c>
      <c r="BQ8">
        <v>62</v>
      </c>
      <c r="BR8">
        <v>0</v>
      </c>
      <c r="BS8">
        <v>0</v>
      </c>
      <c r="BT8" t="b">
        <v>1</v>
      </c>
      <c r="BU8">
        <v>0</v>
      </c>
      <c r="BV8">
        <v>95</v>
      </c>
      <c r="BW8">
        <v>37808</v>
      </c>
      <c r="BX8">
        <v>1</v>
      </c>
      <c r="BY8" t="s">
        <v>268</v>
      </c>
      <c r="BZ8" t="s">
        <v>271</v>
      </c>
      <c r="CA8" t="s">
        <v>268</v>
      </c>
      <c r="CB8" t="s">
        <v>271</v>
      </c>
      <c r="CC8" t="s">
        <v>1319</v>
      </c>
      <c r="CD8" t="s">
        <v>1313</v>
      </c>
      <c r="CE8" t="s">
        <v>1330</v>
      </c>
      <c r="CF8" t="s">
        <v>1315</v>
      </c>
      <c r="CG8">
        <f t="shared" si="0"/>
        <v>34.345653533935497</v>
      </c>
      <c r="CH8">
        <f t="shared" si="1"/>
        <v>51192</v>
      </c>
      <c r="CI8">
        <f t="shared" si="2"/>
        <v>3</v>
      </c>
      <c r="CJ8">
        <f t="shared" si="3"/>
        <v>1758222.695709226</v>
      </c>
      <c r="CK8">
        <f t="shared" si="4"/>
        <v>103.0369606018065</v>
      </c>
    </row>
    <row r="9" spans="1:90">
      <c r="A9">
        <v>10477</v>
      </c>
      <c r="B9" t="s">
        <v>1331</v>
      </c>
      <c r="C9">
        <v>30.423171997070298</v>
      </c>
      <c r="D9" t="s">
        <v>1303</v>
      </c>
      <c r="E9">
        <v>1987</v>
      </c>
      <c r="F9" t="s">
        <v>1320</v>
      </c>
      <c r="G9" t="s">
        <v>167</v>
      </c>
      <c r="H9">
        <v>98107</v>
      </c>
      <c r="I9" t="s">
        <v>1321</v>
      </c>
      <c r="K9" t="s">
        <v>1306</v>
      </c>
      <c r="L9">
        <v>36</v>
      </c>
      <c r="M9">
        <v>4</v>
      </c>
      <c r="N9">
        <v>0</v>
      </c>
      <c r="O9">
        <v>4</v>
      </c>
      <c r="P9">
        <v>0</v>
      </c>
      <c r="Q9">
        <v>31300</v>
      </c>
      <c r="R9">
        <v>31300</v>
      </c>
      <c r="S9">
        <v>3400</v>
      </c>
      <c r="T9">
        <v>0</v>
      </c>
      <c r="U9">
        <v>0</v>
      </c>
      <c r="V9">
        <v>8</v>
      </c>
      <c r="W9">
        <v>27</v>
      </c>
      <c r="X9">
        <v>1</v>
      </c>
      <c r="Y9">
        <v>0</v>
      </c>
      <c r="Z9" t="b">
        <v>0</v>
      </c>
      <c r="AA9" t="b">
        <v>1</v>
      </c>
      <c r="AB9">
        <v>9</v>
      </c>
      <c r="AC9">
        <v>34169.234375</v>
      </c>
      <c r="AD9">
        <v>219454.75</v>
      </c>
      <c r="AE9">
        <v>253623.984375</v>
      </c>
      <c r="AI9">
        <v>865365.0625</v>
      </c>
      <c r="AJ9" t="s">
        <v>268</v>
      </c>
      <c r="AK9">
        <v>0</v>
      </c>
      <c r="AL9">
        <v>6</v>
      </c>
      <c r="AM9">
        <v>0</v>
      </c>
      <c r="AN9">
        <v>40</v>
      </c>
      <c r="AO9">
        <v>0</v>
      </c>
      <c r="AP9">
        <v>40</v>
      </c>
      <c r="AQ9">
        <v>0</v>
      </c>
      <c r="AR9">
        <v>0</v>
      </c>
      <c r="AS9">
        <v>14</v>
      </c>
      <c r="AT9" t="b">
        <v>1</v>
      </c>
      <c r="AU9">
        <v>0</v>
      </c>
      <c r="AV9">
        <v>0</v>
      </c>
      <c r="AW9">
        <v>1</v>
      </c>
      <c r="AX9" t="b">
        <v>0</v>
      </c>
      <c r="AY9" t="b">
        <v>0</v>
      </c>
      <c r="AZ9" t="b">
        <v>0</v>
      </c>
      <c r="BA9" t="b">
        <v>0</v>
      </c>
      <c r="BB9" t="s">
        <v>268</v>
      </c>
      <c r="BC9" t="s">
        <v>271</v>
      </c>
      <c r="BD9" t="s">
        <v>268</v>
      </c>
      <c r="BE9" t="s">
        <v>1307</v>
      </c>
      <c r="BF9" t="s">
        <v>1308</v>
      </c>
      <c r="BG9" t="s">
        <v>1309</v>
      </c>
      <c r="BH9" t="s">
        <v>1310</v>
      </c>
      <c r="BI9" t="s">
        <v>1311</v>
      </c>
      <c r="BJ9" t="b">
        <v>0</v>
      </c>
      <c r="BK9" t="b">
        <v>1</v>
      </c>
      <c r="BL9" t="b">
        <v>0</v>
      </c>
      <c r="BM9" t="b">
        <v>0</v>
      </c>
      <c r="BN9" t="b">
        <v>0</v>
      </c>
      <c r="BO9" t="b">
        <v>0</v>
      </c>
      <c r="BR9">
        <v>0</v>
      </c>
      <c r="BS9">
        <v>0</v>
      </c>
      <c r="BT9" t="b">
        <v>1</v>
      </c>
      <c r="BU9">
        <v>0</v>
      </c>
      <c r="BV9">
        <v>36</v>
      </c>
      <c r="BW9">
        <v>11100</v>
      </c>
      <c r="BX9">
        <v>1</v>
      </c>
      <c r="BY9" t="s">
        <v>271</v>
      </c>
      <c r="BZ9" t="s">
        <v>268</v>
      </c>
      <c r="CA9" t="s">
        <v>268</v>
      </c>
      <c r="CB9" t="s">
        <v>268</v>
      </c>
      <c r="CC9" t="s">
        <v>1332</v>
      </c>
      <c r="CD9" t="s">
        <v>1313</v>
      </c>
      <c r="CE9" t="s">
        <v>1333</v>
      </c>
      <c r="CF9" t="s">
        <v>1315</v>
      </c>
      <c r="CG9" t="str">
        <f t="shared" si="0"/>
        <v/>
      </c>
      <c r="CH9" t="str">
        <f t="shared" si="1"/>
        <v/>
      </c>
      <c r="CI9" t="str">
        <f t="shared" si="2"/>
        <v/>
      </c>
      <c r="CJ9" t="str">
        <f t="shared" si="3"/>
        <v/>
      </c>
      <c r="CK9" t="str">
        <f t="shared" si="4"/>
        <v/>
      </c>
    </row>
    <row r="10" spans="1:90">
      <c r="A10">
        <v>10480</v>
      </c>
      <c r="B10" t="s">
        <v>1302</v>
      </c>
      <c r="C10">
        <v>400.358642578125</v>
      </c>
      <c r="D10" t="s">
        <v>1334</v>
      </c>
      <c r="E10">
        <v>1972</v>
      </c>
      <c r="F10" t="s">
        <v>1335</v>
      </c>
      <c r="G10" t="s">
        <v>167</v>
      </c>
      <c r="H10">
        <v>98005</v>
      </c>
      <c r="I10" t="s">
        <v>1317</v>
      </c>
      <c r="J10" t="s">
        <v>1317</v>
      </c>
      <c r="K10" t="s">
        <v>1306</v>
      </c>
      <c r="L10">
        <v>12</v>
      </c>
      <c r="M10">
        <v>2</v>
      </c>
      <c r="N10">
        <v>0</v>
      </c>
      <c r="O10">
        <v>2</v>
      </c>
      <c r="P10">
        <v>0</v>
      </c>
      <c r="Q10">
        <v>7300</v>
      </c>
      <c r="R10">
        <v>7300</v>
      </c>
      <c r="S10">
        <v>0</v>
      </c>
      <c r="T10">
        <v>0</v>
      </c>
      <c r="U10">
        <v>0</v>
      </c>
      <c r="V10">
        <v>0</v>
      </c>
      <c r="W10">
        <v>12</v>
      </c>
      <c r="X10">
        <v>0</v>
      </c>
      <c r="Y10">
        <v>0</v>
      </c>
      <c r="Z10" t="b">
        <v>0</v>
      </c>
      <c r="AA10" t="b">
        <v>0</v>
      </c>
      <c r="AB10">
        <v>8</v>
      </c>
      <c r="AC10">
        <v>9600.1513671875</v>
      </c>
      <c r="AD10">
        <v>95084.546875</v>
      </c>
      <c r="AE10">
        <v>104684.6953125</v>
      </c>
      <c r="AI10">
        <v>357184.1875</v>
      </c>
      <c r="AJ10" t="s">
        <v>268</v>
      </c>
      <c r="AK10">
        <v>0</v>
      </c>
      <c r="AL10">
        <v>77</v>
      </c>
      <c r="AM10">
        <v>0</v>
      </c>
      <c r="AN10">
        <v>1</v>
      </c>
      <c r="AO10">
        <v>0</v>
      </c>
      <c r="AP10">
        <v>1</v>
      </c>
      <c r="AQ10">
        <v>0</v>
      </c>
      <c r="AR10">
        <v>0</v>
      </c>
      <c r="AS10">
        <v>21</v>
      </c>
      <c r="AT10" t="b">
        <v>1</v>
      </c>
      <c r="AU10">
        <v>0</v>
      </c>
      <c r="AV10">
        <v>0</v>
      </c>
      <c r="AW10">
        <v>0</v>
      </c>
      <c r="AX10" t="b">
        <v>0</v>
      </c>
      <c r="AY10" t="b">
        <v>0</v>
      </c>
      <c r="AZ10" t="b">
        <v>0</v>
      </c>
      <c r="BA10" t="b">
        <v>0</v>
      </c>
      <c r="BB10" t="s">
        <v>268</v>
      </c>
      <c r="BC10" t="s">
        <v>268</v>
      </c>
      <c r="BD10" t="s">
        <v>268</v>
      </c>
      <c r="BE10" t="s">
        <v>1307</v>
      </c>
      <c r="BF10" t="s">
        <v>1308</v>
      </c>
      <c r="BG10" t="s">
        <v>1309</v>
      </c>
      <c r="BH10" t="s">
        <v>1336</v>
      </c>
      <c r="BI10" t="s">
        <v>1311</v>
      </c>
      <c r="BJ10" t="b">
        <v>0</v>
      </c>
      <c r="BK10" t="b">
        <v>1</v>
      </c>
      <c r="BL10" t="b">
        <v>0</v>
      </c>
      <c r="BM10" t="b">
        <v>0</v>
      </c>
      <c r="BN10" t="b">
        <v>0</v>
      </c>
      <c r="BO10" t="b">
        <v>0</v>
      </c>
      <c r="BP10">
        <v>3</v>
      </c>
      <c r="BQ10">
        <v>13</v>
      </c>
      <c r="BR10">
        <v>0</v>
      </c>
      <c r="BS10">
        <v>0</v>
      </c>
      <c r="BT10" t="b">
        <v>1</v>
      </c>
      <c r="BU10">
        <v>0</v>
      </c>
      <c r="BV10">
        <v>18</v>
      </c>
      <c r="BW10">
        <v>5075</v>
      </c>
      <c r="BX10">
        <v>0</v>
      </c>
      <c r="BY10" t="s">
        <v>268</v>
      </c>
      <c r="BZ10" t="s">
        <v>268</v>
      </c>
      <c r="CA10" t="s">
        <v>271</v>
      </c>
      <c r="CB10" t="s">
        <v>271</v>
      </c>
      <c r="CC10" t="s">
        <v>1312</v>
      </c>
      <c r="CD10" t="s">
        <v>1313</v>
      </c>
      <c r="CE10" t="s">
        <v>1314</v>
      </c>
      <c r="CF10" t="s">
        <v>1315</v>
      </c>
      <c r="CG10">
        <f t="shared" si="0"/>
        <v>400.358642578125</v>
      </c>
      <c r="CH10">
        <f t="shared" si="1"/>
        <v>7300</v>
      </c>
      <c r="CI10">
        <f t="shared" si="2"/>
        <v>2</v>
      </c>
      <c r="CJ10">
        <f t="shared" si="3"/>
        <v>2922618.0908203125</v>
      </c>
      <c r="CK10">
        <f t="shared" si="4"/>
        <v>800.71728515625</v>
      </c>
    </row>
    <row r="11" spans="1:90">
      <c r="A11">
        <v>10495</v>
      </c>
      <c r="B11" t="s">
        <v>1302</v>
      </c>
      <c r="C11">
        <v>206.07391357421901</v>
      </c>
      <c r="D11" t="s">
        <v>1334</v>
      </c>
      <c r="E11">
        <v>1980</v>
      </c>
      <c r="F11" t="s">
        <v>1337</v>
      </c>
      <c r="G11" t="s">
        <v>167</v>
      </c>
      <c r="H11">
        <v>98275</v>
      </c>
      <c r="I11" t="s">
        <v>1329</v>
      </c>
      <c r="K11" t="s">
        <v>1306</v>
      </c>
      <c r="L11">
        <v>10</v>
      </c>
      <c r="M11">
        <v>2</v>
      </c>
      <c r="N11">
        <v>0</v>
      </c>
      <c r="O11">
        <v>2</v>
      </c>
      <c r="P11">
        <v>0</v>
      </c>
      <c r="Q11">
        <v>9698</v>
      </c>
      <c r="R11">
        <v>9698</v>
      </c>
      <c r="S11">
        <v>0</v>
      </c>
      <c r="T11">
        <v>0</v>
      </c>
      <c r="U11">
        <v>0</v>
      </c>
      <c r="V11">
        <v>10</v>
      </c>
      <c r="W11">
        <v>0</v>
      </c>
      <c r="X11">
        <v>0</v>
      </c>
      <c r="Y11">
        <v>0</v>
      </c>
      <c r="Z11" t="b">
        <v>0</v>
      </c>
      <c r="AA11" t="b">
        <v>0</v>
      </c>
      <c r="AB11">
        <v>8</v>
      </c>
      <c r="AD11">
        <v>99157.203125</v>
      </c>
      <c r="AE11">
        <v>99157.203125</v>
      </c>
      <c r="AI11">
        <v>338324.375</v>
      </c>
      <c r="AJ11" t="s">
        <v>268</v>
      </c>
      <c r="AK11">
        <v>0</v>
      </c>
      <c r="AL11">
        <v>0</v>
      </c>
      <c r="AM11">
        <v>62</v>
      </c>
      <c r="AN11">
        <v>0</v>
      </c>
      <c r="AO11">
        <v>0</v>
      </c>
      <c r="AP11">
        <v>0</v>
      </c>
      <c r="AQ11">
        <v>0</v>
      </c>
      <c r="AR11">
        <v>38</v>
      </c>
      <c r="AS11">
        <v>0</v>
      </c>
      <c r="AT11" t="b">
        <v>1</v>
      </c>
      <c r="AU11">
        <v>0</v>
      </c>
      <c r="AV11">
        <v>0</v>
      </c>
      <c r="AW11">
        <v>0</v>
      </c>
      <c r="AX11" t="b">
        <v>0</v>
      </c>
      <c r="AY11" t="b">
        <v>0</v>
      </c>
      <c r="AZ11" t="b">
        <v>0</v>
      </c>
      <c r="BA11" t="b">
        <v>0</v>
      </c>
      <c r="BB11" t="s">
        <v>268</v>
      </c>
      <c r="BC11" t="s">
        <v>268</v>
      </c>
      <c r="BD11" t="s">
        <v>268</v>
      </c>
      <c r="BE11" t="s">
        <v>1307</v>
      </c>
      <c r="BF11" t="s">
        <v>1308</v>
      </c>
      <c r="BG11" t="s">
        <v>1309</v>
      </c>
      <c r="BH11" t="s">
        <v>1310</v>
      </c>
      <c r="BI11" t="s">
        <v>1311</v>
      </c>
      <c r="BJ11" t="b">
        <v>0</v>
      </c>
      <c r="BK11" t="b">
        <v>1</v>
      </c>
      <c r="BL11" t="b">
        <v>0</v>
      </c>
      <c r="BM11" t="b">
        <v>0</v>
      </c>
      <c r="BN11" t="b">
        <v>0</v>
      </c>
      <c r="BO11" t="b">
        <v>0</v>
      </c>
      <c r="BP11">
        <v>1</v>
      </c>
      <c r="BQ11">
        <v>12</v>
      </c>
      <c r="BR11">
        <v>0</v>
      </c>
      <c r="BS11">
        <v>0</v>
      </c>
      <c r="BT11" t="b">
        <v>1</v>
      </c>
      <c r="BU11">
        <v>0</v>
      </c>
      <c r="BV11">
        <v>17</v>
      </c>
      <c r="BW11">
        <v>5695</v>
      </c>
      <c r="BX11">
        <v>0</v>
      </c>
      <c r="BY11" t="s">
        <v>268</v>
      </c>
      <c r="BZ11" t="s">
        <v>268</v>
      </c>
      <c r="CA11" t="s">
        <v>271</v>
      </c>
      <c r="CB11" t="s">
        <v>271</v>
      </c>
      <c r="CC11" t="s">
        <v>1312</v>
      </c>
      <c r="CD11" t="s">
        <v>1313</v>
      </c>
      <c r="CE11" t="s">
        <v>1314</v>
      </c>
      <c r="CF11" t="s">
        <v>1315</v>
      </c>
      <c r="CG11">
        <f t="shared" si="0"/>
        <v>206.07391357421901</v>
      </c>
      <c r="CH11">
        <f t="shared" si="1"/>
        <v>9698</v>
      </c>
      <c r="CI11">
        <f t="shared" si="2"/>
        <v>2</v>
      </c>
      <c r="CJ11">
        <f t="shared" si="3"/>
        <v>1998504.813842776</v>
      </c>
      <c r="CK11">
        <f t="shared" si="4"/>
        <v>412.14782714843801</v>
      </c>
    </row>
    <row r="12" spans="1:90">
      <c r="A12">
        <v>10519</v>
      </c>
      <c r="B12" t="s">
        <v>1331</v>
      </c>
      <c r="C12">
        <v>8.55651760101318</v>
      </c>
      <c r="D12" t="s">
        <v>1338</v>
      </c>
      <c r="E12">
        <v>2001</v>
      </c>
      <c r="F12" t="s">
        <v>1320</v>
      </c>
      <c r="G12" t="s">
        <v>167</v>
      </c>
      <c r="H12">
        <v>98121</v>
      </c>
      <c r="I12" t="s">
        <v>1321</v>
      </c>
      <c r="J12" t="s">
        <v>1317</v>
      </c>
      <c r="K12" t="s">
        <v>1306</v>
      </c>
      <c r="L12">
        <v>128</v>
      </c>
      <c r="M12">
        <v>5</v>
      </c>
      <c r="N12">
        <v>1</v>
      </c>
      <c r="O12">
        <v>6</v>
      </c>
      <c r="P12">
        <v>0</v>
      </c>
      <c r="Q12">
        <v>118630</v>
      </c>
      <c r="R12">
        <v>111866</v>
      </c>
      <c r="S12">
        <v>15811</v>
      </c>
      <c r="T12">
        <v>0</v>
      </c>
      <c r="U12">
        <v>0</v>
      </c>
      <c r="V12">
        <v>18</v>
      </c>
      <c r="W12">
        <v>105</v>
      </c>
      <c r="X12">
        <v>5</v>
      </c>
      <c r="Y12">
        <v>6</v>
      </c>
      <c r="Z12" t="b">
        <v>1</v>
      </c>
      <c r="AA12" t="b">
        <v>1</v>
      </c>
      <c r="AB12">
        <v>8.6700000762939506</v>
      </c>
      <c r="AC12">
        <v>399910.53125</v>
      </c>
      <c r="AD12">
        <v>713183.25</v>
      </c>
      <c r="AE12">
        <v>1113093.75</v>
      </c>
      <c r="AH12">
        <v>2234.54516601563</v>
      </c>
      <c r="AI12">
        <v>4021330.5</v>
      </c>
      <c r="AJ12" t="s">
        <v>268</v>
      </c>
      <c r="AK12">
        <v>6764</v>
      </c>
      <c r="AL12">
        <v>2</v>
      </c>
      <c r="AM12">
        <v>13</v>
      </c>
      <c r="AN12">
        <v>1</v>
      </c>
      <c r="AO12">
        <v>22</v>
      </c>
      <c r="AP12">
        <v>7</v>
      </c>
      <c r="AQ12">
        <v>21</v>
      </c>
      <c r="AR12">
        <v>27</v>
      </c>
      <c r="AS12">
        <v>7</v>
      </c>
      <c r="AT12" t="b">
        <v>1</v>
      </c>
      <c r="AU12">
        <v>0</v>
      </c>
      <c r="AV12">
        <v>0</v>
      </c>
      <c r="AW12">
        <v>2</v>
      </c>
      <c r="AX12" t="b">
        <v>0</v>
      </c>
      <c r="AY12" t="b">
        <v>0</v>
      </c>
      <c r="AZ12" t="b">
        <v>1</v>
      </c>
      <c r="BA12" t="b">
        <v>1</v>
      </c>
      <c r="BB12" t="s">
        <v>271</v>
      </c>
      <c r="BC12" t="s">
        <v>271</v>
      </c>
      <c r="BD12" t="s">
        <v>271</v>
      </c>
      <c r="BE12" t="s">
        <v>1307</v>
      </c>
      <c r="BF12" t="s">
        <v>1308</v>
      </c>
      <c r="BG12" t="s">
        <v>1309</v>
      </c>
      <c r="BH12" t="s">
        <v>1336</v>
      </c>
      <c r="BI12" t="s">
        <v>1322</v>
      </c>
      <c r="BJ12" t="b">
        <v>1</v>
      </c>
      <c r="BK12" t="b">
        <v>1</v>
      </c>
      <c r="BL12" t="b">
        <v>1</v>
      </c>
      <c r="BM12" t="b">
        <v>0</v>
      </c>
      <c r="BN12" t="b">
        <v>0</v>
      </c>
      <c r="BO12" t="b">
        <v>0</v>
      </c>
      <c r="BP12">
        <v>1</v>
      </c>
      <c r="BQ12">
        <v>135</v>
      </c>
      <c r="BR12">
        <v>1</v>
      </c>
      <c r="BS12">
        <v>1</v>
      </c>
      <c r="BT12" t="b">
        <v>1</v>
      </c>
      <c r="BU12">
        <v>0</v>
      </c>
      <c r="BV12">
        <v>142</v>
      </c>
      <c r="BW12">
        <v>40377</v>
      </c>
      <c r="BX12">
        <v>2</v>
      </c>
      <c r="BY12" t="s">
        <v>271</v>
      </c>
      <c r="BZ12" t="s">
        <v>268</v>
      </c>
      <c r="CA12" t="s">
        <v>268</v>
      </c>
      <c r="CB12" t="s">
        <v>268</v>
      </c>
      <c r="CC12" t="s">
        <v>1312</v>
      </c>
      <c r="CD12" t="s">
        <v>1313</v>
      </c>
      <c r="CE12" t="s">
        <v>1333</v>
      </c>
      <c r="CF12" t="s">
        <v>1315</v>
      </c>
      <c r="CG12" t="str">
        <f t="shared" si="0"/>
        <v/>
      </c>
      <c r="CH12" t="str">
        <f t="shared" si="1"/>
        <v/>
      </c>
      <c r="CI12" t="str">
        <f t="shared" si="2"/>
        <v/>
      </c>
      <c r="CJ12" t="str">
        <f t="shared" si="3"/>
        <v/>
      </c>
      <c r="CK12" t="str">
        <f t="shared" si="4"/>
        <v/>
      </c>
    </row>
    <row r="13" spans="1:90">
      <c r="A13">
        <v>10587</v>
      </c>
      <c r="B13" t="s">
        <v>1302</v>
      </c>
      <c r="C13">
        <v>266.90576171875</v>
      </c>
      <c r="D13" t="s">
        <v>1334</v>
      </c>
      <c r="E13">
        <v>1980</v>
      </c>
      <c r="F13" t="s">
        <v>1339</v>
      </c>
      <c r="G13" t="s">
        <v>167</v>
      </c>
      <c r="H13">
        <v>98031</v>
      </c>
      <c r="I13" t="s">
        <v>1317</v>
      </c>
      <c r="J13" t="s">
        <v>1317</v>
      </c>
      <c r="K13" t="s">
        <v>1306</v>
      </c>
      <c r="L13">
        <v>18</v>
      </c>
      <c r="M13">
        <v>3</v>
      </c>
      <c r="N13">
        <v>0</v>
      </c>
      <c r="O13">
        <v>3</v>
      </c>
      <c r="P13">
        <v>0</v>
      </c>
      <c r="Q13">
        <v>14274</v>
      </c>
      <c r="R13">
        <v>14272</v>
      </c>
      <c r="S13">
        <v>0</v>
      </c>
      <c r="T13">
        <v>0</v>
      </c>
      <c r="U13">
        <v>0</v>
      </c>
      <c r="V13">
        <v>12</v>
      </c>
      <c r="W13">
        <v>6</v>
      </c>
      <c r="X13">
        <v>0</v>
      </c>
      <c r="Y13">
        <v>5</v>
      </c>
      <c r="Z13" t="b">
        <v>0</v>
      </c>
      <c r="AA13" t="b">
        <v>0</v>
      </c>
      <c r="AB13">
        <v>7.75</v>
      </c>
      <c r="AD13">
        <v>184230.6875</v>
      </c>
      <c r="AE13">
        <v>184230.6875</v>
      </c>
      <c r="AH13">
        <v>2456.5048828125</v>
      </c>
      <c r="AI13">
        <v>874245.625</v>
      </c>
      <c r="AJ13" t="s">
        <v>268</v>
      </c>
      <c r="AK13">
        <v>0</v>
      </c>
      <c r="AL13">
        <v>28</v>
      </c>
      <c r="AM13">
        <v>0</v>
      </c>
      <c r="AN13">
        <v>3</v>
      </c>
      <c r="AO13">
        <v>0</v>
      </c>
      <c r="AP13">
        <v>3</v>
      </c>
      <c r="AQ13">
        <v>0</v>
      </c>
      <c r="AR13">
        <v>0</v>
      </c>
      <c r="AS13">
        <v>66</v>
      </c>
      <c r="AT13" t="b">
        <v>1</v>
      </c>
      <c r="AU13">
        <v>4</v>
      </c>
      <c r="AV13">
        <v>4</v>
      </c>
      <c r="AW13">
        <v>0</v>
      </c>
      <c r="AX13" t="b">
        <v>0</v>
      </c>
      <c r="AY13" t="b">
        <v>0</v>
      </c>
      <c r="AZ13" t="b">
        <v>0</v>
      </c>
      <c r="BA13" t="b">
        <v>0</v>
      </c>
      <c r="BB13" t="s">
        <v>268</v>
      </c>
      <c r="BC13" t="s">
        <v>268</v>
      </c>
      <c r="BD13" t="s">
        <v>268</v>
      </c>
      <c r="BE13" t="s">
        <v>1307</v>
      </c>
      <c r="BF13" t="s">
        <v>1308</v>
      </c>
      <c r="BG13" t="s">
        <v>1309</v>
      </c>
      <c r="BH13" t="s">
        <v>1310</v>
      </c>
      <c r="BI13" t="s">
        <v>1311</v>
      </c>
      <c r="BJ13" t="b">
        <v>1</v>
      </c>
      <c r="BK13" t="b">
        <v>1</v>
      </c>
      <c r="BL13" t="b">
        <v>1</v>
      </c>
      <c r="BM13" t="b">
        <v>0</v>
      </c>
      <c r="BN13" t="b">
        <v>0</v>
      </c>
      <c r="BO13" t="b">
        <v>0</v>
      </c>
      <c r="BP13">
        <v>3</v>
      </c>
      <c r="BQ13">
        <v>18</v>
      </c>
      <c r="BR13">
        <v>1</v>
      </c>
      <c r="BS13">
        <v>3</v>
      </c>
      <c r="BT13" t="b">
        <v>1</v>
      </c>
      <c r="BU13">
        <v>0</v>
      </c>
      <c r="BV13">
        <v>45</v>
      </c>
      <c r="BW13">
        <v>14391</v>
      </c>
      <c r="BX13">
        <v>0</v>
      </c>
      <c r="BY13" t="s">
        <v>268</v>
      </c>
      <c r="BZ13" t="s">
        <v>268</v>
      </c>
      <c r="CA13" t="s">
        <v>271</v>
      </c>
      <c r="CB13" t="s">
        <v>271</v>
      </c>
      <c r="CC13" t="s">
        <v>1312</v>
      </c>
      <c r="CD13" t="s">
        <v>1313</v>
      </c>
      <c r="CE13" t="s">
        <v>1314</v>
      </c>
      <c r="CF13" t="s">
        <v>1315</v>
      </c>
      <c r="CG13">
        <f t="shared" si="0"/>
        <v>266.90576171875</v>
      </c>
      <c r="CH13">
        <f t="shared" si="1"/>
        <v>14274</v>
      </c>
      <c r="CI13">
        <f t="shared" si="2"/>
        <v>3</v>
      </c>
      <c r="CJ13">
        <f t="shared" si="3"/>
        <v>3809812.8427734375</v>
      </c>
      <c r="CK13">
        <f t="shared" si="4"/>
        <v>800.71728515625</v>
      </c>
    </row>
    <row r="14" spans="1:90">
      <c r="A14">
        <v>10614</v>
      </c>
      <c r="B14" t="s">
        <v>1331</v>
      </c>
      <c r="C14">
        <v>114.388175964355</v>
      </c>
      <c r="D14" t="s">
        <v>1340</v>
      </c>
      <c r="E14">
        <v>1994</v>
      </c>
      <c r="F14" t="s">
        <v>1335</v>
      </c>
      <c r="G14" t="s">
        <v>167</v>
      </c>
      <c r="H14">
        <v>98007</v>
      </c>
      <c r="I14" t="s">
        <v>1317</v>
      </c>
      <c r="J14" t="s">
        <v>1317</v>
      </c>
      <c r="K14" t="s">
        <v>1306</v>
      </c>
      <c r="L14">
        <v>42</v>
      </c>
      <c r="M14">
        <v>4</v>
      </c>
      <c r="N14">
        <v>0</v>
      </c>
      <c r="O14">
        <v>4</v>
      </c>
      <c r="P14">
        <v>0</v>
      </c>
      <c r="Q14">
        <v>63260</v>
      </c>
      <c r="R14">
        <v>63260</v>
      </c>
      <c r="S14">
        <v>20300</v>
      </c>
      <c r="T14">
        <v>0</v>
      </c>
      <c r="U14">
        <v>3</v>
      </c>
      <c r="V14">
        <v>24</v>
      </c>
      <c r="W14">
        <v>15</v>
      </c>
      <c r="X14">
        <v>0</v>
      </c>
      <c r="Y14">
        <v>19</v>
      </c>
      <c r="Z14" t="b">
        <v>0</v>
      </c>
      <c r="AA14" t="b">
        <v>1</v>
      </c>
      <c r="AB14">
        <v>8</v>
      </c>
      <c r="AC14">
        <v>219356.859375</v>
      </c>
      <c r="AD14">
        <v>116099.2265625</v>
      </c>
      <c r="AE14">
        <v>335456.09375</v>
      </c>
      <c r="AF14">
        <v>26.141162872314499</v>
      </c>
      <c r="AG14">
        <v>5356.06005859375</v>
      </c>
      <c r="AH14">
        <v>5382.201171875</v>
      </c>
      <c r="AI14">
        <v>1682796.25</v>
      </c>
      <c r="AJ14" t="s">
        <v>268</v>
      </c>
      <c r="AK14">
        <v>0</v>
      </c>
      <c r="AL14">
        <v>0</v>
      </c>
      <c r="AM14">
        <v>10</v>
      </c>
      <c r="AN14">
        <v>21</v>
      </c>
      <c r="AO14">
        <v>14</v>
      </c>
      <c r="AP14">
        <v>11</v>
      </c>
      <c r="AQ14">
        <v>21</v>
      </c>
      <c r="AR14">
        <v>23</v>
      </c>
      <c r="AS14">
        <v>0</v>
      </c>
      <c r="AT14" t="b">
        <v>1</v>
      </c>
      <c r="AU14">
        <v>0</v>
      </c>
      <c r="AV14">
        <v>0</v>
      </c>
      <c r="AW14">
        <v>1</v>
      </c>
      <c r="AX14" t="b">
        <v>0</v>
      </c>
      <c r="AY14" t="b">
        <v>0</v>
      </c>
      <c r="AZ14" t="b">
        <v>1</v>
      </c>
      <c r="BA14" t="b">
        <v>1</v>
      </c>
      <c r="BB14" t="s">
        <v>271</v>
      </c>
      <c r="BC14" t="s">
        <v>271</v>
      </c>
      <c r="BD14" t="s">
        <v>271</v>
      </c>
      <c r="BE14" t="s">
        <v>1341</v>
      </c>
      <c r="BF14" t="s">
        <v>1342</v>
      </c>
      <c r="BG14" t="s">
        <v>1309</v>
      </c>
      <c r="BH14" t="s">
        <v>1343</v>
      </c>
      <c r="BI14" t="s">
        <v>1344</v>
      </c>
      <c r="BJ14" t="b">
        <v>1</v>
      </c>
      <c r="BK14" t="b">
        <v>1</v>
      </c>
      <c r="BL14" t="b">
        <v>1</v>
      </c>
      <c r="BM14" t="b">
        <v>0</v>
      </c>
      <c r="BN14" t="b">
        <v>0</v>
      </c>
      <c r="BO14" t="b">
        <v>0</v>
      </c>
      <c r="BP14">
        <v>1</v>
      </c>
      <c r="BQ14">
        <v>45</v>
      </c>
      <c r="BR14">
        <v>4</v>
      </c>
      <c r="BS14">
        <v>44</v>
      </c>
      <c r="BT14" t="b">
        <v>1</v>
      </c>
      <c r="BU14">
        <v>0</v>
      </c>
      <c r="BV14">
        <v>49</v>
      </c>
      <c r="BW14">
        <v>19888</v>
      </c>
      <c r="BX14">
        <v>1</v>
      </c>
      <c r="BY14" t="s">
        <v>271</v>
      </c>
      <c r="BZ14" t="s">
        <v>268</v>
      </c>
      <c r="CA14" t="s">
        <v>268</v>
      </c>
      <c r="CB14" t="s">
        <v>271</v>
      </c>
      <c r="CC14" t="s">
        <v>1312</v>
      </c>
      <c r="CD14" t="s">
        <v>1313</v>
      </c>
      <c r="CE14" t="s">
        <v>1333</v>
      </c>
      <c r="CF14" t="s">
        <v>1315</v>
      </c>
      <c r="CG14" t="str">
        <f t="shared" si="0"/>
        <v/>
      </c>
      <c r="CH14" t="str">
        <f t="shared" si="1"/>
        <v/>
      </c>
      <c r="CI14" t="str">
        <f t="shared" si="2"/>
        <v/>
      </c>
      <c r="CJ14" t="str">
        <f t="shared" si="3"/>
        <v/>
      </c>
      <c r="CK14" t="str">
        <f t="shared" si="4"/>
        <v/>
      </c>
    </row>
    <row r="15" spans="1:90">
      <c r="A15">
        <v>10623</v>
      </c>
      <c r="B15" t="s">
        <v>1302</v>
      </c>
      <c r="C15">
        <v>219.04685974121099</v>
      </c>
      <c r="D15" t="s">
        <v>1338</v>
      </c>
      <c r="E15">
        <v>2008</v>
      </c>
      <c r="F15" t="s">
        <v>1320</v>
      </c>
      <c r="G15" t="s">
        <v>167</v>
      </c>
      <c r="H15">
        <v>98112</v>
      </c>
      <c r="I15" t="s">
        <v>1321</v>
      </c>
      <c r="J15" t="s">
        <v>1317</v>
      </c>
      <c r="K15" t="s">
        <v>1306</v>
      </c>
      <c r="L15">
        <v>5</v>
      </c>
      <c r="M15">
        <v>4</v>
      </c>
      <c r="N15">
        <v>0</v>
      </c>
      <c r="O15">
        <v>3</v>
      </c>
      <c r="P15">
        <v>0</v>
      </c>
      <c r="Q15">
        <v>7455</v>
      </c>
      <c r="R15">
        <v>7455</v>
      </c>
      <c r="S15">
        <v>955</v>
      </c>
      <c r="T15">
        <v>0</v>
      </c>
      <c r="U15">
        <v>0</v>
      </c>
      <c r="V15">
        <v>3</v>
      </c>
      <c r="W15">
        <v>0</v>
      </c>
      <c r="X15">
        <v>2</v>
      </c>
      <c r="Y15">
        <v>0</v>
      </c>
      <c r="Z15" t="b">
        <v>0</v>
      </c>
      <c r="AA15" t="b">
        <v>1</v>
      </c>
      <c r="AB15">
        <v>9</v>
      </c>
      <c r="AC15">
        <v>10363.9091796875</v>
      </c>
      <c r="AD15">
        <v>19200.72265625</v>
      </c>
      <c r="AE15">
        <v>29564.6328125</v>
      </c>
      <c r="AH15">
        <v>3854.3994140625</v>
      </c>
      <c r="AI15">
        <v>486314.46875</v>
      </c>
      <c r="AJ15" t="s">
        <v>271</v>
      </c>
      <c r="AK15">
        <v>0</v>
      </c>
      <c r="AL15">
        <v>30</v>
      </c>
      <c r="AM15">
        <v>0</v>
      </c>
      <c r="AN15">
        <v>14</v>
      </c>
      <c r="AO15">
        <v>0</v>
      </c>
      <c r="AP15">
        <v>25</v>
      </c>
      <c r="AQ15">
        <v>0</v>
      </c>
      <c r="AR15">
        <v>0</v>
      </c>
      <c r="AS15">
        <v>31</v>
      </c>
      <c r="AT15" t="b">
        <v>1</v>
      </c>
      <c r="AU15">
        <v>0</v>
      </c>
      <c r="AV15">
        <v>0</v>
      </c>
      <c r="AW15">
        <v>1</v>
      </c>
      <c r="AX15" t="b">
        <v>1</v>
      </c>
      <c r="AY15" t="b">
        <v>0</v>
      </c>
      <c r="AZ15" t="b">
        <v>0</v>
      </c>
      <c r="BA15" t="b">
        <v>0</v>
      </c>
      <c r="BB15" t="s">
        <v>268</v>
      </c>
      <c r="BC15" t="s">
        <v>271</v>
      </c>
      <c r="BD15" t="s">
        <v>268</v>
      </c>
      <c r="BE15" t="s">
        <v>1345</v>
      </c>
      <c r="BF15" t="s">
        <v>1342</v>
      </c>
      <c r="BG15" t="s">
        <v>1346</v>
      </c>
      <c r="BH15" t="s">
        <v>1310</v>
      </c>
      <c r="BI15" t="s">
        <v>1311</v>
      </c>
      <c r="BJ15" t="b">
        <v>1</v>
      </c>
      <c r="BK15" t="b">
        <v>1</v>
      </c>
      <c r="BL15" t="b">
        <v>1</v>
      </c>
      <c r="BM15" t="b">
        <v>0</v>
      </c>
      <c r="BN15" t="b">
        <v>0</v>
      </c>
      <c r="BO15" t="b">
        <v>0</v>
      </c>
      <c r="BP15">
        <v>1</v>
      </c>
      <c r="BQ15">
        <v>6</v>
      </c>
      <c r="BR15">
        <v>1</v>
      </c>
      <c r="BS15">
        <v>1</v>
      </c>
      <c r="BT15" t="b">
        <v>1</v>
      </c>
      <c r="BU15">
        <v>0</v>
      </c>
      <c r="BV15">
        <v>7</v>
      </c>
      <c r="BW15">
        <v>1968</v>
      </c>
      <c r="BX15">
        <v>1</v>
      </c>
      <c r="BY15" t="s">
        <v>271</v>
      </c>
      <c r="BZ15" t="s">
        <v>268</v>
      </c>
      <c r="CA15" t="s">
        <v>268</v>
      </c>
      <c r="CB15" t="s">
        <v>268</v>
      </c>
      <c r="CC15" t="s">
        <v>1319</v>
      </c>
      <c r="CD15" t="s">
        <v>1313</v>
      </c>
      <c r="CE15" t="s">
        <v>1347</v>
      </c>
      <c r="CF15" t="s">
        <v>1315</v>
      </c>
      <c r="CG15" t="str">
        <f t="shared" si="0"/>
        <v/>
      </c>
      <c r="CH15" t="str">
        <f t="shared" si="1"/>
        <v/>
      </c>
      <c r="CI15" t="str">
        <f t="shared" si="2"/>
        <v/>
      </c>
      <c r="CJ15" t="str">
        <f t="shared" si="3"/>
        <v/>
      </c>
      <c r="CK15" t="str">
        <f t="shared" si="4"/>
        <v/>
      </c>
    </row>
    <row r="16" spans="1:90">
      <c r="A16">
        <v>10805</v>
      </c>
      <c r="B16" t="s">
        <v>1302</v>
      </c>
      <c r="C16">
        <v>686.32904052734398</v>
      </c>
      <c r="D16" t="s">
        <v>1340</v>
      </c>
      <c r="E16">
        <v>2000</v>
      </c>
      <c r="F16" t="s">
        <v>1348</v>
      </c>
      <c r="G16" t="s">
        <v>167</v>
      </c>
      <c r="H16">
        <v>98225</v>
      </c>
      <c r="I16" t="s">
        <v>1317</v>
      </c>
      <c r="K16" t="s">
        <v>1306</v>
      </c>
      <c r="L16">
        <v>7</v>
      </c>
      <c r="M16">
        <v>2</v>
      </c>
      <c r="N16">
        <v>0</v>
      </c>
      <c r="O16">
        <v>2</v>
      </c>
      <c r="P16">
        <v>0</v>
      </c>
      <c r="Q16">
        <v>6422</v>
      </c>
      <c r="R16">
        <v>6422</v>
      </c>
      <c r="S16">
        <v>0</v>
      </c>
      <c r="T16">
        <v>0</v>
      </c>
      <c r="U16">
        <v>3</v>
      </c>
      <c r="V16">
        <v>4</v>
      </c>
      <c r="W16">
        <v>0</v>
      </c>
      <c r="X16">
        <v>0</v>
      </c>
      <c r="Y16">
        <v>0</v>
      </c>
      <c r="Z16" t="b">
        <v>0</v>
      </c>
      <c r="AA16" t="b">
        <v>0</v>
      </c>
      <c r="AB16">
        <v>8</v>
      </c>
      <c r="AD16">
        <v>62563.53125</v>
      </c>
      <c r="AE16">
        <v>62563.53125</v>
      </c>
      <c r="AI16">
        <v>213466.765625</v>
      </c>
      <c r="AJ16" t="s">
        <v>268</v>
      </c>
      <c r="AK16">
        <v>0</v>
      </c>
      <c r="AL16">
        <v>30</v>
      </c>
      <c r="AM16">
        <v>0</v>
      </c>
      <c r="AN16">
        <v>6</v>
      </c>
      <c r="AO16">
        <v>0</v>
      </c>
      <c r="AP16">
        <v>8</v>
      </c>
      <c r="AQ16">
        <v>0</v>
      </c>
      <c r="AR16">
        <v>0</v>
      </c>
      <c r="AS16">
        <v>56</v>
      </c>
      <c r="AT16" t="b">
        <v>1</v>
      </c>
      <c r="AU16">
        <v>2</v>
      </c>
      <c r="AV16">
        <v>3</v>
      </c>
      <c r="AW16">
        <v>0</v>
      </c>
      <c r="AX16" t="b">
        <v>0</v>
      </c>
      <c r="AY16" t="b">
        <v>0</v>
      </c>
      <c r="AZ16" t="b">
        <v>0</v>
      </c>
      <c r="BA16" t="b">
        <v>0</v>
      </c>
      <c r="BB16" t="s">
        <v>268</v>
      </c>
      <c r="BC16" t="s">
        <v>268</v>
      </c>
      <c r="BD16" t="s">
        <v>268</v>
      </c>
      <c r="BE16" t="s">
        <v>1307</v>
      </c>
      <c r="BF16" t="s">
        <v>1308</v>
      </c>
      <c r="BG16" t="s">
        <v>1309</v>
      </c>
      <c r="BH16" t="s">
        <v>1336</v>
      </c>
      <c r="BI16" t="s">
        <v>1311</v>
      </c>
      <c r="BJ16" t="b">
        <v>0</v>
      </c>
      <c r="BK16" t="b">
        <v>1</v>
      </c>
      <c r="BL16" t="b">
        <v>0</v>
      </c>
      <c r="BM16" t="b">
        <v>0</v>
      </c>
      <c r="BN16" t="b">
        <v>0</v>
      </c>
      <c r="BO16" t="b">
        <v>0</v>
      </c>
      <c r="BP16">
        <v>1</v>
      </c>
      <c r="BQ16">
        <v>9</v>
      </c>
      <c r="BR16">
        <v>0</v>
      </c>
      <c r="BS16">
        <v>0</v>
      </c>
      <c r="BT16" t="b">
        <v>1</v>
      </c>
      <c r="BU16">
        <v>0</v>
      </c>
      <c r="BV16">
        <v>12</v>
      </c>
      <c r="BW16">
        <v>4855</v>
      </c>
      <c r="BX16">
        <v>1</v>
      </c>
      <c r="BY16" t="s">
        <v>268</v>
      </c>
      <c r="BZ16" t="s">
        <v>271</v>
      </c>
      <c r="CA16" t="s">
        <v>268</v>
      </c>
      <c r="CB16" t="s">
        <v>271</v>
      </c>
      <c r="CC16" t="s">
        <v>1319</v>
      </c>
      <c r="CD16" t="s">
        <v>1313</v>
      </c>
      <c r="CE16" t="s">
        <v>1314</v>
      </c>
      <c r="CF16" t="s">
        <v>1315</v>
      </c>
      <c r="CG16">
        <f t="shared" si="0"/>
        <v>686.32904052734398</v>
      </c>
      <c r="CH16">
        <f t="shared" si="1"/>
        <v>6422</v>
      </c>
      <c r="CI16">
        <f t="shared" si="2"/>
        <v>2</v>
      </c>
      <c r="CJ16">
        <f t="shared" si="3"/>
        <v>4407605.0982666034</v>
      </c>
      <c r="CK16">
        <f t="shared" si="4"/>
        <v>1372.658081054688</v>
      </c>
    </row>
    <row r="17" spans="1:89">
      <c r="A17">
        <v>10862</v>
      </c>
      <c r="B17" t="s">
        <v>1302</v>
      </c>
      <c r="C17">
        <v>85.864128112792997</v>
      </c>
      <c r="D17" t="s">
        <v>1334</v>
      </c>
      <c r="E17">
        <v>1979</v>
      </c>
      <c r="F17" t="s">
        <v>1349</v>
      </c>
      <c r="G17" t="s">
        <v>167</v>
      </c>
      <c r="H17">
        <v>98203</v>
      </c>
      <c r="I17" t="s">
        <v>1329</v>
      </c>
      <c r="J17" t="s">
        <v>1317</v>
      </c>
      <c r="K17" t="s">
        <v>1306</v>
      </c>
      <c r="L17">
        <v>24</v>
      </c>
      <c r="M17">
        <v>3</v>
      </c>
      <c r="N17">
        <v>0</v>
      </c>
      <c r="O17">
        <v>3</v>
      </c>
      <c r="P17">
        <v>0</v>
      </c>
      <c r="Q17">
        <v>24192</v>
      </c>
      <c r="R17">
        <v>24192</v>
      </c>
      <c r="S17">
        <v>0</v>
      </c>
      <c r="T17">
        <v>0</v>
      </c>
      <c r="U17">
        <v>6</v>
      </c>
      <c r="V17">
        <v>18</v>
      </c>
      <c r="W17">
        <v>0</v>
      </c>
      <c r="X17">
        <v>0</v>
      </c>
      <c r="Y17">
        <v>8</v>
      </c>
      <c r="Z17" t="b">
        <v>0</v>
      </c>
      <c r="AA17" t="b">
        <v>0</v>
      </c>
      <c r="AB17">
        <v>7.5</v>
      </c>
      <c r="AC17">
        <v>45038.921875</v>
      </c>
      <c r="AD17">
        <v>215787.140625</v>
      </c>
      <c r="AE17">
        <v>260826.0625</v>
      </c>
      <c r="AJ17" t="s">
        <v>268</v>
      </c>
      <c r="AK17">
        <v>0</v>
      </c>
      <c r="AL17">
        <v>0</v>
      </c>
      <c r="AM17">
        <v>5</v>
      </c>
      <c r="AN17">
        <v>0</v>
      </c>
      <c r="AO17">
        <v>31</v>
      </c>
      <c r="AP17">
        <v>0</v>
      </c>
      <c r="AQ17">
        <v>61</v>
      </c>
      <c r="AR17">
        <v>3</v>
      </c>
      <c r="AS17">
        <v>0</v>
      </c>
      <c r="AT17" t="b">
        <v>1</v>
      </c>
      <c r="AU17">
        <v>0</v>
      </c>
      <c r="AV17">
        <v>0</v>
      </c>
      <c r="AW17">
        <v>0</v>
      </c>
      <c r="AX17" t="b">
        <v>0</v>
      </c>
      <c r="AY17" t="b">
        <v>0</v>
      </c>
      <c r="AZ17" t="b">
        <v>0</v>
      </c>
      <c r="BA17" t="b">
        <v>0</v>
      </c>
      <c r="BB17" t="s">
        <v>268</v>
      </c>
      <c r="BC17" t="s">
        <v>268</v>
      </c>
      <c r="BD17" t="s">
        <v>268</v>
      </c>
      <c r="BE17" t="s">
        <v>1307</v>
      </c>
      <c r="BF17" t="s">
        <v>1308</v>
      </c>
      <c r="BG17" t="s">
        <v>1309</v>
      </c>
      <c r="BH17" t="s">
        <v>1310</v>
      </c>
      <c r="BI17" t="s">
        <v>1311</v>
      </c>
      <c r="BJ17" t="b">
        <v>1</v>
      </c>
      <c r="BK17" t="b">
        <v>1</v>
      </c>
      <c r="BL17" t="b">
        <v>0</v>
      </c>
      <c r="BM17" t="b">
        <v>0</v>
      </c>
      <c r="BN17" t="b">
        <v>0</v>
      </c>
      <c r="BO17" t="b">
        <v>0</v>
      </c>
      <c r="BP17">
        <v>24</v>
      </c>
      <c r="BQ17">
        <v>4</v>
      </c>
      <c r="BR17">
        <v>0</v>
      </c>
      <c r="BS17">
        <v>0</v>
      </c>
      <c r="BT17" t="b">
        <v>1</v>
      </c>
      <c r="BU17">
        <v>0</v>
      </c>
      <c r="BV17">
        <v>38</v>
      </c>
      <c r="BW17">
        <v>16150</v>
      </c>
      <c r="BX17">
        <v>0</v>
      </c>
      <c r="BY17" t="s">
        <v>268</v>
      </c>
      <c r="BZ17" t="s">
        <v>268</v>
      </c>
      <c r="CA17" t="s">
        <v>268</v>
      </c>
      <c r="CB17" t="s">
        <v>271</v>
      </c>
      <c r="CC17" t="s">
        <v>1312</v>
      </c>
      <c r="CD17" t="s">
        <v>1313</v>
      </c>
      <c r="CE17" t="s">
        <v>1327</v>
      </c>
      <c r="CF17" t="s">
        <v>1315</v>
      </c>
      <c r="CG17">
        <f t="shared" si="0"/>
        <v>85.864128112792997</v>
      </c>
      <c r="CH17">
        <f t="shared" si="1"/>
        <v>24192</v>
      </c>
      <c r="CI17">
        <f t="shared" si="2"/>
        <v>3</v>
      </c>
      <c r="CJ17">
        <f t="shared" si="3"/>
        <v>2077224.9873046882</v>
      </c>
      <c r="CK17">
        <f t="shared" si="4"/>
        <v>257.59238433837902</v>
      </c>
    </row>
    <row r="18" spans="1:89">
      <c r="A18">
        <v>10871</v>
      </c>
      <c r="B18" t="s">
        <v>1302</v>
      </c>
      <c r="C18">
        <v>200.17932128906301</v>
      </c>
      <c r="D18" t="s">
        <v>1334</v>
      </c>
      <c r="E18">
        <v>1978</v>
      </c>
      <c r="F18" t="s">
        <v>1335</v>
      </c>
      <c r="G18" t="s">
        <v>167</v>
      </c>
      <c r="H18">
        <v>98007</v>
      </c>
      <c r="I18" t="s">
        <v>1317</v>
      </c>
      <c r="K18" t="s">
        <v>1306</v>
      </c>
      <c r="L18">
        <v>24</v>
      </c>
      <c r="M18">
        <v>3</v>
      </c>
      <c r="N18">
        <v>0</v>
      </c>
      <c r="O18">
        <v>3</v>
      </c>
      <c r="P18">
        <v>0</v>
      </c>
      <c r="Q18">
        <v>32100</v>
      </c>
      <c r="R18">
        <v>32100</v>
      </c>
      <c r="S18">
        <v>4805</v>
      </c>
      <c r="T18">
        <v>0</v>
      </c>
      <c r="U18">
        <v>6</v>
      </c>
      <c r="V18">
        <v>18</v>
      </c>
      <c r="W18">
        <v>0</v>
      </c>
      <c r="X18">
        <v>0</v>
      </c>
      <c r="Y18">
        <v>5</v>
      </c>
      <c r="Z18" t="b">
        <v>0</v>
      </c>
      <c r="AA18" t="b">
        <v>1</v>
      </c>
      <c r="AB18">
        <v>8</v>
      </c>
      <c r="AC18">
        <v>30202.26171875</v>
      </c>
      <c r="AD18">
        <v>201599.953125</v>
      </c>
      <c r="AE18">
        <v>231802.21875</v>
      </c>
      <c r="AI18">
        <v>790909.1875</v>
      </c>
      <c r="AJ18" t="s">
        <v>268</v>
      </c>
      <c r="AK18">
        <v>0</v>
      </c>
      <c r="AL18">
        <v>44</v>
      </c>
      <c r="AM18">
        <v>0</v>
      </c>
      <c r="AN18">
        <v>6</v>
      </c>
      <c r="AO18">
        <v>0</v>
      </c>
      <c r="AP18">
        <v>6</v>
      </c>
      <c r="AQ18">
        <v>0</v>
      </c>
      <c r="AR18">
        <v>0</v>
      </c>
      <c r="AS18">
        <v>44</v>
      </c>
      <c r="AT18" t="b">
        <v>1</v>
      </c>
      <c r="AU18">
        <v>6</v>
      </c>
      <c r="AV18">
        <v>6</v>
      </c>
      <c r="AW18">
        <v>0</v>
      </c>
      <c r="AX18" t="b">
        <v>0</v>
      </c>
      <c r="AY18" t="b">
        <v>0</v>
      </c>
      <c r="AZ18" t="b">
        <v>1</v>
      </c>
      <c r="BA18" t="b">
        <v>0</v>
      </c>
      <c r="BB18" t="s">
        <v>268</v>
      </c>
      <c r="BC18" t="s">
        <v>268</v>
      </c>
      <c r="BD18" t="s">
        <v>268</v>
      </c>
      <c r="BE18" t="s">
        <v>1307</v>
      </c>
      <c r="BF18" t="s">
        <v>1308</v>
      </c>
      <c r="BG18" t="s">
        <v>1309</v>
      </c>
      <c r="BH18" t="s">
        <v>1310</v>
      </c>
      <c r="BI18" t="s">
        <v>1322</v>
      </c>
      <c r="BJ18" t="b">
        <v>0</v>
      </c>
      <c r="BK18" t="b">
        <v>1</v>
      </c>
      <c r="BL18" t="b">
        <v>0</v>
      </c>
      <c r="BM18" t="b">
        <v>0</v>
      </c>
      <c r="BN18" t="b">
        <v>0</v>
      </c>
      <c r="BO18" t="b">
        <v>0</v>
      </c>
      <c r="BQ18">
        <v>1</v>
      </c>
      <c r="BR18">
        <v>0</v>
      </c>
      <c r="BS18">
        <v>0</v>
      </c>
      <c r="BT18" t="b">
        <v>1</v>
      </c>
      <c r="BU18">
        <v>0</v>
      </c>
      <c r="BV18">
        <v>36</v>
      </c>
      <c r="BW18">
        <v>15300</v>
      </c>
      <c r="BX18">
        <v>0</v>
      </c>
      <c r="BY18" t="s">
        <v>268</v>
      </c>
      <c r="BZ18" t="s">
        <v>268</v>
      </c>
      <c r="CA18" t="s">
        <v>268</v>
      </c>
      <c r="CB18" t="s">
        <v>271</v>
      </c>
      <c r="CC18" t="s">
        <v>1319</v>
      </c>
      <c r="CD18" t="s">
        <v>1313</v>
      </c>
      <c r="CE18" t="s">
        <v>1314</v>
      </c>
      <c r="CF18" t="s">
        <v>1315</v>
      </c>
      <c r="CG18">
        <f t="shared" si="0"/>
        <v>200.17932128906301</v>
      </c>
      <c r="CH18">
        <f t="shared" si="1"/>
        <v>32100</v>
      </c>
      <c r="CI18">
        <f t="shared" si="2"/>
        <v>3</v>
      </c>
      <c r="CJ18">
        <f t="shared" si="3"/>
        <v>6425756.213378923</v>
      </c>
      <c r="CK18">
        <f t="shared" si="4"/>
        <v>600.53796386718909</v>
      </c>
    </row>
    <row r="19" spans="1:89">
      <c r="A19">
        <v>10901</v>
      </c>
      <c r="B19" t="s">
        <v>1302</v>
      </c>
      <c r="C19">
        <v>228.97100830078099</v>
      </c>
      <c r="D19" t="s">
        <v>1334</v>
      </c>
      <c r="E19">
        <v>1978</v>
      </c>
      <c r="F19" t="s">
        <v>1350</v>
      </c>
      <c r="G19" t="s">
        <v>167</v>
      </c>
      <c r="H19">
        <v>98270</v>
      </c>
      <c r="I19" t="s">
        <v>1329</v>
      </c>
      <c r="K19" t="s">
        <v>1351</v>
      </c>
      <c r="L19">
        <v>9</v>
      </c>
      <c r="M19">
        <v>2</v>
      </c>
      <c r="N19">
        <v>0</v>
      </c>
      <c r="O19">
        <v>2</v>
      </c>
      <c r="P19">
        <v>0</v>
      </c>
      <c r="Q19">
        <v>13581</v>
      </c>
      <c r="R19">
        <v>13581</v>
      </c>
      <c r="S19">
        <v>0</v>
      </c>
      <c r="T19">
        <v>0</v>
      </c>
      <c r="U19">
        <v>0</v>
      </c>
      <c r="V19">
        <v>9</v>
      </c>
      <c r="W19">
        <v>0</v>
      </c>
      <c r="X19">
        <v>0</v>
      </c>
      <c r="Y19">
        <v>0</v>
      </c>
      <c r="Z19" t="b">
        <v>0</v>
      </c>
      <c r="AA19" t="b">
        <v>0</v>
      </c>
      <c r="AB19">
        <v>7.75</v>
      </c>
      <c r="AD19">
        <v>94295.8359375</v>
      </c>
      <c r="AE19">
        <v>94295.8359375</v>
      </c>
      <c r="AI19">
        <v>321737.40625</v>
      </c>
      <c r="AJ19" t="s">
        <v>268</v>
      </c>
      <c r="AK19">
        <v>0</v>
      </c>
      <c r="AL19">
        <v>50</v>
      </c>
      <c r="AM19">
        <v>0</v>
      </c>
      <c r="AN19">
        <v>2</v>
      </c>
      <c r="AO19">
        <v>0</v>
      </c>
      <c r="AP19">
        <v>2</v>
      </c>
      <c r="AQ19">
        <v>0</v>
      </c>
      <c r="AR19">
        <v>0</v>
      </c>
      <c r="AS19">
        <v>44</v>
      </c>
      <c r="AT19" t="b">
        <v>1</v>
      </c>
      <c r="AU19">
        <v>0</v>
      </c>
      <c r="AV19">
        <v>0</v>
      </c>
      <c r="AW19">
        <v>0</v>
      </c>
      <c r="AX19" t="b">
        <v>0</v>
      </c>
      <c r="AY19" t="b">
        <v>0</v>
      </c>
      <c r="AZ19" t="b">
        <v>0</v>
      </c>
      <c r="BA19" t="b">
        <v>0</v>
      </c>
      <c r="BB19" t="s">
        <v>268</v>
      </c>
      <c r="BC19" t="s">
        <v>268</v>
      </c>
      <c r="BD19" t="s">
        <v>268</v>
      </c>
      <c r="BE19" t="s">
        <v>1307</v>
      </c>
      <c r="BF19" t="s">
        <v>1308</v>
      </c>
      <c r="BG19" t="s">
        <v>1309</v>
      </c>
      <c r="BH19" t="s">
        <v>1310</v>
      </c>
      <c r="BI19" t="s">
        <v>1311</v>
      </c>
      <c r="BJ19" t="b">
        <v>0</v>
      </c>
      <c r="BK19" t="b">
        <v>1</v>
      </c>
      <c r="BL19" t="b">
        <v>0</v>
      </c>
      <c r="BM19" t="b">
        <v>0</v>
      </c>
      <c r="BN19" t="b">
        <v>0</v>
      </c>
      <c r="BO19" t="b">
        <v>0</v>
      </c>
      <c r="BP19">
        <v>6</v>
      </c>
      <c r="BQ19">
        <v>11</v>
      </c>
      <c r="BR19">
        <v>0</v>
      </c>
      <c r="BS19">
        <v>0</v>
      </c>
      <c r="BT19" t="b">
        <v>1</v>
      </c>
      <c r="BU19">
        <v>0</v>
      </c>
      <c r="BV19">
        <v>19</v>
      </c>
      <c r="BW19">
        <v>8075</v>
      </c>
      <c r="BX19">
        <v>0</v>
      </c>
      <c r="BY19" t="s">
        <v>268</v>
      </c>
      <c r="BZ19" t="s">
        <v>268</v>
      </c>
      <c r="CA19" t="s">
        <v>268</v>
      </c>
      <c r="CB19" t="s">
        <v>271</v>
      </c>
      <c r="CC19" t="s">
        <v>1312</v>
      </c>
      <c r="CD19" t="s">
        <v>1313</v>
      </c>
      <c r="CE19" t="s">
        <v>1314</v>
      </c>
      <c r="CF19" t="s">
        <v>1315</v>
      </c>
      <c r="CG19">
        <f t="shared" si="0"/>
        <v>228.97100830078099</v>
      </c>
      <c r="CH19">
        <f t="shared" si="1"/>
        <v>13581</v>
      </c>
      <c r="CI19">
        <f t="shared" si="2"/>
        <v>2</v>
      </c>
      <c r="CJ19">
        <f t="shared" si="3"/>
        <v>3109655.2637329069</v>
      </c>
      <c r="CK19">
        <f t="shared" si="4"/>
        <v>457.94201660156199</v>
      </c>
    </row>
    <row r="20" spans="1:89">
      <c r="A20">
        <v>10910</v>
      </c>
      <c r="B20" t="s">
        <v>1302</v>
      </c>
      <c r="C20">
        <v>206.07391357421901</v>
      </c>
      <c r="D20" t="s">
        <v>1324</v>
      </c>
      <c r="E20">
        <v>1961</v>
      </c>
      <c r="F20" t="s">
        <v>1352</v>
      </c>
      <c r="G20" t="s">
        <v>167</v>
      </c>
      <c r="H20">
        <v>98043</v>
      </c>
      <c r="I20" t="s">
        <v>1329</v>
      </c>
      <c r="K20" t="s">
        <v>1351</v>
      </c>
      <c r="L20">
        <v>10</v>
      </c>
      <c r="M20">
        <v>2</v>
      </c>
      <c r="N20">
        <v>0</v>
      </c>
      <c r="O20">
        <v>2</v>
      </c>
      <c r="P20">
        <v>1</v>
      </c>
      <c r="Q20">
        <v>16930</v>
      </c>
      <c r="R20">
        <v>16930</v>
      </c>
      <c r="S20">
        <v>0</v>
      </c>
      <c r="T20">
        <v>0</v>
      </c>
      <c r="U20">
        <v>0</v>
      </c>
      <c r="V20">
        <v>10</v>
      </c>
      <c r="W20">
        <v>0</v>
      </c>
      <c r="X20">
        <v>0</v>
      </c>
      <c r="Y20">
        <v>0</v>
      </c>
      <c r="Z20" t="b">
        <v>0</v>
      </c>
      <c r="AA20" t="b">
        <v>0</v>
      </c>
      <c r="AB20">
        <v>8</v>
      </c>
      <c r="AC20">
        <v>1288.31616210938</v>
      </c>
      <c r="AD20">
        <v>170627.953125</v>
      </c>
      <c r="AE20">
        <v>171916.265625</v>
      </c>
      <c r="AI20">
        <v>586578.3125</v>
      </c>
      <c r="AJ20" t="s">
        <v>268</v>
      </c>
      <c r="AK20">
        <v>0</v>
      </c>
      <c r="AL20">
        <v>67</v>
      </c>
      <c r="AM20">
        <v>0</v>
      </c>
      <c r="AN20">
        <v>1</v>
      </c>
      <c r="AO20">
        <v>0</v>
      </c>
      <c r="AP20">
        <v>1</v>
      </c>
      <c r="AQ20">
        <v>0</v>
      </c>
      <c r="AR20">
        <v>0</v>
      </c>
      <c r="AS20">
        <v>31</v>
      </c>
      <c r="AT20" t="b">
        <v>1</v>
      </c>
      <c r="AU20">
        <v>0</v>
      </c>
      <c r="AV20">
        <v>0</v>
      </c>
      <c r="AW20">
        <v>0</v>
      </c>
      <c r="AX20" t="b">
        <v>0</v>
      </c>
      <c r="AY20" t="b">
        <v>0</v>
      </c>
      <c r="AZ20" t="b">
        <v>0</v>
      </c>
      <c r="BA20" t="b">
        <v>0</v>
      </c>
      <c r="BB20" t="s">
        <v>268</v>
      </c>
      <c r="BC20" t="s">
        <v>268</v>
      </c>
      <c r="BD20" t="s">
        <v>268</v>
      </c>
      <c r="BE20" t="s">
        <v>1307</v>
      </c>
      <c r="BF20" t="s">
        <v>1308</v>
      </c>
      <c r="BG20" t="s">
        <v>1309</v>
      </c>
      <c r="BH20" t="s">
        <v>1310</v>
      </c>
      <c r="BI20" t="s">
        <v>1311</v>
      </c>
      <c r="BJ20" t="b">
        <v>0</v>
      </c>
      <c r="BK20" t="b">
        <v>1</v>
      </c>
      <c r="BL20" t="b">
        <v>0</v>
      </c>
      <c r="BM20" t="b">
        <v>0</v>
      </c>
      <c r="BN20" t="b">
        <v>0</v>
      </c>
      <c r="BO20" t="b">
        <v>0</v>
      </c>
      <c r="BP20">
        <v>2</v>
      </c>
      <c r="BQ20">
        <v>11</v>
      </c>
      <c r="BR20">
        <v>0</v>
      </c>
      <c r="BS20">
        <v>0</v>
      </c>
      <c r="BT20" t="b">
        <v>1</v>
      </c>
      <c r="BU20">
        <v>0</v>
      </c>
      <c r="BV20">
        <v>34</v>
      </c>
      <c r="BW20">
        <v>12580</v>
      </c>
      <c r="BX20">
        <v>1</v>
      </c>
      <c r="BY20" t="s">
        <v>271</v>
      </c>
      <c r="BZ20" t="s">
        <v>268</v>
      </c>
      <c r="CA20" t="s">
        <v>268</v>
      </c>
      <c r="CB20" t="s">
        <v>271</v>
      </c>
      <c r="CC20" t="s">
        <v>1319</v>
      </c>
      <c r="CD20" t="s">
        <v>1313</v>
      </c>
      <c r="CE20" t="s">
        <v>1333</v>
      </c>
      <c r="CF20" t="s">
        <v>1315</v>
      </c>
      <c r="CG20">
        <f t="shared" si="0"/>
        <v>206.07391357421901</v>
      </c>
      <c r="CH20">
        <f t="shared" si="1"/>
        <v>16930</v>
      </c>
      <c r="CI20">
        <f t="shared" si="2"/>
        <v>2</v>
      </c>
      <c r="CJ20">
        <f t="shared" si="3"/>
        <v>3488831.3568115276</v>
      </c>
      <c r="CK20">
        <f t="shared" si="4"/>
        <v>412.14782714843801</v>
      </c>
    </row>
    <row r="21" spans="1:89">
      <c r="A21">
        <v>10996</v>
      </c>
      <c r="B21" t="s">
        <v>1302</v>
      </c>
      <c r="C21">
        <v>112.106643676758</v>
      </c>
      <c r="D21" t="s">
        <v>1340</v>
      </c>
      <c r="E21">
        <v>1996</v>
      </c>
      <c r="F21" t="s">
        <v>1325</v>
      </c>
      <c r="G21" t="s">
        <v>168</v>
      </c>
      <c r="H21">
        <v>97405</v>
      </c>
      <c r="I21" t="s">
        <v>1326</v>
      </c>
      <c r="K21" t="s">
        <v>1306</v>
      </c>
      <c r="L21">
        <v>16</v>
      </c>
      <c r="M21">
        <v>2</v>
      </c>
      <c r="N21">
        <v>0</v>
      </c>
      <c r="O21">
        <v>2</v>
      </c>
      <c r="P21">
        <v>0</v>
      </c>
      <c r="Q21">
        <v>14200</v>
      </c>
      <c r="R21">
        <v>14200</v>
      </c>
      <c r="S21">
        <v>1100</v>
      </c>
      <c r="T21">
        <v>0</v>
      </c>
      <c r="U21">
        <v>0</v>
      </c>
      <c r="V21">
        <v>1</v>
      </c>
      <c r="W21">
        <v>15</v>
      </c>
      <c r="X21">
        <v>0</v>
      </c>
      <c r="Y21">
        <v>0</v>
      </c>
      <c r="Z21" t="b">
        <v>0</v>
      </c>
      <c r="AA21" t="b">
        <v>1</v>
      </c>
      <c r="AB21">
        <v>8</v>
      </c>
      <c r="AC21">
        <v>14456.4384765625</v>
      </c>
      <c r="AD21">
        <v>82379.6953125</v>
      </c>
      <c r="AE21">
        <v>96836.1328125</v>
      </c>
      <c r="AI21">
        <v>330404.875</v>
      </c>
      <c r="AJ21" t="s">
        <v>271</v>
      </c>
      <c r="AK21">
        <v>0</v>
      </c>
      <c r="AL21">
        <v>28</v>
      </c>
      <c r="AM21">
        <v>0</v>
      </c>
      <c r="AN21">
        <v>14</v>
      </c>
      <c r="AO21">
        <v>0</v>
      </c>
      <c r="AP21">
        <v>30</v>
      </c>
      <c r="AQ21">
        <v>0</v>
      </c>
      <c r="AR21">
        <v>0</v>
      </c>
      <c r="AS21">
        <v>28</v>
      </c>
      <c r="AT21" t="b">
        <v>1</v>
      </c>
      <c r="AU21">
        <v>2</v>
      </c>
      <c r="AV21">
        <v>2</v>
      </c>
      <c r="AW21">
        <v>0</v>
      </c>
      <c r="AX21" t="b">
        <v>0</v>
      </c>
      <c r="AY21" t="b">
        <v>0</v>
      </c>
      <c r="AZ21" t="b">
        <v>1</v>
      </c>
      <c r="BA21" t="b">
        <v>0</v>
      </c>
      <c r="BB21" t="s">
        <v>268</v>
      </c>
      <c r="BC21" t="s">
        <v>268</v>
      </c>
      <c r="BD21" t="s">
        <v>268</v>
      </c>
      <c r="BE21" t="s">
        <v>1353</v>
      </c>
      <c r="BF21" t="s">
        <v>1308</v>
      </c>
      <c r="BG21" t="s">
        <v>1309</v>
      </c>
      <c r="BH21" t="s">
        <v>1336</v>
      </c>
      <c r="BI21" t="s">
        <v>1322</v>
      </c>
      <c r="BJ21" t="b">
        <v>0</v>
      </c>
      <c r="BK21" t="b">
        <v>1</v>
      </c>
      <c r="BL21" t="b">
        <v>0</v>
      </c>
      <c r="BM21" t="b">
        <v>0</v>
      </c>
      <c r="BN21" t="b">
        <v>0</v>
      </c>
      <c r="BO21" t="b">
        <v>0</v>
      </c>
      <c r="BP21">
        <v>1</v>
      </c>
      <c r="BQ21">
        <v>17</v>
      </c>
      <c r="BR21">
        <v>0</v>
      </c>
      <c r="BS21">
        <v>0</v>
      </c>
      <c r="BT21" t="b">
        <v>1</v>
      </c>
      <c r="BV21">
        <v>7</v>
      </c>
      <c r="BW21">
        <v>2975</v>
      </c>
      <c r="BX21">
        <v>0</v>
      </c>
      <c r="BY21" t="s">
        <v>268</v>
      </c>
      <c r="BZ21" t="s">
        <v>268</v>
      </c>
      <c r="CA21" t="s">
        <v>268</v>
      </c>
      <c r="CB21" t="s">
        <v>271</v>
      </c>
      <c r="CC21" t="s">
        <v>1312</v>
      </c>
      <c r="CD21" t="s">
        <v>1313</v>
      </c>
      <c r="CE21" t="s">
        <v>1314</v>
      </c>
      <c r="CF21" t="s">
        <v>1315</v>
      </c>
      <c r="CG21">
        <f t="shared" si="0"/>
        <v>112.106643676758</v>
      </c>
      <c r="CH21">
        <f t="shared" si="1"/>
        <v>14200</v>
      </c>
      <c r="CI21">
        <f t="shared" si="2"/>
        <v>2</v>
      </c>
      <c r="CJ21">
        <f t="shared" si="3"/>
        <v>1591914.3402099635</v>
      </c>
      <c r="CK21">
        <f t="shared" si="4"/>
        <v>224.21328735351599</v>
      </c>
    </row>
    <row r="22" spans="1:89">
      <c r="A22">
        <v>11005</v>
      </c>
      <c r="B22" t="s">
        <v>1302</v>
      </c>
      <c r="C22">
        <v>358.74127197265602</v>
      </c>
      <c r="D22" t="s">
        <v>1354</v>
      </c>
      <c r="E22">
        <v>1949</v>
      </c>
      <c r="F22" t="s">
        <v>1325</v>
      </c>
      <c r="G22" t="s">
        <v>168</v>
      </c>
      <c r="H22">
        <v>97401</v>
      </c>
      <c r="I22" t="s">
        <v>1326</v>
      </c>
      <c r="K22" t="s">
        <v>1306</v>
      </c>
      <c r="L22">
        <v>5</v>
      </c>
      <c r="M22">
        <v>3</v>
      </c>
      <c r="N22">
        <v>0</v>
      </c>
      <c r="O22">
        <v>2</v>
      </c>
      <c r="P22">
        <v>0</v>
      </c>
      <c r="Q22">
        <v>4656</v>
      </c>
      <c r="R22">
        <v>4656</v>
      </c>
      <c r="S22">
        <v>483</v>
      </c>
      <c r="T22">
        <v>0</v>
      </c>
      <c r="U22">
        <v>1</v>
      </c>
      <c r="V22">
        <v>3</v>
      </c>
      <c r="W22">
        <v>0</v>
      </c>
      <c r="X22">
        <v>1</v>
      </c>
      <c r="Y22">
        <v>0</v>
      </c>
      <c r="Z22" t="b">
        <v>0</v>
      </c>
      <c r="AA22" t="b">
        <v>1</v>
      </c>
      <c r="AB22">
        <v>7.5</v>
      </c>
      <c r="AC22">
        <v>10553.3876953125</v>
      </c>
      <c r="AD22">
        <v>13901.552734375</v>
      </c>
      <c r="AE22">
        <v>24454.94140625</v>
      </c>
      <c r="AI22">
        <v>83440.2578125</v>
      </c>
      <c r="AJ22" t="s">
        <v>268</v>
      </c>
      <c r="AK22">
        <v>0</v>
      </c>
      <c r="AL22">
        <v>47</v>
      </c>
      <c r="AM22">
        <v>0</v>
      </c>
      <c r="AN22">
        <v>7</v>
      </c>
      <c r="AO22">
        <v>0</v>
      </c>
      <c r="AP22">
        <v>17</v>
      </c>
      <c r="AQ22">
        <v>0</v>
      </c>
      <c r="AR22">
        <v>0</v>
      </c>
      <c r="AS22">
        <v>29</v>
      </c>
      <c r="AT22" t="b">
        <v>0</v>
      </c>
      <c r="AU22">
        <v>1</v>
      </c>
      <c r="AV22">
        <v>1</v>
      </c>
      <c r="AW22">
        <v>0</v>
      </c>
      <c r="AX22" t="b">
        <v>1</v>
      </c>
      <c r="AY22" t="b">
        <v>0</v>
      </c>
      <c r="AZ22" t="b">
        <v>0</v>
      </c>
      <c r="BA22" t="b">
        <v>0</v>
      </c>
      <c r="BB22" t="s">
        <v>268</v>
      </c>
      <c r="BC22" t="s">
        <v>268</v>
      </c>
      <c r="BD22" t="s">
        <v>268</v>
      </c>
      <c r="BE22" t="s">
        <v>1345</v>
      </c>
      <c r="BF22" t="s">
        <v>1355</v>
      </c>
      <c r="BG22" t="s">
        <v>1346</v>
      </c>
      <c r="BH22" t="s">
        <v>1336</v>
      </c>
      <c r="BI22" t="s">
        <v>1344</v>
      </c>
      <c r="BJ22" t="b">
        <v>0</v>
      </c>
      <c r="BK22" t="b">
        <v>1</v>
      </c>
      <c r="BL22" t="b">
        <v>0</v>
      </c>
      <c r="BM22" t="b">
        <v>1</v>
      </c>
      <c r="BN22" t="b">
        <v>0</v>
      </c>
      <c r="BO22" t="b">
        <v>0</v>
      </c>
      <c r="BP22">
        <v>1</v>
      </c>
      <c r="BQ22">
        <v>6</v>
      </c>
      <c r="BR22">
        <v>0</v>
      </c>
      <c r="BS22">
        <v>0</v>
      </c>
      <c r="BT22" t="b">
        <v>1</v>
      </c>
      <c r="BV22">
        <v>1</v>
      </c>
      <c r="BW22">
        <v>425</v>
      </c>
      <c r="BX22">
        <v>0</v>
      </c>
      <c r="BY22" t="s">
        <v>268</v>
      </c>
      <c r="BZ22" t="s">
        <v>268</v>
      </c>
      <c r="CA22" t="s">
        <v>268</v>
      </c>
      <c r="CB22" t="s">
        <v>271</v>
      </c>
      <c r="CC22" t="s">
        <v>1319</v>
      </c>
      <c r="CD22" t="s">
        <v>1313</v>
      </c>
      <c r="CE22" t="s">
        <v>1356</v>
      </c>
      <c r="CF22" t="s">
        <v>1315</v>
      </c>
      <c r="CG22" t="str">
        <f t="shared" si="0"/>
        <v/>
      </c>
      <c r="CH22" t="str">
        <f t="shared" si="1"/>
        <v/>
      </c>
      <c r="CI22" t="str">
        <f t="shared" si="2"/>
        <v/>
      </c>
      <c r="CJ22" t="str">
        <f t="shared" si="3"/>
        <v/>
      </c>
      <c r="CK22" t="str">
        <f t="shared" si="4"/>
        <v/>
      </c>
    </row>
    <row r="23" spans="1:89">
      <c r="A23">
        <v>11263</v>
      </c>
      <c r="B23" t="s">
        <v>1302</v>
      </c>
      <c r="C23">
        <v>343.45651245117199</v>
      </c>
      <c r="D23" t="s">
        <v>1334</v>
      </c>
      <c r="E23">
        <v>1978</v>
      </c>
      <c r="F23" t="s">
        <v>1328</v>
      </c>
      <c r="G23" t="s">
        <v>167</v>
      </c>
      <c r="H23">
        <v>98036</v>
      </c>
      <c r="I23" t="s">
        <v>1329</v>
      </c>
      <c r="K23" t="s">
        <v>1306</v>
      </c>
      <c r="L23">
        <v>6</v>
      </c>
      <c r="M23">
        <v>2</v>
      </c>
      <c r="N23">
        <v>0</v>
      </c>
      <c r="O23">
        <v>2</v>
      </c>
      <c r="P23">
        <v>0</v>
      </c>
      <c r="Q23">
        <v>5040</v>
      </c>
      <c r="R23">
        <v>5040</v>
      </c>
      <c r="S23">
        <v>0</v>
      </c>
      <c r="T23">
        <v>0</v>
      </c>
      <c r="U23">
        <v>0</v>
      </c>
      <c r="V23">
        <v>6</v>
      </c>
      <c r="W23">
        <v>0</v>
      </c>
      <c r="X23">
        <v>0</v>
      </c>
      <c r="Y23">
        <v>16</v>
      </c>
      <c r="Z23" t="b">
        <v>0</v>
      </c>
      <c r="AA23" t="b">
        <v>0</v>
      </c>
      <c r="AB23">
        <v>8</v>
      </c>
      <c r="AC23">
        <v>3785.56787109375</v>
      </c>
      <c r="AD23">
        <v>50482.6875</v>
      </c>
      <c r="AE23">
        <v>54268.25390625</v>
      </c>
      <c r="AI23">
        <v>185163.28125</v>
      </c>
      <c r="AJ23" t="s">
        <v>268</v>
      </c>
      <c r="AK23">
        <v>0</v>
      </c>
      <c r="AL23">
        <v>33</v>
      </c>
      <c r="AM23">
        <v>0</v>
      </c>
      <c r="AN23">
        <v>16</v>
      </c>
      <c r="AO23">
        <v>0</v>
      </c>
      <c r="AP23">
        <v>17</v>
      </c>
      <c r="AQ23">
        <v>0</v>
      </c>
      <c r="AR23">
        <v>0</v>
      </c>
      <c r="AS23">
        <v>33</v>
      </c>
      <c r="AT23" t="b">
        <v>0</v>
      </c>
      <c r="AU23">
        <v>0</v>
      </c>
      <c r="AV23">
        <v>0</v>
      </c>
      <c r="AW23">
        <v>0</v>
      </c>
      <c r="AX23" t="b">
        <v>0</v>
      </c>
      <c r="AY23" t="b">
        <v>0</v>
      </c>
      <c r="AZ23" t="b">
        <v>0</v>
      </c>
      <c r="BA23" t="b">
        <v>0</v>
      </c>
      <c r="BB23" t="s">
        <v>268</v>
      </c>
      <c r="BC23" t="s">
        <v>268</v>
      </c>
      <c r="BD23" t="s">
        <v>268</v>
      </c>
      <c r="BE23" t="s">
        <v>1307</v>
      </c>
      <c r="BF23" t="s">
        <v>1308</v>
      </c>
      <c r="BG23" t="s">
        <v>1309</v>
      </c>
      <c r="BH23" t="s">
        <v>1310</v>
      </c>
      <c r="BI23" t="s">
        <v>1311</v>
      </c>
      <c r="BJ23" t="b">
        <v>0</v>
      </c>
      <c r="BK23" t="b">
        <v>1</v>
      </c>
      <c r="BL23" t="b">
        <v>0</v>
      </c>
      <c r="BM23" t="b">
        <v>0</v>
      </c>
      <c r="BN23" t="b">
        <v>0</v>
      </c>
      <c r="BO23" t="b">
        <v>0</v>
      </c>
      <c r="BP23">
        <v>1</v>
      </c>
      <c r="BQ23">
        <v>7</v>
      </c>
      <c r="BR23">
        <v>0</v>
      </c>
      <c r="BS23">
        <v>0</v>
      </c>
      <c r="BT23" t="b">
        <v>1</v>
      </c>
      <c r="BU23">
        <v>0</v>
      </c>
      <c r="BV23">
        <v>12</v>
      </c>
      <c r="BW23">
        <v>5100</v>
      </c>
      <c r="BX23">
        <v>0</v>
      </c>
      <c r="BY23" t="s">
        <v>268</v>
      </c>
      <c r="BZ23" t="s">
        <v>268</v>
      </c>
      <c r="CA23" t="s">
        <v>268</v>
      </c>
      <c r="CB23" t="s">
        <v>271</v>
      </c>
      <c r="CC23" t="s">
        <v>1319</v>
      </c>
      <c r="CD23" t="s">
        <v>1313</v>
      </c>
      <c r="CE23" t="s">
        <v>1327</v>
      </c>
      <c r="CF23" t="s">
        <v>1315</v>
      </c>
      <c r="CG23">
        <f t="shared" si="0"/>
        <v>343.45651245117199</v>
      </c>
      <c r="CH23">
        <f t="shared" si="1"/>
        <v>5040</v>
      </c>
      <c r="CI23">
        <f t="shared" si="2"/>
        <v>2</v>
      </c>
      <c r="CJ23">
        <f t="shared" si="3"/>
        <v>1731020.8227539067</v>
      </c>
      <c r="CK23">
        <f t="shared" si="4"/>
        <v>686.91302490234398</v>
      </c>
    </row>
    <row r="24" spans="1:89">
      <c r="A24">
        <v>11271</v>
      </c>
      <c r="B24" t="s">
        <v>1302</v>
      </c>
      <c r="C24">
        <v>54.761714935302699</v>
      </c>
      <c r="D24" t="s">
        <v>1354</v>
      </c>
      <c r="E24">
        <v>1930</v>
      </c>
      <c r="F24" t="s">
        <v>1320</v>
      </c>
      <c r="G24" t="s">
        <v>167</v>
      </c>
      <c r="H24">
        <v>98102</v>
      </c>
      <c r="I24" t="s">
        <v>1321</v>
      </c>
      <c r="J24" t="s">
        <v>1317</v>
      </c>
      <c r="K24" t="s">
        <v>1306</v>
      </c>
      <c r="L24">
        <v>20</v>
      </c>
      <c r="M24">
        <v>4</v>
      </c>
      <c r="N24">
        <v>0</v>
      </c>
      <c r="O24">
        <v>3</v>
      </c>
      <c r="P24">
        <v>1</v>
      </c>
      <c r="Q24">
        <v>18456</v>
      </c>
      <c r="R24">
        <v>18456</v>
      </c>
      <c r="S24">
        <v>3872</v>
      </c>
      <c r="T24">
        <v>0</v>
      </c>
      <c r="U24">
        <v>0</v>
      </c>
      <c r="V24">
        <v>0</v>
      </c>
      <c r="W24">
        <v>13</v>
      </c>
      <c r="X24">
        <v>7</v>
      </c>
      <c r="Y24">
        <v>0</v>
      </c>
      <c r="Z24" t="b">
        <v>0</v>
      </c>
      <c r="AA24" t="b">
        <v>1</v>
      </c>
      <c r="AB24">
        <v>8</v>
      </c>
      <c r="AC24">
        <v>16712.109375</v>
      </c>
      <c r="AD24">
        <v>98788.4140625</v>
      </c>
      <c r="AE24">
        <v>115500.5234375</v>
      </c>
      <c r="AH24">
        <v>2416.47900390625</v>
      </c>
      <c r="AI24">
        <v>635735.6875</v>
      </c>
      <c r="AJ24" t="s">
        <v>268</v>
      </c>
      <c r="AK24">
        <v>0</v>
      </c>
      <c r="AL24">
        <v>15</v>
      </c>
      <c r="AM24">
        <v>0</v>
      </c>
      <c r="AN24">
        <v>40</v>
      </c>
      <c r="AO24">
        <v>0</v>
      </c>
      <c r="AP24">
        <v>29</v>
      </c>
      <c r="AQ24">
        <v>0</v>
      </c>
      <c r="AR24">
        <v>0</v>
      </c>
      <c r="AS24">
        <v>16</v>
      </c>
      <c r="AT24" t="b">
        <v>0</v>
      </c>
      <c r="AU24">
        <v>2</v>
      </c>
      <c r="AV24">
        <v>2</v>
      </c>
      <c r="AW24">
        <v>0</v>
      </c>
      <c r="AX24" t="b">
        <v>0</v>
      </c>
      <c r="AY24" t="b">
        <v>0</v>
      </c>
      <c r="AZ24" t="b">
        <v>0</v>
      </c>
      <c r="BA24" t="b">
        <v>0</v>
      </c>
      <c r="BB24" t="s">
        <v>271</v>
      </c>
      <c r="BC24" t="s">
        <v>268</v>
      </c>
      <c r="BD24" t="s">
        <v>268</v>
      </c>
      <c r="BE24" t="s">
        <v>1307</v>
      </c>
      <c r="BF24" t="s">
        <v>1308</v>
      </c>
      <c r="BG24" t="s">
        <v>1309</v>
      </c>
      <c r="BH24" t="s">
        <v>1310</v>
      </c>
      <c r="BI24" t="s">
        <v>1344</v>
      </c>
      <c r="BJ24" t="b">
        <v>1</v>
      </c>
      <c r="BK24" t="b">
        <v>1</v>
      </c>
      <c r="BL24" t="b">
        <v>1</v>
      </c>
      <c r="BM24" t="b">
        <v>0</v>
      </c>
      <c r="BN24" t="b">
        <v>0</v>
      </c>
      <c r="BO24" t="b">
        <v>0</v>
      </c>
      <c r="BP24">
        <v>1</v>
      </c>
      <c r="BQ24">
        <v>1</v>
      </c>
      <c r="BR24">
        <v>1</v>
      </c>
      <c r="BS24">
        <v>1</v>
      </c>
      <c r="BT24" t="b">
        <v>0</v>
      </c>
      <c r="BV24">
        <v>0</v>
      </c>
      <c r="BW24">
        <v>0</v>
      </c>
      <c r="BX24">
        <v>0</v>
      </c>
      <c r="BY24" t="s">
        <v>268</v>
      </c>
      <c r="BZ24" t="s">
        <v>268</v>
      </c>
      <c r="CA24" t="s">
        <v>268</v>
      </c>
      <c r="CB24" t="s">
        <v>268</v>
      </c>
      <c r="CC24" t="s">
        <v>1319</v>
      </c>
      <c r="CD24" t="s">
        <v>1313</v>
      </c>
      <c r="CE24" t="s">
        <v>1357</v>
      </c>
      <c r="CF24" t="s">
        <v>1315</v>
      </c>
      <c r="CG24">
        <f t="shared" si="0"/>
        <v>54.761714935302699</v>
      </c>
      <c r="CH24">
        <f t="shared" si="1"/>
        <v>18456</v>
      </c>
      <c r="CI24">
        <f t="shared" si="2"/>
        <v>4</v>
      </c>
      <c r="CJ24">
        <f t="shared" si="3"/>
        <v>1010682.2108459466</v>
      </c>
      <c r="CK24">
        <f t="shared" si="4"/>
        <v>219.0468597412108</v>
      </c>
    </row>
    <row r="25" spans="1:89">
      <c r="A25">
        <v>11290</v>
      </c>
      <c r="B25" t="s">
        <v>1302</v>
      </c>
      <c r="C25">
        <v>99.650344848632798</v>
      </c>
      <c r="D25" t="s">
        <v>1334</v>
      </c>
      <c r="E25">
        <v>1972</v>
      </c>
      <c r="F25" t="s">
        <v>1325</v>
      </c>
      <c r="G25" t="s">
        <v>168</v>
      </c>
      <c r="H25">
        <v>97402</v>
      </c>
      <c r="I25" t="s">
        <v>1326</v>
      </c>
      <c r="J25" t="s">
        <v>1358</v>
      </c>
      <c r="K25" t="s">
        <v>1351</v>
      </c>
      <c r="L25">
        <v>18</v>
      </c>
      <c r="M25">
        <v>2</v>
      </c>
      <c r="N25">
        <v>0</v>
      </c>
      <c r="O25">
        <v>2</v>
      </c>
      <c r="P25">
        <v>0</v>
      </c>
      <c r="Q25">
        <v>13200</v>
      </c>
      <c r="R25">
        <v>13200</v>
      </c>
      <c r="S25">
        <v>100</v>
      </c>
      <c r="T25">
        <v>0</v>
      </c>
      <c r="U25">
        <v>0</v>
      </c>
      <c r="V25">
        <v>16</v>
      </c>
      <c r="W25">
        <v>2</v>
      </c>
      <c r="X25">
        <v>0</v>
      </c>
      <c r="Y25">
        <v>0</v>
      </c>
      <c r="Z25" t="b">
        <v>0</v>
      </c>
      <c r="AA25" t="b">
        <v>1</v>
      </c>
      <c r="AB25">
        <v>7.6599998474121103</v>
      </c>
      <c r="AC25">
        <v>1386.36950683594</v>
      </c>
      <c r="AD25">
        <v>74575.0625</v>
      </c>
      <c r="AE25">
        <v>75961.4296875</v>
      </c>
      <c r="AF25">
        <v>350.249267578125</v>
      </c>
      <c r="AG25">
        <v>6870.11474609375</v>
      </c>
      <c r="AH25">
        <v>7220.3642578125</v>
      </c>
      <c r="AI25">
        <v>981216.8125</v>
      </c>
      <c r="AJ25" t="s">
        <v>268</v>
      </c>
      <c r="AK25">
        <v>0</v>
      </c>
      <c r="AL25">
        <v>50</v>
      </c>
      <c r="AM25">
        <v>0</v>
      </c>
      <c r="AN25">
        <v>0</v>
      </c>
      <c r="AO25">
        <v>0</v>
      </c>
      <c r="AP25">
        <v>0</v>
      </c>
      <c r="AQ25">
        <v>0</v>
      </c>
      <c r="AR25">
        <v>0</v>
      </c>
      <c r="AS25">
        <v>50</v>
      </c>
      <c r="AT25" t="b">
        <v>0</v>
      </c>
      <c r="AU25">
        <v>3</v>
      </c>
      <c r="AV25">
        <v>3</v>
      </c>
      <c r="AW25">
        <v>0</v>
      </c>
      <c r="AX25" t="b">
        <v>0</v>
      </c>
      <c r="AY25" t="b">
        <v>0</v>
      </c>
      <c r="AZ25" t="b">
        <v>0</v>
      </c>
      <c r="BA25" t="b">
        <v>0</v>
      </c>
      <c r="BB25" t="s">
        <v>268</v>
      </c>
      <c r="BC25" t="s">
        <v>268</v>
      </c>
      <c r="BD25" t="s">
        <v>268</v>
      </c>
      <c r="BE25" t="s">
        <v>1341</v>
      </c>
      <c r="BF25" t="s">
        <v>1342</v>
      </c>
      <c r="BG25" t="s">
        <v>1309</v>
      </c>
      <c r="BH25" t="s">
        <v>1310</v>
      </c>
      <c r="BI25" t="s">
        <v>1322</v>
      </c>
      <c r="BJ25" t="b">
        <v>1</v>
      </c>
      <c r="BK25" t="b">
        <v>1</v>
      </c>
      <c r="BL25" t="b">
        <v>1</v>
      </c>
      <c r="BM25" t="b">
        <v>0</v>
      </c>
      <c r="BN25" t="b">
        <v>0</v>
      </c>
      <c r="BO25" t="b">
        <v>0</v>
      </c>
      <c r="BP25">
        <v>1</v>
      </c>
      <c r="BQ25">
        <v>19</v>
      </c>
      <c r="BR25">
        <v>1</v>
      </c>
      <c r="BS25">
        <v>17</v>
      </c>
      <c r="BT25" t="b">
        <v>1</v>
      </c>
      <c r="BV25">
        <v>18</v>
      </c>
      <c r="BW25">
        <v>7650</v>
      </c>
      <c r="BX25">
        <v>0</v>
      </c>
      <c r="BY25" t="s">
        <v>268</v>
      </c>
      <c r="BZ25" t="s">
        <v>268</v>
      </c>
      <c r="CA25" t="s">
        <v>268</v>
      </c>
      <c r="CB25" t="s">
        <v>271</v>
      </c>
      <c r="CC25" t="s">
        <v>1312</v>
      </c>
      <c r="CD25" t="s">
        <v>1313</v>
      </c>
      <c r="CE25" t="s">
        <v>1314</v>
      </c>
      <c r="CF25" t="s">
        <v>1315</v>
      </c>
      <c r="CG25" t="str">
        <f t="shared" si="0"/>
        <v/>
      </c>
      <c r="CH25" t="str">
        <f t="shared" si="1"/>
        <v/>
      </c>
      <c r="CI25" t="str">
        <f t="shared" si="2"/>
        <v/>
      </c>
      <c r="CJ25" t="str">
        <f t="shared" si="3"/>
        <v/>
      </c>
      <c r="CK25" t="str">
        <f t="shared" si="4"/>
        <v/>
      </c>
    </row>
    <row r="26" spans="1:89">
      <c r="A26">
        <v>11297</v>
      </c>
      <c r="B26" t="s">
        <v>1302</v>
      </c>
      <c r="C26">
        <v>40.372299194335902</v>
      </c>
      <c r="D26" t="s">
        <v>1338</v>
      </c>
      <c r="E26">
        <v>2006</v>
      </c>
      <c r="F26" t="s">
        <v>1316</v>
      </c>
      <c r="G26" t="s">
        <v>167</v>
      </c>
      <c r="H26">
        <v>98033</v>
      </c>
      <c r="I26" t="s">
        <v>1317</v>
      </c>
      <c r="J26" t="s">
        <v>1317</v>
      </c>
      <c r="K26" t="s">
        <v>1306</v>
      </c>
      <c r="L26">
        <v>119</v>
      </c>
      <c r="M26">
        <v>3</v>
      </c>
      <c r="N26">
        <v>0.5</v>
      </c>
      <c r="O26">
        <v>3</v>
      </c>
      <c r="P26">
        <v>0</v>
      </c>
      <c r="Q26">
        <v>134648</v>
      </c>
      <c r="R26">
        <v>125809</v>
      </c>
      <c r="S26">
        <v>15237</v>
      </c>
      <c r="T26">
        <v>0</v>
      </c>
      <c r="U26">
        <v>0</v>
      </c>
      <c r="V26">
        <v>30</v>
      </c>
      <c r="W26">
        <v>89</v>
      </c>
      <c r="X26">
        <v>0</v>
      </c>
      <c r="Y26">
        <v>13</v>
      </c>
      <c r="Z26" t="b">
        <v>1</v>
      </c>
      <c r="AA26" t="b">
        <v>1</v>
      </c>
      <c r="AB26">
        <v>13.199999809265099</v>
      </c>
      <c r="AC26">
        <v>291591.21875</v>
      </c>
      <c r="AD26">
        <v>402657.15625</v>
      </c>
      <c r="AE26">
        <v>694248.375</v>
      </c>
      <c r="AH26">
        <v>29100.09375</v>
      </c>
      <c r="AI26">
        <v>5278785</v>
      </c>
      <c r="AJ26" t="s">
        <v>268</v>
      </c>
      <c r="AK26">
        <v>8839</v>
      </c>
      <c r="AL26">
        <v>27</v>
      </c>
      <c r="AM26">
        <v>0</v>
      </c>
      <c r="AN26">
        <v>9</v>
      </c>
      <c r="AO26">
        <v>0</v>
      </c>
      <c r="AP26">
        <v>27</v>
      </c>
      <c r="AQ26">
        <v>0</v>
      </c>
      <c r="AR26">
        <v>0</v>
      </c>
      <c r="AS26">
        <v>27</v>
      </c>
      <c r="AT26" t="b">
        <v>1</v>
      </c>
      <c r="AU26">
        <v>0</v>
      </c>
      <c r="AV26">
        <v>0</v>
      </c>
      <c r="AW26">
        <v>2</v>
      </c>
      <c r="AX26" t="b">
        <v>0</v>
      </c>
      <c r="AY26" t="b">
        <v>0</v>
      </c>
      <c r="AZ26" t="b">
        <v>1</v>
      </c>
      <c r="BA26" t="b">
        <v>1</v>
      </c>
      <c r="BB26" t="s">
        <v>268</v>
      </c>
      <c r="BC26" t="s">
        <v>271</v>
      </c>
      <c r="BD26" t="s">
        <v>268</v>
      </c>
      <c r="BE26" t="s">
        <v>1359</v>
      </c>
      <c r="BF26" t="s">
        <v>1342</v>
      </c>
      <c r="BG26" t="s">
        <v>1309</v>
      </c>
      <c r="BH26" t="s">
        <v>1310</v>
      </c>
      <c r="BI26" t="s">
        <v>1344</v>
      </c>
      <c r="BJ26" t="b">
        <v>1</v>
      </c>
      <c r="BK26" t="b">
        <v>1</v>
      </c>
      <c r="BL26" t="b">
        <v>1</v>
      </c>
      <c r="BM26" t="b">
        <v>0</v>
      </c>
      <c r="BN26" t="b">
        <v>0</v>
      </c>
      <c r="BO26" t="b">
        <v>0</v>
      </c>
      <c r="BP26">
        <v>1</v>
      </c>
      <c r="BQ26">
        <v>125</v>
      </c>
      <c r="BR26">
        <v>1</v>
      </c>
      <c r="BS26">
        <v>1</v>
      </c>
      <c r="BT26" t="b">
        <v>1</v>
      </c>
      <c r="BU26">
        <v>20</v>
      </c>
      <c r="BV26">
        <v>203</v>
      </c>
      <c r="BW26">
        <v>56598</v>
      </c>
      <c r="BX26">
        <v>2</v>
      </c>
      <c r="BY26" t="s">
        <v>271</v>
      </c>
      <c r="BZ26" t="s">
        <v>268</v>
      </c>
      <c r="CA26" t="s">
        <v>268</v>
      </c>
      <c r="CB26" t="s">
        <v>268</v>
      </c>
      <c r="CC26" t="s">
        <v>1312</v>
      </c>
      <c r="CD26" t="s">
        <v>1360</v>
      </c>
      <c r="CE26" t="s">
        <v>1333</v>
      </c>
      <c r="CF26" t="s">
        <v>1361</v>
      </c>
      <c r="CG26" t="str">
        <f t="shared" si="0"/>
        <v/>
      </c>
      <c r="CH26" t="str">
        <f t="shared" si="1"/>
        <v/>
      </c>
      <c r="CI26" t="str">
        <f t="shared" si="2"/>
        <v/>
      </c>
      <c r="CJ26" t="str">
        <f t="shared" si="3"/>
        <v/>
      </c>
      <c r="CK26" t="str">
        <f t="shared" si="4"/>
        <v/>
      </c>
    </row>
    <row r="27" spans="1:89">
      <c r="A27">
        <v>11345</v>
      </c>
      <c r="B27" t="s">
        <v>1302</v>
      </c>
      <c r="C27">
        <v>78.231018066406307</v>
      </c>
      <c r="D27" t="s">
        <v>1324</v>
      </c>
      <c r="E27">
        <v>1960</v>
      </c>
      <c r="F27" t="s">
        <v>1320</v>
      </c>
      <c r="G27" t="s">
        <v>167</v>
      </c>
      <c r="H27">
        <v>98119</v>
      </c>
      <c r="I27" t="s">
        <v>1321</v>
      </c>
      <c r="K27" t="s">
        <v>1306</v>
      </c>
      <c r="L27">
        <v>14</v>
      </c>
      <c r="M27">
        <v>3</v>
      </c>
      <c r="N27">
        <v>0</v>
      </c>
      <c r="O27">
        <v>3</v>
      </c>
      <c r="P27">
        <v>0</v>
      </c>
      <c r="Q27">
        <v>11014</v>
      </c>
      <c r="R27">
        <v>11014</v>
      </c>
      <c r="S27">
        <v>320</v>
      </c>
      <c r="T27">
        <v>0</v>
      </c>
      <c r="U27">
        <v>0</v>
      </c>
      <c r="V27">
        <v>7</v>
      </c>
      <c r="W27">
        <v>7</v>
      </c>
      <c r="X27">
        <v>0</v>
      </c>
      <c r="Y27">
        <v>8</v>
      </c>
      <c r="Z27" t="b">
        <v>0</v>
      </c>
      <c r="AA27" t="b">
        <v>1</v>
      </c>
      <c r="AB27">
        <v>8</v>
      </c>
      <c r="AC27">
        <v>17467.6171875</v>
      </c>
      <c r="AD27">
        <v>97696.8984375</v>
      </c>
      <c r="AE27">
        <v>115164.515625</v>
      </c>
      <c r="AI27">
        <v>392941.3125</v>
      </c>
      <c r="AJ27" t="s">
        <v>268</v>
      </c>
      <c r="AK27">
        <v>0</v>
      </c>
      <c r="AL27">
        <v>15</v>
      </c>
      <c r="AM27">
        <v>15</v>
      </c>
      <c r="AN27">
        <v>19</v>
      </c>
      <c r="AO27">
        <v>0</v>
      </c>
      <c r="AP27">
        <v>19</v>
      </c>
      <c r="AQ27">
        <v>0</v>
      </c>
      <c r="AR27">
        <v>15</v>
      </c>
      <c r="AS27">
        <v>17</v>
      </c>
      <c r="AT27" t="b">
        <v>1</v>
      </c>
      <c r="AU27">
        <v>2</v>
      </c>
      <c r="AV27">
        <v>2</v>
      </c>
      <c r="AW27">
        <v>0</v>
      </c>
      <c r="AX27" t="b">
        <v>0</v>
      </c>
      <c r="AY27" t="b">
        <v>0</v>
      </c>
      <c r="AZ27" t="b">
        <v>0</v>
      </c>
      <c r="BA27" t="b">
        <v>0</v>
      </c>
      <c r="BB27" t="s">
        <v>268</v>
      </c>
      <c r="BC27" t="s">
        <v>268</v>
      </c>
      <c r="BD27" t="s">
        <v>268</v>
      </c>
      <c r="BE27" t="s">
        <v>1307</v>
      </c>
      <c r="BF27" t="s">
        <v>1308</v>
      </c>
      <c r="BG27" t="s">
        <v>1309</v>
      </c>
      <c r="BH27" t="s">
        <v>1310</v>
      </c>
      <c r="BI27" t="s">
        <v>1322</v>
      </c>
      <c r="BJ27" t="b">
        <v>0</v>
      </c>
      <c r="BK27" t="b">
        <v>1</v>
      </c>
      <c r="BL27" t="b">
        <v>0</v>
      </c>
      <c r="BM27" t="b">
        <v>0</v>
      </c>
      <c r="BN27" t="b">
        <v>0</v>
      </c>
      <c r="BO27" t="b">
        <v>0</v>
      </c>
      <c r="BP27">
        <v>1</v>
      </c>
      <c r="BQ27">
        <v>5</v>
      </c>
      <c r="BR27">
        <v>0</v>
      </c>
      <c r="BS27">
        <v>0</v>
      </c>
      <c r="BT27" t="b">
        <v>1</v>
      </c>
      <c r="BV27">
        <v>6</v>
      </c>
      <c r="BW27">
        <v>2550</v>
      </c>
      <c r="BX27">
        <v>0</v>
      </c>
      <c r="BY27" t="s">
        <v>268</v>
      </c>
      <c r="BZ27" t="s">
        <v>268</v>
      </c>
      <c r="CA27" t="s">
        <v>268</v>
      </c>
      <c r="CB27" t="s">
        <v>271</v>
      </c>
      <c r="CC27" t="s">
        <v>1319</v>
      </c>
      <c r="CD27" t="s">
        <v>1313</v>
      </c>
      <c r="CE27" t="s">
        <v>1357</v>
      </c>
      <c r="CF27" t="s">
        <v>1315</v>
      </c>
      <c r="CG27">
        <f t="shared" si="0"/>
        <v>78.231018066406307</v>
      </c>
      <c r="CH27">
        <f t="shared" si="1"/>
        <v>11014</v>
      </c>
      <c r="CI27">
        <f t="shared" si="2"/>
        <v>3</v>
      </c>
      <c r="CJ27">
        <f t="shared" si="3"/>
        <v>861636.43298339902</v>
      </c>
      <c r="CK27">
        <f t="shared" si="4"/>
        <v>234.69305419921892</v>
      </c>
    </row>
    <row r="28" spans="1:89">
      <c r="A28">
        <v>11413</v>
      </c>
      <c r="B28" t="s">
        <v>1331</v>
      </c>
      <c r="C28">
        <v>53.381153106689503</v>
      </c>
      <c r="D28" t="s">
        <v>1340</v>
      </c>
      <c r="E28">
        <v>1995</v>
      </c>
      <c r="F28" t="s">
        <v>1335</v>
      </c>
      <c r="G28" t="s">
        <v>167</v>
      </c>
      <c r="H28">
        <v>98004</v>
      </c>
      <c r="I28" t="s">
        <v>1317</v>
      </c>
      <c r="J28" t="s">
        <v>1317</v>
      </c>
      <c r="K28" t="s">
        <v>1306</v>
      </c>
      <c r="L28">
        <v>90</v>
      </c>
      <c r="M28">
        <v>5</v>
      </c>
      <c r="N28">
        <v>0.25</v>
      </c>
      <c r="O28">
        <v>5.5</v>
      </c>
      <c r="P28">
        <v>0.25</v>
      </c>
      <c r="Q28">
        <v>132125</v>
      </c>
      <c r="R28">
        <v>125519</v>
      </c>
      <c r="S28">
        <v>16903</v>
      </c>
      <c r="T28">
        <v>0</v>
      </c>
      <c r="U28">
        <v>0</v>
      </c>
      <c r="V28">
        <v>69</v>
      </c>
      <c r="W28">
        <v>14</v>
      </c>
      <c r="X28">
        <v>7</v>
      </c>
      <c r="Y28">
        <v>9</v>
      </c>
      <c r="Z28" t="b">
        <v>1</v>
      </c>
      <c r="AA28" t="b">
        <v>1</v>
      </c>
      <c r="AB28">
        <v>10</v>
      </c>
      <c r="AC28">
        <v>311795.5625</v>
      </c>
      <c r="AD28">
        <v>749107.6875</v>
      </c>
      <c r="AE28">
        <v>1060903.25</v>
      </c>
      <c r="AH28">
        <v>13163.822265625</v>
      </c>
      <c r="AI28">
        <v>4936184</v>
      </c>
      <c r="AJ28" t="s">
        <v>268</v>
      </c>
      <c r="AK28">
        <v>6606</v>
      </c>
      <c r="AL28">
        <v>17</v>
      </c>
      <c r="AM28">
        <v>0</v>
      </c>
      <c r="AN28">
        <v>26</v>
      </c>
      <c r="AO28">
        <v>0</v>
      </c>
      <c r="AP28">
        <v>28</v>
      </c>
      <c r="AQ28">
        <v>0</v>
      </c>
      <c r="AR28">
        <v>0</v>
      </c>
      <c r="AS28">
        <v>29</v>
      </c>
      <c r="AT28" t="b">
        <v>1</v>
      </c>
      <c r="AU28">
        <v>0</v>
      </c>
      <c r="AV28">
        <v>0</v>
      </c>
      <c r="AW28">
        <v>2</v>
      </c>
      <c r="AX28" t="b">
        <v>0</v>
      </c>
      <c r="AY28" t="b">
        <v>0</v>
      </c>
      <c r="AZ28" t="b">
        <v>1</v>
      </c>
      <c r="BA28" t="b">
        <v>1</v>
      </c>
      <c r="BB28" t="s">
        <v>268</v>
      </c>
      <c r="BC28" t="s">
        <v>271</v>
      </c>
      <c r="BD28" t="s">
        <v>271</v>
      </c>
      <c r="BE28" t="s">
        <v>1307</v>
      </c>
      <c r="BF28" t="s">
        <v>1308</v>
      </c>
      <c r="BG28" t="s">
        <v>1309</v>
      </c>
      <c r="BH28" t="s">
        <v>1336</v>
      </c>
      <c r="BI28" t="s">
        <v>1322</v>
      </c>
      <c r="BJ28" t="b">
        <v>1</v>
      </c>
      <c r="BK28" t="b">
        <v>1</v>
      </c>
      <c r="BL28" t="b">
        <v>1</v>
      </c>
      <c r="BM28" t="b">
        <v>0</v>
      </c>
      <c r="BN28" t="b">
        <v>0</v>
      </c>
      <c r="BO28" t="b">
        <v>0</v>
      </c>
      <c r="BP28">
        <v>2</v>
      </c>
      <c r="BQ28">
        <v>107</v>
      </c>
      <c r="BR28">
        <v>3</v>
      </c>
      <c r="BS28">
        <v>3</v>
      </c>
      <c r="BT28" t="b">
        <v>1</v>
      </c>
      <c r="BU28">
        <v>0</v>
      </c>
      <c r="BV28">
        <v>111</v>
      </c>
      <c r="BW28">
        <v>46113</v>
      </c>
      <c r="BX28">
        <v>1.5</v>
      </c>
      <c r="BY28" t="s">
        <v>271</v>
      </c>
      <c r="BZ28" t="s">
        <v>268</v>
      </c>
      <c r="CA28" t="s">
        <v>268</v>
      </c>
      <c r="CB28" t="s">
        <v>268</v>
      </c>
      <c r="CC28" t="s">
        <v>1312</v>
      </c>
      <c r="CD28" t="s">
        <v>1313</v>
      </c>
      <c r="CE28" t="s">
        <v>1333</v>
      </c>
      <c r="CF28" t="s">
        <v>1315</v>
      </c>
      <c r="CG28" t="str">
        <f t="shared" si="0"/>
        <v/>
      </c>
      <c r="CH28" t="str">
        <f t="shared" si="1"/>
        <v/>
      </c>
      <c r="CI28" t="str">
        <f t="shared" si="2"/>
        <v/>
      </c>
      <c r="CJ28" t="str">
        <f t="shared" si="3"/>
        <v/>
      </c>
      <c r="CK28" t="str">
        <f t="shared" si="4"/>
        <v/>
      </c>
    </row>
    <row r="29" spans="1:89">
      <c r="A29">
        <v>11537</v>
      </c>
      <c r="B29" t="s">
        <v>1302</v>
      </c>
      <c r="C29">
        <v>149.47552490234401</v>
      </c>
      <c r="D29" t="s">
        <v>1324</v>
      </c>
      <c r="E29">
        <v>1968</v>
      </c>
      <c r="F29" t="s">
        <v>1325</v>
      </c>
      <c r="G29" t="s">
        <v>168</v>
      </c>
      <c r="H29">
        <v>97405</v>
      </c>
      <c r="I29" t="s">
        <v>1326</v>
      </c>
      <c r="K29" t="s">
        <v>1306</v>
      </c>
      <c r="L29">
        <v>12</v>
      </c>
      <c r="M29">
        <v>3</v>
      </c>
      <c r="N29">
        <v>0</v>
      </c>
      <c r="O29">
        <v>2.5</v>
      </c>
      <c r="P29">
        <v>0</v>
      </c>
      <c r="Q29">
        <v>9216</v>
      </c>
      <c r="R29">
        <v>9216</v>
      </c>
      <c r="S29">
        <v>0</v>
      </c>
      <c r="T29">
        <v>0</v>
      </c>
      <c r="U29">
        <v>0</v>
      </c>
      <c r="V29">
        <v>12</v>
      </c>
      <c r="W29">
        <v>0</v>
      </c>
      <c r="X29">
        <v>0</v>
      </c>
      <c r="Y29">
        <v>0</v>
      </c>
      <c r="Z29" t="b">
        <v>0</v>
      </c>
      <c r="AA29" t="b">
        <v>0</v>
      </c>
      <c r="AB29">
        <v>7.5</v>
      </c>
      <c r="AD29">
        <v>72951.421875</v>
      </c>
      <c r="AE29">
        <v>72951.421875</v>
      </c>
      <c r="AI29">
        <v>248910.25</v>
      </c>
      <c r="AJ29" t="s">
        <v>268</v>
      </c>
      <c r="AK29">
        <v>0</v>
      </c>
      <c r="AL29">
        <v>0</v>
      </c>
      <c r="AM29">
        <v>0</v>
      </c>
      <c r="AN29">
        <v>29</v>
      </c>
      <c r="AO29">
        <v>0</v>
      </c>
      <c r="AP29">
        <v>71</v>
      </c>
      <c r="AQ29">
        <v>0</v>
      </c>
      <c r="AR29">
        <v>0</v>
      </c>
      <c r="AS29">
        <v>0</v>
      </c>
      <c r="AT29" t="b">
        <v>1</v>
      </c>
      <c r="AU29">
        <v>0</v>
      </c>
      <c r="AV29">
        <v>0</v>
      </c>
      <c r="AW29">
        <v>0</v>
      </c>
      <c r="AX29" t="b">
        <v>0</v>
      </c>
      <c r="AY29" t="b">
        <v>0</v>
      </c>
      <c r="AZ29" t="b">
        <v>0</v>
      </c>
      <c r="BA29" t="b">
        <v>0</v>
      </c>
      <c r="BB29" t="s">
        <v>268</v>
      </c>
      <c r="BC29" t="s">
        <v>268</v>
      </c>
      <c r="BD29" t="s">
        <v>268</v>
      </c>
      <c r="BE29" t="s">
        <v>1307</v>
      </c>
      <c r="BF29" t="s">
        <v>1308</v>
      </c>
      <c r="BG29" t="s">
        <v>1309</v>
      </c>
      <c r="BH29" t="s">
        <v>1336</v>
      </c>
      <c r="BI29" t="s">
        <v>1311</v>
      </c>
      <c r="BJ29" t="b">
        <v>0</v>
      </c>
      <c r="BK29" t="b">
        <v>1</v>
      </c>
      <c r="BL29" t="b">
        <v>0</v>
      </c>
      <c r="BM29" t="b">
        <v>0</v>
      </c>
      <c r="BN29" t="b">
        <v>0</v>
      </c>
      <c r="BO29" t="b">
        <v>0</v>
      </c>
      <c r="BP29">
        <v>6</v>
      </c>
      <c r="BQ29">
        <v>16</v>
      </c>
      <c r="BR29">
        <v>0</v>
      </c>
      <c r="BS29">
        <v>0</v>
      </c>
      <c r="BT29" t="b">
        <v>1</v>
      </c>
      <c r="BU29">
        <v>25</v>
      </c>
      <c r="BV29">
        <v>15</v>
      </c>
      <c r="BW29">
        <v>6375</v>
      </c>
      <c r="BX29">
        <v>0</v>
      </c>
      <c r="BY29" t="s">
        <v>268</v>
      </c>
      <c r="BZ29" t="s">
        <v>268</v>
      </c>
      <c r="CA29" t="s">
        <v>268</v>
      </c>
      <c r="CB29" t="s">
        <v>271</v>
      </c>
      <c r="CC29" t="s">
        <v>1312</v>
      </c>
      <c r="CD29" t="s">
        <v>1313</v>
      </c>
      <c r="CE29" t="s">
        <v>1314</v>
      </c>
      <c r="CF29" t="s">
        <v>1315</v>
      </c>
      <c r="CG29">
        <f t="shared" si="0"/>
        <v>149.47552490234401</v>
      </c>
      <c r="CH29">
        <f t="shared" si="1"/>
        <v>9216</v>
      </c>
      <c r="CI29">
        <f t="shared" si="2"/>
        <v>3</v>
      </c>
      <c r="CJ29">
        <f t="shared" si="3"/>
        <v>1377566.4375000023</v>
      </c>
      <c r="CK29">
        <f t="shared" si="4"/>
        <v>448.42657470703205</v>
      </c>
    </row>
    <row r="30" spans="1:89">
      <c r="A30">
        <v>11598</v>
      </c>
      <c r="B30" t="s">
        <v>1302</v>
      </c>
      <c r="C30">
        <v>400.358642578125</v>
      </c>
      <c r="D30" t="s">
        <v>1340</v>
      </c>
      <c r="E30">
        <v>1991</v>
      </c>
      <c r="F30" t="s">
        <v>1362</v>
      </c>
      <c r="G30" t="s">
        <v>167</v>
      </c>
      <c r="H30">
        <v>98092</v>
      </c>
      <c r="I30" t="s">
        <v>1317</v>
      </c>
      <c r="J30" t="s">
        <v>1317</v>
      </c>
      <c r="K30" t="s">
        <v>1306</v>
      </c>
      <c r="L30">
        <v>12</v>
      </c>
      <c r="M30">
        <v>3</v>
      </c>
      <c r="N30">
        <v>0</v>
      </c>
      <c r="O30">
        <v>3</v>
      </c>
      <c r="P30">
        <v>0</v>
      </c>
      <c r="Q30">
        <v>11400</v>
      </c>
      <c r="R30">
        <v>11400</v>
      </c>
      <c r="S30">
        <v>0</v>
      </c>
      <c r="T30">
        <v>0</v>
      </c>
      <c r="U30">
        <v>12</v>
      </c>
      <c r="V30">
        <v>0</v>
      </c>
      <c r="W30">
        <v>0</v>
      </c>
      <c r="X30">
        <v>0</v>
      </c>
      <c r="Y30">
        <v>8</v>
      </c>
      <c r="Z30" t="b">
        <v>0</v>
      </c>
      <c r="AA30" t="b">
        <v>0</v>
      </c>
      <c r="AB30">
        <v>8</v>
      </c>
      <c r="AD30">
        <v>141969.296875</v>
      </c>
      <c r="AE30">
        <v>141969.296875</v>
      </c>
      <c r="AJ30" t="s">
        <v>268</v>
      </c>
      <c r="AK30">
        <v>0</v>
      </c>
      <c r="AL30">
        <v>2</v>
      </c>
      <c r="AM30">
        <v>0</v>
      </c>
      <c r="AN30">
        <v>58</v>
      </c>
      <c r="AO30">
        <v>0</v>
      </c>
      <c r="AP30">
        <v>38</v>
      </c>
      <c r="AQ30">
        <v>0</v>
      </c>
      <c r="AR30">
        <v>0</v>
      </c>
      <c r="AS30">
        <v>2</v>
      </c>
      <c r="AT30" t="b">
        <v>1</v>
      </c>
      <c r="AU30">
        <v>0</v>
      </c>
      <c r="AV30">
        <v>0</v>
      </c>
      <c r="AW30">
        <v>0</v>
      </c>
      <c r="AX30" t="b">
        <v>0</v>
      </c>
      <c r="AY30" t="b">
        <v>0</v>
      </c>
      <c r="AZ30" t="b">
        <v>0</v>
      </c>
      <c r="BA30" t="b">
        <v>0</v>
      </c>
      <c r="BB30" t="s">
        <v>268</v>
      </c>
      <c r="BC30" t="s">
        <v>268</v>
      </c>
      <c r="BD30" t="s">
        <v>271</v>
      </c>
      <c r="BE30" t="s">
        <v>1307</v>
      </c>
      <c r="BF30" t="s">
        <v>1308</v>
      </c>
      <c r="BG30" t="s">
        <v>1309</v>
      </c>
      <c r="BH30" t="s">
        <v>1310</v>
      </c>
      <c r="BI30" t="s">
        <v>1311</v>
      </c>
      <c r="BJ30" t="b">
        <v>1</v>
      </c>
      <c r="BK30" t="b">
        <v>1</v>
      </c>
      <c r="BL30" t="b">
        <v>1</v>
      </c>
      <c r="BM30" t="b">
        <v>0</v>
      </c>
      <c r="BN30" t="b">
        <v>0</v>
      </c>
      <c r="BO30" t="b">
        <v>0</v>
      </c>
      <c r="BP30">
        <v>4</v>
      </c>
      <c r="BQ30">
        <v>14</v>
      </c>
      <c r="BR30">
        <v>1</v>
      </c>
      <c r="BS30">
        <v>1</v>
      </c>
      <c r="BT30" t="b">
        <v>1</v>
      </c>
      <c r="BU30">
        <v>0</v>
      </c>
      <c r="BV30">
        <v>20</v>
      </c>
      <c r="BW30">
        <v>6868</v>
      </c>
      <c r="BX30">
        <v>0</v>
      </c>
      <c r="BY30" t="s">
        <v>268</v>
      </c>
      <c r="BZ30" t="s">
        <v>268</v>
      </c>
      <c r="CA30" t="s">
        <v>271</v>
      </c>
      <c r="CB30" t="s">
        <v>271</v>
      </c>
      <c r="CC30" t="s">
        <v>1312</v>
      </c>
      <c r="CD30" t="s">
        <v>1313</v>
      </c>
      <c r="CE30" t="s">
        <v>1314</v>
      </c>
      <c r="CF30" t="s">
        <v>1315</v>
      </c>
      <c r="CG30">
        <f t="shared" si="0"/>
        <v>400.358642578125</v>
      </c>
      <c r="CH30">
        <f t="shared" si="1"/>
        <v>11400</v>
      </c>
      <c r="CI30">
        <f t="shared" si="2"/>
        <v>3</v>
      </c>
      <c r="CJ30">
        <f t="shared" si="3"/>
        <v>4564088.525390625</v>
      </c>
      <c r="CK30">
        <f t="shared" si="4"/>
        <v>1201.075927734375</v>
      </c>
    </row>
    <row r="31" spans="1:89">
      <c r="A31">
        <v>11879</v>
      </c>
      <c r="B31" t="s">
        <v>1302</v>
      </c>
      <c r="C31">
        <v>600.53796386718795</v>
      </c>
      <c r="D31" t="s">
        <v>1303</v>
      </c>
      <c r="E31">
        <v>1989</v>
      </c>
      <c r="F31" t="s">
        <v>1339</v>
      </c>
      <c r="G31" t="s">
        <v>167</v>
      </c>
      <c r="H31">
        <v>98031</v>
      </c>
      <c r="I31" t="s">
        <v>1317</v>
      </c>
      <c r="J31" t="s">
        <v>1317</v>
      </c>
      <c r="K31" t="s">
        <v>1306</v>
      </c>
      <c r="L31">
        <v>8</v>
      </c>
      <c r="M31">
        <v>2</v>
      </c>
      <c r="N31">
        <v>0</v>
      </c>
      <c r="O31">
        <v>2</v>
      </c>
      <c r="P31">
        <v>0</v>
      </c>
      <c r="Q31">
        <v>9200</v>
      </c>
      <c r="R31">
        <v>9200</v>
      </c>
      <c r="S31">
        <v>0</v>
      </c>
      <c r="T31">
        <v>0</v>
      </c>
      <c r="U31">
        <v>8</v>
      </c>
      <c r="V31">
        <v>0</v>
      </c>
      <c r="W31">
        <v>0</v>
      </c>
      <c r="X31">
        <v>0</v>
      </c>
      <c r="Y31">
        <v>0</v>
      </c>
      <c r="Z31" t="b">
        <v>0</v>
      </c>
      <c r="AA31" t="b">
        <v>0</v>
      </c>
      <c r="AB31">
        <v>8</v>
      </c>
      <c r="AC31">
        <v>837.7666015625</v>
      </c>
      <c r="AD31">
        <v>111624.2109375</v>
      </c>
      <c r="AE31">
        <v>112461.9765625</v>
      </c>
      <c r="AJ31" t="s">
        <v>268</v>
      </c>
      <c r="AK31">
        <v>0</v>
      </c>
      <c r="AL31">
        <v>9</v>
      </c>
      <c r="AM31">
        <v>0</v>
      </c>
      <c r="AN31">
        <v>41</v>
      </c>
      <c r="AO31">
        <v>0</v>
      </c>
      <c r="AP31">
        <v>41</v>
      </c>
      <c r="AQ31">
        <v>0</v>
      </c>
      <c r="AR31">
        <v>0</v>
      </c>
      <c r="AS31">
        <v>9</v>
      </c>
      <c r="AT31" t="b">
        <v>1</v>
      </c>
      <c r="AU31">
        <v>0</v>
      </c>
      <c r="AV31">
        <v>0</v>
      </c>
      <c r="AW31">
        <v>0</v>
      </c>
      <c r="AX31" t="b">
        <v>0</v>
      </c>
      <c r="AY31" t="b">
        <v>0</v>
      </c>
      <c r="AZ31" t="b">
        <v>0</v>
      </c>
      <c r="BA31" t="b">
        <v>0</v>
      </c>
      <c r="BB31" t="s">
        <v>268</v>
      </c>
      <c r="BC31" t="s">
        <v>268</v>
      </c>
      <c r="BD31" t="s">
        <v>271</v>
      </c>
      <c r="BE31" t="s">
        <v>1307</v>
      </c>
      <c r="BF31" t="s">
        <v>1308</v>
      </c>
      <c r="BG31" t="s">
        <v>1309</v>
      </c>
      <c r="BH31" t="s">
        <v>1310</v>
      </c>
      <c r="BI31" t="s">
        <v>1311</v>
      </c>
      <c r="BJ31" t="b">
        <v>1</v>
      </c>
      <c r="BK31" t="b">
        <v>1</v>
      </c>
      <c r="BL31" t="b">
        <v>1</v>
      </c>
      <c r="BM31" t="b">
        <v>0</v>
      </c>
      <c r="BN31" t="b">
        <v>0</v>
      </c>
      <c r="BO31" t="b">
        <v>0</v>
      </c>
      <c r="BP31">
        <v>2</v>
      </c>
      <c r="BQ31">
        <v>10</v>
      </c>
      <c r="BR31">
        <v>1</v>
      </c>
      <c r="BS31">
        <v>1</v>
      </c>
      <c r="BT31" t="b">
        <v>1</v>
      </c>
      <c r="BU31">
        <v>0</v>
      </c>
      <c r="BV31">
        <v>10</v>
      </c>
      <c r="BW31">
        <v>4220</v>
      </c>
      <c r="BX31">
        <v>1</v>
      </c>
      <c r="BY31" t="s">
        <v>271</v>
      </c>
      <c r="BZ31" t="s">
        <v>268</v>
      </c>
      <c r="CA31" t="s">
        <v>271</v>
      </c>
      <c r="CB31" t="s">
        <v>271</v>
      </c>
      <c r="CC31" t="s">
        <v>1312</v>
      </c>
      <c r="CD31" t="s">
        <v>1313</v>
      </c>
      <c r="CE31" t="s">
        <v>1314</v>
      </c>
      <c r="CF31" t="s">
        <v>1315</v>
      </c>
      <c r="CG31">
        <f t="shared" si="0"/>
        <v>600.53796386718795</v>
      </c>
      <c r="CH31">
        <f t="shared" si="1"/>
        <v>9200</v>
      </c>
      <c r="CI31">
        <f t="shared" si="2"/>
        <v>2</v>
      </c>
      <c r="CJ31">
        <f t="shared" si="3"/>
        <v>5524949.2675781287</v>
      </c>
      <c r="CK31">
        <f t="shared" si="4"/>
        <v>1201.0759277343759</v>
      </c>
    </row>
    <row r="32" spans="1:89">
      <c r="A32">
        <v>11887</v>
      </c>
      <c r="B32" t="s">
        <v>1302</v>
      </c>
      <c r="C32">
        <v>53.381153106689503</v>
      </c>
      <c r="D32" t="s">
        <v>1334</v>
      </c>
      <c r="E32">
        <v>1975</v>
      </c>
      <c r="F32" t="s">
        <v>1335</v>
      </c>
      <c r="G32" t="s">
        <v>167</v>
      </c>
      <c r="H32">
        <v>98007</v>
      </c>
      <c r="I32" t="s">
        <v>1317</v>
      </c>
      <c r="K32" t="s">
        <v>1306</v>
      </c>
      <c r="L32">
        <v>90</v>
      </c>
      <c r="M32">
        <v>2</v>
      </c>
      <c r="N32">
        <v>0</v>
      </c>
      <c r="O32">
        <v>2</v>
      </c>
      <c r="P32">
        <v>0</v>
      </c>
      <c r="Q32">
        <v>79068</v>
      </c>
      <c r="R32">
        <v>79068</v>
      </c>
      <c r="S32">
        <v>0</v>
      </c>
      <c r="T32">
        <v>0</v>
      </c>
      <c r="U32">
        <v>18</v>
      </c>
      <c r="V32">
        <v>10</v>
      </c>
      <c r="W32">
        <v>62</v>
      </c>
      <c r="X32">
        <v>0</v>
      </c>
      <c r="Y32">
        <v>0</v>
      </c>
      <c r="Z32" t="b">
        <v>0</v>
      </c>
      <c r="AA32" t="b">
        <v>0</v>
      </c>
      <c r="AB32">
        <v>8</v>
      </c>
      <c r="AC32">
        <v>105241.9296875</v>
      </c>
      <c r="AD32">
        <v>619853.3125</v>
      </c>
      <c r="AE32">
        <v>725095.25</v>
      </c>
      <c r="AI32">
        <v>2474025</v>
      </c>
      <c r="AJ32" t="s">
        <v>268</v>
      </c>
      <c r="AK32">
        <v>0</v>
      </c>
      <c r="AL32">
        <v>15</v>
      </c>
      <c r="AM32">
        <v>0</v>
      </c>
      <c r="AN32">
        <v>35</v>
      </c>
      <c r="AO32">
        <v>0</v>
      </c>
      <c r="AP32">
        <v>35</v>
      </c>
      <c r="AQ32">
        <v>0</v>
      </c>
      <c r="AR32">
        <v>0</v>
      </c>
      <c r="AS32">
        <v>15</v>
      </c>
      <c r="AT32" t="b">
        <v>0</v>
      </c>
      <c r="AU32">
        <v>0</v>
      </c>
      <c r="AV32">
        <v>0</v>
      </c>
      <c r="AW32">
        <v>0</v>
      </c>
      <c r="AX32" t="b">
        <v>0</v>
      </c>
      <c r="AY32" t="b">
        <v>0</v>
      </c>
      <c r="AZ32" t="b">
        <v>0</v>
      </c>
      <c r="BA32" t="b">
        <v>0</v>
      </c>
      <c r="BB32" t="s">
        <v>268</v>
      </c>
      <c r="BC32" t="s">
        <v>268</v>
      </c>
      <c r="BD32" t="s">
        <v>268</v>
      </c>
      <c r="BE32" t="s">
        <v>1307</v>
      </c>
      <c r="BF32" t="s">
        <v>1308</v>
      </c>
      <c r="BG32" t="s">
        <v>1309</v>
      </c>
      <c r="BH32" t="s">
        <v>1310</v>
      </c>
      <c r="BI32" t="s">
        <v>1311</v>
      </c>
      <c r="BJ32" t="b">
        <v>0</v>
      </c>
      <c r="BK32" t="b">
        <v>1</v>
      </c>
      <c r="BL32" t="b">
        <v>0</v>
      </c>
      <c r="BM32" t="b">
        <v>0</v>
      </c>
      <c r="BN32" t="b">
        <v>0</v>
      </c>
      <c r="BO32" t="b">
        <v>0</v>
      </c>
      <c r="BP32">
        <v>6</v>
      </c>
      <c r="BQ32">
        <v>92</v>
      </c>
      <c r="BR32">
        <v>0</v>
      </c>
      <c r="BS32">
        <v>0</v>
      </c>
      <c r="BT32" t="b">
        <v>1</v>
      </c>
      <c r="BU32">
        <v>0</v>
      </c>
      <c r="BV32">
        <v>141</v>
      </c>
      <c r="BW32">
        <v>52950</v>
      </c>
      <c r="BX32">
        <v>0</v>
      </c>
      <c r="BY32" t="s">
        <v>268</v>
      </c>
      <c r="BZ32" t="s">
        <v>268</v>
      </c>
      <c r="CA32" t="s">
        <v>271</v>
      </c>
      <c r="CB32" t="s">
        <v>271</v>
      </c>
      <c r="CC32" t="s">
        <v>1319</v>
      </c>
      <c r="CD32" t="s">
        <v>1313</v>
      </c>
      <c r="CE32" t="s">
        <v>1327</v>
      </c>
      <c r="CF32" t="s">
        <v>1315</v>
      </c>
      <c r="CG32">
        <f t="shared" si="0"/>
        <v>53.381153106689503</v>
      </c>
      <c r="CH32">
        <f t="shared" si="1"/>
        <v>79068</v>
      </c>
      <c r="CI32">
        <f t="shared" si="2"/>
        <v>2</v>
      </c>
      <c r="CJ32">
        <f t="shared" si="3"/>
        <v>4220741.0138397254</v>
      </c>
      <c r="CK32">
        <f t="shared" si="4"/>
        <v>106.76230621337901</v>
      </c>
    </row>
    <row r="33" spans="1:89">
      <c r="A33">
        <v>11930</v>
      </c>
      <c r="B33" t="s">
        <v>1302</v>
      </c>
      <c r="C33">
        <v>600.53796386718795</v>
      </c>
      <c r="D33" t="s">
        <v>1303</v>
      </c>
      <c r="E33">
        <v>1985</v>
      </c>
      <c r="F33" t="s">
        <v>1363</v>
      </c>
      <c r="G33" t="s">
        <v>167</v>
      </c>
      <c r="H33">
        <v>98052</v>
      </c>
      <c r="I33" t="s">
        <v>1317</v>
      </c>
      <c r="J33" t="s">
        <v>1317</v>
      </c>
      <c r="K33" t="s">
        <v>1306</v>
      </c>
      <c r="L33">
        <v>8</v>
      </c>
      <c r="M33">
        <v>2</v>
      </c>
      <c r="N33">
        <v>0</v>
      </c>
      <c r="O33">
        <v>2</v>
      </c>
      <c r="P33">
        <v>0</v>
      </c>
      <c r="Q33">
        <v>7334</v>
      </c>
      <c r="R33">
        <v>7334</v>
      </c>
      <c r="S33">
        <v>202</v>
      </c>
      <c r="T33">
        <v>0</v>
      </c>
      <c r="U33">
        <v>0</v>
      </c>
      <c r="V33">
        <v>8</v>
      </c>
      <c r="W33">
        <v>0</v>
      </c>
      <c r="X33">
        <v>0</v>
      </c>
      <c r="Y33">
        <v>0</v>
      </c>
      <c r="Z33" t="b">
        <v>0</v>
      </c>
      <c r="AA33" t="b">
        <v>1</v>
      </c>
      <c r="AB33">
        <v>7.5999999046325701</v>
      </c>
      <c r="AC33">
        <v>15741.96875</v>
      </c>
      <c r="AD33">
        <v>80916.203125</v>
      </c>
      <c r="AE33">
        <v>96658.171875</v>
      </c>
      <c r="AH33">
        <v>537.02526855468795</v>
      </c>
      <c r="AI33">
        <v>383500.21875</v>
      </c>
      <c r="AJ33" t="s">
        <v>268</v>
      </c>
      <c r="AK33">
        <v>0</v>
      </c>
      <c r="AL33">
        <v>0</v>
      </c>
      <c r="AM33">
        <v>0</v>
      </c>
      <c r="AN33">
        <v>50</v>
      </c>
      <c r="AO33">
        <v>0</v>
      </c>
      <c r="AP33">
        <v>50</v>
      </c>
      <c r="AQ33">
        <v>0</v>
      </c>
      <c r="AR33">
        <v>0</v>
      </c>
      <c r="AS33">
        <v>0</v>
      </c>
      <c r="AT33" t="b">
        <v>1</v>
      </c>
      <c r="AU33">
        <v>4</v>
      </c>
      <c r="AV33">
        <v>4</v>
      </c>
      <c r="AW33">
        <v>0</v>
      </c>
      <c r="AX33" t="b">
        <v>0</v>
      </c>
      <c r="AY33" t="b">
        <v>0</v>
      </c>
      <c r="AZ33" t="b">
        <v>0</v>
      </c>
      <c r="BA33" t="b">
        <v>0</v>
      </c>
      <c r="BB33" t="s">
        <v>268</v>
      </c>
      <c r="BC33" t="s">
        <v>268</v>
      </c>
      <c r="BD33" t="s">
        <v>268</v>
      </c>
      <c r="BE33" t="s">
        <v>1307</v>
      </c>
      <c r="BF33" t="s">
        <v>1308</v>
      </c>
      <c r="BG33" t="s">
        <v>1309</v>
      </c>
      <c r="BH33" t="s">
        <v>1310</v>
      </c>
      <c r="BI33" t="s">
        <v>1322</v>
      </c>
      <c r="BJ33" t="b">
        <v>1</v>
      </c>
      <c r="BK33" t="b">
        <v>1</v>
      </c>
      <c r="BL33" t="b">
        <v>1</v>
      </c>
      <c r="BM33" t="b">
        <v>0</v>
      </c>
      <c r="BN33" t="b">
        <v>0</v>
      </c>
      <c r="BO33" t="b">
        <v>0</v>
      </c>
      <c r="BP33">
        <v>1</v>
      </c>
      <c r="BQ33">
        <v>18</v>
      </c>
      <c r="BR33">
        <v>1</v>
      </c>
      <c r="BS33">
        <v>1</v>
      </c>
      <c r="BT33" t="b">
        <v>1</v>
      </c>
      <c r="BU33">
        <v>0</v>
      </c>
      <c r="BV33">
        <v>15</v>
      </c>
      <c r="BW33">
        <v>4725</v>
      </c>
      <c r="BX33">
        <v>0</v>
      </c>
      <c r="BY33" t="s">
        <v>268</v>
      </c>
      <c r="BZ33" t="s">
        <v>268</v>
      </c>
      <c r="CA33" t="s">
        <v>271</v>
      </c>
      <c r="CB33" t="s">
        <v>271</v>
      </c>
      <c r="CC33" t="s">
        <v>1319</v>
      </c>
      <c r="CD33" t="s">
        <v>1313</v>
      </c>
      <c r="CE33" t="s">
        <v>1314</v>
      </c>
      <c r="CF33" t="s">
        <v>1315</v>
      </c>
      <c r="CG33">
        <f t="shared" si="0"/>
        <v>600.53796386718795</v>
      </c>
      <c r="CH33">
        <f t="shared" si="1"/>
        <v>7334</v>
      </c>
      <c r="CI33">
        <f t="shared" si="2"/>
        <v>2</v>
      </c>
      <c r="CJ33">
        <f t="shared" si="3"/>
        <v>4404345.4270019569</v>
      </c>
      <c r="CK33">
        <f t="shared" si="4"/>
        <v>1201.0759277343759</v>
      </c>
    </row>
    <row r="34" spans="1:89">
      <c r="A34">
        <v>11949</v>
      </c>
      <c r="B34" t="s">
        <v>1331</v>
      </c>
      <c r="C34">
        <v>57.194087982177699</v>
      </c>
      <c r="D34" t="s">
        <v>1340</v>
      </c>
      <c r="E34">
        <v>1992</v>
      </c>
      <c r="F34" t="s">
        <v>1364</v>
      </c>
      <c r="G34" t="s">
        <v>167</v>
      </c>
      <c r="H34">
        <v>98310</v>
      </c>
      <c r="I34" t="s">
        <v>1317</v>
      </c>
      <c r="J34" t="s">
        <v>1365</v>
      </c>
      <c r="K34" t="s">
        <v>1306</v>
      </c>
      <c r="L34">
        <v>84</v>
      </c>
      <c r="M34">
        <v>4</v>
      </c>
      <c r="N34">
        <v>0</v>
      </c>
      <c r="O34">
        <v>4</v>
      </c>
      <c r="P34">
        <v>0</v>
      </c>
      <c r="Q34">
        <v>89445</v>
      </c>
      <c r="R34">
        <v>89445</v>
      </c>
      <c r="S34">
        <v>15245</v>
      </c>
      <c r="T34">
        <v>0</v>
      </c>
      <c r="U34">
        <v>16</v>
      </c>
      <c r="V34">
        <v>68</v>
      </c>
      <c r="W34">
        <v>0</v>
      </c>
      <c r="X34">
        <v>0</v>
      </c>
      <c r="Y34">
        <v>8</v>
      </c>
      <c r="Z34" t="b">
        <v>0</v>
      </c>
      <c r="AA34" t="b">
        <v>1</v>
      </c>
      <c r="AB34">
        <v>8</v>
      </c>
      <c r="AC34">
        <v>91166.6875</v>
      </c>
      <c r="AD34">
        <v>761933.375</v>
      </c>
      <c r="AE34">
        <v>853100.0625</v>
      </c>
      <c r="AI34">
        <v>2910777.5</v>
      </c>
      <c r="AJ34" t="s">
        <v>268</v>
      </c>
      <c r="AK34">
        <v>0</v>
      </c>
      <c r="AL34">
        <v>27</v>
      </c>
      <c r="AM34">
        <v>0</v>
      </c>
      <c r="AN34">
        <v>25</v>
      </c>
      <c r="AO34">
        <v>0</v>
      </c>
      <c r="AP34">
        <v>26</v>
      </c>
      <c r="AQ34">
        <v>0</v>
      </c>
      <c r="AR34">
        <v>0</v>
      </c>
      <c r="AS34">
        <v>21</v>
      </c>
      <c r="AT34" t="b">
        <v>1</v>
      </c>
      <c r="AU34">
        <v>6</v>
      </c>
      <c r="AV34">
        <v>6</v>
      </c>
      <c r="AW34">
        <v>2</v>
      </c>
      <c r="AX34" t="b">
        <v>0</v>
      </c>
      <c r="AY34" t="b">
        <v>0</v>
      </c>
      <c r="AZ34" t="b">
        <v>0</v>
      </c>
      <c r="BA34" t="b">
        <v>0</v>
      </c>
      <c r="BB34" t="s">
        <v>268</v>
      </c>
      <c r="BC34" t="s">
        <v>268</v>
      </c>
      <c r="BD34" t="s">
        <v>268</v>
      </c>
      <c r="BE34" t="s">
        <v>1307</v>
      </c>
      <c r="BF34" t="s">
        <v>1308</v>
      </c>
      <c r="BG34" t="s">
        <v>1309</v>
      </c>
      <c r="BH34" t="s">
        <v>1310</v>
      </c>
      <c r="BI34" t="s">
        <v>1322</v>
      </c>
      <c r="BJ34" t="b">
        <v>0</v>
      </c>
      <c r="BK34" t="b">
        <v>1</v>
      </c>
      <c r="BL34" t="b">
        <v>1</v>
      </c>
      <c r="BM34" t="b">
        <v>0</v>
      </c>
      <c r="BN34" t="b">
        <v>0</v>
      </c>
      <c r="BO34" t="b">
        <v>0</v>
      </c>
      <c r="BP34">
        <v>3</v>
      </c>
      <c r="BQ34">
        <v>87</v>
      </c>
      <c r="BR34">
        <v>1</v>
      </c>
      <c r="BS34">
        <v>1</v>
      </c>
      <c r="BT34" t="b">
        <v>1</v>
      </c>
      <c r="BU34">
        <v>0</v>
      </c>
      <c r="BV34">
        <v>143</v>
      </c>
      <c r="BW34">
        <v>37075</v>
      </c>
      <c r="BX34">
        <v>0</v>
      </c>
      <c r="BY34" t="s">
        <v>268</v>
      </c>
      <c r="BZ34" t="s">
        <v>268</v>
      </c>
      <c r="CA34" t="s">
        <v>271</v>
      </c>
      <c r="CB34" t="s">
        <v>271</v>
      </c>
      <c r="CC34" t="s">
        <v>1312</v>
      </c>
      <c r="CD34" t="s">
        <v>1313</v>
      </c>
      <c r="CE34" t="s">
        <v>1314</v>
      </c>
      <c r="CF34" t="s">
        <v>1315</v>
      </c>
      <c r="CG34" t="str">
        <f t="shared" si="0"/>
        <v/>
      </c>
      <c r="CH34" t="str">
        <f t="shared" si="1"/>
        <v/>
      </c>
      <c r="CI34" t="str">
        <f t="shared" si="2"/>
        <v/>
      </c>
      <c r="CJ34" t="str">
        <f t="shared" si="3"/>
        <v/>
      </c>
      <c r="CK34" t="str">
        <f t="shared" si="4"/>
        <v/>
      </c>
    </row>
    <row r="35" spans="1:89">
      <c r="A35">
        <v>12167</v>
      </c>
      <c r="B35" t="s">
        <v>1302</v>
      </c>
      <c r="C35">
        <v>400.358642578125</v>
      </c>
      <c r="D35" t="s">
        <v>1303</v>
      </c>
      <c r="E35">
        <v>1986</v>
      </c>
      <c r="F35" t="s">
        <v>1339</v>
      </c>
      <c r="G35" t="s">
        <v>167</v>
      </c>
      <c r="H35">
        <v>98030</v>
      </c>
      <c r="I35" t="s">
        <v>1317</v>
      </c>
      <c r="J35" t="s">
        <v>1317</v>
      </c>
      <c r="K35" t="s">
        <v>1306</v>
      </c>
      <c r="L35">
        <v>12</v>
      </c>
      <c r="M35">
        <v>3</v>
      </c>
      <c r="N35">
        <v>0</v>
      </c>
      <c r="O35">
        <v>2</v>
      </c>
      <c r="P35">
        <v>0</v>
      </c>
      <c r="Q35">
        <v>9520</v>
      </c>
      <c r="R35">
        <v>9520</v>
      </c>
      <c r="S35">
        <v>0</v>
      </c>
      <c r="T35">
        <v>0</v>
      </c>
      <c r="U35">
        <v>0</v>
      </c>
      <c r="V35">
        <v>6</v>
      </c>
      <c r="W35">
        <v>6</v>
      </c>
      <c r="X35">
        <v>0</v>
      </c>
      <c r="Y35">
        <v>8</v>
      </c>
      <c r="Z35" t="b">
        <v>0</v>
      </c>
      <c r="AA35" t="b">
        <v>0</v>
      </c>
      <c r="AB35">
        <v>7.75</v>
      </c>
      <c r="AD35">
        <v>96242.0703125</v>
      </c>
      <c r="AE35">
        <v>96242.0703125</v>
      </c>
      <c r="AJ35" t="s">
        <v>268</v>
      </c>
      <c r="AK35">
        <v>0</v>
      </c>
      <c r="AL35">
        <v>50</v>
      </c>
      <c r="AM35">
        <v>0</v>
      </c>
      <c r="AN35">
        <v>0</v>
      </c>
      <c r="AO35">
        <v>0</v>
      </c>
      <c r="AP35">
        <v>0</v>
      </c>
      <c r="AQ35">
        <v>0</v>
      </c>
      <c r="AR35">
        <v>0</v>
      </c>
      <c r="AS35">
        <v>50</v>
      </c>
      <c r="AT35" t="b">
        <v>1</v>
      </c>
      <c r="AU35">
        <v>0</v>
      </c>
      <c r="AV35">
        <v>0</v>
      </c>
      <c r="AW35">
        <v>0</v>
      </c>
      <c r="AX35" t="b">
        <v>0</v>
      </c>
      <c r="AY35" t="b">
        <v>0</v>
      </c>
      <c r="AZ35" t="b">
        <v>0</v>
      </c>
      <c r="BA35" t="b">
        <v>0</v>
      </c>
      <c r="BB35" t="s">
        <v>268</v>
      </c>
      <c r="BC35" t="s">
        <v>268</v>
      </c>
      <c r="BD35" t="s">
        <v>268</v>
      </c>
      <c r="BE35" t="s">
        <v>1307</v>
      </c>
      <c r="BF35" t="s">
        <v>1308</v>
      </c>
      <c r="BG35" t="s">
        <v>1309</v>
      </c>
      <c r="BH35" t="s">
        <v>1310</v>
      </c>
      <c r="BI35" t="s">
        <v>1311</v>
      </c>
      <c r="BJ35" t="b">
        <v>1</v>
      </c>
      <c r="BK35" t="b">
        <v>1</v>
      </c>
      <c r="BL35" t="b">
        <v>1</v>
      </c>
      <c r="BM35" t="b">
        <v>0</v>
      </c>
      <c r="BN35" t="b">
        <v>0</v>
      </c>
      <c r="BO35" t="b">
        <v>0</v>
      </c>
      <c r="BP35">
        <v>2</v>
      </c>
      <c r="BQ35">
        <v>13</v>
      </c>
      <c r="BR35">
        <v>1</v>
      </c>
      <c r="BS35">
        <v>1</v>
      </c>
      <c r="BT35" t="b">
        <v>1</v>
      </c>
      <c r="BU35">
        <v>0</v>
      </c>
      <c r="BV35">
        <v>24</v>
      </c>
      <c r="BW35">
        <v>6828</v>
      </c>
      <c r="BX35">
        <v>0</v>
      </c>
      <c r="BY35" t="s">
        <v>268</v>
      </c>
      <c r="BZ35" t="s">
        <v>268</v>
      </c>
      <c r="CA35" t="s">
        <v>271</v>
      </c>
      <c r="CB35" t="s">
        <v>271</v>
      </c>
      <c r="CC35" t="s">
        <v>1312</v>
      </c>
      <c r="CD35" t="s">
        <v>1313</v>
      </c>
      <c r="CE35" t="s">
        <v>1356</v>
      </c>
      <c r="CF35" t="s">
        <v>1315</v>
      </c>
      <c r="CG35">
        <f t="shared" si="0"/>
        <v>400.358642578125</v>
      </c>
      <c r="CH35">
        <f t="shared" si="1"/>
        <v>9520</v>
      </c>
      <c r="CI35">
        <f t="shared" si="2"/>
        <v>3</v>
      </c>
      <c r="CJ35">
        <f t="shared" si="3"/>
        <v>3811414.27734375</v>
      </c>
      <c r="CK35">
        <f t="shared" si="4"/>
        <v>1201.075927734375</v>
      </c>
    </row>
    <row r="36" spans="1:89">
      <c r="A36">
        <v>12192</v>
      </c>
      <c r="B36" t="s">
        <v>1331</v>
      </c>
      <c r="C36">
        <v>62.4466361999512</v>
      </c>
      <c r="D36" t="s">
        <v>1334</v>
      </c>
      <c r="E36">
        <v>1978</v>
      </c>
      <c r="F36" t="s">
        <v>1366</v>
      </c>
      <c r="G36" t="s">
        <v>167</v>
      </c>
      <c r="H36">
        <v>98020</v>
      </c>
      <c r="I36" t="s">
        <v>1329</v>
      </c>
      <c r="K36" t="s">
        <v>1306</v>
      </c>
      <c r="L36">
        <v>33</v>
      </c>
      <c r="M36">
        <v>4</v>
      </c>
      <c r="N36">
        <v>0</v>
      </c>
      <c r="O36">
        <v>4</v>
      </c>
      <c r="P36">
        <v>1</v>
      </c>
      <c r="Q36">
        <v>60227</v>
      </c>
      <c r="R36">
        <v>60227</v>
      </c>
      <c r="S36">
        <v>9741</v>
      </c>
      <c r="T36">
        <v>0</v>
      </c>
      <c r="U36">
        <v>0</v>
      </c>
      <c r="V36">
        <v>32</v>
      </c>
      <c r="W36">
        <v>1</v>
      </c>
      <c r="X36">
        <v>0</v>
      </c>
      <c r="Y36">
        <v>6</v>
      </c>
      <c r="Z36" t="b">
        <v>0</v>
      </c>
      <c r="AA36" t="b">
        <v>1</v>
      </c>
      <c r="AB36">
        <v>8.75</v>
      </c>
      <c r="AC36">
        <v>65017.8046875</v>
      </c>
      <c r="AD36">
        <v>317975.96875</v>
      </c>
      <c r="AE36">
        <v>382993.78125</v>
      </c>
      <c r="AI36">
        <v>1306774.75</v>
      </c>
      <c r="AJ36" t="s">
        <v>268</v>
      </c>
      <c r="AK36">
        <v>0</v>
      </c>
      <c r="AL36">
        <v>18</v>
      </c>
      <c r="AM36">
        <v>0</v>
      </c>
      <c r="AN36">
        <v>17</v>
      </c>
      <c r="AO36">
        <v>0</v>
      </c>
      <c r="AP36">
        <v>11</v>
      </c>
      <c r="AQ36">
        <v>0</v>
      </c>
      <c r="AR36">
        <v>0</v>
      </c>
      <c r="AS36">
        <v>54</v>
      </c>
      <c r="AT36" t="b">
        <v>1</v>
      </c>
      <c r="AU36">
        <v>0</v>
      </c>
      <c r="AV36">
        <v>0</v>
      </c>
      <c r="AW36">
        <v>1</v>
      </c>
      <c r="AX36" t="b">
        <v>0</v>
      </c>
      <c r="AY36" t="b">
        <v>0</v>
      </c>
      <c r="AZ36" t="b">
        <v>1</v>
      </c>
      <c r="BA36" t="b">
        <v>0</v>
      </c>
      <c r="BB36" t="s">
        <v>268</v>
      </c>
      <c r="BC36" t="s">
        <v>268</v>
      </c>
      <c r="BD36" t="s">
        <v>271</v>
      </c>
      <c r="BE36" t="s">
        <v>1307</v>
      </c>
      <c r="BF36" t="s">
        <v>1308</v>
      </c>
      <c r="BG36" t="s">
        <v>1309</v>
      </c>
      <c r="BH36" t="s">
        <v>1310</v>
      </c>
      <c r="BI36" t="s">
        <v>1322</v>
      </c>
      <c r="BJ36" t="b">
        <v>0</v>
      </c>
      <c r="BK36" t="b">
        <v>1</v>
      </c>
      <c r="BL36" t="b">
        <v>0</v>
      </c>
      <c r="BM36" t="b">
        <v>0</v>
      </c>
      <c r="BN36" t="b">
        <v>0</v>
      </c>
      <c r="BO36" t="b">
        <v>0</v>
      </c>
      <c r="BP36">
        <v>1</v>
      </c>
      <c r="BQ36">
        <v>34</v>
      </c>
      <c r="BR36">
        <v>0</v>
      </c>
      <c r="BS36">
        <v>0</v>
      </c>
      <c r="BT36" t="b">
        <v>1</v>
      </c>
      <c r="BV36">
        <v>65</v>
      </c>
      <c r="BW36">
        <v>10595</v>
      </c>
      <c r="BX36">
        <v>1</v>
      </c>
      <c r="BY36" t="s">
        <v>271</v>
      </c>
      <c r="BZ36" t="s">
        <v>268</v>
      </c>
      <c r="CA36" t="s">
        <v>271</v>
      </c>
      <c r="CB36" t="s">
        <v>268</v>
      </c>
      <c r="CC36" t="s">
        <v>1319</v>
      </c>
      <c r="CD36" t="s">
        <v>1360</v>
      </c>
      <c r="CE36" t="s">
        <v>1357</v>
      </c>
      <c r="CF36" t="s">
        <v>1361</v>
      </c>
      <c r="CG36" t="str">
        <f t="shared" si="0"/>
        <v/>
      </c>
      <c r="CH36" t="str">
        <f t="shared" si="1"/>
        <v/>
      </c>
      <c r="CI36" t="str">
        <f t="shared" si="2"/>
        <v/>
      </c>
      <c r="CJ36" t="str">
        <f t="shared" si="3"/>
        <v/>
      </c>
      <c r="CK36" t="str">
        <f t="shared" si="4"/>
        <v/>
      </c>
    </row>
    <row r="37" spans="1:89">
      <c r="A37">
        <v>12405</v>
      </c>
      <c r="B37" t="s">
        <v>1302</v>
      </c>
      <c r="C37">
        <v>165.66564941406301</v>
      </c>
      <c r="D37" t="s">
        <v>1303</v>
      </c>
      <c r="E37">
        <v>1988</v>
      </c>
      <c r="F37" t="s">
        <v>1367</v>
      </c>
      <c r="G37" t="s">
        <v>167</v>
      </c>
      <c r="H37">
        <v>98198</v>
      </c>
      <c r="I37" t="s">
        <v>1317</v>
      </c>
      <c r="K37" t="s">
        <v>1306</v>
      </c>
      <c r="L37">
        <v>29</v>
      </c>
      <c r="M37">
        <v>3</v>
      </c>
      <c r="N37">
        <v>0</v>
      </c>
      <c r="O37">
        <v>3</v>
      </c>
      <c r="P37">
        <v>0</v>
      </c>
      <c r="Q37">
        <v>18420</v>
      </c>
      <c r="R37">
        <v>18420</v>
      </c>
      <c r="S37">
        <v>0</v>
      </c>
      <c r="T37">
        <v>0</v>
      </c>
      <c r="U37">
        <v>0</v>
      </c>
      <c r="V37">
        <v>12</v>
      </c>
      <c r="W37">
        <v>17</v>
      </c>
      <c r="X37">
        <v>0</v>
      </c>
      <c r="Y37">
        <v>3</v>
      </c>
      <c r="Z37" t="b">
        <v>0</v>
      </c>
      <c r="AA37" t="b">
        <v>0</v>
      </c>
      <c r="AB37">
        <v>8</v>
      </c>
      <c r="AC37">
        <v>29116.56640625</v>
      </c>
      <c r="AD37">
        <v>234250.390625</v>
      </c>
      <c r="AE37">
        <v>263366.96875</v>
      </c>
      <c r="AI37">
        <v>898608.125</v>
      </c>
      <c r="AJ37" t="s">
        <v>268</v>
      </c>
      <c r="AK37">
        <v>0</v>
      </c>
      <c r="AL37">
        <v>18</v>
      </c>
      <c r="AM37">
        <v>0</v>
      </c>
      <c r="AN37">
        <v>12</v>
      </c>
      <c r="AO37">
        <v>0</v>
      </c>
      <c r="AP37">
        <v>30</v>
      </c>
      <c r="AQ37">
        <v>0</v>
      </c>
      <c r="AR37">
        <v>0</v>
      </c>
      <c r="AS37">
        <v>40</v>
      </c>
      <c r="AT37" t="b">
        <v>1</v>
      </c>
      <c r="AU37">
        <v>0</v>
      </c>
      <c r="AV37">
        <v>0</v>
      </c>
      <c r="AW37">
        <v>0</v>
      </c>
      <c r="AX37" t="b">
        <v>0</v>
      </c>
      <c r="AY37" t="b">
        <v>0</v>
      </c>
      <c r="AZ37" t="b">
        <v>0</v>
      </c>
      <c r="BA37" t="b">
        <v>0</v>
      </c>
      <c r="BB37" t="s">
        <v>268</v>
      </c>
      <c r="BC37" t="s">
        <v>268</v>
      </c>
      <c r="BD37" t="s">
        <v>268</v>
      </c>
      <c r="BE37" t="s">
        <v>1307</v>
      </c>
      <c r="BF37" t="s">
        <v>1308</v>
      </c>
      <c r="BG37" t="s">
        <v>1309</v>
      </c>
      <c r="BH37" t="s">
        <v>1310</v>
      </c>
      <c r="BI37" t="s">
        <v>1311</v>
      </c>
      <c r="BJ37" t="b">
        <v>0</v>
      </c>
      <c r="BK37" t="b">
        <v>1</v>
      </c>
      <c r="BL37" t="b">
        <v>0</v>
      </c>
      <c r="BM37" t="b">
        <v>0</v>
      </c>
      <c r="BN37" t="b">
        <v>0</v>
      </c>
      <c r="BO37" t="b">
        <v>0</v>
      </c>
      <c r="BP37">
        <v>17</v>
      </c>
      <c r="BQ37">
        <v>29</v>
      </c>
      <c r="BR37">
        <v>0</v>
      </c>
      <c r="BS37">
        <v>0</v>
      </c>
      <c r="BT37" t="b">
        <v>1</v>
      </c>
      <c r="BU37">
        <v>0</v>
      </c>
      <c r="BX37">
        <v>0</v>
      </c>
      <c r="CC37" t="s">
        <v>1312</v>
      </c>
      <c r="CD37" t="s">
        <v>1313</v>
      </c>
      <c r="CF37" t="s">
        <v>1315</v>
      </c>
      <c r="CG37">
        <f t="shared" si="0"/>
        <v>165.66564941406301</v>
      </c>
      <c r="CH37">
        <f t="shared" si="1"/>
        <v>18420</v>
      </c>
      <c r="CI37">
        <f t="shared" si="2"/>
        <v>3</v>
      </c>
      <c r="CJ37">
        <f t="shared" si="3"/>
        <v>3051561.2622070406</v>
      </c>
      <c r="CK37">
        <f t="shared" si="4"/>
        <v>496.99694824218903</v>
      </c>
    </row>
    <row r="38" spans="1:89">
      <c r="A38">
        <v>12511</v>
      </c>
      <c r="B38" t="s">
        <v>1331</v>
      </c>
      <c r="C38">
        <v>35.170711517333999</v>
      </c>
      <c r="D38" t="s">
        <v>1334</v>
      </c>
      <c r="E38">
        <v>1978</v>
      </c>
      <c r="F38" t="s">
        <v>1325</v>
      </c>
      <c r="G38" t="s">
        <v>168</v>
      </c>
      <c r="H38">
        <v>97401</v>
      </c>
      <c r="I38" t="s">
        <v>1326</v>
      </c>
      <c r="K38" t="s">
        <v>1306</v>
      </c>
      <c r="L38">
        <v>51</v>
      </c>
      <c r="M38">
        <v>4</v>
      </c>
      <c r="N38">
        <v>0</v>
      </c>
      <c r="O38">
        <v>4</v>
      </c>
      <c r="P38">
        <v>0</v>
      </c>
      <c r="Q38">
        <v>40100</v>
      </c>
      <c r="R38">
        <v>40100</v>
      </c>
      <c r="S38">
        <v>3400</v>
      </c>
      <c r="T38">
        <v>0</v>
      </c>
      <c r="U38">
        <v>0</v>
      </c>
      <c r="V38">
        <v>0</v>
      </c>
      <c r="W38">
        <v>51</v>
      </c>
      <c r="X38">
        <v>0</v>
      </c>
      <c r="Y38">
        <v>0</v>
      </c>
      <c r="Z38" t="b">
        <v>0</v>
      </c>
      <c r="AA38" t="b">
        <v>1</v>
      </c>
      <c r="AB38">
        <v>8</v>
      </c>
      <c r="AC38">
        <v>66224.0859375</v>
      </c>
      <c r="AD38">
        <v>261798.6875</v>
      </c>
      <c r="AE38">
        <v>328022.78125</v>
      </c>
      <c r="AI38">
        <v>1119213.75</v>
      </c>
      <c r="AJ38" t="s">
        <v>268</v>
      </c>
      <c r="AK38">
        <v>0</v>
      </c>
      <c r="AL38">
        <v>31</v>
      </c>
      <c r="AM38">
        <v>0</v>
      </c>
      <c r="AN38">
        <v>22</v>
      </c>
      <c r="AO38">
        <v>0</v>
      </c>
      <c r="AP38">
        <v>16</v>
      </c>
      <c r="AQ38">
        <v>0</v>
      </c>
      <c r="AR38">
        <v>0</v>
      </c>
      <c r="AS38">
        <v>31</v>
      </c>
      <c r="AT38" t="b">
        <v>1</v>
      </c>
      <c r="AU38">
        <v>3</v>
      </c>
      <c r="AV38">
        <v>3</v>
      </c>
      <c r="AW38">
        <v>1</v>
      </c>
      <c r="AX38" t="b">
        <v>0</v>
      </c>
      <c r="AY38" t="b">
        <v>0</v>
      </c>
      <c r="AZ38" t="b">
        <v>1</v>
      </c>
      <c r="BA38" t="b">
        <v>0</v>
      </c>
      <c r="BB38" t="s">
        <v>268</v>
      </c>
      <c r="BC38" t="s">
        <v>268</v>
      </c>
      <c r="BD38" t="s">
        <v>268</v>
      </c>
      <c r="BE38" t="s">
        <v>1307</v>
      </c>
      <c r="BF38" t="s">
        <v>1308</v>
      </c>
      <c r="BG38" t="s">
        <v>1309</v>
      </c>
      <c r="BH38" t="s">
        <v>1336</v>
      </c>
      <c r="BI38" t="s">
        <v>1322</v>
      </c>
      <c r="BJ38" t="b">
        <v>0</v>
      </c>
      <c r="BK38" t="b">
        <v>1</v>
      </c>
      <c r="BL38" t="b">
        <v>0</v>
      </c>
      <c r="BM38" t="b">
        <v>0</v>
      </c>
      <c r="BN38" t="b">
        <v>0</v>
      </c>
      <c r="BO38" t="b">
        <v>0</v>
      </c>
      <c r="BP38">
        <v>1</v>
      </c>
      <c r="BQ38">
        <v>52</v>
      </c>
      <c r="BR38">
        <v>0</v>
      </c>
      <c r="BS38">
        <v>0</v>
      </c>
      <c r="BT38" t="b">
        <v>1</v>
      </c>
      <c r="BV38">
        <v>12</v>
      </c>
      <c r="BW38">
        <v>5100</v>
      </c>
      <c r="BX38">
        <v>0</v>
      </c>
      <c r="BY38" t="s">
        <v>268</v>
      </c>
      <c r="BZ38" t="s">
        <v>268</v>
      </c>
      <c r="CA38" t="s">
        <v>268</v>
      </c>
      <c r="CB38" t="s">
        <v>271</v>
      </c>
      <c r="CC38" t="s">
        <v>1312</v>
      </c>
      <c r="CD38" t="s">
        <v>1313</v>
      </c>
      <c r="CE38" t="s">
        <v>1327</v>
      </c>
      <c r="CF38" t="s">
        <v>1315</v>
      </c>
      <c r="CG38" t="str">
        <f t="shared" si="0"/>
        <v/>
      </c>
      <c r="CH38" t="str">
        <f t="shared" si="1"/>
        <v/>
      </c>
      <c r="CI38" t="str">
        <f t="shared" si="2"/>
        <v/>
      </c>
      <c r="CJ38" t="str">
        <f t="shared" si="3"/>
        <v/>
      </c>
      <c r="CK38" t="str">
        <f t="shared" si="4"/>
        <v/>
      </c>
    </row>
    <row r="39" spans="1:89">
      <c r="A39">
        <v>12623</v>
      </c>
      <c r="B39" t="s">
        <v>1302</v>
      </c>
      <c r="C39">
        <v>600.53796386718795</v>
      </c>
      <c r="D39" t="s">
        <v>1324</v>
      </c>
      <c r="E39">
        <v>1968</v>
      </c>
      <c r="F39" t="s">
        <v>1335</v>
      </c>
      <c r="G39" t="s">
        <v>167</v>
      </c>
      <c r="H39">
        <v>98005</v>
      </c>
      <c r="I39" t="s">
        <v>1317</v>
      </c>
      <c r="K39" t="s">
        <v>1306</v>
      </c>
      <c r="L39">
        <v>8</v>
      </c>
      <c r="M39">
        <v>2</v>
      </c>
      <c r="N39">
        <v>0</v>
      </c>
      <c r="O39">
        <v>2</v>
      </c>
      <c r="P39">
        <v>0</v>
      </c>
      <c r="Q39">
        <v>7609</v>
      </c>
      <c r="R39">
        <v>7609</v>
      </c>
      <c r="S39">
        <v>58</v>
      </c>
      <c r="T39">
        <v>0</v>
      </c>
      <c r="U39">
        <v>0</v>
      </c>
      <c r="V39">
        <v>6</v>
      </c>
      <c r="W39">
        <v>2</v>
      </c>
      <c r="X39">
        <v>0</v>
      </c>
      <c r="Y39">
        <v>0</v>
      </c>
      <c r="Z39" t="b">
        <v>0</v>
      </c>
      <c r="AA39" t="b">
        <v>1</v>
      </c>
      <c r="AB39">
        <v>7.75</v>
      </c>
      <c r="AC39">
        <v>85881.28125</v>
      </c>
      <c r="AD39">
        <v>77750.296875</v>
      </c>
      <c r="AE39">
        <v>163631.578125</v>
      </c>
      <c r="AI39">
        <v>558310.9375</v>
      </c>
      <c r="AJ39" t="s">
        <v>268</v>
      </c>
      <c r="AK39">
        <v>0</v>
      </c>
      <c r="AL39">
        <v>2</v>
      </c>
      <c r="AM39">
        <v>0</v>
      </c>
      <c r="AN39">
        <v>73</v>
      </c>
      <c r="AO39">
        <v>0</v>
      </c>
      <c r="AP39">
        <v>23</v>
      </c>
      <c r="AQ39">
        <v>0</v>
      </c>
      <c r="AR39">
        <v>0</v>
      </c>
      <c r="AS39">
        <v>2</v>
      </c>
      <c r="AT39" t="b">
        <v>1</v>
      </c>
      <c r="AU39">
        <v>1</v>
      </c>
      <c r="AV39">
        <v>1</v>
      </c>
      <c r="AW39">
        <v>0</v>
      </c>
      <c r="AX39" t="b">
        <v>0</v>
      </c>
      <c r="AY39" t="b">
        <v>0</v>
      </c>
      <c r="AZ39" t="b">
        <v>0</v>
      </c>
      <c r="BA39" t="b">
        <v>0</v>
      </c>
      <c r="BB39" t="s">
        <v>268</v>
      </c>
      <c r="BC39" t="s">
        <v>268</v>
      </c>
      <c r="BD39" t="s">
        <v>268</v>
      </c>
      <c r="BE39" t="s">
        <v>1307</v>
      </c>
      <c r="BF39" t="s">
        <v>1308</v>
      </c>
      <c r="BG39" t="s">
        <v>1309</v>
      </c>
      <c r="BH39" t="s">
        <v>1310</v>
      </c>
      <c r="BI39" t="s">
        <v>1322</v>
      </c>
      <c r="BJ39" t="b">
        <v>0</v>
      </c>
      <c r="BK39" t="b">
        <v>1</v>
      </c>
      <c r="BL39" t="b">
        <v>0</v>
      </c>
      <c r="BM39" t="b">
        <v>0</v>
      </c>
      <c r="BN39" t="b">
        <v>0</v>
      </c>
      <c r="BO39" t="b">
        <v>0</v>
      </c>
      <c r="BP39">
        <v>2</v>
      </c>
      <c r="BQ39">
        <v>4</v>
      </c>
      <c r="BR39">
        <v>0</v>
      </c>
      <c r="BS39">
        <v>0</v>
      </c>
      <c r="BT39" t="b">
        <v>1</v>
      </c>
      <c r="BU39">
        <v>0</v>
      </c>
      <c r="BV39">
        <v>8</v>
      </c>
      <c r="BW39">
        <v>3400</v>
      </c>
      <c r="BX39">
        <v>0</v>
      </c>
      <c r="BY39" t="s">
        <v>268</v>
      </c>
      <c r="BZ39" t="s">
        <v>268</v>
      </c>
      <c r="CA39" t="s">
        <v>268</v>
      </c>
      <c r="CB39" t="s">
        <v>271</v>
      </c>
      <c r="CC39" t="s">
        <v>1312</v>
      </c>
      <c r="CD39" t="s">
        <v>1313</v>
      </c>
      <c r="CE39" t="s">
        <v>1327</v>
      </c>
      <c r="CF39" t="s">
        <v>1315</v>
      </c>
      <c r="CG39">
        <f t="shared" si="0"/>
        <v>600.53796386718795</v>
      </c>
      <c r="CH39">
        <f t="shared" si="1"/>
        <v>7609</v>
      </c>
      <c r="CI39">
        <f t="shared" si="2"/>
        <v>2</v>
      </c>
      <c r="CJ39">
        <f t="shared" si="3"/>
        <v>4569493.3670654334</v>
      </c>
      <c r="CK39">
        <f t="shared" si="4"/>
        <v>1201.0759277343759</v>
      </c>
    </row>
    <row r="40" spans="1:89">
      <c r="A40">
        <v>12651</v>
      </c>
      <c r="B40" t="s">
        <v>1302</v>
      </c>
      <c r="C40">
        <v>266.90576171875</v>
      </c>
      <c r="D40" t="s">
        <v>1340</v>
      </c>
      <c r="E40">
        <v>1994</v>
      </c>
      <c r="F40" t="s">
        <v>1368</v>
      </c>
      <c r="G40" t="s">
        <v>167</v>
      </c>
      <c r="H40">
        <v>98058</v>
      </c>
      <c r="I40" t="s">
        <v>1317</v>
      </c>
      <c r="J40" t="s">
        <v>1317</v>
      </c>
      <c r="K40" t="s">
        <v>1306</v>
      </c>
      <c r="L40">
        <v>18</v>
      </c>
      <c r="M40">
        <v>3</v>
      </c>
      <c r="N40">
        <v>0</v>
      </c>
      <c r="O40">
        <v>3</v>
      </c>
      <c r="P40">
        <v>0</v>
      </c>
      <c r="Q40">
        <v>16936</v>
      </c>
      <c r="R40">
        <v>16936</v>
      </c>
      <c r="S40">
        <v>0</v>
      </c>
      <c r="T40">
        <v>0</v>
      </c>
      <c r="U40">
        <v>4</v>
      </c>
      <c r="V40">
        <v>14</v>
      </c>
      <c r="W40">
        <v>0</v>
      </c>
      <c r="X40">
        <v>0</v>
      </c>
      <c r="Y40">
        <v>0</v>
      </c>
      <c r="Z40" t="b">
        <v>0</v>
      </c>
      <c r="AA40" t="b">
        <v>0</v>
      </c>
      <c r="AB40">
        <v>8</v>
      </c>
      <c r="AC40">
        <v>21212.740234375</v>
      </c>
      <c r="AD40">
        <v>166615.234375</v>
      </c>
      <c r="AE40">
        <v>187827.96875</v>
      </c>
      <c r="AJ40" t="s">
        <v>268</v>
      </c>
      <c r="AK40">
        <v>0</v>
      </c>
      <c r="AL40">
        <v>1</v>
      </c>
      <c r="AM40">
        <v>0</v>
      </c>
      <c r="AN40">
        <v>65</v>
      </c>
      <c r="AO40">
        <v>0</v>
      </c>
      <c r="AP40">
        <v>33</v>
      </c>
      <c r="AQ40">
        <v>0</v>
      </c>
      <c r="AR40">
        <v>0</v>
      </c>
      <c r="AS40">
        <v>1</v>
      </c>
      <c r="AT40" t="b">
        <v>1</v>
      </c>
      <c r="AU40">
        <v>0</v>
      </c>
      <c r="AV40">
        <v>0</v>
      </c>
      <c r="AW40">
        <v>0</v>
      </c>
      <c r="AX40" t="b">
        <v>0</v>
      </c>
      <c r="AY40" t="b">
        <v>0</v>
      </c>
      <c r="AZ40" t="b">
        <v>0</v>
      </c>
      <c r="BA40" t="b">
        <v>0</v>
      </c>
      <c r="BB40" t="s">
        <v>268</v>
      </c>
      <c r="BC40" t="s">
        <v>268</v>
      </c>
      <c r="BD40" t="s">
        <v>268</v>
      </c>
      <c r="BE40" t="s">
        <v>1307</v>
      </c>
      <c r="BF40" t="s">
        <v>1308</v>
      </c>
      <c r="BG40" t="s">
        <v>1309</v>
      </c>
      <c r="BH40" t="s">
        <v>1336</v>
      </c>
      <c r="BI40" t="s">
        <v>1311</v>
      </c>
      <c r="BJ40" t="b">
        <v>1</v>
      </c>
      <c r="BK40" t="b">
        <v>1</v>
      </c>
      <c r="BL40" t="b">
        <v>1</v>
      </c>
      <c r="BM40" t="b">
        <v>0</v>
      </c>
      <c r="BN40" t="b">
        <v>0</v>
      </c>
      <c r="BO40" t="b">
        <v>0</v>
      </c>
      <c r="BP40">
        <v>5</v>
      </c>
      <c r="BQ40">
        <v>19</v>
      </c>
      <c r="BR40">
        <v>1</v>
      </c>
      <c r="BS40">
        <v>1</v>
      </c>
      <c r="BT40" t="b">
        <v>1</v>
      </c>
      <c r="BU40">
        <v>0</v>
      </c>
      <c r="BV40">
        <v>24</v>
      </c>
      <c r="BW40">
        <v>4760</v>
      </c>
      <c r="BX40">
        <v>0</v>
      </c>
      <c r="BY40" t="s">
        <v>268</v>
      </c>
      <c r="BZ40" t="s">
        <v>268</v>
      </c>
      <c r="CA40" t="s">
        <v>271</v>
      </c>
      <c r="CB40" t="s">
        <v>271</v>
      </c>
      <c r="CC40" t="s">
        <v>1312</v>
      </c>
      <c r="CD40" t="s">
        <v>1313</v>
      </c>
      <c r="CE40" t="s">
        <v>1314</v>
      </c>
      <c r="CF40" t="s">
        <v>1315</v>
      </c>
      <c r="CG40">
        <f t="shared" si="0"/>
        <v>266.90576171875</v>
      </c>
      <c r="CH40">
        <f t="shared" si="1"/>
        <v>16936</v>
      </c>
      <c r="CI40">
        <f t="shared" si="2"/>
        <v>3</v>
      </c>
      <c r="CJ40">
        <f t="shared" si="3"/>
        <v>4520315.98046875</v>
      </c>
      <c r="CK40">
        <f t="shared" si="4"/>
        <v>800.71728515625</v>
      </c>
    </row>
    <row r="41" spans="1:89">
      <c r="A41">
        <v>12783</v>
      </c>
      <c r="B41" t="s">
        <v>1331</v>
      </c>
      <c r="C41">
        <v>35.330135345458999</v>
      </c>
      <c r="D41" t="s">
        <v>1303</v>
      </c>
      <c r="E41">
        <v>1987</v>
      </c>
      <c r="F41" t="s">
        <v>1320</v>
      </c>
      <c r="G41" t="s">
        <v>167</v>
      </c>
      <c r="H41">
        <v>98122</v>
      </c>
      <c r="I41" t="s">
        <v>1321</v>
      </c>
      <c r="K41" t="s">
        <v>1306</v>
      </c>
      <c r="L41">
        <v>31</v>
      </c>
      <c r="M41">
        <v>4</v>
      </c>
      <c r="N41">
        <v>0</v>
      </c>
      <c r="O41">
        <v>4</v>
      </c>
      <c r="P41">
        <v>1</v>
      </c>
      <c r="Q41">
        <v>27715</v>
      </c>
      <c r="R41">
        <v>27715</v>
      </c>
      <c r="S41">
        <v>5180</v>
      </c>
      <c r="T41">
        <v>0</v>
      </c>
      <c r="U41">
        <v>0</v>
      </c>
      <c r="V41">
        <v>8</v>
      </c>
      <c r="W41">
        <v>21</v>
      </c>
      <c r="X41">
        <v>2</v>
      </c>
      <c r="Y41">
        <v>3</v>
      </c>
      <c r="Z41" t="b">
        <v>0</v>
      </c>
      <c r="AA41" t="b">
        <v>1</v>
      </c>
      <c r="AB41">
        <v>8</v>
      </c>
      <c r="AC41">
        <v>43738.10546875</v>
      </c>
      <c r="AD41">
        <v>187020.859375</v>
      </c>
      <c r="AE41">
        <v>230758.96875</v>
      </c>
      <c r="AI41">
        <v>787349.625</v>
      </c>
      <c r="AJ41" t="s">
        <v>268</v>
      </c>
      <c r="AL41">
        <v>0</v>
      </c>
      <c r="AM41">
        <v>16</v>
      </c>
      <c r="AN41">
        <v>0</v>
      </c>
      <c r="AO41">
        <v>28</v>
      </c>
      <c r="AP41">
        <v>0</v>
      </c>
      <c r="AQ41">
        <v>27</v>
      </c>
      <c r="AR41">
        <v>29</v>
      </c>
      <c r="AS41">
        <v>0</v>
      </c>
      <c r="AT41" t="b">
        <v>1</v>
      </c>
      <c r="AU41">
        <v>4</v>
      </c>
      <c r="AV41">
        <v>4</v>
      </c>
      <c r="AW41">
        <v>1</v>
      </c>
      <c r="AX41" t="b">
        <v>0</v>
      </c>
      <c r="AY41" t="b">
        <v>0</v>
      </c>
      <c r="AZ41" t="b">
        <v>1</v>
      </c>
      <c r="BA41" t="b">
        <v>0</v>
      </c>
      <c r="BB41" t="s">
        <v>268</v>
      </c>
      <c r="BC41" t="s">
        <v>268</v>
      </c>
      <c r="BD41" t="s">
        <v>268</v>
      </c>
      <c r="BE41" t="s">
        <v>1307</v>
      </c>
      <c r="BF41" t="s">
        <v>1308</v>
      </c>
      <c r="BG41" t="s">
        <v>1309</v>
      </c>
      <c r="BH41" t="s">
        <v>1310</v>
      </c>
      <c r="BI41" t="s">
        <v>1322</v>
      </c>
      <c r="BJ41" t="b">
        <v>0</v>
      </c>
      <c r="BK41" t="b">
        <v>1</v>
      </c>
      <c r="BL41" t="b">
        <v>0</v>
      </c>
      <c r="BM41" t="b">
        <v>0</v>
      </c>
      <c r="BN41" t="b">
        <v>0</v>
      </c>
      <c r="BO41" t="b">
        <v>0</v>
      </c>
      <c r="BP41">
        <v>1</v>
      </c>
      <c r="BQ41">
        <v>32</v>
      </c>
      <c r="BR41">
        <v>0</v>
      </c>
      <c r="BS41">
        <v>0</v>
      </c>
      <c r="BT41" t="b">
        <v>1</v>
      </c>
      <c r="BU41">
        <v>0</v>
      </c>
      <c r="BV41">
        <v>30</v>
      </c>
      <c r="BW41">
        <v>8820</v>
      </c>
      <c r="BX41">
        <v>1</v>
      </c>
      <c r="BY41" t="s">
        <v>271</v>
      </c>
      <c r="BZ41" t="s">
        <v>268</v>
      </c>
      <c r="CA41" t="s">
        <v>268</v>
      </c>
      <c r="CB41" t="s">
        <v>271</v>
      </c>
      <c r="CC41" t="s">
        <v>1319</v>
      </c>
      <c r="CD41" t="s">
        <v>1313</v>
      </c>
      <c r="CE41" t="s">
        <v>1330</v>
      </c>
      <c r="CF41" t="s">
        <v>1315</v>
      </c>
      <c r="CG41" t="str">
        <f t="shared" si="0"/>
        <v/>
      </c>
      <c r="CH41" t="str">
        <f t="shared" si="1"/>
        <v/>
      </c>
      <c r="CI41" t="str">
        <f t="shared" si="2"/>
        <v/>
      </c>
      <c r="CJ41" t="str">
        <f t="shared" si="3"/>
        <v/>
      </c>
      <c r="CK41" t="str">
        <f t="shared" si="4"/>
        <v/>
      </c>
    </row>
    <row r="42" spans="1:89">
      <c r="A42">
        <v>12932</v>
      </c>
      <c r="B42" t="s">
        <v>1331</v>
      </c>
      <c r="C42">
        <v>137.38261413574199</v>
      </c>
      <c r="D42" t="s">
        <v>1324</v>
      </c>
      <c r="E42">
        <v>1967</v>
      </c>
      <c r="F42" t="s">
        <v>1366</v>
      </c>
      <c r="G42" t="s">
        <v>167</v>
      </c>
      <c r="H42">
        <v>98020</v>
      </c>
      <c r="I42" t="s">
        <v>1329</v>
      </c>
      <c r="K42" t="s">
        <v>1306</v>
      </c>
      <c r="L42">
        <v>15</v>
      </c>
      <c r="M42">
        <v>3</v>
      </c>
      <c r="N42">
        <v>0</v>
      </c>
      <c r="O42">
        <v>4</v>
      </c>
      <c r="P42">
        <v>0</v>
      </c>
      <c r="Q42">
        <v>21327</v>
      </c>
      <c r="R42">
        <v>21327</v>
      </c>
      <c r="S42">
        <v>2757</v>
      </c>
      <c r="T42">
        <v>0</v>
      </c>
      <c r="U42">
        <v>0</v>
      </c>
      <c r="V42">
        <v>15</v>
      </c>
      <c r="W42">
        <v>0</v>
      </c>
      <c r="X42">
        <v>0</v>
      </c>
      <c r="Y42">
        <v>13</v>
      </c>
      <c r="Z42" t="b">
        <v>0</v>
      </c>
      <c r="AA42" t="b">
        <v>1</v>
      </c>
      <c r="AB42">
        <v>7.75</v>
      </c>
      <c r="AJ42" t="s">
        <v>268</v>
      </c>
      <c r="AK42">
        <v>0</v>
      </c>
      <c r="AL42">
        <v>5</v>
      </c>
      <c r="AM42">
        <v>0</v>
      </c>
      <c r="AN42">
        <v>56</v>
      </c>
      <c r="AO42">
        <v>0</v>
      </c>
      <c r="AP42">
        <v>25</v>
      </c>
      <c r="AQ42">
        <v>0</v>
      </c>
      <c r="AR42">
        <v>0</v>
      </c>
      <c r="AS42">
        <v>14</v>
      </c>
      <c r="AT42" t="b">
        <v>1</v>
      </c>
      <c r="AU42">
        <v>0</v>
      </c>
      <c r="AV42">
        <v>0</v>
      </c>
      <c r="AW42">
        <v>2</v>
      </c>
      <c r="AX42" t="b">
        <v>0</v>
      </c>
      <c r="AY42" t="b">
        <v>0</v>
      </c>
      <c r="AZ42" t="b">
        <v>1</v>
      </c>
      <c r="BA42" t="b">
        <v>0</v>
      </c>
      <c r="BB42" t="s">
        <v>268</v>
      </c>
      <c r="BC42" t="s">
        <v>268</v>
      </c>
      <c r="BD42" t="s">
        <v>268</v>
      </c>
      <c r="BE42" t="s">
        <v>1341</v>
      </c>
      <c r="BF42" t="s">
        <v>1308</v>
      </c>
      <c r="BG42" t="s">
        <v>1309</v>
      </c>
      <c r="BH42" t="s">
        <v>1310</v>
      </c>
      <c r="BI42" t="s">
        <v>1311</v>
      </c>
      <c r="BJ42" t="b">
        <v>0</v>
      </c>
      <c r="BK42" t="b">
        <v>1</v>
      </c>
      <c r="BL42" t="b">
        <v>0</v>
      </c>
      <c r="BM42" t="b">
        <v>0</v>
      </c>
      <c r="BN42" t="b">
        <v>0</v>
      </c>
      <c r="BO42" t="b">
        <v>0</v>
      </c>
      <c r="BP42">
        <v>1</v>
      </c>
      <c r="BQ42">
        <v>18</v>
      </c>
      <c r="BR42">
        <v>0</v>
      </c>
      <c r="BS42">
        <v>0</v>
      </c>
      <c r="BT42" t="b">
        <v>1</v>
      </c>
      <c r="BU42">
        <v>0</v>
      </c>
      <c r="BV42">
        <v>22</v>
      </c>
      <c r="BW42">
        <v>7520</v>
      </c>
      <c r="BX42">
        <v>1</v>
      </c>
      <c r="BY42" t="s">
        <v>268</v>
      </c>
      <c r="BZ42" t="s">
        <v>271</v>
      </c>
      <c r="CA42" t="s">
        <v>268</v>
      </c>
      <c r="CB42" t="s">
        <v>271</v>
      </c>
      <c r="CC42" t="s">
        <v>1312</v>
      </c>
      <c r="CD42" t="s">
        <v>1313</v>
      </c>
      <c r="CE42" t="s">
        <v>1314</v>
      </c>
      <c r="CF42" t="s">
        <v>1315</v>
      </c>
      <c r="CG42" t="str">
        <f t="shared" si="0"/>
        <v/>
      </c>
      <c r="CH42" t="str">
        <f t="shared" si="1"/>
        <v/>
      </c>
      <c r="CI42" t="str">
        <f t="shared" si="2"/>
        <v/>
      </c>
      <c r="CJ42" t="str">
        <f t="shared" si="3"/>
        <v/>
      </c>
      <c r="CK42" t="str">
        <f t="shared" si="4"/>
        <v/>
      </c>
    </row>
    <row r="43" spans="1:89">
      <c r="A43">
        <v>12986</v>
      </c>
      <c r="B43" t="s">
        <v>1331</v>
      </c>
      <c r="C43">
        <v>19.080919265747099</v>
      </c>
      <c r="D43" t="s">
        <v>1338</v>
      </c>
      <c r="E43">
        <v>2011</v>
      </c>
      <c r="F43" t="s">
        <v>1349</v>
      </c>
      <c r="G43" t="s">
        <v>167</v>
      </c>
      <c r="H43">
        <v>98201</v>
      </c>
      <c r="I43" t="s">
        <v>1329</v>
      </c>
      <c r="J43" t="s">
        <v>1317</v>
      </c>
      <c r="K43" t="s">
        <v>1306</v>
      </c>
      <c r="L43">
        <v>108</v>
      </c>
      <c r="M43">
        <v>3</v>
      </c>
      <c r="N43">
        <v>1</v>
      </c>
      <c r="O43">
        <v>4</v>
      </c>
      <c r="P43">
        <v>0</v>
      </c>
      <c r="Q43">
        <v>99751</v>
      </c>
      <c r="R43">
        <v>84334</v>
      </c>
      <c r="S43">
        <v>13498</v>
      </c>
      <c r="T43">
        <v>0</v>
      </c>
      <c r="U43">
        <v>0</v>
      </c>
      <c r="V43">
        <v>24</v>
      </c>
      <c r="W43">
        <v>74</v>
      </c>
      <c r="X43">
        <v>10</v>
      </c>
      <c r="Y43">
        <v>25</v>
      </c>
      <c r="Z43" t="b">
        <v>1</v>
      </c>
      <c r="AA43" t="b">
        <v>1</v>
      </c>
      <c r="AB43">
        <v>8</v>
      </c>
      <c r="AC43">
        <v>239010.0625</v>
      </c>
      <c r="AD43">
        <v>273125.0625</v>
      </c>
      <c r="AE43">
        <v>512135.125</v>
      </c>
      <c r="AH43">
        <v>23241.1796875</v>
      </c>
      <c r="AI43">
        <v>4071523</v>
      </c>
      <c r="AJ43" t="s">
        <v>271</v>
      </c>
      <c r="AK43">
        <v>15417</v>
      </c>
      <c r="AL43">
        <v>22</v>
      </c>
      <c r="AM43">
        <v>0</v>
      </c>
      <c r="AN43">
        <v>18</v>
      </c>
      <c r="AO43">
        <v>0</v>
      </c>
      <c r="AP43">
        <v>43</v>
      </c>
      <c r="AQ43">
        <v>0</v>
      </c>
      <c r="AR43">
        <v>0</v>
      </c>
      <c r="AS43">
        <v>17</v>
      </c>
      <c r="AT43" t="b">
        <v>0</v>
      </c>
      <c r="AU43">
        <v>0</v>
      </c>
      <c r="AV43">
        <v>0</v>
      </c>
      <c r="AW43">
        <v>2</v>
      </c>
      <c r="AX43" t="b">
        <v>0</v>
      </c>
      <c r="AY43" t="b">
        <v>0</v>
      </c>
      <c r="AZ43" t="b">
        <v>1</v>
      </c>
      <c r="BA43" t="b">
        <v>1</v>
      </c>
      <c r="BB43" t="s">
        <v>268</v>
      </c>
      <c r="BC43" t="s">
        <v>271</v>
      </c>
      <c r="BD43" t="s">
        <v>268</v>
      </c>
      <c r="BE43" t="s">
        <v>1307</v>
      </c>
      <c r="BF43" t="s">
        <v>1308</v>
      </c>
      <c r="BG43" t="s">
        <v>1309</v>
      </c>
      <c r="BH43" t="s">
        <v>1310</v>
      </c>
      <c r="BI43" t="s">
        <v>1322</v>
      </c>
      <c r="BJ43" t="b">
        <v>1</v>
      </c>
      <c r="BK43" t="b">
        <v>1</v>
      </c>
      <c r="BL43" t="b">
        <v>1</v>
      </c>
      <c r="BM43" t="b">
        <v>0</v>
      </c>
      <c r="BN43" t="b">
        <v>0</v>
      </c>
      <c r="BO43" t="b">
        <v>0</v>
      </c>
      <c r="BP43">
        <v>1</v>
      </c>
      <c r="BQ43">
        <v>111</v>
      </c>
      <c r="BR43">
        <v>1</v>
      </c>
      <c r="BS43">
        <v>1</v>
      </c>
      <c r="BT43" t="b">
        <v>1</v>
      </c>
      <c r="BU43">
        <v>30</v>
      </c>
      <c r="BV43">
        <v>108</v>
      </c>
      <c r="BW43">
        <v>46367</v>
      </c>
      <c r="BX43">
        <v>1</v>
      </c>
      <c r="BY43" t="s">
        <v>271</v>
      </c>
      <c r="BZ43" t="s">
        <v>268</v>
      </c>
      <c r="CA43" t="s">
        <v>268</v>
      </c>
      <c r="CB43" t="s">
        <v>268</v>
      </c>
      <c r="CC43" t="s">
        <v>1312</v>
      </c>
      <c r="CD43" t="s">
        <v>1313</v>
      </c>
      <c r="CE43" t="s">
        <v>1333</v>
      </c>
      <c r="CF43" t="s">
        <v>1315</v>
      </c>
      <c r="CG43" t="str">
        <f t="shared" si="0"/>
        <v/>
      </c>
      <c r="CH43" t="str">
        <f t="shared" si="1"/>
        <v/>
      </c>
      <c r="CI43" t="str">
        <f t="shared" si="2"/>
        <v/>
      </c>
      <c r="CJ43" t="str">
        <f t="shared" si="3"/>
        <v/>
      </c>
      <c r="CK43" t="str">
        <f t="shared" si="4"/>
        <v/>
      </c>
    </row>
    <row r="44" spans="1:89">
      <c r="A44">
        <v>12998</v>
      </c>
      <c r="B44" t="s">
        <v>1302</v>
      </c>
      <c r="C44">
        <v>34.226070404052699</v>
      </c>
      <c r="D44" t="s">
        <v>1334</v>
      </c>
      <c r="E44">
        <v>1979</v>
      </c>
      <c r="F44" t="s">
        <v>1369</v>
      </c>
      <c r="G44" t="s">
        <v>167</v>
      </c>
      <c r="H44">
        <v>98166</v>
      </c>
      <c r="I44" t="s">
        <v>1321</v>
      </c>
      <c r="K44" t="s">
        <v>1306</v>
      </c>
      <c r="L44">
        <v>32</v>
      </c>
      <c r="M44">
        <v>3</v>
      </c>
      <c r="N44">
        <v>0</v>
      </c>
      <c r="O44">
        <v>3</v>
      </c>
      <c r="P44">
        <v>0</v>
      </c>
      <c r="Q44">
        <v>39004</v>
      </c>
      <c r="R44">
        <v>39004</v>
      </c>
      <c r="S44">
        <v>5474</v>
      </c>
      <c r="T44">
        <v>0</v>
      </c>
      <c r="U44">
        <v>0</v>
      </c>
      <c r="V44">
        <v>32</v>
      </c>
      <c r="W44">
        <v>0</v>
      </c>
      <c r="X44">
        <v>0</v>
      </c>
      <c r="Y44">
        <v>3</v>
      </c>
      <c r="Z44" t="b">
        <v>0</v>
      </c>
      <c r="AA44" t="b">
        <v>1</v>
      </c>
      <c r="AB44">
        <v>8</v>
      </c>
      <c r="AC44">
        <v>29754.669921875</v>
      </c>
      <c r="AD44">
        <v>234990.96875</v>
      </c>
      <c r="AE44">
        <v>264745.625</v>
      </c>
      <c r="AI44">
        <v>903312.0625</v>
      </c>
      <c r="AJ44" t="s">
        <v>268</v>
      </c>
      <c r="AK44">
        <v>0</v>
      </c>
      <c r="AL44">
        <v>18</v>
      </c>
      <c r="AM44">
        <v>0</v>
      </c>
      <c r="AN44">
        <v>27</v>
      </c>
      <c r="AO44">
        <v>0</v>
      </c>
      <c r="AP44">
        <v>37</v>
      </c>
      <c r="AQ44">
        <v>0</v>
      </c>
      <c r="AR44">
        <v>0</v>
      </c>
      <c r="AS44">
        <v>18</v>
      </c>
      <c r="AT44" t="b">
        <v>1</v>
      </c>
      <c r="AU44">
        <v>0</v>
      </c>
      <c r="AV44">
        <v>0</v>
      </c>
      <c r="AW44">
        <v>1</v>
      </c>
      <c r="AX44" t="b">
        <v>0</v>
      </c>
      <c r="AY44" t="b">
        <v>0</v>
      </c>
      <c r="AZ44" t="b">
        <v>0</v>
      </c>
      <c r="BA44" t="b">
        <v>0</v>
      </c>
      <c r="BB44" t="s">
        <v>268</v>
      </c>
      <c r="BC44" t="s">
        <v>268</v>
      </c>
      <c r="BD44" t="s">
        <v>268</v>
      </c>
      <c r="BE44" t="s">
        <v>1307</v>
      </c>
      <c r="BF44" t="s">
        <v>1308</v>
      </c>
      <c r="BG44" t="s">
        <v>1309</v>
      </c>
      <c r="BH44" t="s">
        <v>1310</v>
      </c>
      <c r="BI44" t="s">
        <v>1311</v>
      </c>
      <c r="BJ44" t="b">
        <v>0</v>
      </c>
      <c r="BK44" t="b">
        <v>1</v>
      </c>
      <c r="BL44" t="b">
        <v>0</v>
      </c>
      <c r="BM44" t="b">
        <v>0</v>
      </c>
      <c r="BN44" t="b">
        <v>0</v>
      </c>
      <c r="BO44" t="b">
        <v>0</v>
      </c>
      <c r="BP44">
        <v>1</v>
      </c>
      <c r="BQ44">
        <v>33</v>
      </c>
      <c r="BR44">
        <v>0</v>
      </c>
      <c r="BS44">
        <v>0</v>
      </c>
      <c r="BT44" t="b">
        <v>1</v>
      </c>
      <c r="BU44">
        <v>0</v>
      </c>
      <c r="BV44">
        <v>44</v>
      </c>
      <c r="BW44">
        <v>10160</v>
      </c>
      <c r="BX44">
        <v>1</v>
      </c>
      <c r="BY44" t="s">
        <v>271</v>
      </c>
      <c r="BZ44" t="s">
        <v>268</v>
      </c>
      <c r="CA44" t="s">
        <v>268</v>
      </c>
      <c r="CB44" t="s">
        <v>271</v>
      </c>
      <c r="CC44" t="s">
        <v>1319</v>
      </c>
      <c r="CD44" t="s">
        <v>1313</v>
      </c>
      <c r="CE44" t="s">
        <v>1333</v>
      </c>
      <c r="CF44" t="s">
        <v>1315</v>
      </c>
      <c r="CG44">
        <f t="shared" si="0"/>
        <v>34.226070404052699</v>
      </c>
      <c r="CH44">
        <f t="shared" si="1"/>
        <v>39004</v>
      </c>
      <c r="CI44">
        <f t="shared" si="2"/>
        <v>3</v>
      </c>
      <c r="CJ44">
        <f t="shared" si="3"/>
        <v>1334953.6500396715</v>
      </c>
      <c r="CK44">
        <f t="shared" si="4"/>
        <v>102.67821121215809</v>
      </c>
    </row>
    <row r="45" spans="1:89">
      <c r="A45">
        <v>13039</v>
      </c>
      <c r="B45" t="s">
        <v>1331</v>
      </c>
      <c r="C45">
        <v>66.475456237792997</v>
      </c>
      <c r="D45" t="s">
        <v>1334</v>
      </c>
      <c r="E45">
        <v>1972</v>
      </c>
      <c r="F45" t="s">
        <v>1337</v>
      </c>
      <c r="G45" t="s">
        <v>167</v>
      </c>
      <c r="H45">
        <v>98275</v>
      </c>
      <c r="I45" t="s">
        <v>1329</v>
      </c>
      <c r="J45" t="s">
        <v>1317</v>
      </c>
      <c r="K45" t="s">
        <v>1306</v>
      </c>
      <c r="L45">
        <v>31</v>
      </c>
      <c r="M45">
        <v>3</v>
      </c>
      <c r="N45">
        <v>0</v>
      </c>
      <c r="O45">
        <v>4</v>
      </c>
      <c r="P45">
        <v>1</v>
      </c>
      <c r="Q45">
        <v>51204</v>
      </c>
      <c r="R45">
        <v>51204</v>
      </c>
      <c r="S45">
        <v>3991</v>
      </c>
      <c r="T45">
        <v>0</v>
      </c>
      <c r="U45">
        <v>2</v>
      </c>
      <c r="V45">
        <v>23</v>
      </c>
      <c r="W45">
        <v>5</v>
      </c>
      <c r="X45">
        <v>1</v>
      </c>
      <c r="Y45">
        <v>3</v>
      </c>
      <c r="Z45" t="b">
        <v>0</v>
      </c>
      <c r="AA45" t="b">
        <v>1</v>
      </c>
      <c r="AB45">
        <v>8</v>
      </c>
      <c r="AC45">
        <v>2366.31103515625</v>
      </c>
      <c r="AD45">
        <v>240126.75</v>
      </c>
      <c r="AE45">
        <v>242493.0625</v>
      </c>
      <c r="AH45">
        <v>3506.25170898438</v>
      </c>
      <c r="AI45">
        <v>1178011.5</v>
      </c>
      <c r="AJ45" t="s">
        <v>271</v>
      </c>
      <c r="AK45">
        <v>0</v>
      </c>
      <c r="AL45">
        <v>6</v>
      </c>
      <c r="AM45">
        <v>0</v>
      </c>
      <c r="AN45">
        <v>65</v>
      </c>
      <c r="AO45">
        <v>0</v>
      </c>
      <c r="AP45">
        <v>15</v>
      </c>
      <c r="AQ45">
        <v>0</v>
      </c>
      <c r="AR45">
        <v>0</v>
      </c>
      <c r="AS45">
        <v>14</v>
      </c>
      <c r="AT45" t="b">
        <v>1</v>
      </c>
      <c r="AU45">
        <v>0</v>
      </c>
      <c r="AV45">
        <v>0</v>
      </c>
      <c r="AW45">
        <v>1</v>
      </c>
      <c r="AX45" t="b">
        <v>0</v>
      </c>
      <c r="AY45" t="b">
        <v>0</v>
      </c>
      <c r="AZ45" t="b">
        <v>1</v>
      </c>
      <c r="BA45" t="b">
        <v>0</v>
      </c>
      <c r="BB45" t="s">
        <v>268</v>
      </c>
      <c r="BC45" t="s">
        <v>268</v>
      </c>
      <c r="BD45" t="s">
        <v>271</v>
      </c>
      <c r="BE45" t="s">
        <v>1307</v>
      </c>
      <c r="BF45" t="s">
        <v>1308</v>
      </c>
      <c r="BG45" t="s">
        <v>1309</v>
      </c>
      <c r="BH45" t="s">
        <v>1310</v>
      </c>
      <c r="BI45" t="s">
        <v>1322</v>
      </c>
      <c r="BJ45" t="b">
        <v>1</v>
      </c>
      <c r="BK45" t="b">
        <v>1</v>
      </c>
      <c r="BL45" t="b">
        <v>1</v>
      </c>
      <c r="BM45" t="b">
        <v>0</v>
      </c>
      <c r="BN45" t="b">
        <v>0</v>
      </c>
      <c r="BO45" t="b">
        <v>0</v>
      </c>
      <c r="BP45">
        <v>2</v>
      </c>
      <c r="BQ45">
        <v>33</v>
      </c>
      <c r="BR45">
        <v>1</v>
      </c>
      <c r="BS45">
        <v>1</v>
      </c>
      <c r="BT45" t="b">
        <v>1</v>
      </c>
      <c r="BU45">
        <v>0</v>
      </c>
      <c r="BV45">
        <v>55</v>
      </c>
      <c r="BW45">
        <v>19887</v>
      </c>
      <c r="BX45">
        <v>1</v>
      </c>
      <c r="BY45" t="s">
        <v>271</v>
      </c>
      <c r="BZ45" t="s">
        <v>268</v>
      </c>
      <c r="CA45" t="s">
        <v>271</v>
      </c>
      <c r="CB45" t="s">
        <v>271</v>
      </c>
      <c r="CC45" t="s">
        <v>1319</v>
      </c>
      <c r="CD45" t="s">
        <v>1360</v>
      </c>
      <c r="CE45" t="s">
        <v>1333</v>
      </c>
      <c r="CF45" t="s">
        <v>1361</v>
      </c>
      <c r="CG45" t="str">
        <f t="shared" si="0"/>
        <v/>
      </c>
      <c r="CH45" t="str">
        <f t="shared" si="1"/>
        <v/>
      </c>
      <c r="CI45" t="str">
        <f t="shared" si="2"/>
        <v/>
      </c>
      <c r="CJ45" t="str">
        <f t="shared" si="3"/>
        <v/>
      </c>
      <c r="CK45" t="str">
        <f t="shared" si="4"/>
        <v/>
      </c>
    </row>
    <row r="46" spans="1:89">
      <c r="A46">
        <v>13048</v>
      </c>
      <c r="B46" t="s">
        <v>1302</v>
      </c>
      <c r="C46">
        <v>266.90576171875</v>
      </c>
      <c r="D46" t="s">
        <v>1303</v>
      </c>
      <c r="E46">
        <v>1987</v>
      </c>
      <c r="F46" t="s">
        <v>1335</v>
      </c>
      <c r="G46" t="s">
        <v>167</v>
      </c>
      <c r="H46">
        <v>98008</v>
      </c>
      <c r="I46" t="s">
        <v>1317</v>
      </c>
      <c r="K46" t="s">
        <v>1306</v>
      </c>
      <c r="L46">
        <v>18</v>
      </c>
      <c r="M46">
        <v>3</v>
      </c>
      <c r="N46">
        <v>0</v>
      </c>
      <c r="O46">
        <v>3</v>
      </c>
      <c r="P46">
        <v>0</v>
      </c>
      <c r="Q46">
        <v>12690</v>
      </c>
      <c r="R46">
        <v>12690</v>
      </c>
      <c r="S46">
        <v>0</v>
      </c>
      <c r="T46">
        <v>0</v>
      </c>
      <c r="U46">
        <v>0</v>
      </c>
      <c r="V46">
        <v>6</v>
      </c>
      <c r="W46">
        <v>12</v>
      </c>
      <c r="X46">
        <v>0</v>
      </c>
      <c r="Y46">
        <v>0</v>
      </c>
      <c r="Z46" t="b">
        <v>0</v>
      </c>
      <c r="AA46" t="b">
        <v>0</v>
      </c>
      <c r="AB46">
        <v>8</v>
      </c>
      <c r="AC46">
        <v>4528.5185546875</v>
      </c>
      <c r="AD46">
        <v>137557.640625</v>
      </c>
      <c r="AE46">
        <v>142086.15625</v>
      </c>
      <c r="AI46">
        <v>484797.96875</v>
      </c>
      <c r="AJ46" t="s">
        <v>268</v>
      </c>
      <c r="AK46">
        <v>0</v>
      </c>
      <c r="AL46">
        <v>2</v>
      </c>
      <c r="AM46">
        <v>0</v>
      </c>
      <c r="AN46">
        <v>70</v>
      </c>
      <c r="AO46">
        <v>0</v>
      </c>
      <c r="AP46">
        <v>26</v>
      </c>
      <c r="AQ46">
        <v>0</v>
      </c>
      <c r="AR46">
        <v>0</v>
      </c>
      <c r="AS46">
        <v>2</v>
      </c>
      <c r="AT46" t="b">
        <v>1</v>
      </c>
      <c r="AU46">
        <v>0</v>
      </c>
      <c r="AV46">
        <v>0</v>
      </c>
      <c r="AX46" t="b">
        <v>0</v>
      </c>
      <c r="AY46" t="b">
        <v>0</v>
      </c>
      <c r="AZ46" t="b">
        <v>0</v>
      </c>
      <c r="BA46" t="b">
        <v>0</v>
      </c>
      <c r="BB46" t="s">
        <v>268</v>
      </c>
      <c r="BC46" t="s">
        <v>268</v>
      </c>
      <c r="BD46" t="s">
        <v>268</v>
      </c>
      <c r="BE46" t="s">
        <v>1307</v>
      </c>
      <c r="BF46" t="s">
        <v>1308</v>
      </c>
      <c r="BG46" t="s">
        <v>1309</v>
      </c>
      <c r="BH46" t="s">
        <v>1310</v>
      </c>
      <c r="BI46" t="s">
        <v>1311</v>
      </c>
      <c r="BJ46" t="b">
        <v>0</v>
      </c>
      <c r="BK46" t="b">
        <v>1</v>
      </c>
      <c r="BL46" t="b">
        <v>0</v>
      </c>
      <c r="BM46" t="b">
        <v>0</v>
      </c>
      <c r="BN46" t="b">
        <v>0</v>
      </c>
      <c r="BO46" t="b">
        <v>0</v>
      </c>
      <c r="BP46">
        <v>4</v>
      </c>
      <c r="BQ46">
        <v>19</v>
      </c>
      <c r="BR46">
        <v>0</v>
      </c>
      <c r="BS46">
        <v>0</v>
      </c>
      <c r="BT46" t="b">
        <v>1</v>
      </c>
      <c r="BU46">
        <v>0</v>
      </c>
      <c r="BV46">
        <v>27</v>
      </c>
      <c r="BW46">
        <v>9989</v>
      </c>
      <c r="BX46">
        <v>0</v>
      </c>
      <c r="BY46" t="s">
        <v>268</v>
      </c>
      <c r="BZ46" t="s">
        <v>268</v>
      </c>
      <c r="CA46" t="s">
        <v>271</v>
      </c>
      <c r="CB46" t="s">
        <v>271</v>
      </c>
      <c r="CC46" t="s">
        <v>1312</v>
      </c>
      <c r="CD46" t="s">
        <v>1313</v>
      </c>
      <c r="CE46" t="s">
        <v>1314</v>
      </c>
      <c r="CF46" t="s">
        <v>1315</v>
      </c>
      <c r="CG46">
        <f t="shared" si="0"/>
        <v>266.90576171875</v>
      </c>
      <c r="CH46">
        <f t="shared" si="1"/>
        <v>12690</v>
      </c>
      <c r="CI46">
        <f t="shared" si="2"/>
        <v>3</v>
      </c>
      <c r="CJ46">
        <f t="shared" si="3"/>
        <v>3387034.1162109375</v>
      </c>
      <c r="CK46">
        <f t="shared" si="4"/>
        <v>800.71728515625</v>
      </c>
    </row>
    <row r="47" spans="1:89">
      <c r="A47">
        <v>13054</v>
      </c>
      <c r="B47" t="s">
        <v>1302</v>
      </c>
      <c r="C47">
        <v>149.47552490234401</v>
      </c>
      <c r="D47" t="s">
        <v>1340</v>
      </c>
      <c r="E47">
        <v>1997</v>
      </c>
      <c r="F47" t="s">
        <v>1325</v>
      </c>
      <c r="G47" t="s">
        <v>168</v>
      </c>
      <c r="H47">
        <v>97401</v>
      </c>
      <c r="I47" t="s">
        <v>1326</v>
      </c>
      <c r="J47" t="s">
        <v>1358</v>
      </c>
      <c r="K47" t="s">
        <v>1306</v>
      </c>
      <c r="L47">
        <v>12</v>
      </c>
      <c r="M47">
        <v>3</v>
      </c>
      <c r="N47">
        <v>0</v>
      </c>
      <c r="O47">
        <v>3</v>
      </c>
      <c r="P47">
        <v>0</v>
      </c>
      <c r="Q47">
        <v>10730</v>
      </c>
      <c r="R47">
        <v>10730</v>
      </c>
      <c r="S47">
        <v>0</v>
      </c>
      <c r="T47">
        <v>0</v>
      </c>
      <c r="U47">
        <v>0</v>
      </c>
      <c r="V47">
        <v>6</v>
      </c>
      <c r="W47">
        <v>6</v>
      </c>
      <c r="X47">
        <v>0</v>
      </c>
      <c r="Y47">
        <v>8</v>
      </c>
      <c r="Z47" t="b">
        <v>0</v>
      </c>
      <c r="AA47" t="b">
        <v>0</v>
      </c>
      <c r="AB47">
        <v>9</v>
      </c>
      <c r="AC47">
        <v>58436.05078125</v>
      </c>
      <c r="AD47">
        <v>85121.90625</v>
      </c>
      <c r="AE47">
        <v>143557.953125</v>
      </c>
      <c r="AH47">
        <v>6554.2607421875</v>
      </c>
      <c r="AI47">
        <v>1145245.75</v>
      </c>
      <c r="AJ47" t="s">
        <v>268</v>
      </c>
      <c r="AK47">
        <v>0</v>
      </c>
      <c r="AL47">
        <v>3</v>
      </c>
      <c r="AM47">
        <v>0</v>
      </c>
      <c r="AN47">
        <v>29</v>
      </c>
      <c r="AO47">
        <v>0</v>
      </c>
      <c r="AP47">
        <v>65</v>
      </c>
      <c r="AQ47">
        <v>0</v>
      </c>
      <c r="AR47">
        <v>0</v>
      </c>
      <c r="AS47">
        <v>3</v>
      </c>
      <c r="AT47" t="b">
        <v>1</v>
      </c>
      <c r="AU47">
        <v>4</v>
      </c>
      <c r="AV47">
        <v>4</v>
      </c>
      <c r="AW47">
        <v>0</v>
      </c>
      <c r="AX47" t="b">
        <v>0</v>
      </c>
      <c r="AY47" t="b">
        <v>0</v>
      </c>
      <c r="AZ47" t="b">
        <v>0</v>
      </c>
      <c r="BA47" t="b">
        <v>0</v>
      </c>
      <c r="BB47" t="s">
        <v>268</v>
      </c>
      <c r="BC47" t="s">
        <v>268</v>
      </c>
      <c r="BD47" t="s">
        <v>268</v>
      </c>
      <c r="BE47" t="s">
        <v>1307</v>
      </c>
      <c r="BF47" t="s">
        <v>1308</v>
      </c>
      <c r="BG47" t="s">
        <v>1309</v>
      </c>
      <c r="BH47" t="s">
        <v>1310</v>
      </c>
      <c r="BI47" t="s">
        <v>1311</v>
      </c>
      <c r="BJ47" t="b">
        <v>1</v>
      </c>
      <c r="BK47" t="b">
        <v>1</v>
      </c>
      <c r="BL47" t="b">
        <v>1</v>
      </c>
      <c r="BM47" t="b">
        <v>0</v>
      </c>
      <c r="BN47" t="b">
        <v>0</v>
      </c>
      <c r="BO47" t="b">
        <v>0</v>
      </c>
      <c r="BP47">
        <v>2</v>
      </c>
      <c r="BQ47">
        <v>13</v>
      </c>
      <c r="BR47">
        <v>1</v>
      </c>
      <c r="BS47">
        <v>1</v>
      </c>
      <c r="BT47" t="b">
        <v>1</v>
      </c>
      <c r="BU47">
        <v>0</v>
      </c>
      <c r="BV47">
        <v>29</v>
      </c>
      <c r="BW47">
        <v>41100</v>
      </c>
      <c r="BX47">
        <v>1</v>
      </c>
      <c r="BY47" t="s">
        <v>271</v>
      </c>
      <c r="BZ47" t="s">
        <v>268</v>
      </c>
      <c r="CA47" t="s">
        <v>271</v>
      </c>
      <c r="CB47" t="s">
        <v>271</v>
      </c>
      <c r="CC47" t="s">
        <v>1312</v>
      </c>
      <c r="CD47" t="s">
        <v>1313</v>
      </c>
      <c r="CE47" t="s">
        <v>1314</v>
      </c>
      <c r="CF47" t="s">
        <v>1315</v>
      </c>
      <c r="CG47">
        <f t="shared" si="0"/>
        <v>149.47552490234401</v>
      </c>
      <c r="CH47">
        <f t="shared" si="1"/>
        <v>10730</v>
      </c>
      <c r="CI47">
        <f t="shared" si="2"/>
        <v>3</v>
      </c>
      <c r="CJ47">
        <f t="shared" si="3"/>
        <v>1603872.3822021512</v>
      </c>
      <c r="CK47">
        <f t="shared" si="4"/>
        <v>448.42657470703205</v>
      </c>
    </row>
    <row r="48" spans="1:89">
      <c r="A48">
        <v>13062</v>
      </c>
      <c r="B48" t="s">
        <v>1302</v>
      </c>
      <c r="C48">
        <v>400.358642578125</v>
      </c>
      <c r="D48" t="s">
        <v>1303</v>
      </c>
      <c r="E48">
        <v>1989</v>
      </c>
      <c r="F48" t="s">
        <v>1370</v>
      </c>
      <c r="G48" t="s">
        <v>167</v>
      </c>
      <c r="H48">
        <v>98512</v>
      </c>
      <c r="I48" t="s">
        <v>1317</v>
      </c>
      <c r="K48" t="s">
        <v>1306</v>
      </c>
      <c r="L48">
        <v>12</v>
      </c>
      <c r="M48">
        <v>3</v>
      </c>
      <c r="N48">
        <v>0</v>
      </c>
      <c r="O48">
        <v>3</v>
      </c>
      <c r="P48">
        <v>0</v>
      </c>
      <c r="Q48">
        <v>13452</v>
      </c>
      <c r="R48">
        <v>13452</v>
      </c>
      <c r="S48">
        <v>0</v>
      </c>
      <c r="T48">
        <v>0</v>
      </c>
      <c r="U48">
        <v>6</v>
      </c>
      <c r="V48">
        <v>6</v>
      </c>
      <c r="W48">
        <v>0</v>
      </c>
      <c r="X48">
        <v>0</v>
      </c>
      <c r="Y48">
        <v>0</v>
      </c>
      <c r="Z48" t="b">
        <v>0</v>
      </c>
      <c r="AA48" t="b">
        <v>0</v>
      </c>
      <c r="AB48">
        <v>8</v>
      </c>
      <c r="AC48">
        <v>1676.3330078125</v>
      </c>
      <c r="AD48">
        <v>133870.703125</v>
      </c>
      <c r="AE48">
        <v>135547.03125</v>
      </c>
      <c r="AI48">
        <v>462486.46875</v>
      </c>
      <c r="AJ48" t="s">
        <v>268</v>
      </c>
      <c r="AK48">
        <v>0</v>
      </c>
      <c r="AL48">
        <v>0</v>
      </c>
      <c r="AM48">
        <v>55</v>
      </c>
      <c r="AN48">
        <v>0</v>
      </c>
      <c r="AO48">
        <v>3</v>
      </c>
      <c r="AP48">
        <v>0</v>
      </c>
      <c r="AQ48">
        <v>3</v>
      </c>
      <c r="AR48">
        <v>39</v>
      </c>
      <c r="AS48">
        <v>0</v>
      </c>
      <c r="AT48" t="b">
        <v>1</v>
      </c>
      <c r="AU48">
        <v>0</v>
      </c>
      <c r="AV48">
        <v>0</v>
      </c>
      <c r="AW48">
        <v>0</v>
      </c>
      <c r="AX48" t="b">
        <v>0</v>
      </c>
      <c r="AY48" t="b">
        <v>0</v>
      </c>
      <c r="AZ48" t="b">
        <v>0</v>
      </c>
      <c r="BA48" t="b">
        <v>0</v>
      </c>
      <c r="BB48" t="s">
        <v>268</v>
      </c>
      <c r="BC48" t="s">
        <v>268</v>
      </c>
      <c r="BD48" t="s">
        <v>268</v>
      </c>
      <c r="BE48" t="s">
        <v>1307</v>
      </c>
      <c r="BF48" t="s">
        <v>1308</v>
      </c>
      <c r="BG48" t="s">
        <v>1309</v>
      </c>
      <c r="BH48" t="s">
        <v>1310</v>
      </c>
      <c r="BI48" t="s">
        <v>1311</v>
      </c>
      <c r="BJ48" t="b">
        <v>0</v>
      </c>
      <c r="BK48" t="b">
        <v>1</v>
      </c>
      <c r="BL48" t="b">
        <v>0</v>
      </c>
      <c r="BM48" t="b">
        <v>0</v>
      </c>
      <c r="BN48" t="b">
        <v>0</v>
      </c>
      <c r="BO48" t="b">
        <v>0</v>
      </c>
      <c r="BP48">
        <v>2</v>
      </c>
      <c r="BQ48">
        <v>13</v>
      </c>
      <c r="BR48">
        <v>0</v>
      </c>
      <c r="BS48">
        <v>0</v>
      </c>
      <c r="BT48" t="b">
        <v>1</v>
      </c>
      <c r="BU48">
        <v>0</v>
      </c>
      <c r="BV48">
        <v>20</v>
      </c>
      <c r="BW48">
        <v>4900</v>
      </c>
      <c r="BX48">
        <v>0</v>
      </c>
      <c r="BY48" t="s">
        <v>268</v>
      </c>
      <c r="BZ48" t="s">
        <v>268</v>
      </c>
      <c r="CA48" t="s">
        <v>271</v>
      </c>
      <c r="CB48" t="s">
        <v>271</v>
      </c>
      <c r="CC48" t="s">
        <v>1312</v>
      </c>
      <c r="CD48" t="s">
        <v>1313</v>
      </c>
      <c r="CE48" t="s">
        <v>1314</v>
      </c>
      <c r="CF48" t="s">
        <v>1315</v>
      </c>
      <c r="CG48">
        <f t="shared" si="0"/>
        <v>400.358642578125</v>
      </c>
      <c r="CH48">
        <f t="shared" si="1"/>
        <v>13452</v>
      </c>
      <c r="CI48">
        <f t="shared" si="2"/>
        <v>3</v>
      </c>
      <c r="CJ48">
        <f t="shared" si="3"/>
        <v>5385624.4599609375</v>
      </c>
      <c r="CK48">
        <f t="shared" si="4"/>
        <v>1201.075927734375</v>
      </c>
    </row>
    <row r="49" spans="1:89">
      <c r="A49">
        <v>13126</v>
      </c>
      <c r="B49" t="s">
        <v>1371</v>
      </c>
      <c r="C49">
        <v>19.557754516601602</v>
      </c>
      <c r="D49" t="s">
        <v>1324</v>
      </c>
      <c r="E49">
        <v>1963</v>
      </c>
      <c r="F49" t="s">
        <v>1320</v>
      </c>
      <c r="G49" t="s">
        <v>167</v>
      </c>
      <c r="H49">
        <v>98119</v>
      </c>
      <c r="I49" t="s">
        <v>1321</v>
      </c>
      <c r="J49" t="s">
        <v>1317</v>
      </c>
      <c r="K49" t="s">
        <v>1306</v>
      </c>
      <c r="L49">
        <v>56</v>
      </c>
      <c r="M49">
        <v>11</v>
      </c>
      <c r="N49">
        <v>0</v>
      </c>
      <c r="O49">
        <v>11</v>
      </c>
      <c r="P49">
        <v>0</v>
      </c>
      <c r="Q49">
        <v>65285</v>
      </c>
      <c r="R49">
        <v>65285</v>
      </c>
      <c r="S49">
        <v>9102</v>
      </c>
      <c r="T49">
        <v>0</v>
      </c>
      <c r="U49">
        <v>0</v>
      </c>
      <c r="V49">
        <v>26</v>
      </c>
      <c r="W49">
        <v>30</v>
      </c>
      <c r="X49">
        <v>0</v>
      </c>
      <c r="Y49">
        <v>4</v>
      </c>
      <c r="Z49" t="b">
        <v>0</v>
      </c>
      <c r="AA49" t="b">
        <v>1</v>
      </c>
      <c r="AB49">
        <v>8</v>
      </c>
      <c r="AC49">
        <v>336830.4375</v>
      </c>
      <c r="AD49">
        <v>479283.125</v>
      </c>
      <c r="AE49">
        <v>816113.5625</v>
      </c>
      <c r="AH49">
        <v>3294.90283203125</v>
      </c>
      <c r="AI49">
        <v>3114069.75</v>
      </c>
      <c r="AJ49" t="s">
        <v>271</v>
      </c>
      <c r="AK49">
        <v>0</v>
      </c>
      <c r="AL49">
        <v>20</v>
      </c>
      <c r="AM49">
        <v>0</v>
      </c>
      <c r="AN49">
        <v>5</v>
      </c>
      <c r="AO49">
        <v>0</v>
      </c>
      <c r="AP49">
        <v>20</v>
      </c>
      <c r="AQ49">
        <v>0</v>
      </c>
      <c r="AR49">
        <v>0</v>
      </c>
      <c r="AS49">
        <v>55</v>
      </c>
      <c r="AT49" t="b">
        <v>1</v>
      </c>
      <c r="AU49">
        <v>22</v>
      </c>
      <c r="AV49">
        <v>22</v>
      </c>
      <c r="AW49">
        <v>2</v>
      </c>
      <c r="AX49" t="b">
        <v>0</v>
      </c>
      <c r="AY49" t="b">
        <v>0</v>
      </c>
      <c r="AZ49" t="b">
        <v>1</v>
      </c>
      <c r="BA49" t="b">
        <v>1</v>
      </c>
      <c r="BB49" t="s">
        <v>268</v>
      </c>
      <c r="BC49" t="s">
        <v>268</v>
      </c>
      <c r="BD49" t="s">
        <v>268</v>
      </c>
      <c r="BE49" t="s">
        <v>1307</v>
      </c>
      <c r="BF49" t="s">
        <v>1308</v>
      </c>
      <c r="BG49" t="s">
        <v>1309</v>
      </c>
      <c r="BH49" t="s">
        <v>1336</v>
      </c>
      <c r="BI49" t="s">
        <v>1344</v>
      </c>
      <c r="BJ49" t="b">
        <v>1</v>
      </c>
      <c r="BK49" t="b">
        <v>1</v>
      </c>
      <c r="BL49" t="b">
        <v>1</v>
      </c>
      <c r="BM49" t="b">
        <v>0</v>
      </c>
      <c r="BN49" t="b">
        <v>1</v>
      </c>
      <c r="BO49" t="b">
        <v>0</v>
      </c>
      <c r="BP49">
        <v>6</v>
      </c>
      <c r="BQ49">
        <v>59</v>
      </c>
      <c r="BR49">
        <v>1</v>
      </c>
      <c r="BS49">
        <v>1</v>
      </c>
      <c r="BT49" t="b">
        <v>1</v>
      </c>
      <c r="BU49">
        <v>0</v>
      </c>
      <c r="BV49">
        <v>75</v>
      </c>
      <c r="BW49">
        <v>23400</v>
      </c>
      <c r="BX49">
        <v>2</v>
      </c>
      <c r="BY49" t="s">
        <v>268</v>
      </c>
      <c r="BZ49" t="s">
        <v>271</v>
      </c>
      <c r="CA49" t="s">
        <v>268</v>
      </c>
      <c r="CB49" t="s">
        <v>268</v>
      </c>
      <c r="CC49" t="s">
        <v>1372</v>
      </c>
      <c r="CD49" t="s">
        <v>1373</v>
      </c>
      <c r="CE49" t="s">
        <v>1323</v>
      </c>
      <c r="CF49" t="s">
        <v>1374</v>
      </c>
      <c r="CG49" t="str">
        <f t="shared" si="0"/>
        <v/>
      </c>
      <c r="CH49" t="str">
        <f t="shared" si="1"/>
        <v/>
      </c>
      <c r="CI49" t="str">
        <f t="shared" si="2"/>
        <v/>
      </c>
      <c r="CJ49" t="str">
        <f t="shared" si="3"/>
        <v/>
      </c>
      <c r="CK49" t="str">
        <f t="shared" si="4"/>
        <v/>
      </c>
    </row>
    <row r="50" spans="1:89">
      <c r="A50">
        <v>13202</v>
      </c>
      <c r="B50" t="s">
        <v>1302</v>
      </c>
      <c r="C50">
        <v>480.43035888671898</v>
      </c>
      <c r="D50" t="s">
        <v>1340</v>
      </c>
      <c r="E50">
        <v>1996</v>
      </c>
      <c r="F50" t="s">
        <v>1375</v>
      </c>
      <c r="G50" t="s">
        <v>167</v>
      </c>
      <c r="H50">
        <v>98501</v>
      </c>
      <c r="I50" t="s">
        <v>1317</v>
      </c>
      <c r="K50" t="s">
        <v>1306</v>
      </c>
      <c r="L50">
        <v>10</v>
      </c>
      <c r="M50">
        <v>3</v>
      </c>
      <c r="N50">
        <v>0</v>
      </c>
      <c r="O50">
        <v>3</v>
      </c>
      <c r="P50">
        <v>0</v>
      </c>
      <c r="Q50">
        <v>10245</v>
      </c>
      <c r="R50">
        <v>10245</v>
      </c>
      <c r="S50">
        <v>0</v>
      </c>
      <c r="T50">
        <v>0</v>
      </c>
      <c r="U50">
        <v>4</v>
      </c>
      <c r="V50">
        <v>6</v>
      </c>
      <c r="W50">
        <v>0</v>
      </c>
      <c r="X50">
        <v>0</v>
      </c>
      <c r="Y50">
        <v>0</v>
      </c>
      <c r="Z50" t="b">
        <v>0</v>
      </c>
      <c r="AA50" t="b">
        <v>0</v>
      </c>
      <c r="AB50">
        <v>8</v>
      </c>
      <c r="AD50">
        <v>84571.1328125</v>
      </c>
      <c r="AE50">
        <v>84571.1328125</v>
      </c>
      <c r="AI50">
        <v>288556.71875</v>
      </c>
      <c r="AJ50" t="s">
        <v>268</v>
      </c>
      <c r="AL50">
        <v>37</v>
      </c>
      <c r="AM50">
        <v>0</v>
      </c>
      <c r="AN50">
        <v>6</v>
      </c>
      <c r="AO50">
        <v>0</v>
      </c>
      <c r="AP50">
        <v>6</v>
      </c>
      <c r="AQ50">
        <v>0</v>
      </c>
      <c r="AR50">
        <v>0</v>
      </c>
      <c r="AS50">
        <v>50</v>
      </c>
      <c r="AT50" t="b">
        <v>1</v>
      </c>
      <c r="AU50">
        <v>0</v>
      </c>
      <c r="AV50">
        <v>0</v>
      </c>
      <c r="AW50">
        <v>0</v>
      </c>
      <c r="AX50" t="b">
        <v>0</v>
      </c>
      <c r="AY50" t="b">
        <v>0</v>
      </c>
      <c r="AZ50" t="b">
        <v>0</v>
      </c>
      <c r="BA50" t="b">
        <v>0</v>
      </c>
      <c r="BB50" t="s">
        <v>268</v>
      </c>
      <c r="BC50" t="s">
        <v>268</v>
      </c>
      <c r="BD50" t="s">
        <v>268</v>
      </c>
      <c r="BE50" t="s">
        <v>1307</v>
      </c>
      <c r="BF50" t="s">
        <v>1308</v>
      </c>
      <c r="BG50" t="s">
        <v>1309</v>
      </c>
      <c r="BH50" t="s">
        <v>1336</v>
      </c>
      <c r="BI50" t="s">
        <v>1311</v>
      </c>
      <c r="BJ50" t="b">
        <v>0</v>
      </c>
      <c r="BK50" t="b">
        <v>1</v>
      </c>
      <c r="BL50" t="b">
        <v>0</v>
      </c>
      <c r="BM50" t="b">
        <v>0</v>
      </c>
      <c r="BN50" t="b">
        <v>0</v>
      </c>
      <c r="BO50" t="b">
        <v>0</v>
      </c>
      <c r="BQ50">
        <v>2</v>
      </c>
      <c r="BR50">
        <v>0</v>
      </c>
      <c r="BS50">
        <v>0</v>
      </c>
      <c r="BT50" t="b">
        <v>1</v>
      </c>
      <c r="BV50">
        <v>19</v>
      </c>
      <c r="BW50">
        <v>5890</v>
      </c>
      <c r="BX50">
        <v>0</v>
      </c>
      <c r="BY50" t="s">
        <v>268</v>
      </c>
      <c r="BZ50" t="s">
        <v>268</v>
      </c>
      <c r="CA50" t="s">
        <v>268</v>
      </c>
      <c r="CB50" t="s">
        <v>268</v>
      </c>
      <c r="CC50" t="s">
        <v>1319</v>
      </c>
      <c r="CD50" t="s">
        <v>1313</v>
      </c>
      <c r="CE50" t="s">
        <v>1314</v>
      </c>
      <c r="CF50" t="s">
        <v>1315</v>
      </c>
      <c r="CG50">
        <f t="shared" si="0"/>
        <v>480.43035888671898</v>
      </c>
      <c r="CH50">
        <f t="shared" si="1"/>
        <v>10245</v>
      </c>
      <c r="CI50">
        <f t="shared" si="2"/>
        <v>3</v>
      </c>
      <c r="CJ50">
        <f t="shared" si="3"/>
        <v>4922009.0267944364</v>
      </c>
      <c r="CK50">
        <f t="shared" si="4"/>
        <v>1441.2910766601569</v>
      </c>
    </row>
    <row r="51" spans="1:89">
      <c r="A51">
        <v>13218</v>
      </c>
      <c r="B51" t="s">
        <v>1302</v>
      </c>
      <c r="C51">
        <v>128.79620361328099</v>
      </c>
      <c r="D51" t="s">
        <v>1334</v>
      </c>
      <c r="E51">
        <v>1978</v>
      </c>
      <c r="F51" t="s">
        <v>1350</v>
      </c>
      <c r="G51" t="s">
        <v>167</v>
      </c>
      <c r="H51">
        <v>98270</v>
      </c>
      <c r="I51" t="s">
        <v>1329</v>
      </c>
      <c r="K51" t="s">
        <v>1306</v>
      </c>
      <c r="L51">
        <v>16</v>
      </c>
      <c r="M51">
        <v>2</v>
      </c>
      <c r="N51">
        <v>0</v>
      </c>
      <c r="O51">
        <v>2</v>
      </c>
      <c r="P51">
        <v>0</v>
      </c>
      <c r="Q51">
        <v>14652</v>
      </c>
      <c r="R51">
        <v>14652</v>
      </c>
      <c r="S51">
        <v>350</v>
      </c>
      <c r="T51">
        <v>0</v>
      </c>
      <c r="U51">
        <v>0</v>
      </c>
      <c r="V51">
        <v>15</v>
      </c>
      <c r="W51">
        <v>1</v>
      </c>
      <c r="X51">
        <v>0</v>
      </c>
      <c r="Y51">
        <v>0</v>
      </c>
      <c r="Z51" t="b">
        <v>0</v>
      </c>
      <c r="AA51" t="b">
        <v>1</v>
      </c>
      <c r="AB51">
        <v>7.6999998092651403</v>
      </c>
      <c r="AC51">
        <v>5269.19091796875</v>
      </c>
      <c r="AD51">
        <v>140716.203125</v>
      </c>
      <c r="AE51">
        <v>145985.390625</v>
      </c>
      <c r="AI51">
        <v>498102.15625</v>
      </c>
      <c r="AJ51" t="s">
        <v>268</v>
      </c>
      <c r="AK51">
        <v>0</v>
      </c>
      <c r="AL51">
        <v>0</v>
      </c>
      <c r="AM51">
        <v>0</v>
      </c>
      <c r="AN51">
        <v>40</v>
      </c>
      <c r="AO51">
        <v>0</v>
      </c>
      <c r="AP51">
        <v>60</v>
      </c>
      <c r="AQ51">
        <v>0</v>
      </c>
      <c r="AR51">
        <v>0</v>
      </c>
      <c r="AS51">
        <v>0</v>
      </c>
      <c r="AT51" t="b">
        <v>1</v>
      </c>
      <c r="AU51">
        <v>1</v>
      </c>
      <c r="AV51">
        <v>2</v>
      </c>
      <c r="AW51">
        <v>0</v>
      </c>
      <c r="AX51" t="b">
        <v>0</v>
      </c>
      <c r="AY51" t="b">
        <v>0</v>
      </c>
      <c r="AZ51" t="b">
        <v>0</v>
      </c>
      <c r="BA51" t="b">
        <v>0</v>
      </c>
      <c r="BB51" t="s">
        <v>268</v>
      </c>
      <c r="BC51" t="s">
        <v>268</v>
      </c>
      <c r="BD51" t="s">
        <v>268</v>
      </c>
      <c r="BE51" t="s">
        <v>1307</v>
      </c>
      <c r="BF51" t="s">
        <v>1308</v>
      </c>
      <c r="BG51" t="s">
        <v>1309</v>
      </c>
      <c r="BH51" t="s">
        <v>1310</v>
      </c>
      <c r="BI51" t="s">
        <v>1322</v>
      </c>
      <c r="BJ51" t="b">
        <v>0</v>
      </c>
      <c r="BK51" t="b">
        <v>1</v>
      </c>
      <c r="BL51" t="b">
        <v>0</v>
      </c>
      <c r="BM51" t="b">
        <v>0</v>
      </c>
      <c r="BN51" t="b">
        <v>0</v>
      </c>
      <c r="BO51" t="b">
        <v>0</v>
      </c>
      <c r="BP51">
        <v>1</v>
      </c>
      <c r="BQ51">
        <v>1</v>
      </c>
      <c r="BR51">
        <v>0</v>
      </c>
      <c r="BS51">
        <v>0</v>
      </c>
      <c r="BT51" t="b">
        <v>1</v>
      </c>
      <c r="BU51">
        <v>0</v>
      </c>
      <c r="BV51">
        <v>23</v>
      </c>
      <c r="BW51">
        <v>6350</v>
      </c>
      <c r="BX51">
        <v>0</v>
      </c>
      <c r="BY51" t="s">
        <v>268</v>
      </c>
      <c r="BZ51" t="s">
        <v>268</v>
      </c>
      <c r="CA51" t="s">
        <v>271</v>
      </c>
      <c r="CB51" t="s">
        <v>271</v>
      </c>
      <c r="CC51" t="s">
        <v>1319</v>
      </c>
      <c r="CD51" t="s">
        <v>1313</v>
      </c>
      <c r="CE51" t="s">
        <v>1314</v>
      </c>
      <c r="CF51" t="s">
        <v>1315</v>
      </c>
      <c r="CG51">
        <f t="shared" si="0"/>
        <v>128.79620361328099</v>
      </c>
      <c r="CH51">
        <f t="shared" si="1"/>
        <v>14652</v>
      </c>
      <c r="CI51">
        <f t="shared" si="2"/>
        <v>2</v>
      </c>
      <c r="CJ51">
        <f t="shared" si="3"/>
        <v>1887121.9753417931</v>
      </c>
      <c r="CK51">
        <f t="shared" si="4"/>
        <v>257.59240722656199</v>
      </c>
    </row>
    <row r="52" spans="1:89">
      <c r="A52">
        <v>13268</v>
      </c>
      <c r="B52" t="s">
        <v>1302</v>
      </c>
      <c r="C52">
        <v>171.72825622558599</v>
      </c>
      <c r="D52" t="s">
        <v>1303</v>
      </c>
      <c r="E52">
        <v>1984</v>
      </c>
      <c r="F52" t="s">
        <v>1376</v>
      </c>
      <c r="G52" t="s">
        <v>167</v>
      </c>
      <c r="H52">
        <v>98012</v>
      </c>
      <c r="I52" t="s">
        <v>1329</v>
      </c>
      <c r="J52" t="s">
        <v>1317</v>
      </c>
      <c r="K52" t="s">
        <v>1306</v>
      </c>
      <c r="L52">
        <v>12</v>
      </c>
      <c r="M52">
        <v>3</v>
      </c>
      <c r="N52">
        <v>0</v>
      </c>
      <c r="O52">
        <v>3</v>
      </c>
      <c r="P52">
        <v>0</v>
      </c>
      <c r="Q52">
        <v>8127</v>
      </c>
      <c r="R52">
        <v>8127</v>
      </c>
      <c r="S52">
        <v>0</v>
      </c>
      <c r="T52">
        <v>0</v>
      </c>
      <c r="U52">
        <v>0</v>
      </c>
      <c r="V52">
        <v>6</v>
      </c>
      <c r="W52">
        <v>6</v>
      </c>
      <c r="X52">
        <v>0</v>
      </c>
      <c r="Y52">
        <v>0</v>
      </c>
      <c r="Z52" t="b">
        <v>0</v>
      </c>
      <c r="AA52" t="b">
        <v>0</v>
      </c>
      <c r="AB52">
        <v>8</v>
      </c>
      <c r="AC52">
        <v>53949.71875</v>
      </c>
      <c r="AD52">
        <v>99899.1015625</v>
      </c>
      <c r="AE52">
        <v>153848.8125</v>
      </c>
      <c r="AH52">
        <v>3949.01684570313</v>
      </c>
      <c r="AI52">
        <v>919833.8125</v>
      </c>
      <c r="AJ52" t="s">
        <v>268</v>
      </c>
      <c r="AK52">
        <v>0</v>
      </c>
      <c r="AL52">
        <v>26</v>
      </c>
      <c r="AM52">
        <v>0</v>
      </c>
      <c r="AN52">
        <v>7</v>
      </c>
      <c r="AO52">
        <v>0</v>
      </c>
      <c r="AP52">
        <v>6</v>
      </c>
      <c r="AQ52">
        <v>0</v>
      </c>
      <c r="AR52">
        <v>0</v>
      </c>
      <c r="AS52">
        <v>61</v>
      </c>
      <c r="AT52" t="b">
        <v>1</v>
      </c>
      <c r="AU52">
        <v>0</v>
      </c>
      <c r="AV52">
        <v>0</v>
      </c>
      <c r="AW52">
        <v>0</v>
      </c>
      <c r="AX52" t="b">
        <v>0</v>
      </c>
      <c r="AY52" t="b">
        <v>0</v>
      </c>
      <c r="AZ52" t="b">
        <v>0</v>
      </c>
      <c r="BA52" t="b">
        <v>0</v>
      </c>
      <c r="BB52" t="s">
        <v>268</v>
      </c>
      <c r="BC52" t="s">
        <v>268</v>
      </c>
      <c r="BD52" t="s">
        <v>268</v>
      </c>
      <c r="BE52" t="s">
        <v>1307</v>
      </c>
      <c r="BF52" t="s">
        <v>1308</v>
      </c>
      <c r="BG52" t="s">
        <v>1309</v>
      </c>
      <c r="BH52" t="s">
        <v>1310</v>
      </c>
      <c r="BI52" t="s">
        <v>1311</v>
      </c>
      <c r="BJ52" t="b">
        <v>1</v>
      </c>
      <c r="BK52" t="b">
        <v>1</v>
      </c>
      <c r="BL52" t="b">
        <v>1</v>
      </c>
      <c r="BM52" t="b">
        <v>0</v>
      </c>
      <c r="BN52" t="b">
        <v>0</v>
      </c>
      <c r="BO52" t="b">
        <v>0</v>
      </c>
      <c r="BP52">
        <v>4</v>
      </c>
      <c r="BQ52">
        <v>13</v>
      </c>
      <c r="BR52">
        <v>1</v>
      </c>
      <c r="BS52">
        <v>1</v>
      </c>
      <c r="BT52" t="b">
        <v>1</v>
      </c>
      <c r="BU52">
        <v>0</v>
      </c>
      <c r="BV52">
        <v>18</v>
      </c>
      <c r="BW52">
        <v>5850</v>
      </c>
      <c r="BX52">
        <v>0</v>
      </c>
      <c r="BY52" t="s">
        <v>268</v>
      </c>
      <c r="BZ52" t="s">
        <v>268</v>
      </c>
      <c r="CA52" t="s">
        <v>271</v>
      </c>
      <c r="CB52" t="s">
        <v>271</v>
      </c>
      <c r="CC52" t="s">
        <v>1312</v>
      </c>
      <c r="CD52" t="s">
        <v>1313</v>
      </c>
      <c r="CE52" t="s">
        <v>1314</v>
      </c>
      <c r="CF52" t="s">
        <v>1315</v>
      </c>
      <c r="CG52">
        <f t="shared" si="0"/>
        <v>171.72825622558599</v>
      </c>
      <c r="CH52">
        <f t="shared" si="1"/>
        <v>8127</v>
      </c>
      <c r="CI52">
        <f t="shared" si="2"/>
        <v>3</v>
      </c>
      <c r="CJ52">
        <f t="shared" si="3"/>
        <v>1395635.5383453374</v>
      </c>
      <c r="CK52">
        <f t="shared" si="4"/>
        <v>515.18476867675804</v>
      </c>
    </row>
    <row r="53" spans="1:89">
      <c r="A53">
        <v>13321</v>
      </c>
      <c r="B53" t="s">
        <v>1302</v>
      </c>
      <c r="C53">
        <v>266.90576171875</v>
      </c>
      <c r="D53" t="s">
        <v>1303</v>
      </c>
      <c r="E53">
        <v>1983</v>
      </c>
      <c r="F53" t="s">
        <v>1339</v>
      </c>
      <c r="G53" t="s">
        <v>167</v>
      </c>
      <c r="H53">
        <v>98023</v>
      </c>
      <c r="I53" t="s">
        <v>1317</v>
      </c>
      <c r="K53" t="s">
        <v>1306</v>
      </c>
      <c r="L53">
        <v>18</v>
      </c>
      <c r="M53">
        <v>3</v>
      </c>
      <c r="N53">
        <v>0</v>
      </c>
      <c r="O53">
        <v>3</v>
      </c>
      <c r="P53">
        <v>0</v>
      </c>
      <c r="Q53">
        <v>11448</v>
      </c>
      <c r="R53">
        <v>11448</v>
      </c>
      <c r="S53">
        <v>0</v>
      </c>
      <c r="T53">
        <v>0</v>
      </c>
      <c r="U53">
        <v>0</v>
      </c>
      <c r="V53">
        <v>18</v>
      </c>
      <c r="W53">
        <v>0</v>
      </c>
      <c r="X53">
        <v>0</v>
      </c>
      <c r="Y53">
        <v>0</v>
      </c>
      <c r="Z53" t="b">
        <v>0</v>
      </c>
      <c r="AA53" t="b">
        <v>0</v>
      </c>
      <c r="AB53">
        <v>7.75</v>
      </c>
      <c r="AD53">
        <v>167943.4375</v>
      </c>
      <c r="AE53">
        <v>167943.4375</v>
      </c>
      <c r="AI53">
        <v>573023</v>
      </c>
      <c r="AJ53" t="s">
        <v>268</v>
      </c>
      <c r="AK53">
        <v>0</v>
      </c>
      <c r="AL53">
        <v>29</v>
      </c>
      <c r="AM53">
        <v>0</v>
      </c>
      <c r="AN53">
        <v>4</v>
      </c>
      <c r="AO53">
        <v>0</v>
      </c>
      <c r="AP53">
        <v>63</v>
      </c>
      <c r="AQ53">
        <v>0</v>
      </c>
      <c r="AR53">
        <v>0</v>
      </c>
      <c r="AS53">
        <v>4</v>
      </c>
      <c r="AT53" t="b">
        <v>1</v>
      </c>
      <c r="AU53">
        <v>0</v>
      </c>
      <c r="AV53">
        <v>0</v>
      </c>
      <c r="AW53">
        <v>0</v>
      </c>
      <c r="AX53" t="b">
        <v>0</v>
      </c>
      <c r="AY53" t="b">
        <v>0</v>
      </c>
      <c r="AZ53" t="b">
        <v>0</v>
      </c>
      <c r="BA53" t="b">
        <v>0</v>
      </c>
      <c r="BB53" t="s">
        <v>268</v>
      </c>
      <c r="BC53" t="s">
        <v>268</v>
      </c>
      <c r="BD53" t="s">
        <v>268</v>
      </c>
      <c r="BE53" t="s">
        <v>1307</v>
      </c>
      <c r="BF53" t="s">
        <v>1308</v>
      </c>
      <c r="BG53" t="s">
        <v>1309</v>
      </c>
      <c r="BH53" t="s">
        <v>1310</v>
      </c>
      <c r="BI53" t="s">
        <v>1311</v>
      </c>
      <c r="BJ53" t="b">
        <v>0</v>
      </c>
      <c r="BK53" t="b">
        <v>1</v>
      </c>
      <c r="BL53" t="b">
        <v>0</v>
      </c>
      <c r="BM53" t="b">
        <v>0</v>
      </c>
      <c r="BN53" t="b">
        <v>0</v>
      </c>
      <c r="BO53" t="b">
        <v>0</v>
      </c>
      <c r="BP53">
        <v>19</v>
      </c>
      <c r="BQ53">
        <v>19</v>
      </c>
      <c r="BR53">
        <v>0</v>
      </c>
      <c r="BS53">
        <v>0</v>
      </c>
      <c r="BT53" t="b">
        <v>1</v>
      </c>
      <c r="BU53">
        <v>0</v>
      </c>
      <c r="BV53">
        <v>23</v>
      </c>
      <c r="BW53">
        <v>9140</v>
      </c>
      <c r="BX53">
        <v>0</v>
      </c>
      <c r="BY53" t="s">
        <v>268</v>
      </c>
      <c r="BZ53" t="s">
        <v>268</v>
      </c>
      <c r="CA53" t="s">
        <v>271</v>
      </c>
      <c r="CB53" t="s">
        <v>271</v>
      </c>
      <c r="CC53" t="s">
        <v>1319</v>
      </c>
      <c r="CD53" t="s">
        <v>1313</v>
      </c>
      <c r="CE53" t="s">
        <v>1314</v>
      </c>
      <c r="CF53" t="s">
        <v>1315</v>
      </c>
      <c r="CG53">
        <f t="shared" si="0"/>
        <v>266.90576171875</v>
      </c>
      <c r="CH53">
        <f t="shared" si="1"/>
        <v>11448</v>
      </c>
      <c r="CI53">
        <f t="shared" si="2"/>
        <v>3</v>
      </c>
      <c r="CJ53">
        <f t="shared" si="3"/>
        <v>3055537.16015625</v>
      </c>
      <c r="CK53">
        <f t="shared" si="4"/>
        <v>800.71728515625</v>
      </c>
    </row>
    <row r="54" spans="1:89">
      <c r="A54">
        <v>13360</v>
      </c>
      <c r="B54" t="s">
        <v>1302</v>
      </c>
      <c r="C54">
        <v>343.16452026367199</v>
      </c>
      <c r="D54" t="s">
        <v>1324</v>
      </c>
      <c r="E54">
        <v>1968</v>
      </c>
      <c r="F54" t="s">
        <v>1339</v>
      </c>
      <c r="G54" t="s">
        <v>167</v>
      </c>
      <c r="H54">
        <v>98030</v>
      </c>
      <c r="I54" t="s">
        <v>1317</v>
      </c>
      <c r="J54" t="s">
        <v>1317</v>
      </c>
      <c r="K54" t="s">
        <v>1306</v>
      </c>
      <c r="L54">
        <v>14</v>
      </c>
      <c r="M54">
        <v>2</v>
      </c>
      <c r="N54">
        <v>0</v>
      </c>
      <c r="O54">
        <v>2</v>
      </c>
      <c r="P54">
        <v>0</v>
      </c>
      <c r="Q54">
        <v>7368</v>
      </c>
      <c r="R54">
        <v>7368</v>
      </c>
      <c r="S54">
        <v>200</v>
      </c>
      <c r="T54">
        <v>0</v>
      </c>
      <c r="U54">
        <v>0</v>
      </c>
      <c r="V54">
        <v>0</v>
      </c>
      <c r="W54">
        <v>14</v>
      </c>
      <c r="X54">
        <v>0</v>
      </c>
      <c r="Y54">
        <v>8</v>
      </c>
      <c r="Z54" t="b">
        <v>0</v>
      </c>
      <c r="AA54" t="b">
        <v>1</v>
      </c>
      <c r="AB54">
        <v>8</v>
      </c>
      <c r="AC54">
        <v>27101.984375</v>
      </c>
      <c r="AD54">
        <v>71240.3359375</v>
      </c>
      <c r="AE54">
        <v>98342.3203125</v>
      </c>
      <c r="AJ54" t="s">
        <v>271</v>
      </c>
      <c r="AK54">
        <v>0</v>
      </c>
      <c r="AL54">
        <v>0</v>
      </c>
      <c r="AM54">
        <v>0</v>
      </c>
      <c r="AN54">
        <v>40</v>
      </c>
      <c r="AO54">
        <v>0</v>
      </c>
      <c r="AP54">
        <v>56</v>
      </c>
      <c r="AQ54">
        <v>0</v>
      </c>
      <c r="AR54">
        <v>0</v>
      </c>
      <c r="AS54">
        <v>4</v>
      </c>
      <c r="AT54" t="b">
        <v>0</v>
      </c>
      <c r="AU54">
        <v>5</v>
      </c>
      <c r="AV54">
        <v>5</v>
      </c>
      <c r="AW54">
        <v>0</v>
      </c>
      <c r="AX54" t="b">
        <v>0</v>
      </c>
      <c r="AY54" t="b">
        <v>0</v>
      </c>
      <c r="AZ54" t="b">
        <v>0</v>
      </c>
      <c r="BA54" t="b">
        <v>0</v>
      </c>
      <c r="BB54" t="s">
        <v>268</v>
      </c>
      <c r="BC54" t="s">
        <v>268</v>
      </c>
      <c r="BD54" t="s">
        <v>268</v>
      </c>
      <c r="BE54" t="s">
        <v>1307</v>
      </c>
      <c r="BF54" t="s">
        <v>1308</v>
      </c>
      <c r="BG54" t="s">
        <v>1309</v>
      </c>
      <c r="BH54" t="s">
        <v>1310</v>
      </c>
      <c r="BI54" t="s">
        <v>1322</v>
      </c>
      <c r="BJ54" t="b">
        <v>1</v>
      </c>
      <c r="BK54" t="b">
        <v>1</v>
      </c>
      <c r="BL54" t="b">
        <v>0</v>
      </c>
      <c r="BM54" t="b">
        <v>0</v>
      </c>
      <c r="BN54" t="b">
        <v>0</v>
      </c>
      <c r="BO54" t="b">
        <v>0</v>
      </c>
      <c r="BP54">
        <v>1</v>
      </c>
      <c r="BQ54">
        <v>16</v>
      </c>
      <c r="BR54">
        <v>0</v>
      </c>
      <c r="BS54">
        <v>0</v>
      </c>
      <c r="BT54" t="b">
        <v>1</v>
      </c>
      <c r="BU54">
        <v>0</v>
      </c>
      <c r="BV54">
        <v>22</v>
      </c>
      <c r="BW54">
        <v>9350</v>
      </c>
      <c r="BX54">
        <v>0</v>
      </c>
      <c r="BY54" t="s">
        <v>268</v>
      </c>
      <c r="BZ54" t="s">
        <v>268</v>
      </c>
      <c r="CA54" t="s">
        <v>268</v>
      </c>
      <c r="CB54" t="s">
        <v>271</v>
      </c>
      <c r="CC54" t="s">
        <v>1319</v>
      </c>
      <c r="CD54" t="s">
        <v>1313</v>
      </c>
      <c r="CE54" t="s">
        <v>1347</v>
      </c>
      <c r="CF54" t="s">
        <v>1315</v>
      </c>
      <c r="CG54">
        <f t="shared" si="0"/>
        <v>343.16452026367199</v>
      </c>
      <c r="CH54">
        <f t="shared" si="1"/>
        <v>7368</v>
      </c>
      <c r="CI54">
        <f t="shared" si="2"/>
        <v>2</v>
      </c>
      <c r="CJ54">
        <f t="shared" si="3"/>
        <v>2528436.1853027353</v>
      </c>
      <c r="CK54">
        <f t="shared" si="4"/>
        <v>686.32904052734398</v>
      </c>
    </row>
    <row r="55" spans="1:89">
      <c r="A55">
        <v>13384</v>
      </c>
      <c r="B55" t="s">
        <v>1302</v>
      </c>
      <c r="C55">
        <v>343.45651245117199</v>
      </c>
      <c r="D55" t="s">
        <v>1334</v>
      </c>
      <c r="E55">
        <v>1978</v>
      </c>
      <c r="F55" t="s">
        <v>1366</v>
      </c>
      <c r="G55" t="s">
        <v>167</v>
      </c>
      <c r="H55">
        <v>98026</v>
      </c>
      <c r="I55" t="s">
        <v>1329</v>
      </c>
      <c r="K55" t="s">
        <v>1351</v>
      </c>
      <c r="L55">
        <v>6</v>
      </c>
      <c r="M55">
        <v>3</v>
      </c>
      <c r="N55">
        <v>0</v>
      </c>
      <c r="O55">
        <v>3</v>
      </c>
      <c r="P55">
        <v>0</v>
      </c>
      <c r="Q55">
        <v>5900</v>
      </c>
      <c r="R55">
        <v>5900</v>
      </c>
      <c r="S55">
        <v>0</v>
      </c>
      <c r="T55">
        <v>0</v>
      </c>
      <c r="U55">
        <v>0</v>
      </c>
      <c r="V55">
        <v>6</v>
      </c>
      <c r="W55">
        <v>0</v>
      </c>
      <c r="X55">
        <v>0</v>
      </c>
      <c r="Y55">
        <v>0</v>
      </c>
      <c r="Z55" t="b">
        <v>0</v>
      </c>
      <c r="AA55" t="b">
        <v>0</v>
      </c>
      <c r="AB55">
        <v>8</v>
      </c>
      <c r="AD55">
        <v>52903.515625</v>
      </c>
      <c r="AE55">
        <v>52903.515625</v>
      </c>
      <c r="AI55">
        <v>180506.796875</v>
      </c>
      <c r="AJ55" t="s">
        <v>268</v>
      </c>
      <c r="AK55">
        <v>0</v>
      </c>
      <c r="AL55">
        <v>9</v>
      </c>
      <c r="AM55">
        <v>0</v>
      </c>
      <c r="AN55">
        <v>62</v>
      </c>
      <c r="AO55">
        <v>0</v>
      </c>
      <c r="AP55">
        <v>22</v>
      </c>
      <c r="AQ55">
        <v>0</v>
      </c>
      <c r="AR55">
        <v>0</v>
      </c>
      <c r="AS55">
        <v>9</v>
      </c>
      <c r="AT55" t="b">
        <v>1</v>
      </c>
      <c r="AU55">
        <v>0</v>
      </c>
      <c r="AV55">
        <v>0</v>
      </c>
      <c r="AW55">
        <v>0</v>
      </c>
      <c r="AX55" t="b">
        <v>0</v>
      </c>
      <c r="AY55" t="b">
        <v>0</v>
      </c>
      <c r="AZ55" t="b">
        <v>0</v>
      </c>
      <c r="BA55" t="b">
        <v>0</v>
      </c>
      <c r="BB55" t="s">
        <v>268</v>
      </c>
      <c r="BC55" t="s">
        <v>268</v>
      </c>
      <c r="BD55" t="s">
        <v>268</v>
      </c>
      <c r="BE55" t="s">
        <v>1307</v>
      </c>
      <c r="BF55" t="s">
        <v>1308</v>
      </c>
      <c r="BG55" t="s">
        <v>1309</v>
      </c>
      <c r="BH55" t="s">
        <v>1310</v>
      </c>
      <c r="BI55" t="s">
        <v>1311</v>
      </c>
      <c r="BJ55" t="b">
        <v>0</v>
      </c>
      <c r="BK55" t="b">
        <v>1</v>
      </c>
      <c r="BL55" t="b">
        <v>0</v>
      </c>
      <c r="BM55" t="b">
        <v>0</v>
      </c>
      <c r="BN55" t="b">
        <v>0</v>
      </c>
      <c r="BO55" t="b">
        <v>0</v>
      </c>
      <c r="BP55">
        <v>1</v>
      </c>
      <c r="BQ55">
        <v>7</v>
      </c>
      <c r="BR55">
        <v>0</v>
      </c>
      <c r="BS55">
        <v>0</v>
      </c>
      <c r="BT55" t="b">
        <v>1</v>
      </c>
      <c r="BU55">
        <v>0</v>
      </c>
      <c r="BV55">
        <v>7</v>
      </c>
      <c r="BW55">
        <v>4705</v>
      </c>
      <c r="BX55">
        <v>1</v>
      </c>
      <c r="BY55" t="s">
        <v>271</v>
      </c>
      <c r="BZ55" t="s">
        <v>268</v>
      </c>
      <c r="CA55" t="s">
        <v>271</v>
      </c>
      <c r="CB55" t="s">
        <v>271</v>
      </c>
      <c r="CC55" t="s">
        <v>1312</v>
      </c>
      <c r="CD55" t="s">
        <v>1313</v>
      </c>
      <c r="CE55" t="s">
        <v>1314</v>
      </c>
      <c r="CF55" t="s">
        <v>1315</v>
      </c>
      <c r="CG55">
        <f t="shared" si="0"/>
        <v>343.45651245117199</v>
      </c>
      <c r="CH55">
        <f t="shared" si="1"/>
        <v>5900</v>
      </c>
      <c r="CI55">
        <f t="shared" si="2"/>
        <v>3</v>
      </c>
      <c r="CJ55">
        <f t="shared" si="3"/>
        <v>2026393.4234619148</v>
      </c>
      <c r="CK55">
        <f t="shared" si="4"/>
        <v>1030.3695373535161</v>
      </c>
    </row>
    <row r="56" spans="1:89">
      <c r="A56">
        <v>13520</v>
      </c>
      <c r="B56" t="s">
        <v>1302</v>
      </c>
      <c r="C56">
        <v>114.48550415039099</v>
      </c>
      <c r="D56" t="s">
        <v>1324</v>
      </c>
      <c r="E56">
        <v>1968</v>
      </c>
      <c r="F56" t="s">
        <v>1349</v>
      </c>
      <c r="G56" t="s">
        <v>167</v>
      </c>
      <c r="H56">
        <v>98203</v>
      </c>
      <c r="I56" t="s">
        <v>1329</v>
      </c>
      <c r="K56" t="s">
        <v>1306</v>
      </c>
      <c r="L56">
        <v>18</v>
      </c>
      <c r="M56">
        <v>3</v>
      </c>
      <c r="N56">
        <v>0</v>
      </c>
      <c r="O56">
        <v>3</v>
      </c>
      <c r="P56">
        <v>0</v>
      </c>
      <c r="Q56">
        <v>14900</v>
      </c>
      <c r="R56">
        <v>14900</v>
      </c>
      <c r="S56">
        <v>0</v>
      </c>
      <c r="T56">
        <v>0</v>
      </c>
      <c r="U56">
        <v>0</v>
      </c>
      <c r="V56">
        <v>6</v>
      </c>
      <c r="W56">
        <v>12</v>
      </c>
      <c r="X56">
        <v>0</v>
      </c>
      <c r="Y56">
        <v>11</v>
      </c>
      <c r="Z56" t="b">
        <v>0</v>
      </c>
      <c r="AA56" t="b">
        <v>0</v>
      </c>
      <c r="AB56">
        <v>7.75</v>
      </c>
      <c r="AC56">
        <v>14471.8251953125</v>
      </c>
      <c r="AD56">
        <v>146984.25</v>
      </c>
      <c r="AE56">
        <v>161456.078125</v>
      </c>
      <c r="AI56">
        <v>550888.125</v>
      </c>
      <c r="AJ56" t="s">
        <v>268</v>
      </c>
      <c r="AK56">
        <v>0</v>
      </c>
      <c r="AL56">
        <v>6</v>
      </c>
      <c r="AM56">
        <v>0</v>
      </c>
      <c r="AN56">
        <v>31</v>
      </c>
      <c r="AO56">
        <v>0</v>
      </c>
      <c r="AP56">
        <v>57</v>
      </c>
      <c r="AQ56">
        <v>0</v>
      </c>
      <c r="AR56">
        <v>0</v>
      </c>
      <c r="AS56">
        <v>6</v>
      </c>
      <c r="AT56" t="b">
        <v>1</v>
      </c>
      <c r="AU56">
        <v>0</v>
      </c>
      <c r="AV56">
        <v>0</v>
      </c>
      <c r="AW56">
        <v>0</v>
      </c>
      <c r="AX56" t="b">
        <v>0</v>
      </c>
      <c r="AY56" t="b">
        <v>0</v>
      </c>
      <c r="AZ56" t="b">
        <v>0</v>
      </c>
      <c r="BA56" t="b">
        <v>0</v>
      </c>
      <c r="BB56" t="s">
        <v>268</v>
      </c>
      <c r="BC56" t="s">
        <v>268</v>
      </c>
      <c r="BD56" t="s">
        <v>268</v>
      </c>
      <c r="BE56" t="s">
        <v>1307</v>
      </c>
      <c r="BF56" t="s">
        <v>1308</v>
      </c>
      <c r="BG56" t="s">
        <v>1309</v>
      </c>
      <c r="BH56" t="s">
        <v>1310</v>
      </c>
      <c r="BI56" t="s">
        <v>1311</v>
      </c>
      <c r="BJ56" t="b">
        <v>0</v>
      </c>
      <c r="BK56" t="b">
        <v>1</v>
      </c>
      <c r="BL56" t="b">
        <v>0</v>
      </c>
      <c r="BM56" t="b">
        <v>0</v>
      </c>
      <c r="BN56" t="b">
        <v>0</v>
      </c>
      <c r="BO56" t="b">
        <v>0</v>
      </c>
      <c r="BP56">
        <v>2</v>
      </c>
      <c r="BQ56">
        <v>38</v>
      </c>
      <c r="BR56">
        <v>0</v>
      </c>
      <c r="BS56">
        <v>0</v>
      </c>
      <c r="BT56" t="b">
        <v>1</v>
      </c>
      <c r="BU56">
        <v>0</v>
      </c>
      <c r="BV56">
        <v>24</v>
      </c>
      <c r="BW56">
        <v>10200</v>
      </c>
      <c r="BX56">
        <v>0</v>
      </c>
      <c r="BY56" t="s">
        <v>268</v>
      </c>
      <c r="BZ56" t="s">
        <v>268</v>
      </c>
      <c r="CA56" t="s">
        <v>268</v>
      </c>
      <c r="CB56" t="s">
        <v>271</v>
      </c>
      <c r="CC56" t="s">
        <v>1312</v>
      </c>
      <c r="CD56" t="s">
        <v>1313</v>
      </c>
      <c r="CE56" t="s">
        <v>1314</v>
      </c>
      <c r="CF56" t="s">
        <v>1315</v>
      </c>
      <c r="CG56">
        <f t="shared" si="0"/>
        <v>114.48550415039099</v>
      </c>
      <c r="CH56">
        <f t="shared" si="1"/>
        <v>14900</v>
      </c>
      <c r="CI56">
        <f t="shared" si="2"/>
        <v>3</v>
      </c>
      <c r="CJ56">
        <f t="shared" si="3"/>
        <v>1705834.0118408259</v>
      </c>
      <c r="CK56">
        <f t="shared" si="4"/>
        <v>343.45651245117301</v>
      </c>
    </row>
    <row r="57" spans="1:89">
      <c r="A57">
        <v>13628</v>
      </c>
      <c r="B57" t="s">
        <v>1302</v>
      </c>
      <c r="C57">
        <v>343.45651245117199</v>
      </c>
      <c r="D57" t="s">
        <v>1334</v>
      </c>
      <c r="E57">
        <v>1978</v>
      </c>
      <c r="F57" t="s">
        <v>1377</v>
      </c>
      <c r="G57" t="s">
        <v>167</v>
      </c>
      <c r="H57">
        <v>98290</v>
      </c>
      <c r="I57" t="s">
        <v>1329</v>
      </c>
      <c r="K57" t="s">
        <v>1306</v>
      </c>
      <c r="L57">
        <v>6</v>
      </c>
      <c r="M57">
        <v>2</v>
      </c>
      <c r="N57">
        <v>0</v>
      </c>
      <c r="O57">
        <v>2</v>
      </c>
      <c r="P57">
        <v>0</v>
      </c>
      <c r="Q57">
        <v>4256</v>
      </c>
      <c r="R57">
        <v>4256</v>
      </c>
      <c r="S57">
        <v>0</v>
      </c>
      <c r="T57">
        <v>0</v>
      </c>
      <c r="U57">
        <v>0</v>
      </c>
      <c r="V57">
        <v>4</v>
      </c>
      <c r="W57">
        <v>2</v>
      </c>
      <c r="X57">
        <v>0</v>
      </c>
      <c r="Y57">
        <v>0</v>
      </c>
      <c r="Z57" t="b">
        <v>0</v>
      </c>
      <c r="AA57" t="b">
        <v>0</v>
      </c>
      <c r="AB57">
        <v>7.75</v>
      </c>
      <c r="AD57">
        <v>51443.47265625</v>
      </c>
      <c r="AE57">
        <v>51443.47265625</v>
      </c>
      <c r="AI57">
        <v>175525.125</v>
      </c>
      <c r="AJ57" t="s">
        <v>268</v>
      </c>
      <c r="AK57">
        <v>0</v>
      </c>
      <c r="AL57">
        <v>0</v>
      </c>
      <c r="AM57">
        <v>0</v>
      </c>
      <c r="AN57">
        <v>33</v>
      </c>
      <c r="AO57">
        <v>0</v>
      </c>
      <c r="AP57">
        <v>66</v>
      </c>
      <c r="AQ57">
        <v>0</v>
      </c>
      <c r="AR57">
        <v>0</v>
      </c>
      <c r="AS57">
        <v>0</v>
      </c>
      <c r="AT57" t="b">
        <v>1</v>
      </c>
      <c r="AU57">
        <v>0</v>
      </c>
      <c r="AV57">
        <v>0</v>
      </c>
      <c r="AW57">
        <v>0</v>
      </c>
      <c r="AX57" t="b">
        <v>0</v>
      </c>
      <c r="AY57" t="b">
        <v>0</v>
      </c>
      <c r="AZ57" t="b">
        <v>0</v>
      </c>
      <c r="BA57" t="b">
        <v>0</v>
      </c>
      <c r="BB57" t="s">
        <v>268</v>
      </c>
      <c r="BC57" t="s">
        <v>268</v>
      </c>
      <c r="BD57" t="s">
        <v>268</v>
      </c>
      <c r="BE57" t="s">
        <v>1307</v>
      </c>
      <c r="BF57" t="s">
        <v>1308</v>
      </c>
      <c r="BG57" t="s">
        <v>1309</v>
      </c>
      <c r="BH57" t="s">
        <v>1310</v>
      </c>
      <c r="BI57" t="s">
        <v>1311</v>
      </c>
      <c r="BJ57" t="b">
        <v>0</v>
      </c>
      <c r="BK57" t="b">
        <v>1</v>
      </c>
      <c r="BL57" t="b">
        <v>0</v>
      </c>
      <c r="BM57" t="b">
        <v>0</v>
      </c>
      <c r="BN57" t="b">
        <v>0</v>
      </c>
      <c r="BO57" t="b">
        <v>0</v>
      </c>
      <c r="BP57">
        <v>1</v>
      </c>
      <c r="BQ57">
        <v>6</v>
      </c>
      <c r="BR57">
        <v>0</v>
      </c>
      <c r="BS57">
        <v>0</v>
      </c>
      <c r="BT57" t="b">
        <v>1</v>
      </c>
      <c r="BV57">
        <v>11</v>
      </c>
      <c r="BW57">
        <v>4675</v>
      </c>
      <c r="BX57">
        <v>0</v>
      </c>
      <c r="BY57" t="s">
        <v>268</v>
      </c>
      <c r="BZ57" t="s">
        <v>268</v>
      </c>
      <c r="CA57" t="s">
        <v>268</v>
      </c>
      <c r="CB57" t="s">
        <v>271</v>
      </c>
      <c r="CC57" t="s">
        <v>1312</v>
      </c>
      <c r="CD57" t="s">
        <v>1313</v>
      </c>
      <c r="CE57" t="s">
        <v>1327</v>
      </c>
      <c r="CF57" t="s">
        <v>1315</v>
      </c>
      <c r="CG57">
        <f t="shared" si="0"/>
        <v>343.45651245117199</v>
      </c>
      <c r="CH57">
        <f t="shared" si="1"/>
        <v>4256</v>
      </c>
      <c r="CI57">
        <f t="shared" si="2"/>
        <v>2</v>
      </c>
      <c r="CJ57">
        <f t="shared" si="3"/>
        <v>1461750.916992188</v>
      </c>
      <c r="CK57">
        <f t="shared" si="4"/>
        <v>686.91302490234398</v>
      </c>
    </row>
    <row r="58" spans="1:89">
      <c r="A58">
        <v>13694</v>
      </c>
      <c r="B58" t="s">
        <v>1302</v>
      </c>
      <c r="C58">
        <v>266.90576171875</v>
      </c>
      <c r="D58" t="s">
        <v>1334</v>
      </c>
      <c r="E58">
        <v>1978</v>
      </c>
      <c r="F58" t="s">
        <v>1378</v>
      </c>
      <c r="G58" t="s">
        <v>167</v>
      </c>
      <c r="H58">
        <v>98028</v>
      </c>
      <c r="I58" t="s">
        <v>1317</v>
      </c>
      <c r="J58" t="s">
        <v>1317</v>
      </c>
      <c r="K58" t="s">
        <v>1306</v>
      </c>
      <c r="L58">
        <v>18</v>
      </c>
      <c r="M58">
        <v>3</v>
      </c>
      <c r="N58">
        <v>0</v>
      </c>
      <c r="O58">
        <v>3</v>
      </c>
      <c r="P58">
        <v>0</v>
      </c>
      <c r="Q58">
        <v>15120</v>
      </c>
      <c r="R58">
        <v>15120</v>
      </c>
      <c r="S58">
        <v>0</v>
      </c>
      <c r="T58">
        <v>0</v>
      </c>
      <c r="U58">
        <v>0</v>
      </c>
      <c r="V58">
        <v>12</v>
      </c>
      <c r="W58">
        <v>6</v>
      </c>
      <c r="X58">
        <v>0</v>
      </c>
      <c r="Y58">
        <v>5</v>
      </c>
      <c r="Z58" t="b">
        <v>0</v>
      </c>
      <c r="AA58" t="b">
        <v>0</v>
      </c>
      <c r="AB58">
        <v>8.5</v>
      </c>
      <c r="AD58">
        <v>165493.53125</v>
      </c>
      <c r="AE58">
        <v>165493.53125</v>
      </c>
      <c r="AJ58" t="s">
        <v>268</v>
      </c>
      <c r="AK58">
        <v>0</v>
      </c>
      <c r="AL58">
        <v>66</v>
      </c>
      <c r="AM58">
        <v>0</v>
      </c>
      <c r="AN58">
        <v>8</v>
      </c>
      <c r="AO58">
        <v>0</v>
      </c>
      <c r="AP58">
        <v>7</v>
      </c>
      <c r="AQ58">
        <v>0</v>
      </c>
      <c r="AR58">
        <v>0</v>
      </c>
      <c r="AS58">
        <v>20</v>
      </c>
      <c r="AT58" t="b">
        <v>1</v>
      </c>
      <c r="AU58">
        <v>0</v>
      </c>
      <c r="AV58">
        <v>0</v>
      </c>
      <c r="AW58">
        <v>0</v>
      </c>
      <c r="AX58" t="b">
        <v>0</v>
      </c>
      <c r="AY58" t="b">
        <v>0</v>
      </c>
      <c r="AZ58" t="b">
        <v>0</v>
      </c>
      <c r="BA58" t="b">
        <v>0</v>
      </c>
      <c r="BB58" t="s">
        <v>268</v>
      </c>
      <c r="BC58" t="s">
        <v>268</v>
      </c>
      <c r="BD58" t="s">
        <v>268</v>
      </c>
      <c r="BE58" t="s">
        <v>1307</v>
      </c>
      <c r="BF58" t="s">
        <v>1308</v>
      </c>
      <c r="BG58" t="s">
        <v>1309</v>
      </c>
      <c r="BH58" t="s">
        <v>1310</v>
      </c>
      <c r="BI58" t="s">
        <v>1311</v>
      </c>
      <c r="BJ58" t="b">
        <v>1</v>
      </c>
      <c r="BK58" t="b">
        <v>1</v>
      </c>
      <c r="BL58" t="b">
        <v>0</v>
      </c>
      <c r="BM58" t="b">
        <v>0</v>
      </c>
      <c r="BN58" t="b">
        <v>0</v>
      </c>
      <c r="BO58" t="b">
        <v>0</v>
      </c>
      <c r="BQ58">
        <v>19</v>
      </c>
      <c r="BR58">
        <v>0</v>
      </c>
      <c r="BS58">
        <v>0</v>
      </c>
      <c r="BT58" t="b">
        <v>1</v>
      </c>
      <c r="BU58">
        <v>2</v>
      </c>
      <c r="BV58">
        <v>18</v>
      </c>
      <c r="BW58">
        <v>7650</v>
      </c>
      <c r="BX58">
        <v>0</v>
      </c>
      <c r="BY58" t="s">
        <v>268</v>
      </c>
      <c r="BZ58" t="s">
        <v>268</v>
      </c>
      <c r="CA58" t="s">
        <v>268</v>
      </c>
      <c r="CB58" t="s">
        <v>271</v>
      </c>
      <c r="CC58" t="s">
        <v>1319</v>
      </c>
      <c r="CD58" t="s">
        <v>1313</v>
      </c>
      <c r="CE58" t="s">
        <v>1314</v>
      </c>
      <c r="CF58" t="s">
        <v>1315</v>
      </c>
      <c r="CG58">
        <f t="shared" si="0"/>
        <v>266.90576171875</v>
      </c>
      <c r="CH58">
        <f t="shared" si="1"/>
        <v>15120</v>
      </c>
      <c r="CI58">
        <f t="shared" si="2"/>
        <v>3</v>
      </c>
      <c r="CJ58">
        <f t="shared" si="3"/>
        <v>4035615.1171875</v>
      </c>
      <c r="CK58">
        <f t="shared" si="4"/>
        <v>800.71728515625</v>
      </c>
    </row>
    <row r="59" spans="1:89">
      <c r="A59">
        <v>13712</v>
      </c>
      <c r="B59" t="s">
        <v>1302</v>
      </c>
      <c r="C59">
        <v>136.90428161621099</v>
      </c>
      <c r="D59" t="s">
        <v>1334</v>
      </c>
      <c r="E59">
        <v>1979</v>
      </c>
      <c r="F59" t="s">
        <v>1320</v>
      </c>
      <c r="G59" t="s">
        <v>167</v>
      </c>
      <c r="H59">
        <v>98103</v>
      </c>
      <c r="I59" t="s">
        <v>1321</v>
      </c>
      <c r="J59" t="s">
        <v>1317</v>
      </c>
      <c r="K59" t="s">
        <v>1306</v>
      </c>
      <c r="L59">
        <v>8</v>
      </c>
      <c r="M59">
        <v>2</v>
      </c>
      <c r="N59">
        <v>0</v>
      </c>
      <c r="O59">
        <v>3</v>
      </c>
      <c r="P59">
        <v>0</v>
      </c>
      <c r="Q59">
        <v>5600</v>
      </c>
      <c r="R59">
        <v>5600</v>
      </c>
      <c r="S59">
        <v>263</v>
      </c>
      <c r="T59">
        <v>0</v>
      </c>
      <c r="U59">
        <v>0</v>
      </c>
      <c r="V59">
        <v>4</v>
      </c>
      <c r="W59">
        <v>4</v>
      </c>
      <c r="X59">
        <v>0</v>
      </c>
      <c r="Y59">
        <v>0</v>
      </c>
      <c r="Z59" t="b">
        <v>0</v>
      </c>
      <c r="AA59" t="b">
        <v>1</v>
      </c>
      <c r="AB59">
        <v>8</v>
      </c>
      <c r="AC59">
        <v>6915.02880859375</v>
      </c>
      <c r="AD59">
        <v>62478.71875</v>
      </c>
      <c r="AE59">
        <v>69393.75</v>
      </c>
      <c r="AJ59" t="s">
        <v>268</v>
      </c>
      <c r="AK59">
        <v>0</v>
      </c>
      <c r="AL59">
        <v>14</v>
      </c>
      <c r="AM59">
        <v>0</v>
      </c>
      <c r="AN59">
        <v>34</v>
      </c>
      <c r="AO59">
        <v>0</v>
      </c>
      <c r="AP59">
        <v>37</v>
      </c>
      <c r="AQ59">
        <v>0</v>
      </c>
      <c r="AR59">
        <v>0</v>
      </c>
      <c r="AS59">
        <v>15</v>
      </c>
      <c r="AT59" t="b">
        <v>0</v>
      </c>
      <c r="AU59">
        <v>1</v>
      </c>
      <c r="AV59">
        <v>1</v>
      </c>
      <c r="AW59">
        <v>0</v>
      </c>
      <c r="AX59" t="b">
        <v>0</v>
      </c>
      <c r="AY59" t="b">
        <v>0</v>
      </c>
      <c r="AZ59" t="b">
        <v>0</v>
      </c>
      <c r="BA59" t="b">
        <v>0</v>
      </c>
      <c r="BB59" t="s">
        <v>268</v>
      </c>
      <c r="BC59" t="s">
        <v>268</v>
      </c>
      <c r="BD59" t="s">
        <v>268</v>
      </c>
      <c r="BE59" t="s">
        <v>1307</v>
      </c>
      <c r="BF59" t="s">
        <v>1308</v>
      </c>
      <c r="BG59" t="s">
        <v>1309</v>
      </c>
      <c r="BH59" t="s">
        <v>1310</v>
      </c>
      <c r="BI59" t="s">
        <v>1322</v>
      </c>
      <c r="BJ59" t="b">
        <v>1</v>
      </c>
      <c r="BK59" t="b">
        <v>1</v>
      </c>
      <c r="BL59" t="b">
        <v>0</v>
      </c>
      <c r="BM59" t="b">
        <v>0</v>
      </c>
      <c r="BN59" t="b">
        <v>0</v>
      </c>
      <c r="BO59" t="b">
        <v>0</v>
      </c>
      <c r="BP59">
        <v>1</v>
      </c>
      <c r="BQ59">
        <v>9</v>
      </c>
      <c r="BR59">
        <v>0</v>
      </c>
      <c r="BS59">
        <v>0</v>
      </c>
      <c r="BT59" t="b">
        <v>1</v>
      </c>
      <c r="BU59">
        <v>0</v>
      </c>
      <c r="BV59">
        <v>8</v>
      </c>
      <c r="BW59">
        <v>2090</v>
      </c>
      <c r="BX59">
        <v>1</v>
      </c>
      <c r="BY59" t="s">
        <v>268</v>
      </c>
      <c r="BZ59" t="s">
        <v>271</v>
      </c>
      <c r="CA59" t="s">
        <v>268</v>
      </c>
      <c r="CB59" t="s">
        <v>268</v>
      </c>
      <c r="CC59" t="s">
        <v>1319</v>
      </c>
      <c r="CD59" t="s">
        <v>1313</v>
      </c>
      <c r="CE59" t="s">
        <v>1323</v>
      </c>
      <c r="CF59" t="s">
        <v>1315</v>
      </c>
      <c r="CG59">
        <f t="shared" si="0"/>
        <v>136.90428161621099</v>
      </c>
      <c r="CH59">
        <f t="shared" si="1"/>
        <v>5600</v>
      </c>
      <c r="CI59">
        <f t="shared" si="2"/>
        <v>2</v>
      </c>
      <c r="CJ59">
        <f t="shared" si="3"/>
        <v>766663.9770507816</v>
      </c>
      <c r="CK59">
        <f t="shared" si="4"/>
        <v>273.80856323242199</v>
      </c>
    </row>
    <row r="60" spans="1:89">
      <c r="A60">
        <v>13861</v>
      </c>
      <c r="B60" t="s">
        <v>1302</v>
      </c>
      <c r="C60">
        <v>18.253904342651399</v>
      </c>
      <c r="D60" t="s">
        <v>1340</v>
      </c>
      <c r="E60">
        <v>1995</v>
      </c>
      <c r="F60" t="s">
        <v>1320</v>
      </c>
      <c r="G60" t="s">
        <v>167</v>
      </c>
      <c r="H60">
        <v>98112</v>
      </c>
      <c r="I60" t="s">
        <v>1321</v>
      </c>
      <c r="K60" t="s">
        <v>1306</v>
      </c>
      <c r="L60">
        <v>60</v>
      </c>
      <c r="M60">
        <v>3</v>
      </c>
      <c r="N60">
        <v>0</v>
      </c>
      <c r="O60">
        <v>3</v>
      </c>
      <c r="P60">
        <v>1</v>
      </c>
      <c r="Q60">
        <v>40688</v>
      </c>
      <c r="R60">
        <v>40688</v>
      </c>
      <c r="S60">
        <v>7296</v>
      </c>
      <c r="T60">
        <v>0</v>
      </c>
      <c r="U60">
        <v>0</v>
      </c>
      <c r="V60">
        <v>0</v>
      </c>
      <c r="W60">
        <v>60</v>
      </c>
      <c r="X60">
        <v>0</v>
      </c>
      <c r="Y60">
        <v>12</v>
      </c>
      <c r="Z60" t="b">
        <v>0</v>
      </c>
      <c r="AA60" t="b">
        <v>1</v>
      </c>
      <c r="AB60">
        <v>8</v>
      </c>
      <c r="AC60">
        <v>322058.1875</v>
      </c>
      <c r="AD60">
        <v>241963.296875</v>
      </c>
      <c r="AE60">
        <v>564021.5</v>
      </c>
      <c r="AI60">
        <v>1924441.375</v>
      </c>
      <c r="AJ60" t="s">
        <v>268</v>
      </c>
      <c r="AK60">
        <v>0</v>
      </c>
      <c r="AL60">
        <v>42</v>
      </c>
      <c r="AM60">
        <v>0</v>
      </c>
      <c r="AN60">
        <v>12</v>
      </c>
      <c r="AO60">
        <v>0</v>
      </c>
      <c r="AP60">
        <v>12</v>
      </c>
      <c r="AQ60">
        <v>0</v>
      </c>
      <c r="AR60">
        <v>0</v>
      </c>
      <c r="AS60">
        <v>34</v>
      </c>
      <c r="AT60" t="b">
        <v>0</v>
      </c>
      <c r="AU60">
        <v>3</v>
      </c>
      <c r="AV60">
        <v>3</v>
      </c>
      <c r="AW60">
        <v>1</v>
      </c>
      <c r="AX60" t="b">
        <v>0</v>
      </c>
      <c r="AY60" t="b">
        <v>0</v>
      </c>
      <c r="AZ60" t="b">
        <v>1</v>
      </c>
      <c r="BA60" t="b">
        <v>0</v>
      </c>
      <c r="BB60" t="s">
        <v>271</v>
      </c>
      <c r="BC60" t="s">
        <v>268</v>
      </c>
      <c r="BD60" t="s">
        <v>268</v>
      </c>
      <c r="BE60" t="s">
        <v>1307</v>
      </c>
      <c r="BF60" t="s">
        <v>1308</v>
      </c>
      <c r="BG60" t="s">
        <v>1309</v>
      </c>
      <c r="BH60" t="s">
        <v>1310</v>
      </c>
      <c r="BI60" t="s">
        <v>1379</v>
      </c>
      <c r="BJ60" t="b">
        <v>0</v>
      </c>
      <c r="BK60" t="b">
        <v>1</v>
      </c>
      <c r="BL60" t="b">
        <v>0</v>
      </c>
      <c r="BM60" t="b">
        <v>0</v>
      </c>
      <c r="BN60" t="b">
        <v>0</v>
      </c>
      <c r="BO60" t="b">
        <v>0</v>
      </c>
      <c r="BP60">
        <v>4</v>
      </c>
      <c r="BQ60">
        <v>62</v>
      </c>
      <c r="BR60">
        <v>0</v>
      </c>
      <c r="BS60">
        <v>0</v>
      </c>
      <c r="BT60" t="b">
        <v>1</v>
      </c>
      <c r="BV60">
        <v>22</v>
      </c>
      <c r="BW60">
        <v>9350</v>
      </c>
      <c r="BX60">
        <v>0</v>
      </c>
      <c r="BY60" t="s">
        <v>268</v>
      </c>
      <c r="BZ60" t="s">
        <v>268</v>
      </c>
      <c r="CA60" t="s">
        <v>268</v>
      </c>
      <c r="CB60" t="s">
        <v>271</v>
      </c>
      <c r="CC60" t="s">
        <v>1312</v>
      </c>
      <c r="CD60" t="s">
        <v>1313</v>
      </c>
      <c r="CE60" t="s">
        <v>1356</v>
      </c>
      <c r="CF60" t="s">
        <v>1315</v>
      </c>
      <c r="CG60">
        <f t="shared" si="0"/>
        <v>18.253904342651399</v>
      </c>
      <c r="CH60">
        <f t="shared" si="1"/>
        <v>40688</v>
      </c>
      <c r="CI60">
        <f t="shared" si="2"/>
        <v>3</v>
      </c>
      <c r="CJ60">
        <f t="shared" si="3"/>
        <v>742714.85989380011</v>
      </c>
      <c r="CK60">
        <f t="shared" si="4"/>
        <v>54.761713027954201</v>
      </c>
    </row>
    <row r="61" spans="1:89">
      <c r="A61">
        <v>13899</v>
      </c>
      <c r="B61" t="s">
        <v>1302</v>
      </c>
      <c r="C61">
        <v>42.124393463134801</v>
      </c>
      <c r="D61" t="s">
        <v>1334</v>
      </c>
      <c r="E61">
        <v>1978</v>
      </c>
      <c r="F61" t="s">
        <v>1320</v>
      </c>
      <c r="G61" t="s">
        <v>167</v>
      </c>
      <c r="H61">
        <v>98178</v>
      </c>
      <c r="I61" t="s">
        <v>1321</v>
      </c>
      <c r="K61" t="s">
        <v>1306</v>
      </c>
      <c r="L61">
        <v>26</v>
      </c>
      <c r="M61">
        <v>3</v>
      </c>
      <c r="N61">
        <v>0</v>
      </c>
      <c r="O61">
        <v>3</v>
      </c>
      <c r="P61">
        <v>0</v>
      </c>
      <c r="Q61">
        <v>21099</v>
      </c>
      <c r="R61">
        <v>21099</v>
      </c>
      <c r="S61">
        <v>128</v>
      </c>
      <c r="T61">
        <v>0</v>
      </c>
      <c r="U61">
        <v>0</v>
      </c>
      <c r="V61">
        <v>24</v>
      </c>
      <c r="W61">
        <v>2</v>
      </c>
      <c r="X61">
        <v>0</v>
      </c>
      <c r="Y61">
        <v>4</v>
      </c>
      <c r="Z61" t="b">
        <v>0</v>
      </c>
      <c r="AA61" t="b">
        <v>1</v>
      </c>
      <c r="AB61">
        <v>8</v>
      </c>
      <c r="AC61">
        <v>13962.4384765625</v>
      </c>
      <c r="AD61">
        <v>212962.125</v>
      </c>
      <c r="AE61">
        <v>226924.5625</v>
      </c>
      <c r="AI61">
        <v>774266.625</v>
      </c>
      <c r="AJ61" t="s">
        <v>268</v>
      </c>
      <c r="AK61">
        <v>0</v>
      </c>
      <c r="AL61">
        <v>38</v>
      </c>
      <c r="AM61">
        <v>0</v>
      </c>
      <c r="AN61">
        <v>8</v>
      </c>
      <c r="AO61">
        <v>0</v>
      </c>
      <c r="AP61">
        <v>6</v>
      </c>
      <c r="AQ61">
        <v>0</v>
      </c>
      <c r="AR61">
        <v>0</v>
      </c>
      <c r="AS61">
        <v>48</v>
      </c>
      <c r="AT61" t="b">
        <v>0</v>
      </c>
      <c r="AU61">
        <v>3</v>
      </c>
      <c r="AV61">
        <v>3</v>
      </c>
      <c r="AW61">
        <v>0</v>
      </c>
      <c r="AX61" t="b">
        <v>0</v>
      </c>
      <c r="AY61" t="b">
        <v>0</v>
      </c>
      <c r="AZ61" t="b">
        <v>0</v>
      </c>
      <c r="BA61" t="b">
        <v>0</v>
      </c>
      <c r="BB61" t="s">
        <v>268</v>
      </c>
      <c r="BC61" t="s">
        <v>268</v>
      </c>
      <c r="BD61" t="s">
        <v>268</v>
      </c>
      <c r="BE61" t="s">
        <v>1307</v>
      </c>
      <c r="BF61" t="s">
        <v>1308</v>
      </c>
      <c r="BG61" t="s">
        <v>1309</v>
      </c>
      <c r="BH61" t="s">
        <v>1310</v>
      </c>
      <c r="BI61" t="s">
        <v>1322</v>
      </c>
      <c r="BJ61" t="b">
        <v>0</v>
      </c>
      <c r="BK61" t="b">
        <v>1</v>
      </c>
      <c r="BL61" t="b">
        <v>0</v>
      </c>
      <c r="BM61" t="b">
        <v>0</v>
      </c>
      <c r="BN61" t="b">
        <v>0</v>
      </c>
      <c r="BO61" t="b">
        <v>0</v>
      </c>
      <c r="BP61">
        <v>1</v>
      </c>
      <c r="BQ61">
        <v>27</v>
      </c>
      <c r="BR61">
        <v>0</v>
      </c>
      <c r="BS61">
        <v>0</v>
      </c>
      <c r="BT61" t="b">
        <v>1</v>
      </c>
      <c r="BU61">
        <v>0</v>
      </c>
      <c r="BV61">
        <v>27</v>
      </c>
      <c r="BW61">
        <v>11475</v>
      </c>
      <c r="BX61">
        <v>0</v>
      </c>
      <c r="BY61" t="s">
        <v>268</v>
      </c>
      <c r="BZ61" t="s">
        <v>268</v>
      </c>
      <c r="CA61" t="s">
        <v>268</v>
      </c>
      <c r="CB61" t="s">
        <v>271</v>
      </c>
      <c r="CC61" t="s">
        <v>1312</v>
      </c>
      <c r="CD61" t="s">
        <v>1313</v>
      </c>
      <c r="CE61" t="s">
        <v>1314</v>
      </c>
      <c r="CF61" t="s">
        <v>1315</v>
      </c>
      <c r="CG61">
        <f t="shared" si="0"/>
        <v>42.124393463134801</v>
      </c>
      <c r="CH61">
        <f t="shared" si="1"/>
        <v>21099</v>
      </c>
      <c r="CI61">
        <f t="shared" si="2"/>
        <v>3</v>
      </c>
      <c r="CJ61">
        <f t="shared" si="3"/>
        <v>888782.57767868112</v>
      </c>
      <c r="CK61">
        <f t="shared" si="4"/>
        <v>126.37318038940441</v>
      </c>
    </row>
    <row r="62" spans="1:89">
      <c r="A62">
        <v>13988</v>
      </c>
      <c r="B62" t="s">
        <v>1302</v>
      </c>
      <c r="C62">
        <v>114.48550415039099</v>
      </c>
      <c r="D62" t="s">
        <v>1324</v>
      </c>
      <c r="E62">
        <v>1963</v>
      </c>
      <c r="F62" t="s">
        <v>1328</v>
      </c>
      <c r="G62" t="s">
        <v>167</v>
      </c>
      <c r="H62">
        <v>98087</v>
      </c>
      <c r="I62" t="s">
        <v>1329</v>
      </c>
      <c r="J62" t="s">
        <v>1317</v>
      </c>
      <c r="K62" t="s">
        <v>1306</v>
      </c>
      <c r="L62">
        <v>18</v>
      </c>
      <c r="M62">
        <v>1</v>
      </c>
      <c r="N62">
        <v>0</v>
      </c>
      <c r="O62">
        <v>1</v>
      </c>
      <c r="P62">
        <v>1</v>
      </c>
      <c r="Q62">
        <v>7772</v>
      </c>
      <c r="R62">
        <v>7772</v>
      </c>
      <c r="S62">
        <v>228</v>
      </c>
      <c r="T62">
        <v>0</v>
      </c>
      <c r="U62">
        <v>0</v>
      </c>
      <c r="V62">
        <v>0</v>
      </c>
      <c r="W62">
        <v>17</v>
      </c>
      <c r="X62">
        <v>1</v>
      </c>
      <c r="Y62">
        <v>0</v>
      </c>
      <c r="Z62" t="b">
        <v>0</v>
      </c>
      <c r="AA62" t="b">
        <v>1</v>
      </c>
      <c r="AB62">
        <v>8</v>
      </c>
      <c r="AD62">
        <v>52339.265625</v>
      </c>
      <c r="AE62">
        <v>52339.265625</v>
      </c>
      <c r="AH62">
        <v>9808.7470703125</v>
      </c>
      <c r="AI62">
        <v>1159456.25</v>
      </c>
      <c r="AJ62" t="s">
        <v>268</v>
      </c>
      <c r="AL62">
        <v>0</v>
      </c>
      <c r="AM62">
        <v>0</v>
      </c>
      <c r="AN62">
        <v>65</v>
      </c>
      <c r="AO62">
        <v>0</v>
      </c>
      <c r="AP62">
        <v>28</v>
      </c>
      <c r="AQ62">
        <v>0</v>
      </c>
      <c r="AR62">
        <v>0</v>
      </c>
      <c r="AS62">
        <v>7</v>
      </c>
      <c r="AT62" t="b">
        <v>0</v>
      </c>
      <c r="AU62">
        <v>2</v>
      </c>
      <c r="AV62">
        <v>2</v>
      </c>
      <c r="AW62">
        <v>0</v>
      </c>
      <c r="AX62" t="b">
        <v>0</v>
      </c>
      <c r="AY62" t="b">
        <v>0</v>
      </c>
      <c r="AZ62" t="b">
        <v>0</v>
      </c>
      <c r="BA62" t="b">
        <v>0</v>
      </c>
      <c r="BB62" t="s">
        <v>271</v>
      </c>
      <c r="BC62" t="s">
        <v>268</v>
      </c>
      <c r="BD62" t="s">
        <v>268</v>
      </c>
      <c r="BE62" t="s">
        <v>1307</v>
      </c>
      <c r="BF62" t="s">
        <v>1308</v>
      </c>
      <c r="BG62" t="s">
        <v>1309</v>
      </c>
      <c r="BH62" t="s">
        <v>1310</v>
      </c>
      <c r="BI62" t="s">
        <v>1380</v>
      </c>
      <c r="BJ62" t="b">
        <v>1</v>
      </c>
      <c r="BK62" t="b">
        <v>1</v>
      </c>
      <c r="BL62" t="b">
        <v>1</v>
      </c>
      <c r="BM62" t="b">
        <v>0</v>
      </c>
      <c r="BN62" t="b">
        <v>0</v>
      </c>
      <c r="BO62" t="b">
        <v>0</v>
      </c>
      <c r="BP62">
        <v>3</v>
      </c>
      <c r="BQ62">
        <v>19</v>
      </c>
      <c r="BR62">
        <v>2</v>
      </c>
      <c r="BS62">
        <v>2</v>
      </c>
      <c r="BT62" t="b">
        <v>1</v>
      </c>
      <c r="BU62">
        <v>27</v>
      </c>
      <c r="BV62">
        <v>20</v>
      </c>
      <c r="BW62">
        <v>8500</v>
      </c>
      <c r="BX62">
        <v>0</v>
      </c>
      <c r="BY62" t="s">
        <v>268</v>
      </c>
      <c r="BZ62" t="s">
        <v>268</v>
      </c>
      <c r="CA62" t="s">
        <v>268</v>
      </c>
      <c r="CB62" t="s">
        <v>271</v>
      </c>
      <c r="CC62" t="s">
        <v>1319</v>
      </c>
      <c r="CD62" t="s">
        <v>1313</v>
      </c>
      <c r="CE62" t="s">
        <v>1330</v>
      </c>
      <c r="CF62" t="s">
        <v>1315</v>
      </c>
      <c r="CG62">
        <f t="shared" si="0"/>
        <v>114.48550415039099</v>
      </c>
      <c r="CH62">
        <f t="shared" si="1"/>
        <v>7772</v>
      </c>
      <c r="CI62">
        <f t="shared" si="2"/>
        <v>1</v>
      </c>
      <c r="CJ62">
        <f t="shared" si="3"/>
        <v>889781.33825683885</v>
      </c>
      <c r="CK62">
        <f t="shared" si="4"/>
        <v>114.48550415039099</v>
      </c>
    </row>
    <row r="63" spans="1:89">
      <c r="A63">
        <v>14014</v>
      </c>
      <c r="B63" t="s">
        <v>1302</v>
      </c>
      <c r="C63">
        <v>85.864128112792997</v>
      </c>
      <c r="D63" t="s">
        <v>1334</v>
      </c>
      <c r="E63">
        <v>1979</v>
      </c>
      <c r="F63" t="s">
        <v>1352</v>
      </c>
      <c r="G63" t="s">
        <v>167</v>
      </c>
      <c r="H63">
        <v>98043</v>
      </c>
      <c r="I63" t="s">
        <v>1329</v>
      </c>
      <c r="K63" t="s">
        <v>1306</v>
      </c>
      <c r="L63">
        <v>24</v>
      </c>
      <c r="M63">
        <v>2</v>
      </c>
      <c r="N63">
        <v>0</v>
      </c>
      <c r="O63">
        <v>2</v>
      </c>
      <c r="P63">
        <v>0</v>
      </c>
      <c r="Q63">
        <v>16560</v>
      </c>
      <c r="R63">
        <v>16560</v>
      </c>
      <c r="S63">
        <v>0</v>
      </c>
      <c r="T63">
        <v>0</v>
      </c>
      <c r="U63">
        <v>0</v>
      </c>
      <c r="V63">
        <v>8</v>
      </c>
      <c r="W63">
        <v>16</v>
      </c>
      <c r="X63">
        <v>0</v>
      </c>
      <c r="Y63">
        <v>8</v>
      </c>
      <c r="Z63" t="b">
        <v>0</v>
      </c>
      <c r="AA63" t="b">
        <v>0</v>
      </c>
      <c r="AB63">
        <v>7.75</v>
      </c>
      <c r="AC63">
        <v>67212.0078125</v>
      </c>
      <c r="AD63">
        <v>177416.171875</v>
      </c>
      <c r="AE63">
        <v>244628.1875</v>
      </c>
      <c r="AI63">
        <v>834671.375</v>
      </c>
      <c r="AJ63" t="s">
        <v>268</v>
      </c>
      <c r="AK63">
        <v>0</v>
      </c>
      <c r="AL63">
        <v>48</v>
      </c>
      <c r="AM63">
        <v>0</v>
      </c>
      <c r="AN63">
        <v>4</v>
      </c>
      <c r="AO63">
        <v>0</v>
      </c>
      <c r="AP63">
        <v>4</v>
      </c>
      <c r="AQ63">
        <v>0</v>
      </c>
      <c r="AR63">
        <v>0</v>
      </c>
      <c r="AS63">
        <v>44</v>
      </c>
      <c r="AT63" t="b">
        <v>1</v>
      </c>
      <c r="AU63">
        <v>0</v>
      </c>
      <c r="AV63">
        <v>0</v>
      </c>
      <c r="AW63">
        <v>0</v>
      </c>
      <c r="AX63" t="b">
        <v>0</v>
      </c>
      <c r="AY63" t="b">
        <v>0</v>
      </c>
      <c r="AZ63" t="b">
        <v>0</v>
      </c>
      <c r="BA63" t="b">
        <v>0</v>
      </c>
      <c r="BB63" t="s">
        <v>268</v>
      </c>
      <c r="BC63" t="s">
        <v>268</v>
      </c>
      <c r="BD63" t="s">
        <v>268</v>
      </c>
      <c r="BE63" t="s">
        <v>1307</v>
      </c>
      <c r="BF63" t="s">
        <v>1308</v>
      </c>
      <c r="BG63" t="s">
        <v>1309</v>
      </c>
      <c r="BH63" t="s">
        <v>1310</v>
      </c>
      <c r="BI63" t="s">
        <v>1311</v>
      </c>
      <c r="BJ63" t="b">
        <v>0</v>
      </c>
      <c r="BK63" t="b">
        <v>1</v>
      </c>
      <c r="BL63" t="b">
        <v>0</v>
      </c>
      <c r="BM63" t="b">
        <v>0</v>
      </c>
      <c r="BN63" t="b">
        <v>0</v>
      </c>
      <c r="BO63" t="b">
        <v>0</v>
      </c>
      <c r="BP63">
        <v>4</v>
      </c>
      <c r="BQ63">
        <v>25</v>
      </c>
      <c r="BR63">
        <v>0</v>
      </c>
      <c r="BS63">
        <v>0</v>
      </c>
      <c r="BT63" t="b">
        <v>1</v>
      </c>
      <c r="BU63">
        <v>7</v>
      </c>
      <c r="BV63">
        <v>30</v>
      </c>
      <c r="BW63">
        <v>12750</v>
      </c>
      <c r="BX63">
        <v>0</v>
      </c>
      <c r="BY63" t="s">
        <v>268</v>
      </c>
      <c r="BZ63" t="s">
        <v>268</v>
      </c>
      <c r="CA63" t="s">
        <v>268</v>
      </c>
      <c r="CB63" t="s">
        <v>271</v>
      </c>
      <c r="CC63" t="s">
        <v>1312</v>
      </c>
      <c r="CD63" t="s">
        <v>1313</v>
      </c>
      <c r="CE63" t="s">
        <v>1314</v>
      </c>
      <c r="CF63" t="s">
        <v>1315</v>
      </c>
      <c r="CG63">
        <f t="shared" si="0"/>
        <v>85.864128112792997</v>
      </c>
      <c r="CH63">
        <f t="shared" si="1"/>
        <v>16560</v>
      </c>
      <c r="CI63">
        <f t="shared" si="2"/>
        <v>2</v>
      </c>
      <c r="CJ63">
        <f t="shared" si="3"/>
        <v>1421909.961547852</v>
      </c>
      <c r="CK63">
        <f t="shared" si="4"/>
        <v>171.72825622558599</v>
      </c>
    </row>
    <row r="64" spans="1:89">
      <c r="A64">
        <v>14020</v>
      </c>
      <c r="B64" t="s">
        <v>1302</v>
      </c>
      <c r="C64">
        <v>171.72825622558599</v>
      </c>
      <c r="D64" t="s">
        <v>1303</v>
      </c>
      <c r="E64">
        <v>1986</v>
      </c>
      <c r="F64" t="s">
        <v>1349</v>
      </c>
      <c r="G64" t="s">
        <v>167</v>
      </c>
      <c r="H64">
        <v>98204</v>
      </c>
      <c r="I64" t="s">
        <v>1329</v>
      </c>
      <c r="K64" t="s">
        <v>1306</v>
      </c>
      <c r="L64">
        <v>12</v>
      </c>
      <c r="M64">
        <v>3</v>
      </c>
      <c r="N64">
        <v>0</v>
      </c>
      <c r="O64">
        <v>2</v>
      </c>
      <c r="P64">
        <v>0</v>
      </c>
      <c r="Q64">
        <v>7530</v>
      </c>
      <c r="R64">
        <v>7530</v>
      </c>
      <c r="S64">
        <v>0</v>
      </c>
      <c r="T64">
        <v>0</v>
      </c>
      <c r="U64">
        <v>0</v>
      </c>
      <c r="V64">
        <v>0</v>
      </c>
      <c r="W64">
        <v>12</v>
      </c>
      <c r="X64">
        <v>0</v>
      </c>
      <c r="Y64">
        <v>8</v>
      </c>
      <c r="Z64" t="b">
        <v>0</v>
      </c>
      <c r="AA64" t="b">
        <v>0</v>
      </c>
      <c r="AB64">
        <v>8</v>
      </c>
      <c r="AD64">
        <v>73966.8515625</v>
      </c>
      <c r="AE64">
        <v>73966.8515625</v>
      </c>
      <c r="AI64">
        <v>252374.890625</v>
      </c>
      <c r="AJ64" t="s">
        <v>268</v>
      </c>
      <c r="AK64">
        <v>0</v>
      </c>
      <c r="AL64">
        <v>57</v>
      </c>
      <c r="AM64">
        <v>0</v>
      </c>
      <c r="AN64">
        <v>14</v>
      </c>
      <c r="AO64">
        <v>0</v>
      </c>
      <c r="AP64">
        <v>14</v>
      </c>
      <c r="AQ64">
        <v>0</v>
      </c>
      <c r="AR64">
        <v>0</v>
      </c>
      <c r="AS64">
        <v>15</v>
      </c>
      <c r="AT64" t="b">
        <v>1</v>
      </c>
      <c r="AU64">
        <v>0</v>
      </c>
      <c r="AV64">
        <v>0</v>
      </c>
      <c r="AW64">
        <v>0</v>
      </c>
      <c r="AX64" t="b">
        <v>0</v>
      </c>
      <c r="AY64" t="b">
        <v>0</v>
      </c>
      <c r="AZ64" t="b">
        <v>0</v>
      </c>
      <c r="BA64" t="b">
        <v>0</v>
      </c>
      <c r="BB64" t="s">
        <v>268</v>
      </c>
      <c r="BC64" t="s">
        <v>268</v>
      </c>
      <c r="BD64" t="s">
        <v>271</v>
      </c>
      <c r="BE64" t="s">
        <v>1307</v>
      </c>
      <c r="BF64" t="s">
        <v>1308</v>
      </c>
      <c r="BG64" t="s">
        <v>1309</v>
      </c>
      <c r="BH64" t="s">
        <v>1310</v>
      </c>
      <c r="BI64" t="s">
        <v>1311</v>
      </c>
      <c r="BJ64" t="b">
        <v>0</v>
      </c>
      <c r="BK64" t="b">
        <v>1</v>
      </c>
      <c r="BL64" t="b">
        <v>0</v>
      </c>
      <c r="BM64" t="b">
        <v>0</v>
      </c>
      <c r="BN64" t="b">
        <v>0</v>
      </c>
      <c r="BO64" t="b">
        <v>0</v>
      </c>
      <c r="BP64">
        <v>2</v>
      </c>
      <c r="BQ64">
        <v>14</v>
      </c>
      <c r="BR64">
        <v>0</v>
      </c>
      <c r="BS64">
        <v>0</v>
      </c>
      <c r="BT64" t="b">
        <v>1</v>
      </c>
      <c r="BU64">
        <v>0</v>
      </c>
      <c r="BV64">
        <v>18</v>
      </c>
      <c r="BW64">
        <v>4840</v>
      </c>
      <c r="BX64">
        <v>0</v>
      </c>
      <c r="BY64" t="s">
        <v>268</v>
      </c>
      <c r="BZ64" t="s">
        <v>268</v>
      </c>
      <c r="CA64" t="s">
        <v>271</v>
      </c>
      <c r="CB64" t="s">
        <v>271</v>
      </c>
      <c r="CC64" t="s">
        <v>1312</v>
      </c>
      <c r="CD64" t="s">
        <v>1313</v>
      </c>
      <c r="CE64" t="s">
        <v>1314</v>
      </c>
      <c r="CF64" t="s">
        <v>1315</v>
      </c>
      <c r="CG64">
        <f t="shared" si="0"/>
        <v>171.72825622558599</v>
      </c>
      <c r="CH64">
        <f t="shared" si="1"/>
        <v>7530</v>
      </c>
      <c r="CI64">
        <f t="shared" si="2"/>
        <v>3</v>
      </c>
      <c r="CJ64">
        <f t="shared" si="3"/>
        <v>1293113.7693786626</v>
      </c>
      <c r="CK64">
        <f t="shared" si="4"/>
        <v>515.18476867675804</v>
      </c>
    </row>
    <row r="65" spans="1:89">
      <c r="A65">
        <v>14059</v>
      </c>
      <c r="B65" t="s">
        <v>1331</v>
      </c>
      <c r="C65">
        <v>47.924167633056598</v>
      </c>
      <c r="D65" t="s">
        <v>1334</v>
      </c>
      <c r="E65">
        <v>1978</v>
      </c>
      <c r="F65" t="s">
        <v>1366</v>
      </c>
      <c r="G65" t="s">
        <v>167</v>
      </c>
      <c r="H65">
        <v>98020</v>
      </c>
      <c r="I65" t="s">
        <v>1329</v>
      </c>
      <c r="J65" t="s">
        <v>1317</v>
      </c>
      <c r="K65" t="s">
        <v>1306</v>
      </c>
      <c r="L65">
        <v>43</v>
      </c>
      <c r="M65">
        <v>4</v>
      </c>
      <c r="N65">
        <v>0</v>
      </c>
      <c r="O65">
        <v>4</v>
      </c>
      <c r="P65">
        <v>0</v>
      </c>
      <c r="Q65">
        <v>33596</v>
      </c>
      <c r="R65">
        <v>33596</v>
      </c>
      <c r="S65">
        <v>5962</v>
      </c>
      <c r="T65">
        <v>0</v>
      </c>
      <c r="U65">
        <v>0</v>
      </c>
      <c r="V65">
        <v>0</v>
      </c>
      <c r="W65">
        <v>43</v>
      </c>
      <c r="X65">
        <v>0</v>
      </c>
      <c r="Y65">
        <v>2</v>
      </c>
      <c r="Z65" t="b">
        <v>0</v>
      </c>
      <c r="AA65" t="b">
        <v>1</v>
      </c>
      <c r="AB65">
        <v>8.5</v>
      </c>
      <c r="AC65">
        <v>86768.171875</v>
      </c>
      <c r="AD65">
        <v>203131.578125</v>
      </c>
      <c r="AE65">
        <v>289899.75</v>
      </c>
      <c r="AJ65" t="s">
        <v>268</v>
      </c>
      <c r="AK65">
        <v>0</v>
      </c>
      <c r="AL65">
        <v>8</v>
      </c>
      <c r="AM65">
        <v>0</v>
      </c>
      <c r="AN65">
        <v>36</v>
      </c>
      <c r="AO65">
        <v>0</v>
      </c>
      <c r="AP65">
        <v>38</v>
      </c>
      <c r="AQ65">
        <v>0</v>
      </c>
      <c r="AR65">
        <v>0</v>
      </c>
      <c r="AS65">
        <v>18</v>
      </c>
      <c r="AT65" t="b">
        <v>1</v>
      </c>
      <c r="AU65">
        <v>2</v>
      </c>
      <c r="AV65">
        <v>2</v>
      </c>
      <c r="AW65">
        <v>1</v>
      </c>
      <c r="AX65" t="b">
        <v>0</v>
      </c>
      <c r="AY65" t="b">
        <v>0</v>
      </c>
      <c r="AZ65" t="b">
        <v>1</v>
      </c>
      <c r="BA65" t="b">
        <v>0</v>
      </c>
      <c r="BB65" t="s">
        <v>268</v>
      </c>
      <c r="BC65" t="s">
        <v>268</v>
      </c>
      <c r="BD65" t="s">
        <v>268</v>
      </c>
      <c r="BE65" t="s">
        <v>1307</v>
      </c>
      <c r="BF65" t="s">
        <v>1308</v>
      </c>
      <c r="BG65" t="s">
        <v>1309</v>
      </c>
      <c r="BH65" t="s">
        <v>1310</v>
      </c>
      <c r="BI65" t="s">
        <v>1322</v>
      </c>
      <c r="BJ65" t="b">
        <v>1</v>
      </c>
      <c r="BK65" t="b">
        <v>1</v>
      </c>
      <c r="BL65" t="b">
        <v>0</v>
      </c>
      <c r="BM65" t="b">
        <v>0</v>
      </c>
      <c r="BN65" t="b">
        <v>0</v>
      </c>
      <c r="BO65" t="b">
        <v>0</v>
      </c>
      <c r="BP65">
        <v>1</v>
      </c>
      <c r="BQ65">
        <v>1</v>
      </c>
      <c r="BR65">
        <v>0</v>
      </c>
      <c r="BS65">
        <v>0</v>
      </c>
      <c r="BT65" t="b">
        <v>1</v>
      </c>
      <c r="BV65">
        <v>20</v>
      </c>
      <c r="BW65">
        <v>8500</v>
      </c>
      <c r="BX65">
        <v>0</v>
      </c>
      <c r="BY65" t="s">
        <v>268</v>
      </c>
      <c r="BZ65" t="s">
        <v>268</v>
      </c>
      <c r="CA65" t="s">
        <v>268</v>
      </c>
      <c r="CB65" t="s">
        <v>271</v>
      </c>
      <c r="CC65" t="s">
        <v>1312</v>
      </c>
      <c r="CD65" t="s">
        <v>1313</v>
      </c>
      <c r="CE65" t="s">
        <v>1314</v>
      </c>
      <c r="CF65" t="s">
        <v>1315</v>
      </c>
      <c r="CG65" t="str">
        <f t="shared" si="0"/>
        <v/>
      </c>
      <c r="CH65" t="str">
        <f t="shared" si="1"/>
        <v/>
      </c>
      <c r="CI65" t="str">
        <f t="shared" si="2"/>
        <v/>
      </c>
      <c r="CJ65" t="str">
        <f t="shared" si="3"/>
        <v/>
      </c>
      <c r="CK65" t="str">
        <f t="shared" si="4"/>
        <v/>
      </c>
    </row>
    <row r="66" spans="1:89">
      <c r="A66">
        <v>14163</v>
      </c>
      <c r="B66" t="s">
        <v>1331</v>
      </c>
      <c r="C66">
        <v>38.881870269775398</v>
      </c>
      <c r="D66" t="s">
        <v>1324</v>
      </c>
      <c r="E66">
        <v>1967</v>
      </c>
      <c r="F66" t="s">
        <v>1366</v>
      </c>
      <c r="G66" t="s">
        <v>167</v>
      </c>
      <c r="H66">
        <v>98020</v>
      </c>
      <c r="I66" t="s">
        <v>1329</v>
      </c>
      <c r="K66" t="s">
        <v>1306</v>
      </c>
      <c r="L66">
        <v>53</v>
      </c>
      <c r="M66">
        <v>4</v>
      </c>
      <c r="N66">
        <v>0</v>
      </c>
      <c r="O66">
        <v>4</v>
      </c>
      <c r="P66">
        <v>0</v>
      </c>
      <c r="Q66">
        <v>56667</v>
      </c>
      <c r="R66">
        <v>56667</v>
      </c>
      <c r="S66">
        <v>15062</v>
      </c>
      <c r="T66">
        <v>0</v>
      </c>
      <c r="U66">
        <v>0</v>
      </c>
      <c r="V66">
        <v>28</v>
      </c>
      <c r="W66">
        <v>25</v>
      </c>
      <c r="X66">
        <v>0</v>
      </c>
      <c r="Y66">
        <v>2</v>
      </c>
      <c r="Z66" t="b">
        <v>0</v>
      </c>
      <c r="AA66" t="b">
        <v>1</v>
      </c>
      <c r="AB66">
        <v>8</v>
      </c>
      <c r="AJ66" t="s">
        <v>268</v>
      </c>
      <c r="AK66">
        <v>0</v>
      </c>
      <c r="AL66">
        <v>7</v>
      </c>
      <c r="AM66">
        <v>0</v>
      </c>
      <c r="AN66">
        <v>46</v>
      </c>
      <c r="AO66">
        <v>0</v>
      </c>
      <c r="AP66">
        <v>42</v>
      </c>
      <c r="AQ66">
        <v>0</v>
      </c>
      <c r="AR66">
        <v>0</v>
      </c>
      <c r="AS66">
        <v>5</v>
      </c>
      <c r="AT66" t="b">
        <v>1</v>
      </c>
      <c r="AU66">
        <v>5</v>
      </c>
      <c r="AV66">
        <v>5</v>
      </c>
      <c r="AW66">
        <v>1</v>
      </c>
      <c r="AX66" t="b">
        <v>0</v>
      </c>
      <c r="AY66" t="b">
        <v>0</v>
      </c>
      <c r="AZ66" t="b">
        <v>1</v>
      </c>
      <c r="BA66" t="b">
        <v>0</v>
      </c>
      <c r="BB66" t="s">
        <v>268</v>
      </c>
      <c r="BC66" t="s">
        <v>268</v>
      </c>
      <c r="BD66" t="s">
        <v>268</v>
      </c>
      <c r="BE66" t="s">
        <v>1307</v>
      </c>
      <c r="BF66" t="s">
        <v>1308</v>
      </c>
      <c r="BG66" t="s">
        <v>1309</v>
      </c>
      <c r="BH66" t="s">
        <v>1310</v>
      </c>
      <c r="BI66" t="s">
        <v>1322</v>
      </c>
      <c r="BJ66" t="b">
        <v>0</v>
      </c>
      <c r="BK66" t="b">
        <v>1</v>
      </c>
      <c r="BL66" t="b">
        <v>0</v>
      </c>
      <c r="BM66" t="b">
        <v>0</v>
      </c>
      <c r="BN66" t="b">
        <v>0</v>
      </c>
      <c r="BO66" t="b">
        <v>0</v>
      </c>
      <c r="BP66">
        <v>1</v>
      </c>
      <c r="BQ66">
        <v>54</v>
      </c>
      <c r="BR66">
        <v>0</v>
      </c>
      <c r="BS66">
        <v>0</v>
      </c>
      <c r="BT66" t="b">
        <v>1</v>
      </c>
      <c r="BU66">
        <v>0</v>
      </c>
      <c r="BV66">
        <v>77</v>
      </c>
      <c r="BW66">
        <v>30150</v>
      </c>
      <c r="BX66">
        <v>0</v>
      </c>
      <c r="BY66" t="s">
        <v>268</v>
      </c>
      <c r="BZ66" t="s">
        <v>268</v>
      </c>
      <c r="CA66" t="s">
        <v>271</v>
      </c>
      <c r="CB66" t="s">
        <v>271</v>
      </c>
      <c r="CC66" t="s">
        <v>1319</v>
      </c>
      <c r="CD66" t="s">
        <v>1313</v>
      </c>
      <c r="CE66" t="s">
        <v>1314</v>
      </c>
      <c r="CF66" t="s">
        <v>1315</v>
      </c>
      <c r="CG66" t="str">
        <f t="shared" si="0"/>
        <v/>
      </c>
      <c r="CH66" t="str">
        <f t="shared" si="1"/>
        <v/>
      </c>
      <c r="CI66" t="str">
        <f t="shared" si="2"/>
        <v/>
      </c>
      <c r="CJ66" t="str">
        <f t="shared" si="3"/>
        <v/>
      </c>
      <c r="CK66" t="str">
        <f t="shared" si="4"/>
        <v/>
      </c>
    </row>
    <row r="67" spans="1:89">
      <c r="A67">
        <v>14240</v>
      </c>
      <c r="B67" t="s">
        <v>1302</v>
      </c>
      <c r="C67">
        <v>800.71728515625</v>
      </c>
      <c r="D67" t="s">
        <v>1340</v>
      </c>
      <c r="E67">
        <v>2000</v>
      </c>
      <c r="F67" t="s">
        <v>1381</v>
      </c>
      <c r="G67" t="s">
        <v>167</v>
      </c>
      <c r="H67">
        <v>98065</v>
      </c>
      <c r="I67" t="s">
        <v>1317</v>
      </c>
      <c r="J67" t="s">
        <v>1317</v>
      </c>
      <c r="K67" t="s">
        <v>1306</v>
      </c>
      <c r="L67">
        <v>6</v>
      </c>
      <c r="M67">
        <v>1.5</v>
      </c>
      <c r="N67">
        <v>0</v>
      </c>
      <c r="O67">
        <v>2</v>
      </c>
      <c r="P67">
        <v>0</v>
      </c>
      <c r="Q67">
        <v>6170</v>
      </c>
      <c r="R67">
        <v>6170</v>
      </c>
      <c r="S67">
        <v>0</v>
      </c>
      <c r="T67">
        <v>0</v>
      </c>
      <c r="U67">
        <v>1</v>
      </c>
      <c r="V67">
        <v>4</v>
      </c>
      <c r="W67">
        <v>1</v>
      </c>
      <c r="X67">
        <v>0</v>
      </c>
      <c r="Y67">
        <v>0</v>
      </c>
      <c r="Z67" t="b">
        <v>0</v>
      </c>
      <c r="AA67" t="b">
        <v>0</v>
      </c>
      <c r="AB67">
        <v>9</v>
      </c>
      <c r="AG67">
        <v>917.98577880859398</v>
      </c>
      <c r="AH67">
        <v>917.98577880859398</v>
      </c>
      <c r="AJ67" t="s">
        <v>268</v>
      </c>
      <c r="AK67">
        <v>0</v>
      </c>
      <c r="AL67">
        <v>14</v>
      </c>
      <c r="AM67">
        <v>0</v>
      </c>
      <c r="AN67">
        <v>26</v>
      </c>
      <c r="AO67">
        <v>0</v>
      </c>
      <c r="AP67">
        <v>47</v>
      </c>
      <c r="AQ67">
        <v>0</v>
      </c>
      <c r="AR67">
        <v>0</v>
      </c>
      <c r="AS67">
        <v>13</v>
      </c>
      <c r="AT67" t="b">
        <v>1</v>
      </c>
      <c r="AU67">
        <v>0</v>
      </c>
      <c r="AV67">
        <v>0</v>
      </c>
      <c r="AW67">
        <v>0</v>
      </c>
      <c r="AX67" t="b">
        <v>0</v>
      </c>
      <c r="AY67" t="b">
        <v>0</v>
      </c>
      <c r="AZ67" t="b">
        <v>0</v>
      </c>
      <c r="BA67" t="b">
        <v>0</v>
      </c>
      <c r="BB67" t="s">
        <v>268</v>
      </c>
      <c r="BC67" t="s">
        <v>268</v>
      </c>
      <c r="BD67" t="s">
        <v>268</v>
      </c>
      <c r="BE67" t="s">
        <v>1359</v>
      </c>
      <c r="BF67" t="s">
        <v>1342</v>
      </c>
      <c r="BG67" t="s">
        <v>1309</v>
      </c>
      <c r="BH67" t="s">
        <v>1310</v>
      </c>
      <c r="BI67" t="s">
        <v>1311</v>
      </c>
      <c r="BJ67" t="b">
        <v>1</v>
      </c>
      <c r="BK67" t="b">
        <v>1</v>
      </c>
      <c r="BL67" t="b">
        <v>1</v>
      </c>
      <c r="BM67" t="b">
        <v>0</v>
      </c>
      <c r="BN67" t="b">
        <v>0</v>
      </c>
      <c r="BO67" t="b">
        <v>0</v>
      </c>
      <c r="BP67">
        <v>1</v>
      </c>
      <c r="BQ67">
        <v>7</v>
      </c>
      <c r="BR67">
        <v>1</v>
      </c>
      <c r="BS67">
        <v>6</v>
      </c>
      <c r="BT67" t="b">
        <v>1</v>
      </c>
      <c r="BU67">
        <v>0</v>
      </c>
      <c r="BV67">
        <v>6</v>
      </c>
      <c r="BW67">
        <v>1872</v>
      </c>
      <c r="BX67">
        <v>0.5</v>
      </c>
      <c r="BY67" t="s">
        <v>271</v>
      </c>
      <c r="BZ67" t="s">
        <v>268</v>
      </c>
      <c r="CA67" t="s">
        <v>268</v>
      </c>
      <c r="CB67" t="s">
        <v>268</v>
      </c>
      <c r="CC67" t="s">
        <v>1312</v>
      </c>
      <c r="CD67" t="s">
        <v>1313</v>
      </c>
      <c r="CE67" t="s">
        <v>1314</v>
      </c>
      <c r="CF67" t="s">
        <v>1315</v>
      </c>
      <c r="CG67" t="str">
        <f t="shared" si="0"/>
        <v/>
      </c>
      <c r="CH67" t="str">
        <f t="shared" si="1"/>
        <v/>
      </c>
      <c r="CI67" t="str">
        <f t="shared" si="2"/>
        <v/>
      </c>
      <c r="CJ67" t="str">
        <f t="shared" si="3"/>
        <v/>
      </c>
      <c r="CK67" t="str">
        <f t="shared" si="4"/>
        <v/>
      </c>
    </row>
    <row r="68" spans="1:89">
      <c r="A68">
        <v>14258</v>
      </c>
      <c r="B68" t="s">
        <v>1302</v>
      </c>
      <c r="C68">
        <v>436.75485229492199</v>
      </c>
      <c r="D68" t="s">
        <v>1340</v>
      </c>
      <c r="E68">
        <v>1998</v>
      </c>
      <c r="F68" t="s">
        <v>1382</v>
      </c>
      <c r="G68" t="s">
        <v>167</v>
      </c>
      <c r="H68">
        <v>98516</v>
      </c>
      <c r="I68" t="s">
        <v>1317</v>
      </c>
      <c r="J68" t="s">
        <v>1317</v>
      </c>
      <c r="K68" t="s">
        <v>1306</v>
      </c>
      <c r="L68">
        <v>11</v>
      </c>
      <c r="M68">
        <v>3</v>
      </c>
      <c r="N68">
        <v>0</v>
      </c>
      <c r="O68">
        <v>3</v>
      </c>
      <c r="P68">
        <v>0</v>
      </c>
      <c r="Q68">
        <v>11900</v>
      </c>
      <c r="R68">
        <v>11900</v>
      </c>
      <c r="S68">
        <v>0</v>
      </c>
      <c r="T68">
        <v>0</v>
      </c>
      <c r="U68">
        <v>0</v>
      </c>
      <c r="V68">
        <v>11</v>
      </c>
      <c r="W68">
        <v>0</v>
      </c>
      <c r="X68">
        <v>0</v>
      </c>
      <c r="Y68">
        <v>0</v>
      </c>
      <c r="Z68" t="b">
        <v>0</v>
      </c>
      <c r="AA68" t="b">
        <v>0</v>
      </c>
      <c r="AB68">
        <v>8</v>
      </c>
      <c r="AG68">
        <v>3731.52856445313</v>
      </c>
      <c r="AH68">
        <v>3731.52856445313</v>
      </c>
      <c r="AJ68" t="s">
        <v>268</v>
      </c>
      <c r="AK68">
        <v>0</v>
      </c>
      <c r="AL68">
        <v>0</v>
      </c>
      <c r="AM68">
        <v>52</v>
      </c>
      <c r="AN68">
        <v>0</v>
      </c>
      <c r="AO68">
        <v>3</v>
      </c>
      <c r="AP68">
        <v>0</v>
      </c>
      <c r="AQ68">
        <v>4</v>
      </c>
      <c r="AR68">
        <v>41</v>
      </c>
      <c r="AS68">
        <v>0</v>
      </c>
      <c r="AT68" t="b">
        <v>1</v>
      </c>
      <c r="AU68">
        <v>0</v>
      </c>
      <c r="AV68">
        <v>0</v>
      </c>
      <c r="AW68">
        <v>0</v>
      </c>
      <c r="AX68" t="b">
        <v>0</v>
      </c>
      <c r="AY68" t="b">
        <v>0</v>
      </c>
      <c r="AZ68" t="b">
        <v>0</v>
      </c>
      <c r="BA68" t="b">
        <v>0</v>
      </c>
      <c r="BB68" t="s">
        <v>268</v>
      </c>
      <c r="BC68" t="s">
        <v>268</v>
      </c>
      <c r="BE68" t="s">
        <v>1307</v>
      </c>
      <c r="BF68" t="s">
        <v>1308</v>
      </c>
      <c r="BG68" t="s">
        <v>1309</v>
      </c>
      <c r="BH68" t="s">
        <v>1310</v>
      </c>
      <c r="BI68" t="s">
        <v>1311</v>
      </c>
      <c r="BJ68" t="b">
        <v>1</v>
      </c>
      <c r="BK68" t="b">
        <v>1</v>
      </c>
      <c r="BL68" t="b">
        <v>1</v>
      </c>
      <c r="BM68" t="b">
        <v>0</v>
      </c>
      <c r="BN68" t="b">
        <v>0</v>
      </c>
      <c r="BO68" t="b">
        <v>0</v>
      </c>
      <c r="BP68">
        <v>2</v>
      </c>
      <c r="BQ68">
        <v>12</v>
      </c>
      <c r="BR68">
        <v>2</v>
      </c>
      <c r="BS68">
        <v>11</v>
      </c>
      <c r="BT68" t="b">
        <v>1</v>
      </c>
      <c r="BU68">
        <v>50</v>
      </c>
      <c r="BV68">
        <v>22</v>
      </c>
      <c r="BW68">
        <v>5500</v>
      </c>
      <c r="BX68">
        <v>0</v>
      </c>
      <c r="BY68" t="s">
        <v>268</v>
      </c>
      <c r="BZ68" t="s">
        <v>268</v>
      </c>
      <c r="CA68" t="s">
        <v>268</v>
      </c>
      <c r="CB68" t="s">
        <v>268</v>
      </c>
      <c r="CC68" t="s">
        <v>1319</v>
      </c>
      <c r="CD68" t="s">
        <v>1313</v>
      </c>
      <c r="CE68" t="s">
        <v>1314</v>
      </c>
      <c r="CF68" t="s">
        <v>1315</v>
      </c>
      <c r="CG68">
        <f t="shared" ref="CG68:CG131" si="5">IF(AND($B68="1-3 stories",$BF68="electric"),$C68,"")</f>
        <v>436.75485229492199</v>
      </c>
      <c r="CH68">
        <f t="shared" ref="CH68:CH131" si="6">IF(CG68="","",$Q68)</f>
        <v>11900</v>
      </c>
      <c r="CI68">
        <f t="shared" ref="CI68:CI131" si="7">IF($CG68="","",$M68)</f>
        <v>3</v>
      </c>
      <c r="CJ68">
        <f t="shared" ref="CJ68:CJ131" si="8">IFERROR($CG68*CH68,"")</f>
        <v>5197382.7423095712</v>
      </c>
      <c r="CK68">
        <f t="shared" ref="CK68:CK131" si="9">IFERROR($CG68*CI68,"")</f>
        <v>1310.2645568847661</v>
      </c>
    </row>
    <row r="69" spans="1:89">
      <c r="A69">
        <v>14259</v>
      </c>
      <c r="B69" t="s">
        <v>1331</v>
      </c>
      <c r="C69">
        <v>10.1410579681396</v>
      </c>
      <c r="D69" t="s">
        <v>1303</v>
      </c>
      <c r="E69">
        <v>1987</v>
      </c>
      <c r="F69" t="s">
        <v>1383</v>
      </c>
      <c r="G69" t="s">
        <v>167</v>
      </c>
      <c r="H69">
        <v>98109</v>
      </c>
      <c r="I69" t="s">
        <v>1321</v>
      </c>
      <c r="J69" t="s">
        <v>1317</v>
      </c>
      <c r="K69" t="s">
        <v>1306</v>
      </c>
      <c r="L69">
        <v>108</v>
      </c>
      <c r="M69">
        <v>4</v>
      </c>
      <c r="N69">
        <v>0</v>
      </c>
      <c r="O69">
        <v>4</v>
      </c>
      <c r="P69">
        <v>0</v>
      </c>
      <c r="Q69">
        <v>118274</v>
      </c>
      <c r="R69">
        <v>118274</v>
      </c>
      <c r="S69">
        <v>28405</v>
      </c>
      <c r="T69">
        <v>0</v>
      </c>
      <c r="U69">
        <v>0</v>
      </c>
      <c r="V69">
        <v>21</v>
      </c>
      <c r="W69">
        <v>83</v>
      </c>
      <c r="X69">
        <v>4</v>
      </c>
      <c r="Y69">
        <v>30</v>
      </c>
      <c r="Z69" t="b">
        <v>0</v>
      </c>
      <c r="AA69" t="b">
        <v>1</v>
      </c>
      <c r="AB69">
        <v>8</v>
      </c>
      <c r="AC69">
        <v>479592.6875</v>
      </c>
      <c r="AD69">
        <v>497082.625</v>
      </c>
      <c r="AE69">
        <v>976675.3125</v>
      </c>
      <c r="AJ69" t="s">
        <v>268</v>
      </c>
      <c r="AK69">
        <v>0</v>
      </c>
      <c r="AL69">
        <v>9</v>
      </c>
      <c r="AM69">
        <v>14</v>
      </c>
      <c r="AN69">
        <v>26</v>
      </c>
      <c r="AO69">
        <v>2</v>
      </c>
      <c r="AP69">
        <v>31</v>
      </c>
      <c r="AQ69">
        <v>11</v>
      </c>
      <c r="AR69">
        <v>1</v>
      </c>
      <c r="AS69">
        <v>6</v>
      </c>
      <c r="AT69" t="b">
        <v>1</v>
      </c>
      <c r="AU69">
        <v>4</v>
      </c>
      <c r="AV69">
        <v>4</v>
      </c>
      <c r="AW69">
        <v>3</v>
      </c>
      <c r="AX69" t="b">
        <v>0</v>
      </c>
      <c r="AY69" t="b">
        <v>0</v>
      </c>
      <c r="AZ69" t="b">
        <v>1</v>
      </c>
      <c r="BA69" t="b">
        <v>1</v>
      </c>
      <c r="BB69" t="s">
        <v>268</v>
      </c>
      <c r="BC69" t="s">
        <v>268</v>
      </c>
      <c r="BD69" t="s">
        <v>268</v>
      </c>
      <c r="BE69" t="s">
        <v>1307</v>
      </c>
      <c r="BF69" t="s">
        <v>1308</v>
      </c>
      <c r="BG69" t="s">
        <v>1309</v>
      </c>
      <c r="BH69" t="s">
        <v>1310</v>
      </c>
      <c r="BI69" t="s">
        <v>1344</v>
      </c>
      <c r="BJ69" t="b">
        <v>1</v>
      </c>
      <c r="BK69" t="b">
        <v>1</v>
      </c>
      <c r="BL69" t="b">
        <v>1</v>
      </c>
      <c r="BM69" t="b">
        <v>0</v>
      </c>
      <c r="BN69" t="b">
        <v>0</v>
      </c>
      <c r="BO69" t="b">
        <v>0</v>
      </c>
      <c r="BP69">
        <v>2</v>
      </c>
      <c r="BR69">
        <v>1</v>
      </c>
      <c r="BS69">
        <v>1</v>
      </c>
      <c r="BT69" t="b">
        <v>1</v>
      </c>
      <c r="BU69">
        <v>0</v>
      </c>
      <c r="BV69">
        <v>54</v>
      </c>
      <c r="BW69">
        <v>8059</v>
      </c>
      <c r="BX69">
        <v>1</v>
      </c>
      <c r="BY69" t="s">
        <v>268</v>
      </c>
      <c r="BZ69" t="s">
        <v>271</v>
      </c>
      <c r="CA69" t="s">
        <v>268</v>
      </c>
      <c r="CB69" t="s">
        <v>268</v>
      </c>
      <c r="CC69" t="s">
        <v>1312</v>
      </c>
      <c r="CD69" t="s">
        <v>1313</v>
      </c>
      <c r="CE69" t="s">
        <v>1330</v>
      </c>
      <c r="CF69" t="s">
        <v>1315</v>
      </c>
      <c r="CG69" t="str">
        <f t="shared" si="5"/>
        <v/>
      </c>
      <c r="CH69" t="str">
        <f t="shared" si="6"/>
        <v/>
      </c>
      <c r="CI69" t="str">
        <f t="shared" si="7"/>
        <v/>
      </c>
      <c r="CJ69" t="str">
        <f t="shared" si="8"/>
        <v/>
      </c>
      <c r="CK69" t="str">
        <f t="shared" si="9"/>
        <v/>
      </c>
    </row>
    <row r="70" spans="1:89">
      <c r="A70">
        <v>14346</v>
      </c>
      <c r="B70" t="s">
        <v>1302</v>
      </c>
      <c r="C70">
        <v>171.58226013183599</v>
      </c>
      <c r="D70" t="s">
        <v>1324</v>
      </c>
      <c r="E70">
        <v>1964</v>
      </c>
      <c r="F70" t="s">
        <v>1375</v>
      </c>
      <c r="G70" t="s">
        <v>167</v>
      </c>
      <c r="H70">
        <v>98501</v>
      </c>
      <c r="I70" t="s">
        <v>1317</v>
      </c>
      <c r="K70" t="s">
        <v>1306</v>
      </c>
      <c r="L70">
        <v>28</v>
      </c>
      <c r="M70">
        <v>4</v>
      </c>
      <c r="N70">
        <v>0</v>
      </c>
      <c r="O70">
        <v>3</v>
      </c>
      <c r="P70">
        <v>0</v>
      </c>
      <c r="Q70">
        <v>28000</v>
      </c>
      <c r="R70">
        <v>28000</v>
      </c>
      <c r="S70">
        <v>3142</v>
      </c>
      <c r="T70">
        <v>0</v>
      </c>
      <c r="U70">
        <v>0</v>
      </c>
      <c r="V70">
        <v>7</v>
      </c>
      <c r="W70">
        <v>17</v>
      </c>
      <c r="X70">
        <v>4</v>
      </c>
      <c r="Y70">
        <v>7</v>
      </c>
      <c r="Z70" t="b">
        <v>0</v>
      </c>
      <c r="AA70" t="b">
        <v>1</v>
      </c>
      <c r="AB70">
        <v>8</v>
      </c>
      <c r="AC70">
        <v>19965.30078125</v>
      </c>
      <c r="AD70">
        <v>138826.453125</v>
      </c>
      <c r="AE70">
        <v>158791.75</v>
      </c>
      <c r="AI70">
        <v>541797.4375</v>
      </c>
      <c r="AJ70" t="s">
        <v>271</v>
      </c>
      <c r="AK70">
        <v>0</v>
      </c>
      <c r="AL70">
        <v>25</v>
      </c>
      <c r="AM70">
        <v>0</v>
      </c>
      <c r="AN70">
        <v>25</v>
      </c>
      <c r="AO70">
        <v>0</v>
      </c>
      <c r="AP70">
        <v>25</v>
      </c>
      <c r="AQ70">
        <v>0</v>
      </c>
      <c r="AR70">
        <v>0</v>
      </c>
      <c r="AS70">
        <v>25</v>
      </c>
      <c r="AT70" t="b">
        <v>1</v>
      </c>
      <c r="AU70">
        <v>2</v>
      </c>
      <c r="AV70">
        <v>2</v>
      </c>
      <c r="AW70">
        <v>1</v>
      </c>
      <c r="AX70" t="b">
        <v>0</v>
      </c>
      <c r="AY70" t="b">
        <v>0</v>
      </c>
      <c r="AZ70" t="b">
        <v>0</v>
      </c>
      <c r="BA70" t="b">
        <v>0</v>
      </c>
      <c r="BB70" t="s">
        <v>268</v>
      </c>
      <c r="BC70" t="s">
        <v>268</v>
      </c>
      <c r="BD70" t="s">
        <v>268</v>
      </c>
      <c r="BE70" t="s">
        <v>1307</v>
      </c>
      <c r="BF70" t="s">
        <v>1308</v>
      </c>
      <c r="BG70" t="s">
        <v>1309</v>
      </c>
      <c r="BH70" t="s">
        <v>1310</v>
      </c>
      <c r="BI70" t="s">
        <v>1322</v>
      </c>
      <c r="BJ70" t="b">
        <v>0</v>
      </c>
      <c r="BK70" t="b">
        <v>1</v>
      </c>
      <c r="BL70" t="b">
        <v>0</v>
      </c>
      <c r="BM70" t="b">
        <v>0</v>
      </c>
      <c r="BN70" t="b">
        <v>0</v>
      </c>
      <c r="BO70" t="b">
        <v>0</v>
      </c>
      <c r="BP70">
        <v>1</v>
      </c>
      <c r="BQ70">
        <v>1</v>
      </c>
      <c r="BR70">
        <v>0</v>
      </c>
      <c r="BS70">
        <v>0</v>
      </c>
      <c r="BT70" t="b">
        <v>1</v>
      </c>
      <c r="BV70">
        <v>28</v>
      </c>
      <c r="BW70">
        <v>11900</v>
      </c>
      <c r="BX70">
        <v>0</v>
      </c>
      <c r="BY70" t="s">
        <v>268</v>
      </c>
      <c r="BZ70" t="s">
        <v>268</v>
      </c>
      <c r="CA70" t="s">
        <v>268</v>
      </c>
      <c r="CB70" t="s">
        <v>271</v>
      </c>
      <c r="CC70" t="s">
        <v>1319</v>
      </c>
      <c r="CD70" t="s">
        <v>1313</v>
      </c>
      <c r="CE70" t="s">
        <v>1356</v>
      </c>
      <c r="CF70" t="s">
        <v>1315</v>
      </c>
      <c r="CG70">
        <f t="shared" si="5"/>
        <v>171.58226013183599</v>
      </c>
      <c r="CH70">
        <f t="shared" si="6"/>
        <v>28000</v>
      </c>
      <c r="CI70">
        <f t="shared" si="7"/>
        <v>4</v>
      </c>
      <c r="CJ70">
        <f t="shared" si="8"/>
        <v>4804303.2836914081</v>
      </c>
      <c r="CK70">
        <f t="shared" si="9"/>
        <v>686.32904052734398</v>
      </c>
    </row>
    <row r="71" spans="1:89">
      <c r="A71">
        <v>14507</v>
      </c>
      <c r="B71" t="s">
        <v>1302</v>
      </c>
      <c r="C71">
        <v>412.14782714843801</v>
      </c>
      <c r="D71" t="s">
        <v>1334</v>
      </c>
      <c r="E71">
        <v>1978</v>
      </c>
      <c r="F71" t="s">
        <v>1366</v>
      </c>
      <c r="G71" t="s">
        <v>167</v>
      </c>
      <c r="H71">
        <v>98026</v>
      </c>
      <c r="I71" t="s">
        <v>1329</v>
      </c>
      <c r="K71" t="s">
        <v>1306</v>
      </c>
      <c r="L71">
        <v>5</v>
      </c>
      <c r="M71">
        <v>2</v>
      </c>
      <c r="N71">
        <v>0</v>
      </c>
      <c r="O71">
        <v>2</v>
      </c>
      <c r="P71">
        <v>0</v>
      </c>
      <c r="Q71">
        <v>5243</v>
      </c>
      <c r="R71">
        <v>5243</v>
      </c>
      <c r="S71">
        <v>0</v>
      </c>
      <c r="T71">
        <v>0</v>
      </c>
      <c r="U71">
        <v>1</v>
      </c>
      <c r="V71">
        <v>4</v>
      </c>
      <c r="W71">
        <v>0</v>
      </c>
      <c r="X71">
        <v>0</v>
      </c>
      <c r="Y71">
        <v>0</v>
      </c>
      <c r="Z71" t="b">
        <v>0</v>
      </c>
      <c r="AA71" t="b">
        <v>0</v>
      </c>
      <c r="AB71">
        <v>8</v>
      </c>
      <c r="AD71">
        <v>55611.02734375</v>
      </c>
      <c r="AE71">
        <v>55611.02734375</v>
      </c>
      <c r="AI71">
        <v>189744.828125</v>
      </c>
      <c r="AJ71" t="s">
        <v>268</v>
      </c>
      <c r="AK71">
        <v>0</v>
      </c>
      <c r="AL71">
        <v>9</v>
      </c>
      <c r="AM71">
        <v>0</v>
      </c>
      <c r="AN71">
        <v>23</v>
      </c>
      <c r="AO71">
        <v>0</v>
      </c>
      <c r="AP71">
        <v>62</v>
      </c>
      <c r="AQ71">
        <v>0</v>
      </c>
      <c r="AR71">
        <v>0</v>
      </c>
      <c r="AS71">
        <v>7</v>
      </c>
      <c r="AT71" t="b">
        <v>1</v>
      </c>
      <c r="AU71">
        <v>1</v>
      </c>
      <c r="AV71">
        <v>1</v>
      </c>
      <c r="AW71">
        <v>0</v>
      </c>
      <c r="AX71" t="b">
        <v>0</v>
      </c>
      <c r="AY71" t="b">
        <v>0</v>
      </c>
      <c r="AZ71" t="b">
        <v>0</v>
      </c>
      <c r="BA71" t="b">
        <v>0</v>
      </c>
      <c r="BB71" t="s">
        <v>268</v>
      </c>
      <c r="BC71" t="s">
        <v>268</v>
      </c>
      <c r="BD71" t="s">
        <v>268</v>
      </c>
      <c r="BE71" t="s">
        <v>1307</v>
      </c>
      <c r="BF71" t="s">
        <v>1308</v>
      </c>
      <c r="BG71" t="s">
        <v>1309</v>
      </c>
      <c r="BH71" t="s">
        <v>1310</v>
      </c>
      <c r="BI71" t="s">
        <v>1311</v>
      </c>
      <c r="BJ71" t="b">
        <v>0</v>
      </c>
      <c r="BK71" t="b">
        <v>1</v>
      </c>
      <c r="BL71" t="b">
        <v>0</v>
      </c>
      <c r="BM71" t="b">
        <v>0</v>
      </c>
      <c r="BN71" t="b">
        <v>0</v>
      </c>
      <c r="BO71" t="b">
        <v>0</v>
      </c>
      <c r="BP71">
        <v>1</v>
      </c>
      <c r="BQ71">
        <v>6</v>
      </c>
      <c r="BR71">
        <v>0</v>
      </c>
      <c r="BS71">
        <v>0</v>
      </c>
      <c r="BT71" t="b">
        <v>1</v>
      </c>
      <c r="BU71">
        <v>0</v>
      </c>
      <c r="BV71">
        <v>10</v>
      </c>
      <c r="BW71">
        <v>3293</v>
      </c>
      <c r="BX71">
        <v>1</v>
      </c>
      <c r="BY71" t="s">
        <v>268</v>
      </c>
      <c r="BZ71" t="s">
        <v>271</v>
      </c>
      <c r="CA71" t="s">
        <v>268</v>
      </c>
      <c r="CB71" t="s">
        <v>271</v>
      </c>
      <c r="CC71" t="s">
        <v>1319</v>
      </c>
      <c r="CD71" t="s">
        <v>1313</v>
      </c>
      <c r="CE71" t="s">
        <v>1314</v>
      </c>
      <c r="CF71" t="s">
        <v>1315</v>
      </c>
      <c r="CG71">
        <f t="shared" si="5"/>
        <v>412.14782714843801</v>
      </c>
      <c r="CH71">
        <f t="shared" si="6"/>
        <v>5243</v>
      </c>
      <c r="CI71">
        <f t="shared" si="7"/>
        <v>2</v>
      </c>
      <c r="CJ71">
        <f t="shared" si="8"/>
        <v>2160891.0577392606</v>
      </c>
      <c r="CK71">
        <f t="shared" si="9"/>
        <v>824.29565429687602</v>
      </c>
    </row>
    <row r="72" spans="1:89">
      <c r="A72">
        <v>14613</v>
      </c>
      <c r="B72" t="s">
        <v>1302</v>
      </c>
      <c r="C72">
        <v>99.650344848632798</v>
      </c>
      <c r="D72" t="s">
        <v>1340</v>
      </c>
      <c r="E72">
        <v>2000</v>
      </c>
      <c r="F72" t="s">
        <v>1325</v>
      </c>
      <c r="G72" t="s">
        <v>168</v>
      </c>
      <c r="H72">
        <v>97408</v>
      </c>
      <c r="I72" t="s">
        <v>1326</v>
      </c>
      <c r="J72" t="s">
        <v>1358</v>
      </c>
      <c r="K72" t="s">
        <v>1306</v>
      </c>
      <c r="L72">
        <v>18</v>
      </c>
      <c r="M72">
        <v>3</v>
      </c>
      <c r="N72">
        <v>0</v>
      </c>
      <c r="O72">
        <v>3</v>
      </c>
      <c r="P72">
        <v>0</v>
      </c>
      <c r="Q72">
        <v>16062</v>
      </c>
      <c r="R72">
        <v>16062</v>
      </c>
      <c r="S72">
        <v>0</v>
      </c>
      <c r="T72">
        <v>0</v>
      </c>
      <c r="U72">
        <v>0</v>
      </c>
      <c r="V72">
        <v>15</v>
      </c>
      <c r="W72">
        <v>3</v>
      </c>
      <c r="X72">
        <v>0</v>
      </c>
      <c r="Y72">
        <v>0</v>
      </c>
      <c r="Z72" t="b">
        <v>0</v>
      </c>
      <c r="AA72" t="b">
        <v>0</v>
      </c>
      <c r="AB72">
        <v>7.5</v>
      </c>
      <c r="AH72">
        <v>958.74322509765602</v>
      </c>
      <c r="AJ72" t="s">
        <v>268</v>
      </c>
      <c r="AK72">
        <v>0</v>
      </c>
      <c r="AL72">
        <v>34</v>
      </c>
      <c r="AM72">
        <v>0</v>
      </c>
      <c r="AN72">
        <v>2</v>
      </c>
      <c r="AO72">
        <v>0</v>
      </c>
      <c r="AP72">
        <v>2</v>
      </c>
      <c r="AQ72">
        <v>0</v>
      </c>
      <c r="AR72">
        <v>0</v>
      </c>
      <c r="AS72">
        <v>62</v>
      </c>
      <c r="AT72" t="b">
        <v>1</v>
      </c>
      <c r="AU72">
        <v>0</v>
      </c>
      <c r="AV72">
        <v>0</v>
      </c>
      <c r="AW72">
        <v>0</v>
      </c>
      <c r="AX72" t="b">
        <v>0</v>
      </c>
      <c r="AY72" t="b">
        <v>0</v>
      </c>
      <c r="AZ72" t="b">
        <v>0</v>
      </c>
      <c r="BA72" t="b">
        <v>0</v>
      </c>
      <c r="BB72" t="s">
        <v>268</v>
      </c>
      <c r="BC72" t="s">
        <v>268</v>
      </c>
      <c r="BD72" t="s">
        <v>268</v>
      </c>
      <c r="BE72" t="s">
        <v>1307</v>
      </c>
      <c r="BF72" t="s">
        <v>1308</v>
      </c>
      <c r="BG72" t="s">
        <v>1309</v>
      </c>
      <c r="BH72" t="s">
        <v>1336</v>
      </c>
      <c r="BI72" t="s">
        <v>1311</v>
      </c>
      <c r="BJ72" t="b">
        <v>1</v>
      </c>
      <c r="BK72" t="b">
        <v>1</v>
      </c>
      <c r="BL72" t="b">
        <v>1</v>
      </c>
      <c r="BM72" t="b">
        <v>0</v>
      </c>
      <c r="BN72" t="b">
        <v>0</v>
      </c>
      <c r="BO72" t="b">
        <v>0</v>
      </c>
      <c r="BP72">
        <v>45</v>
      </c>
      <c r="BQ72">
        <v>209</v>
      </c>
      <c r="BR72">
        <v>1</v>
      </c>
      <c r="BS72">
        <v>1</v>
      </c>
      <c r="BT72" t="b">
        <v>1</v>
      </c>
      <c r="BU72">
        <v>0</v>
      </c>
      <c r="BV72">
        <v>32</v>
      </c>
      <c r="BW72">
        <v>2095</v>
      </c>
      <c r="BX72">
        <v>1</v>
      </c>
      <c r="BY72" t="s">
        <v>271</v>
      </c>
      <c r="BZ72" t="s">
        <v>268</v>
      </c>
      <c r="CA72" t="s">
        <v>271</v>
      </c>
      <c r="CB72" t="s">
        <v>271</v>
      </c>
      <c r="CC72" t="s">
        <v>1312</v>
      </c>
      <c r="CD72" t="s">
        <v>1313</v>
      </c>
      <c r="CE72" t="s">
        <v>1314</v>
      </c>
      <c r="CF72" t="s">
        <v>1315</v>
      </c>
      <c r="CG72">
        <f t="shared" si="5"/>
        <v>99.650344848632798</v>
      </c>
      <c r="CH72">
        <f t="shared" si="6"/>
        <v>16062</v>
      </c>
      <c r="CI72">
        <f t="shared" si="7"/>
        <v>3</v>
      </c>
      <c r="CJ72">
        <f t="shared" si="8"/>
        <v>1600583.83895874</v>
      </c>
      <c r="CK72">
        <f t="shared" si="9"/>
        <v>298.95103454589838</v>
      </c>
    </row>
    <row r="73" spans="1:89">
      <c r="A73">
        <v>14614</v>
      </c>
      <c r="B73" t="s">
        <v>1302</v>
      </c>
      <c r="C73">
        <v>320.28689575195301</v>
      </c>
      <c r="D73" t="s">
        <v>1334</v>
      </c>
      <c r="E73">
        <v>1974</v>
      </c>
      <c r="F73" t="s">
        <v>1384</v>
      </c>
      <c r="G73" t="s">
        <v>167</v>
      </c>
      <c r="H73">
        <v>98003</v>
      </c>
      <c r="I73" t="s">
        <v>1317</v>
      </c>
      <c r="K73" t="s">
        <v>1306</v>
      </c>
      <c r="L73">
        <v>15</v>
      </c>
      <c r="M73">
        <v>3</v>
      </c>
      <c r="N73">
        <v>0</v>
      </c>
      <c r="O73">
        <v>3</v>
      </c>
      <c r="P73">
        <v>0</v>
      </c>
      <c r="Q73">
        <v>13227</v>
      </c>
      <c r="R73">
        <v>13227</v>
      </c>
      <c r="S73">
        <v>5352</v>
      </c>
      <c r="T73">
        <v>0</v>
      </c>
      <c r="U73">
        <v>0</v>
      </c>
      <c r="V73">
        <v>0</v>
      </c>
      <c r="W73">
        <v>15</v>
      </c>
      <c r="X73">
        <v>0</v>
      </c>
      <c r="Y73">
        <v>0</v>
      </c>
      <c r="Z73" t="b">
        <v>0</v>
      </c>
      <c r="AA73" t="b">
        <v>1</v>
      </c>
      <c r="AB73">
        <v>8</v>
      </c>
      <c r="AC73">
        <v>105733.703125</v>
      </c>
      <c r="AD73">
        <v>81992.8203125</v>
      </c>
      <c r="AE73">
        <v>187726.53125</v>
      </c>
      <c r="AI73">
        <v>640522.9375</v>
      </c>
      <c r="AJ73" t="s">
        <v>268</v>
      </c>
      <c r="AK73">
        <v>0</v>
      </c>
      <c r="AL73">
        <v>36</v>
      </c>
      <c r="AM73">
        <v>0</v>
      </c>
      <c r="AN73">
        <v>0</v>
      </c>
      <c r="AO73">
        <v>0</v>
      </c>
      <c r="AP73">
        <v>3</v>
      </c>
      <c r="AQ73">
        <v>0</v>
      </c>
      <c r="AR73">
        <v>0</v>
      </c>
      <c r="AS73">
        <v>61</v>
      </c>
      <c r="AT73" t="b">
        <v>1</v>
      </c>
      <c r="AU73">
        <v>10</v>
      </c>
      <c r="AV73">
        <v>10</v>
      </c>
      <c r="AW73">
        <v>0</v>
      </c>
      <c r="AX73" t="b">
        <v>0</v>
      </c>
      <c r="AY73" t="b">
        <v>0</v>
      </c>
      <c r="AZ73" t="b">
        <v>1</v>
      </c>
      <c r="BA73" t="b">
        <v>0</v>
      </c>
      <c r="BB73" t="s">
        <v>268</v>
      </c>
      <c r="BC73" t="s">
        <v>268</v>
      </c>
      <c r="BE73" t="s">
        <v>1307</v>
      </c>
      <c r="BF73" t="s">
        <v>1308</v>
      </c>
      <c r="BG73" t="s">
        <v>1309</v>
      </c>
      <c r="BH73" t="s">
        <v>1310</v>
      </c>
      <c r="BI73" t="s">
        <v>1322</v>
      </c>
      <c r="BJ73" t="b">
        <v>0</v>
      </c>
      <c r="BK73" t="b">
        <v>1</v>
      </c>
      <c r="BL73" t="b">
        <v>0</v>
      </c>
      <c r="BM73" t="b">
        <v>0</v>
      </c>
      <c r="BN73" t="b">
        <v>0</v>
      </c>
      <c r="BO73" t="b">
        <v>0</v>
      </c>
      <c r="BP73">
        <v>1</v>
      </c>
      <c r="BQ73">
        <v>16</v>
      </c>
      <c r="BR73">
        <v>0</v>
      </c>
      <c r="BS73">
        <v>0</v>
      </c>
      <c r="BT73" t="b">
        <v>1</v>
      </c>
      <c r="BU73">
        <v>0</v>
      </c>
      <c r="BV73">
        <v>22</v>
      </c>
      <c r="BW73">
        <v>9350</v>
      </c>
      <c r="BX73">
        <v>0</v>
      </c>
      <c r="BY73" t="s">
        <v>268</v>
      </c>
      <c r="BZ73" t="s">
        <v>268</v>
      </c>
      <c r="CA73" t="s">
        <v>268</v>
      </c>
      <c r="CB73" t="s">
        <v>271</v>
      </c>
      <c r="CC73" t="s">
        <v>1312</v>
      </c>
      <c r="CD73" t="s">
        <v>1313</v>
      </c>
      <c r="CE73" t="s">
        <v>1357</v>
      </c>
      <c r="CF73" t="s">
        <v>1315</v>
      </c>
      <c r="CG73">
        <f t="shared" si="5"/>
        <v>320.28689575195301</v>
      </c>
      <c r="CH73">
        <f t="shared" si="6"/>
        <v>13227</v>
      </c>
      <c r="CI73">
        <f t="shared" si="7"/>
        <v>3</v>
      </c>
      <c r="CJ73">
        <f t="shared" si="8"/>
        <v>4236434.7701110821</v>
      </c>
      <c r="CK73">
        <f t="shared" si="9"/>
        <v>960.86068725585903</v>
      </c>
    </row>
    <row r="74" spans="1:89">
      <c r="A74">
        <v>20021</v>
      </c>
      <c r="B74" t="s">
        <v>1371</v>
      </c>
      <c r="C74">
        <v>61.841342926025398</v>
      </c>
      <c r="D74" t="s">
        <v>1340</v>
      </c>
      <c r="E74">
        <v>1994</v>
      </c>
      <c r="F74" t="s">
        <v>1385</v>
      </c>
      <c r="G74" t="s">
        <v>168</v>
      </c>
      <c r="H74">
        <v>97201</v>
      </c>
      <c r="I74" t="s">
        <v>1386</v>
      </c>
      <c r="J74" t="s">
        <v>1358</v>
      </c>
      <c r="K74" t="s">
        <v>1306</v>
      </c>
      <c r="L74">
        <v>122</v>
      </c>
      <c r="M74">
        <v>9.5</v>
      </c>
      <c r="N74">
        <v>0.5</v>
      </c>
      <c r="O74">
        <v>10</v>
      </c>
      <c r="P74">
        <v>0</v>
      </c>
      <c r="Q74">
        <v>90920</v>
      </c>
      <c r="R74">
        <v>87439</v>
      </c>
      <c r="S74">
        <v>13425</v>
      </c>
      <c r="T74">
        <v>0</v>
      </c>
      <c r="U74">
        <v>0</v>
      </c>
      <c r="V74">
        <v>8</v>
      </c>
      <c r="W74">
        <v>49</v>
      </c>
      <c r="X74">
        <v>65</v>
      </c>
      <c r="Y74">
        <v>5</v>
      </c>
      <c r="Z74" t="b">
        <v>1</v>
      </c>
      <c r="AA74" t="b">
        <v>1</v>
      </c>
      <c r="AB74">
        <v>7.5</v>
      </c>
      <c r="AC74">
        <v>373563.6875</v>
      </c>
      <c r="AD74">
        <v>363661.75</v>
      </c>
      <c r="AE74">
        <v>737225.4375</v>
      </c>
      <c r="AH74">
        <v>19884.43359375</v>
      </c>
      <c r="AI74">
        <v>4503856.5</v>
      </c>
      <c r="AJ74" t="s">
        <v>271</v>
      </c>
      <c r="AK74">
        <v>3441</v>
      </c>
      <c r="AL74">
        <v>28</v>
      </c>
      <c r="AM74">
        <v>0</v>
      </c>
      <c r="AN74">
        <v>24</v>
      </c>
      <c r="AO74">
        <v>0</v>
      </c>
      <c r="AP74">
        <v>18</v>
      </c>
      <c r="AQ74">
        <v>0</v>
      </c>
      <c r="AR74">
        <v>0</v>
      </c>
      <c r="AS74">
        <v>30</v>
      </c>
      <c r="AT74" t="b">
        <v>1</v>
      </c>
      <c r="AU74">
        <v>8</v>
      </c>
      <c r="AV74">
        <v>12</v>
      </c>
      <c r="AW74">
        <v>2</v>
      </c>
      <c r="AX74" t="b">
        <v>0</v>
      </c>
      <c r="AY74" t="b">
        <v>0</v>
      </c>
      <c r="AZ74" t="b">
        <v>1</v>
      </c>
      <c r="BA74" t="b">
        <v>1</v>
      </c>
      <c r="BB74" t="s">
        <v>268</v>
      </c>
      <c r="BC74" t="s">
        <v>271</v>
      </c>
      <c r="BD74" t="s">
        <v>268</v>
      </c>
      <c r="BE74" t="s">
        <v>1307</v>
      </c>
      <c r="BF74" t="s">
        <v>1308</v>
      </c>
      <c r="BG74" t="s">
        <v>1309</v>
      </c>
      <c r="BH74" t="s">
        <v>1310</v>
      </c>
      <c r="BI74" t="s">
        <v>1344</v>
      </c>
      <c r="BJ74" t="b">
        <v>1</v>
      </c>
      <c r="BK74" t="b">
        <v>1</v>
      </c>
      <c r="BL74" t="b">
        <v>1</v>
      </c>
      <c r="BM74" t="b">
        <v>0</v>
      </c>
      <c r="BN74" t="b">
        <v>0</v>
      </c>
      <c r="BO74" t="b">
        <v>0</v>
      </c>
      <c r="BP74">
        <v>5</v>
      </c>
      <c r="BQ74">
        <v>126</v>
      </c>
      <c r="BR74">
        <v>1</v>
      </c>
      <c r="BS74">
        <v>1</v>
      </c>
      <c r="BT74" t="b">
        <v>1</v>
      </c>
      <c r="BU74">
        <v>10</v>
      </c>
      <c r="BV74">
        <v>39</v>
      </c>
      <c r="BW74">
        <v>12544</v>
      </c>
      <c r="BX74">
        <v>1</v>
      </c>
      <c r="BY74" t="s">
        <v>271</v>
      </c>
      <c r="BZ74" t="s">
        <v>268</v>
      </c>
      <c r="CA74" t="s">
        <v>268</v>
      </c>
      <c r="CB74" t="s">
        <v>268</v>
      </c>
      <c r="CC74" t="s">
        <v>1387</v>
      </c>
      <c r="CD74" t="s">
        <v>1373</v>
      </c>
      <c r="CE74" t="s">
        <v>1333</v>
      </c>
      <c r="CF74" t="s">
        <v>1374</v>
      </c>
      <c r="CG74" t="str">
        <f t="shared" si="5"/>
        <v/>
      </c>
      <c r="CH74" t="str">
        <f t="shared" si="6"/>
        <v/>
      </c>
      <c r="CI74" t="str">
        <f t="shared" si="7"/>
        <v/>
      </c>
      <c r="CJ74" t="str">
        <f t="shared" si="8"/>
        <v/>
      </c>
      <c r="CK74" t="str">
        <f t="shared" si="9"/>
        <v/>
      </c>
    </row>
    <row r="75" spans="1:89">
      <c r="A75">
        <v>20101</v>
      </c>
      <c r="B75" t="s">
        <v>1302</v>
      </c>
      <c r="C75">
        <v>167.65873718261699</v>
      </c>
      <c r="D75" t="s">
        <v>1334</v>
      </c>
      <c r="E75">
        <v>1971</v>
      </c>
      <c r="F75" t="s">
        <v>1388</v>
      </c>
      <c r="G75" t="s">
        <v>168</v>
      </c>
      <c r="H75">
        <v>97365</v>
      </c>
      <c r="I75" t="s">
        <v>1389</v>
      </c>
      <c r="J75" t="s">
        <v>1358</v>
      </c>
      <c r="K75" t="s">
        <v>1306</v>
      </c>
      <c r="L75">
        <v>45</v>
      </c>
      <c r="M75">
        <v>2</v>
      </c>
      <c r="N75">
        <v>0</v>
      </c>
      <c r="O75">
        <v>2</v>
      </c>
      <c r="P75">
        <v>0</v>
      </c>
      <c r="Q75">
        <v>30000</v>
      </c>
      <c r="R75">
        <v>30000</v>
      </c>
      <c r="S75">
        <v>5235</v>
      </c>
      <c r="T75">
        <v>0</v>
      </c>
      <c r="U75">
        <v>0</v>
      </c>
      <c r="V75">
        <v>6</v>
      </c>
      <c r="W75">
        <v>20</v>
      </c>
      <c r="X75">
        <v>19</v>
      </c>
      <c r="Y75">
        <v>2</v>
      </c>
      <c r="Z75" t="b">
        <v>0</v>
      </c>
      <c r="AA75" t="b">
        <v>1</v>
      </c>
      <c r="AB75">
        <v>8</v>
      </c>
      <c r="AE75">
        <v>254189.859375</v>
      </c>
      <c r="AH75">
        <v>4098.568359375</v>
      </c>
      <c r="AI75">
        <v>1277152.625</v>
      </c>
      <c r="AK75">
        <v>0</v>
      </c>
      <c r="AL75">
        <v>34</v>
      </c>
      <c r="AM75">
        <v>0</v>
      </c>
      <c r="AN75">
        <v>10</v>
      </c>
      <c r="AO75">
        <v>0</v>
      </c>
      <c r="AP75">
        <v>26</v>
      </c>
      <c r="AQ75">
        <v>0</v>
      </c>
      <c r="AR75">
        <v>0</v>
      </c>
      <c r="AS75">
        <v>30</v>
      </c>
      <c r="AT75" t="b">
        <v>0</v>
      </c>
      <c r="AU75">
        <v>4</v>
      </c>
      <c r="AV75">
        <v>4</v>
      </c>
      <c r="AW75">
        <v>0</v>
      </c>
      <c r="AX75" t="b">
        <v>0</v>
      </c>
      <c r="AY75" t="b">
        <v>0</v>
      </c>
      <c r="AZ75" t="b">
        <v>1</v>
      </c>
      <c r="BA75" t="b">
        <v>0</v>
      </c>
      <c r="BB75" t="s">
        <v>268</v>
      </c>
      <c r="BC75" t="s">
        <v>268</v>
      </c>
      <c r="BD75" t="s">
        <v>268</v>
      </c>
      <c r="BE75" t="s">
        <v>1307</v>
      </c>
      <c r="BF75" t="s">
        <v>1308</v>
      </c>
      <c r="BG75" t="s">
        <v>1309</v>
      </c>
      <c r="BH75" t="s">
        <v>1310</v>
      </c>
      <c r="BI75" t="s">
        <v>1344</v>
      </c>
      <c r="BJ75" t="b">
        <v>1</v>
      </c>
      <c r="BK75" t="b">
        <v>1</v>
      </c>
      <c r="BL75" t="b">
        <v>1</v>
      </c>
      <c r="BM75" t="b">
        <v>0</v>
      </c>
      <c r="BN75" t="b">
        <v>0</v>
      </c>
      <c r="BO75" t="b">
        <v>0</v>
      </c>
      <c r="BP75">
        <v>1</v>
      </c>
      <c r="BQ75">
        <v>1</v>
      </c>
      <c r="BR75">
        <v>1</v>
      </c>
      <c r="BS75">
        <v>1</v>
      </c>
      <c r="BT75" t="b">
        <v>1</v>
      </c>
      <c r="BV75">
        <v>66</v>
      </c>
      <c r="BW75">
        <v>28050</v>
      </c>
      <c r="BX75">
        <v>0</v>
      </c>
      <c r="BY75" t="s">
        <v>268</v>
      </c>
      <c r="BZ75" t="s">
        <v>268</v>
      </c>
      <c r="CA75" t="s">
        <v>268</v>
      </c>
      <c r="CB75" t="s">
        <v>271</v>
      </c>
      <c r="CC75" t="s">
        <v>1312</v>
      </c>
      <c r="CD75" t="s">
        <v>1313</v>
      </c>
      <c r="CE75" t="s">
        <v>1314</v>
      </c>
      <c r="CF75" t="s">
        <v>1315</v>
      </c>
      <c r="CG75">
        <f t="shared" si="5"/>
        <v>167.65873718261699</v>
      </c>
      <c r="CH75">
        <f t="shared" si="6"/>
        <v>30000</v>
      </c>
      <c r="CI75">
        <f t="shared" si="7"/>
        <v>2</v>
      </c>
      <c r="CJ75">
        <f t="shared" si="8"/>
        <v>5029762.11547851</v>
      </c>
      <c r="CK75">
        <f t="shared" si="9"/>
        <v>335.31747436523398</v>
      </c>
    </row>
    <row r="76" spans="1:89">
      <c r="A76">
        <v>20119</v>
      </c>
      <c r="B76" t="s">
        <v>1302</v>
      </c>
      <c r="C76">
        <v>116.07144165039099</v>
      </c>
      <c r="D76" t="s">
        <v>1338</v>
      </c>
      <c r="E76">
        <v>2005</v>
      </c>
      <c r="F76" t="s">
        <v>1390</v>
      </c>
      <c r="G76" t="s">
        <v>167</v>
      </c>
      <c r="H76">
        <v>98662</v>
      </c>
      <c r="I76" t="s">
        <v>1391</v>
      </c>
      <c r="J76" t="s">
        <v>1358</v>
      </c>
      <c r="K76" t="s">
        <v>1306</v>
      </c>
      <c r="L76">
        <v>65</v>
      </c>
      <c r="M76">
        <v>3</v>
      </c>
      <c r="N76">
        <v>0</v>
      </c>
      <c r="O76">
        <v>3</v>
      </c>
      <c r="P76">
        <v>0</v>
      </c>
      <c r="Q76">
        <v>54425</v>
      </c>
      <c r="R76">
        <v>54425</v>
      </c>
      <c r="S76">
        <v>15015</v>
      </c>
      <c r="T76">
        <v>0</v>
      </c>
      <c r="U76">
        <v>0</v>
      </c>
      <c r="V76">
        <v>1</v>
      </c>
      <c r="W76">
        <v>64</v>
      </c>
      <c r="X76">
        <v>0</v>
      </c>
      <c r="Y76">
        <v>0</v>
      </c>
      <c r="Z76" t="b">
        <v>0</v>
      </c>
      <c r="AA76" t="b">
        <v>1</v>
      </c>
      <c r="AB76">
        <v>8</v>
      </c>
      <c r="AC76">
        <v>109469.5</v>
      </c>
      <c r="AD76">
        <v>180237.25</v>
      </c>
      <c r="AE76">
        <v>289706.75</v>
      </c>
      <c r="AH76">
        <v>5457.55517578125</v>
      </c>
      <c r="AI76">
        <v>1534235</v>
      </c>
      <c r="AJ76" t="s">
        <v>268</v>
      </c>
      <c r="AK76">
        <v>0</v>
      </c>
      <c r="AL76">
        <v>16</v>
      </c>
      <c r="AM76">
        <v>10</v>
      </c>
      <c r="AN76">
        <v>16</v>
      </c>
      <c r="AO76">
        <v>16</v>
      </c>
      <c r="AP76">
        <v>8</v>
      </c>
      <c r="AQ76">
        <v>15</v>
      </c>
      <c r="AR76">
        <v>3</v>
      </c>
      <c r="AS76">
        <v>16</v>
      </c>
      <c r="AT76" t="b">
        <v>0</v>
      </c>
      <c r="AU76">
        <v>7</v>
      </c>
      <c r="AV76">
        <v>7</v>
      </c>
      <c r="AW76">
        <v>1</v>
      </c>
      <c r="AX76" t="b">
        <v>0</v>
      </c>
      <c r="AY76" t="b">
        <v>0</v>
      </c>
      <c r="AZ76" t="b">
        <v>1</v>
      </c>
      <c r="BA76" t="b">
        <v>1</v>
      </c>
      <c r="BB76" t="s">
        <v>271</v>
      </c>
      <c r="BC76" t="s">
        <v>268</v>
      </c>
      <c r="BD76" t="s">
        <v>268</v>
      </c>
      <c r="BE76" t="s">
        <v>1307</v>
      </c>
      <c r="BF76" t="s">
        <v>1308</v>
      </c>
      <c r="BG76" t="s">
        <v>1309</v>
      </c>
      <c r="BH76" t="s">
        <v>1336</v>
      </c>
      <c r="BI76" t="s">
        <v>1344</v>
      </c>
      <c r="BJ76" t="b">
        <v>1</v>
      </c>
      <c r="BK76" t="b">
        <v>1</v>
      </c>
      <c r="BL76" t="b">
        <v>1</v>
      </c>
      <c r="BM76" t="b">
        <v>0</v>
      </c>
      <c r="BN76" t="b">
        <v>0</v>
      </c>
      <c r="BO76" t="b">
        <v>0</v>
      </c>
      <c r="BP76">
        <v>1</v>
      </c>
      <c r="BQ76">
        <v>66</v>
      </c>
      <c r="BR76">
        <v>1</v>
      </c>
      <c r="BS76">
        <v>1</v>
      </c>
      <c r="BT76" t="b">
        <v>1</v>
      </c>
      <c r="BV76">
        <v>81</v>
      </c>
      <c r="BW76">
        <v>34425</v>
      </c>
      <c r="BX76">
        <v>0</v>
      </c>
      <c r="BY76" t="s">
        <v>268</v>
      </c>
      <c r="BZ76" t="s">
        <v>268</v>
      </c>
      <c r="CA76" t="s">
        <v>268</v>
      </c>
      <c r="CB76" t="s">
        <v>271</v>
      </c>
      <c r="CC76" t="s">
        <v>1312</v>
      </c>
      <c r="CD76" t="s">
        <v>1313</v>
      </c>
      <c r="CE76" t="s">
        <v>1314</v>
      </c>
      <c r="CF76" t="s">
        <v>1315</v>
      </c>
      <c r="CG76">
        <f t="shared" si="5"/>
        <v>116.07144165039099</v>
      </c>
      <c r="CH76">
        <f t="shared" si="6"/>
        <v>54425</v>
      </c>
      <c r="CI76">
        <f t="shared" si="7"/>
        <v>3</v>
      </c>
      <c r="CJ76">
        <f t="shared" si="8"/>
        <v>6317188.2118225303</v>
      </c>
      <c r="CK76">
        <f t="shared" si="9"/>
        <v>348.21432495117301</v>
      </c>
    </row>
    <row r="77" spans="1:89">
      <c r="A77">
        <v>20165</v>
      </c>
      <c r="B77" t="s">
        <v>1302</v>
      </c>
      <c r="C77">
        <v>628.72027587890602</v>
      </c>
      <c r="D77" t="s">
        <v>1338</v>
      </c>
      <c r="E77">
        <v>2008</v>
      </c>
      <c r="F77" t="s">
        <v>1392</v>
      </c>
      <c r="G77" t="s">
        <v>167</v>
      </c>
      <c r="H77">
        <v>99022</v>
      </c>
      <c r="I77" t="s">
        <v>1393</v>
      </c>
      <c r="K77" t="s">
        <v>1306</v>
      </c>
      <c r="L77">
        <v>12</v>
      </c>
      <c r="M77">
        <v>3</v>
      </c>
      <c r="N77">
        <v>0</v>
      </c>
      <c r="O77">
        <v>3</v>
      </c>
      <c r="P77">
        <v>0</v>
      </c>
      <c r="Q77">
        <v>10146</v>
      </c>
      <c r="R77">
        <v>10146</v>
      </c>
      <c r="S77">
        <v>0</v>
      </c>
      <c r="T77">
        <v>0</v>
      </c>
      <c r="U77">
        <v>0</v>
      </c>
      <c r="V77">
        <v>6</v>
      </c>
      <c r="W77">
        <v>6</v>
      </c>
      <c r="X77">
        <v>0</v>
      </c>
      <c r="Y77">
        <v>16</v>
      </c>
      <c r="Z77" t="b">
        <v>0</v>
      </c>
      <c r="AA77" t="b">
        <v>0</v>
      </c>
      <c r="AB77">
        <v>9</v>
      </c>
      <c r="AJ77" t="s">
        <v>268</v>
      </c>
      <c r="AK77">
        <v>0</v>
      </c>
      <c r="AL77">
        <v>14</v>
      </c>
      <c r="AM77">
        <v>0</v>
      </c>
      <c r="AN77">
        <v>33</v>
      </c>
      <c r="AO77">
        <v>0</v>
      </c>
      <c r="AP77">
        <v>53</v>
      </c>
      <c r="AQ77">
        <v>0</v>
      </c>
      <c r="AR77">
        <v>0</v>
      </c>
      <c r="AS77">
        <v>14</v>
      </c>
      <c r="AT77" t="b">
        <v>1</v>
      </c>
      <c r="AU77">
        <v>0</v>
      </c>
      <c r="AV77">
        <v>0</v>
      </c>
      <c r="AW77">
        <v>0</v>
      </c>
      <c r="AX77" t="b">
        <v>0</v>
      </c>
      <c r="AY77" t="b">
        <v>0</v>
      </c>
      <c r="AZ77" t="b">
        <v>0</v>
      </c>
      <c r="BA77" t="b">
        <v>0</v>
      </c>
      <c r="BB77" t="s">
        <v>268</v>
      </c>
      <c r="BC77" t="s">
        <v>268</v>
      </c>
      <c r="BD77" t="s">
        <v>268</v>
      </c>
      <c r="BE77" t="s">
        <v>1307</v>
      </c>
      <c r="BF77" t="s">
        <v>1308</v>
      </c>
      <c r="BG77" t="s">
        <v>1309</v>
      </c>
      <c r="BH77" t="s">
        <v>1336</v>
      </c>
      <c r="BI77" t="s">
        <v>1311</v>
      </c>
      <c r="BJ77" t="b">
        <v>0</v>
      </c>
      <c r="BK77" t="b">
        <v>1</v>
      </c>
      <c r="BL77" t="b">
        <v>0</v>
      </c>
      <c r="BM77" t="b">
        <v>0</v>
      </c>
      <c r="BN77" t="b">
        <v>0</v>
      </c>
      <c r="BO77" t="b">
        <v>0</v>
      </c>
      <c r="BP77">
        <v>12</v>
      </c>
      <c r="BQ77">
        <v>70</v>
      </c>
      <c r="BR77">
        <v>0</v>
      </c>
      <c r="BS77">
        <v>0</v>
      </c>
      <c r="BT77" t="b">
        <v>1</v>
      </c>
      <c r="BU77">
        <v>0</v>
      </c>
      <c r="BV77">
        <v>20</v>
      </c>
      <c r="BW77">
        <v>8500</v>
      </c>
      <c r="BX77">
        <v>0</v>
      </c>
      <c r="BY77" t="s">
        <v>268</v>
      </c>
      <c r="BZ77" t="s">
        <v>268</v>
      </c>
      <c r="CA77" t="s">
        <v>268</v>
      </c>
      <c r="CB77" t="s">
        <v>271</v>
      </c>
      <c r="CC77" t="s">
        <v>1319</v>
      </c>
      <c r="CD77" t="s">
        <v>1313</v>
      </c>
      <c r="CE77" t="s">
        <v>1327</v>
      </c>
      <c r="CF77" t="s">
        <v>1315</v>
      </c>
      <c r="CG77">
        <f t="shared" si="5"/>
        <v>628.72027587890602</v>
      </c>
      <c r="CH77">
        <f t="shared" si="6"/>
        <v>10146</v>
      </c>
      <c r="CI77">
        <f t="shared" si="7"/>
        <v>3</v>
      </c>
      <c r="CJ77">
        <f t="shared" si="8"/>
        <v>6378995.9190673809</v>
      </c>
      <c r="CK77">
        <f t="shared" si="9"/>
        <v>1886.1608276367181</v>
      </c>
    </row>
    <row r="78" spans="1:89">
      <c r="A78">
        <v>20193</v>
      </c>
      <c r="B78" t="s">
        <v>1302</v>
      </c>
      <c r="C78">
        <v>538.903076171875</v>
      </c>
      <c r="D78" t="s">
        <v>1324</v>
      </c>
      <c r="E78">
        <v>1968</v>
      </c>
      <c r="F78" t="s">
        <v>1394</v>
      </c>
      <c r="G78" t="s">
        <v>168</v>
      </c>
      <c r="H78">
        <v>97223</v>
      </c>
      <c r="I78" t="s">
        <v>1386</v>
      </c>
      <c r="K78" t="s">
        <v>1306</v>
      </c>
      <c r="L78">
        <v>14</v>
      </c>
      <c r="M78">
        <v>2</v>
      </c>
      <c r="N78">
        <v>0</v>
      </c>
      <c r="O78">
        <v>2</v>
      </c>
      <c r="P78">
        <v>0</v>
      </c>
      <c r="Q78">
        <v>12096</v>
      </c>
      <c r="R78">
        <v>12096</v>
      </c>
      <c r="S78">
        <v>243</v>
      </c>
      <c r="T78">
        <v>0</v>
      </c>
      <c r="U78">
        <v>0</v>
      </c>
      <c r="V78">
        <v>12</v>
      </c>
      <c r="W78">
        <v>2</v>
      </c>
      <c r="X78">
        <v>0</v>
      </c>
      <c r="Y78">
        <v>0</v>
      </c>
      <c r="Z78" t="b">
        <v>0</v>
      </c>
      <c r="AA78" t="b">
        <v>1</v>
      </c>
      <c r="AB78">
        <v>8</v>
      </c>
      <c r="AC78">
        <v>14848.0478515625</v>
      </c>
      <c r="AD78">
        <v>133824.703125</v>
      </c>
      <c r="AE78">
        <v>148672.75</v>
      </c>
      <c r="AI78">
        <v>507271.4375</v>
      </c>
      <c r="AJ78" t="s">
        <v>268</v>
      </c>
      <c r="AK78">
        <v>0</v>
      </c>
      <c r="AL78">
        <v>0</v>
      </c>
      <c r="AM78">
        <v>0</v>
      </c>
      <c r="AN78">
        <v>33</v>
      </c>
      <c r="AO78">
        <v>0</v>
      </c>
      <c r="AP78">
        <v>66</v>
      </c>
      <c r="AQ78">
        <v>0</v>
      </c>
      <c r="AR78">
        <v>0</v>
      </c>
      <c r="AS78">
        <v>1</v>
      </c>
      <c r="AT78" t="b">
        <v>1</v>
      </c>
      <c r="AU78">
        <v>2</v>
      </c>
      <c r="AV78">
        <v>2</v>
      </c>
      <c r="AW78">
        <v>0</v>
      </c>
      <c r="AX78" t="b">
        <v>0</v>
      </c>
      <c r="AY78" t="b">
        <v>0</v>
      </c>
      <c r="AZ78" t="b">
        <v>1</v>
      </c>
      <c r="BA78" t="b">
        <v>0</v>
      </c>
      <c r="BD78" t="s">
        <v>268</v>
      </c>
      <c r="BE78" t="s">
        <v>1353</v>
      </c>
      <c r="BF78" t="s">
        <v>1308</v>
      </c>
      <c r="BG78" t="s">
        <v>1309</v>
      </c>
      <c r="BH78" t="s">
        <v>1336</v>
      </c>
      <c r="BI78" t="s">
        <v>1322</v>
      </c>
      <c r="BJ78" t="b">
        <v>0</v>
      </c>
      <c r="BK78" t="b">
        <v>1</v>
      </c>
      <c r="BL78" t="b">
        <v>0</v>
      </c>
      <c r="BM78" t="b">
        <v>0</v>
      </c>
      <c r="BN78" t="b">
        <v>0</v>
      </c>
      <c r="BO78" t="b">
        <v>0</v>
      </c>
      <c r="BP78">
        <v>15</v>
      </c>
      <c r="BQ78">
        <v>15</v>
      </c>
      <c r="BR78">
        <v>0</v>
      </c>
      <c r="BS78">
        <v>0</v>
      </c>
      <c r="BT78" t="b">
        <v>1</v>
      </c>
      <c r="BU78">
        <v>0</v>
      </c>
      <c r="BV78">
        <v>21</v>
      </c>
      <c r="BW78">
        <v>8925</v>
      </c>
      <c r="BX78">
        <v>0</v>
      </c>
      <c r="BY78" t="s">
        <v>268</v>
      </c>
      <c r="BZ78" t="s">
        <v>268</v>
      </c>
      <c r="CA78" t="s">
        <v>268</v>
      </c>
      <c r="CB78" t="s">
        <v>271</v>
      </c>
      <c r="CC78" t="s">
        <v>1312</v>
      </c>
      <c r="CD78" t="s">
        <v>1313</v>
      </c>
      <c r="CE78" t="s">
        <v>1314</v>
      </c>
      <c r="CF78" t="s">
        <v>1315</v>
      </c>
      <c r="CG78">
        <f t="shared" si="5"/>
        <v>538.903076171875</v>
      </c>
      <c r="CH78">
        <f t="shared" si="6"/>
        <v>12096</v>
      </c>
      <c r="CI78">
        <f t="shared" si="7"/>
        <v>2</v>
      </c>
      <c r="CJ78">
        <f t="shared" si="8"/>
        <v>6518571.609375</v>
      </c>
      <c r="CK78">
        <f t="shared" si="9"/>
        <v>1077.80615234375</v>
      </c>
    </row>
    <row r="79" spans="1:89">
      <c r="A79">
        <v>20195</v>
      </c>
      <c r="B79" t="s">
        <v>1331</v>
      </c>
      <c r="C79">
        <v>580.357177734375</v>
      </c>
      <c r="D79" t="s">
        <v>1354</v>
      </c>
      <c r="E79">
        <v>1936</v>
      </c>
      <c r="F79" t="s">
        <v>1395</v>
      </c>
      <c r="G79" t="s">
        <v>168</v>
      </c>
      <c r="H79">
        <v>97301</v>
      </c>
      <c r="I79" t="s">
        <v>1396</v>
      </c>
      <c r="K79" t="s">
        <v>1306</v>
      </c>
      <c r="L79">
        <v>13</v>
      </c>
      <c r="M79">
        <v>1.5</v>
      </c>
      <c r="N79">
        <v>3.5</v>
      </c>
      <c r="O79">
        <v>5</v>
      </c>
      <c r="P79">
        <v>0.5</v>
      </c>
      <c r="Q79">
        <v>51581</v>
      </c>
      <c r="R79">
        <v>15116</v>
      </c>
      <c r="S79">
        <v>1230</v>
      </c>
      <c r="T79">
        <v>0</v>
      </c>
      <c r="U79">
        <v>0</v>
      </c>
      <c r="V79">
        <v>5</v>
      </c>
      <c r="W79">
        <v>2</v>
      </c>
      <c r="X79">
        <v>6</v>
      </c>
      <c r="Y79">
        <v>25</v>
      </c>
      <c r="Z79" t="b">
        <v>1</v>
      </c>
      <c r="AA79" t="b">
        <v>1</v>
      </c>
      <c r="AB79">
        <v>9</v>
      </c>
      <c r="AK79">
        <v>36465</v>
      </c>
      <c r="AL79">
        <v>50</v>
      </c>
      <c r="AM79">
        <v>0</v>
      </c>
      <c r="AN79">
        <v>10</v>
      </c>
      <c r="AO79">
        <v>0</v>
      </c>
      <c r="AP79">
        <v>10</v>
      </c>
      <c r="AQ79">
        <v>0</v>
      </c>
      <c r="AR79">
        <v>0</v>
      </c>
      <c r="AS79">
        <v>30</v>
      </c>
      <c r="AT79" t="b">
        <v>0</v>
      </c>
      <c r="AU79">
        <v>0</v>
      </c>
      <c r="AV79">
        <v>0</v>
      </c>
      <c r="AW79">
        <v>1</v>
      </c>
      <c r="AX79" t="b">
        <v>0</v>
      </c>
      <c r="AY79" t="b">
        <v>0</v>
      </c>
      <c r="AZ79" t="b">
        <v>0</v>
      </c>
      <c r="BA79" t="b">
        <v>0</v>
      </c>
      <c r="BB79" t="s">
        <v>268</v>
      </c>
      <c r="BC79" t="s">
        <v>268</v>
      </c>
      <c r="BD79" t="s">
        <v>268</v>
      </c>
      <c r="BE79" t="s">
        <v>1353</v>
      </c>
      <c r="BF79" t="s">
        <v>1308</v>
      </c>
      <c r="BG79" t="s">
        <v>1309</v>
      </c>
      <c r="BH79" t="s">
        <v>1336</v>
      </c>
      <c r="BI79" t="s">
        <v>1311</v>
      </c>
      <c r="BJ79" t="b">
        <v>0</v>
      </c>
      <c r="BK79" t="b">
        <v>1</v>
      </c>
      <c r="BL79" t="b">
        <v>0</v>
      </c>
      <c r="BM79" t="b">
        <v>0</v>
      </c>
      <c r="BN79" t="b">
        <v>0</v>
      </c>
      <c r="BO79" t="b">
        <v>0</v>
      </c>
      <c r="BP79">
        <v>1</v>
      </c>
      <c r="BQ79">
        <v>28</v>
      </c>
      <c r="BR79">
        <v>0</v>
      </c>
      <c r="BS79">
        <v>0</v>
      </c>
      <c r="BT79" t="b">
        <v>0</v>
      </c>
      <c r="BV79">
        <v>0</v>
      </c>
      <c r="BW79">
        <v>0</v>
      </c>
      <c r="BX79">
        <v>0</v>
      </c>
      <c r="BY79" t="s">
        <v>268</v>
      </c>
      <c r="BZ79" t="s">
        <v>268</v>
      </c>
      <c r="CA79" t="s">
        <v>268</v>
      </c>
      <c r="CB79" t="s">
        <v>268</v>
      </c>
      <c r="CC79" t="s">
        <v>1372</v>
      </c>
      <c r="CD79" t="s">
        <v>1373</v>
      </c>
      <c r="CE79" t="s">
        <v>1397</v>
      </c>
      <c r="CF79" t="s">
        <v>1374</v>
      </c>
      <c r="CG79" t="str">
        <f t="shared" si="5"/>
        <v/>
      </c>
      <c r="CH79" t="str">
        <f t="shared" si="6"/>
        <v/>
      </c>
      <c r="CI79" t="str">
        <f t="shared" si="7"/>
        <v/>
      </c>
      <c r="CJ79" t="str">
        <f t="shared" si="8"/>
        <v/>
      </c>
      <c r="CK79" t="str">
        <f t="shared" si="9"/>
        <v/>
      </c>
    </row>
    <row r="80" spans="1:89">
      <c r="A80">
        <v>20241</v>
      </c>
      <c r="B80" t="s">
        <v>1302</v>
      </c>
      <c r="C80">
        <v>1257.44055175781</v>
      </c>
      <c r="D80" t="s">
        <v>1324</v>
      </c>
      <c r="E80">
        <v>1965</v>
      </c>
      <c r="F80" t="s">
        <v>1398</v>
      </c>
      <c r="G80" t="s">
        <v>167</v>
      </c>
      <c r="H80">
        <v>98625</v>
      </c>
      <c r="I80" t="s">
        <v>1399</v>
      </c>
      <c r="K80" t="s">
        <v>1306</v>
      </c>
      <c r="L80">
        <v>6</v>
      </c>
      <c r="M80">
        <v>3</v>
      </c>
      <c r="N80">
        <v>0</v>
      </c>
      <c r="O80">
        <v>3</v>
      </c>
      <c r="P80">
        <v>0</v>
      </c>
      <c r="Q80">
        <v>6659</v>
      </c>
      <c r="R80">
        <v>6659</v>
      </c>
      <c r="S80">
        <v>0</v>
      </c>
      <c r="T80">
        <v>1</v>
      </c>
      <c r="U80">
        <v>0</v>
      </c>
      <c r="V80">
        <v>5</v>
      </c>
      <c r="W80">
        <v>0</v>
      </c>
      <c r="X80">
        <v>0</v>
      </c>
      <c r="Y80">
        <v>0</v>
      </c>
      <c r="Z80" t="b">
        <v>0</v>
      </c>
      <c r="AA80" t="b">
        <v>0</v>
      </c>
      <c r="AB80">
        <v>8</v>
      </c>
      <c r="AD80">
        <v>81457.859375</v>
      </c>
      <c r="AE80">
        <v>81457.859375</v>
      </c>
      <c r="AI80">
        <v>277934.21875</v>
      </c>
      <c r="AJ80" t="s">
        <v>268</v>
      </c>
      <c r="AK80">
        <v>0</v>
      </c>
      <c r="AL80">
        <v>12</v>
      </c>
      <c r="AM80">
        <v>0</v>
      </c>
      <c r="AN80">
        <v>13</v>
      </c>
      <c r="AO80">
        <v>0</v>
      </c>
      <c r="AP80">
        <v>25</v>
      </c>
      <c r="AQ80">
        <v>0</v>
      </c>
      <c r="AR80">
        <v>0</v>
      </c>
      <c r="AS80">
        <v>50</v>
      </c>
      <c r="AT80" t="b">
        <v>1</v>
      </c>
      <c r="AU80">
        <v>0</v>
      </c>
      <c r="AV80">
        <v>0</v>
      </c>
      <c r="AW80">
        <v>0</v>
      </c>
      <c r="AX80" t="b">
        <v>0</v>
      </c>
      <c r="AY80" t="b">
        <v>0</v>
      </c>
      <c r="AZ80" t="b">
        <v>0</v>
      </c>
      <c r="BA80" t="b">
        <v>0</v>
      </c>
      <c r="BB80" t="s">
        <v>268</v>
      </c>
      <c r="BC80" t="s">
        <v>268</v>
      </c>
      <c r="BD80" t="s">
        <v>271</v>
      </c>
      <c r="BE80" t="s">
        <v>1307</v>
      </c>
      <c r="BF80" t="s">
        <v>1308</v>
      </c>
      <c r="BG80" t="s">
        <v>1309</v>
      </c>
      <c r="BH80" t="s">
        <v>1336</v>
      </c>
      <c r="BI80" t="s">
        <v>1311</v>
      </c>
      <c r="BJ80" t="b">
        <v>0</v>
      </c>
      <c r="BK80" t="b">
        <v>1</v>
      </c>
      <c r="BL80" t="b">
        <v>0</v>
      </c>
      <c r="BM80" t="b">
        <v>0</v>
      </c>
      <c r="BN80" t="b">
        <v>0</v>
      </c>
      <c r="BO80" t="b">
        <v>0</v>
      </c>
      <c r="BP80">
        <v>1</v>
      </c>
      <c r="BQ80">
        <v>6</v>
      </c>
      <c r="BR80">
        <v>0</v>
      </c>
      <c r="BS80">
        <v>0</v>
      </c>
      <c r="BT80" t="b">
        <v>1</v>
      </c>
      <c r="BV80">
        <v>6</v>
      </c>
      <c r="BW80">
        <v>2550</v>
      </c>
      <c r="BX80">
        <v>0</v>
      </c>
      <c r="BY80" t="s">
        <v>268</v>
      </c>
      <c r="BZ80" t="s">
        <v>268</v>
      </c>
      <c r="CA80" t="s">
        <v>268</v>
      </c>
      <c r="CB80" t="s">
        <v>271</v>
      </c>
      <c r="CC80" t="s">
        <v>1319</v>
      </c>
      <c r="CD80" t="s">
        <v>1313</v>
      </c>
      <c r="CE80" t="s">
        <v>1356</v>
      </c>
      <c r="CF80" t="s">
        <v>1315</v>
      </c>
      <c r="CG80">
        <f t="shared" si="5"/>
        <v>1257.44055175781</v>
      </c>
      <c r="CH80">
        <f t="shared" si="6"/>
        <v>6659</v>
      </c>
      <c r="CI80">
        <f t="shared" si="7"/>
        <v>3</v>
      </c>
      <c r="CJ80">
        <f t="shared" si="8"/>
        <v>8373296.6341552567</v>
      </c>
      <c r="CK80">
        <f t="shared" si="9"/>
        <v>3772.3216552734302</v>
      </c>
    </row>
    <row r="81" spans="1:89">
      <c r="A81">
        <v>20289</v>
      </c>
      <c r="B81" t="s">
        <v>1302</v>
      </c>
      <c r="C81">
        <v>943.08038330078102</v>
      </c>
      <c r="D81" t="s">
        <v>1334</v>
      </c>
      <c r="E81">
        <v>1971</v>
      </c>
      <c r="F81" t="s">
        <v>1400</v>
      </c>
      <c r="G81" t="s">
        <v>167</v>
      </c>
      <c r="H81">
        <v>99153</v>
      </c>
      <c r="I81" t="s">
        <v>1401</v>
      </c>
      <c r="K81" t="s">
        <v>1306</v>
      </c>
      <c r="L81">
        <v>8</v>
      </c>
      <c r="M81">
        <v>2</v>
      </c>
      <c r="N81">
        <v>0</v>
      </c>
      <c r="O81">
        <v>2</v>
      </c>
      <c r="P81">
        <v>0</v>
      </c>
      <c r="Q81">
        <v>5466</v>
      </c>
      <c r="R81">
        <v>5466</v>
      </c>
      <c r="S81">
        <v>1108</v>
      </c>
      <c r="T81">
        <v>0</v>
      </c>
      <c r="U81">
        <v>0</v>
      </c>
      <c r="V81">
        <v>0</v>
      </c>
      <c r="W81">
        <v>8</v>
      </c>
      <c r="X81">
        <v>0</v>
      </c>
      <c r="Y81">
        <v>12.5</v>
      </c>
      <c r="Z81" t="b">
        <v>0</v>
      </c>
      <c r="AA81" t="b">
        <v>1</v>
      </c>
      <c r="AB81">
        <v>10</v>
      </c>
      <c r="AJ81" t="s">
        <v>268</v>
      </c>
      <c r="AK81">
        <v>0</v>
      </c>
      <c r="AL81">
        <v>0</v>
      </c>
      <c r="AM81">
        <v>30</v>
      </c>
      <c r="AN81">
        <v>0</v>
      </c>
      <c r="AO81">
        <v>0</v>
      </c>
      <c r="AP81">
        <v>0</v>
      </c>
      <c r="AQ81">
        <v>0</v>
      </c>
      <c r="AR81">
        <v>70</v>
      </c>
      <c r="AS81">
        <v>0</v>
      </c>
      <c r="AT81" t="b">
        <v>1</v>
      </c>
      <c r="AU81">
        <v>2</v>
      </c>
      <c r="AV81">
        <v>2</v>
      </c>
      <c r="AW81">
        <v>0</v>
      </c>
      <c r="AX81" t="b">
        <v>0</v>
      </c>
      <c r="AY81" t="b">
        <v>0</v>
      </c>
      <c r="AZ81" t="b">
        <v>1</v>
      </c>
      <c r="BA81" t="b">
        <v>0</v>
      </c>
      <c r="BB81" t="s">
        <v>268</v>
      </c>
      <c r="BC81" t="s">
        <v>268</v>
      </c>
      <c r="BD81" t="s">
        <v>268</v>
      </c>
      <c r="BE81" t="s">
        <v>1307</v>
      </c>
      <c r="BF81" t="s">
        <v>1308</v>
      </c>
      <c r="BG81" t="s">
        <v>1309</v>
      </c>
      <c r="BH81" t="s">
        <v>1336</v>
      </c>
      <c r="BI81" t="s">
        <v>1322</v>
      </c>
      <c r="BJ81" t="b">
        <v>0</v>
      </c>
      <c r="BK81" t="b">
        <v>1</v>
      </c>
      <c r="BL81" t="b">
        <v>0</v>
      </c>
      <c r="BM81" t="b">
        <v>0</v>
      </c>
      <c r="BN81" t="b">
        <v>0</v>
      </c>
      <c r="BO81" t="b">
        <v>0</v>
      </c>
      <c r="BP81">
        <v>1</v>
      </c>
      <c r="BQ81">
        <v>1</v>
      </c>
      <c r="BR81">
        <v>0</v>
      </c>
      <c r="BS81">
        <v>0</v>
      </c>
      <c r="BT81" t="b">
        <v>0</v>
      </c>
      <c r="BV81">
        <v>0</v>
      </c>
      <c r="BW81">
        <v>0</v>
      </c>
      <c r="BX81">
        <v>0</v>
      </c>
      <c r="BY81" t="s">
        <v>268</v>
      </c>
      <c r="BZ81" t="s">
        <v>268</v>
      </c>
      <c r="CA81" t="s">
        <v>268</v>
      </c>
      <c r="CB81" t="s">
        <v>268</v>
      </c>
      <c r="CC81" t="s">
        <v>1312</v>
      </c>
      <c r="CD81" t="s">
        <v>1313</v>
      </c>
      <c r="CE81" t="s">
        <v>1314</v>
      </c>
      <c r="CF81" t="s">
        <v>1315</v>
      </c>
      <c r="CG81">
        <f t="shared" si="5"/>
        <v>943.08038330078102</v>
      </c>
      <c r="CH81">
        <f t="shared" si="6"/>
        <v>5466</v>
      </c>
      <c r="CI81">
        <f t="shared" si="7"/>
        <v>2</v>
      </c>
      <c r="CJ81">
        <f t="shared" si="8"/>
        <v>5154877.3751220694</v>
      </c>
      <c r="CK81">
        <f t="shared" si="9"/>
        <v>1886.160766601562</v>
      </c>
    </row>
    <row r="82" spans="1:89">
      <c r="A82">
        <v>20532</v>
      </c>
      <c r="B82" t="s">
        <v>1302</v>
      </c>
      <c r="C82">
        <v>502.97622680664102</v>
      </c>
      <c r="D82" t="s">
        <v>1334</v>
      </c>
      <c r="E82">
        <v>1972</v>
      </c>
      <c r="F82" t="s">
        <v>1402</v>
      </c>
      <c r="G82" t="s">
        <v>167</v>
      </c>
      <c r="H82">
        <v>98801</v>
      </c>
      <c r="I82" t="s">
        <v>1403</v>
      </c>
      <c r="K82" t="s">
        <v>1306</v>
      </c>
      <c r="L82">
        <v>15</v>
      </c>
      <c r="M82">
        <v>3</v>
      </c>
      <c r="N82">
        <v>0</v>
      </c>
      <c r="O82">
        <v>3</v>
      </c>
      <c r="P82">
        <v>0</v>
      </c>
      <c r="Q82">
        <v>8813</v>
      </c>
      <c r="R82">
        <v>8813</v>
      </c>
      <c r="S82">
        <v>0</v>
      </c>
      <c r="T82">
        <v>0</v>
      </c>
      <c r="U82">
        <v>0</v>
      </c>
      <c r="V82">
        <v>0</v>
      </c>
      <c r="W82">
        <v>9</v>
      </c>
      <c r="X82">
        <v>6</v>
      </c>
      <c r="Y82">
        <v>7</v>
      </c>
      <c r="Z82" t="b">
        <v>0</v>
      </c>
      <c r="AA82" t="b">
        <v>0</v>
      </c>
      <c r="AB82">
        <v>8</v>
      </c>
      <c r="AD82">
        <v>122885.09375</v>
      </c>
      <c r="AE82">
        <v>122885.09375</v>
      </c>
      <c r="AI82">
        <v>419283.9375</v>
      </c>
      <c r="AJ82" t="s">
        <v>268</v>
      </c>
      <c r="AK82">
        <v>0</v>
      </c>
      <c r="AL82">
        <v>79</v>
      </c>
      <c r="AM82">
        <v>0</v>
      </c>
      <c r="AN82">
        <v>0</v>
      </c>
      <c r="AO82">
        <v>0</v>
      </c>
      <c r="AP82">
        <v>7</v>
      </c>
      <c r="AQ82">
        <v>0</v>
      </c>
      <c r="AR82">
        <v>0</v>
      </c>
      <c r="AS82">
        <v>14</v>
      </c>
      <c r="AT82" t="b">
        <v>0</v>
      </c>
      <c r="AU82">
        <v>0</v>
      </c>
      <c r="AV82">
        <v>0</v>
      </c>
      <c r="AW82">
        <v>0</v>
      </c>
      <c r="AX82" t="b">
        <v>0</v>
      </c>
      <c r="AY82" t="b">
        <v>0</v>
      </c>
      <c r="AZ82" t="b">
        <v>0</v>
      </c>
      <c r="BA82" t="b">
        <v>0</v>
      </c>
      <c r="BB82" t="s">
        <v>268</v>
      </c>
      <c r="BC82" t="s">
        <v>268</v>
      </c>
      <c r="BD82" t="s">
        <v>268</v>
      </c>
      <c r="BE82" t="s">
        <v>1307</v>
      </c>
      <c r="BF82" t="s">
        <v>1308</v>
      </c>
      <c r="BG82" t="s">
        <v>1309</v>
      </c>
      <c r="BH82" t="s">
        <v>1336</v>
      </c>
      <c r="BI82" t="s">
        <v>1311</v>
      </c>
      <c r="BJ82" t="b">
        <v>0</v>
      </c>
      <c r="BK82" t="b">
        <v>1</v>
      </c>
      <c r="BL82" t="b">
        <v>0</v>
      </c>
      <c r="BM82" t="b">
        <v>0</v>
      </c>
      <c r="BN82" t="b">
        <v>0</v>
      </c>
      <c r="BO82" t="b">
        <v>0</v>
      </c>
      <c r="BP82">
        <v>1</v>
      </c>
      <c r="BQ82">
        <v>16</v>
      </c>
      <c r="BR82">
        <v>0</v>
      </c>
      <c r="BS82">
        <v>0</v>
      </c>
      <c r="BT82" t="b">
        <v>1</v>
      </c>
      <c r="BU82">
        <v>0</v>
      </c>
      <c r="BV82">
        <v>15</v>
      </c>
      <c r="BW82">
        <v>5495</v>
      </c>
      <c r="BX82">
        <v>0</v>
      </c>
      <c r="BY82" t="s">
        <v>268</v>
      </c>
      <c r="BZ82" t="s">
        <v>268</v>
      </c>
      <c r="CA82" t="s">
        <v>271</v>
      </c>
      <c r="CB82" t="s">
        <v>271</v>
      </c>
      <c r="CC82" t="s">
        <v>1312</v>
      </c>
      <c r="CD82" t="s">
        <v>1313</v>
      </c>
      <c r="CE82" t="s">
        <v>1314</v>
      </c>
      <c r="CF82" t="s">
        <v>1315</v>
      </c>
      <c r="CG82">
        <f t="shared" si="5"/>
        <v>502.97622680664102</v>
      </c>
      <c r="CH82">
        <f t="shared" si="6"/>
        <v>8813</v>
      </c>
      <c r="CI82">
        <f t="shared" si="7"/>
        <v>3</v>
      </c>
      <c r="CJ82">
        <f t="shared" si="8"/>
        <v>4432729.4868469276</v>
      </c>
      <c r="CK82">
        <f t="shared" si="9"/>
        <v>1508.928680419923</v>
      </c>
    </row>
    <row r="83" spans="1:89">
      <c r="A83">
        <v>20566</v>
      </c>
      <c r="B83" t="s">
        <v>1302</v>
      </c>
      <c r="C83">
        <v>754.46429443359398</v>
      </c>
      <c r="D83" t="s">
        <v>1324</v>
      </c>
      <c r="E83">
        <v>1970</v>
      </c>
      <c r="F83" t="s">
        <v>1385</v>
      </c>
      <c r="G83" t="s">
        <v>168</v>
      </c>
      <c r="H83">
        <v>97233</v>
      </c>
      <c r="I83" t="s">
        <v>1386</v>
      </c>
      <c r="K83" t="s">
        <v>1306</v>
      </c>
      <c r="L83">
        <v>10</v>
      </c>
      <c r="M83">
        <v>2</v>
      </c>
      <c r="N83">
        <v>0</v>
      </c>
      <c r="O83">
        <v>2</v>
      </c>
      <c r="P83">
        <v>0</v>
      </c>
      <c r="Q83">
        <v>6734</v>
      </c>
      <c r="R83">
        <v>6734</v>
      </c>
      <c r="S83">
        <v>0</v>
      </c>
      <c r="T83">
        <v>0</v>
      </c>
      <c r="U83">
        <v>0</v>
      </c>
      <c r="V83">
        <v>0</v>
      </c>
      <c r="W83">
        <v>10</v>
      </c>
      <c r="X83">
        <v>0</v>
      </c>
      <c r="Y83">
        <v>0</v>
      </c>
      <c r="Z83" t="b">
        <v>0</v>
      </c>
      <c r="AA83" t="b">
        <v>0</v>
      </c>
      <c r="AB83">
        <v>8</v>
      </c>
      <c r="AD83">
        <v>69241.25</v>
      </c>
      <c r="AE83">
        <v>69241.25</v>
      </c>
      <c r="AI83">
        <v>236251.140625</v>
      </c>
      <c r="AJ83" t="s">
        <v>268</v>
      </c>
      <c r="AK83">
        <v>0</v>
      </c>
      <c r="AL83">
        <v>0</v>
      </c>
      <c r="AM83">
        <v>0</v>
      </c>
      <c r="AN83">
        <v>27</v>
      </c>
      <c r="AO83">
        <v>0</v>
      </c>
      <c r="AP83">
        <v>73</v>
      </c>
      <c r="AQ83">
        <v>0</v>
      </c>
      <c r="AR83">
        <v>0</v>
      </c>
      <c r="AS83">
        <v>0</v>
      </c>
      <c r="AT83" t="b">
        <v>1</v>
      </c>
      <c r="AU83">
        <v>0</v>
      </c>
      <c r="AV83">
        <v>0</v>
      </c>
      <c r="AW83">
        <v>0</v>
      </c>
      <c r="AX83" t="b">
        <v>0</v>
      </c>
      <c r="AY83" t="b">
        <v>0</v>
      </c>
      <c r="AZ83" t="b">
        <v>0</v>
      </c>
      <c r="BA83" t="b">
        <v>0</v>
      </c>
      <c r="BB83" t="s">
        <v>268</v>
      </c>
      <c r="BC83" t="s">
        <v>268</v>
      </c>
      <c r="BD83" t="s">
        <v>268</v>
      </c>
      <c r="BE83" t="s">
        <v>1307</v>
      </c>
      <c r="BF83" t="s">
        <v>1308</v>
      </c>
      <c r="BG83" t="s">
        <v>1309</v>
      </c>
      <c r="BH83" t="s">
        <v>1336</v>
      </c>
      <c r="BI83" t="s">
        <v>1311</v>
      </c>
      <c r="BJ83" t="b">
        <v>0</v>
      </c>
      <c r="BK83" t="b">
        <v>1</v>
      </c>
      <c r="BL83" t="b">
        <v>0</v>
      </c>
      <c r="BM83" t="b">
        <v>0</v>
      </c>
      <c r="BN83" t="b">
        <v>0</v>
      </c>
      <c r="BO83" t="b">
        <v>0</v>
      </c>
      <c r="BP83">
        <v>10</v>
      </c>
      <c r="BQ83">
        <v>11</v>
      </c>
      <c r="BR83">
        <v>0</v>
      </c>
      <c r="BS83">
        <v>0</v>
      </c>
      <c r="BT83" t="b">
        <v>1</v>
      </c>
      <c r="BU83">
        <v>0</v>
      </c>
      <c r="BV83">
        <v>10</v>
      </c>
      <c r="BW83">
        <v>4250</v>
      </c>
      <c r="BX83">
        <v>0</v>
      </c>
      <c r="BY83" t="s">
        <v>268</v>
      </c>
      <c r="BZ83" t="s">
        <v>268</v>
      </c>
      <c r="CA83" t="s">
        <v>268</v>
      </c>
      <c r="CB83" t="s">
        <v>271</v>
      </c>
      <c r="CC83" t="s">
        <v>1319</v>
      </c>
      <c r="CD83" t="s">
        <v>1313</v>
      </c>
      <c r="CE83" t="s">
        <v>1327</v>
      </c>
      <c r="CF83" t="s">
        <v>1315</v>
      </c>
      <c r="CG83">
        <f t="shared" si="5"/>
        <v>754.46429443359398</v>
      </c>
      <c r="CH83">
        <f t="shared" si="6"/>
        <v>6734</v>
      </c>
      <c r="CI83">
        <f t="shared" si="7"/>
        <v>2</v>
      </c>
      <c r="CJ83">
        <f t="shared" si="8"/>
        <v>5080562.5587158222</v>
      </c>
      <c r="CK83">
        <f t="shared" si="9"/>
        <v>1508.928588867188</v>
      </c>
    </row>
    <row r="84" spans="1:89">
      <c r="A84">
        <v>20581</v>
      </c>
      <c r="B84" t="s">
        <v>1302</v>
      </c>
      <c r="C84">
        <v>1257.44055175781</v>
      </c>
      <c r="D84" t="s">
        <v>1324</v>
      </c>
      <c r="E84">
        <v>1970</v>
      </c>
      <c r="F84" t="s">
        <v>1404</v>
      </c>
      <c r="G84" t="s">
        <v>168</v>
      </c>
      <c r="H84">
        <v>97005</v>
      </c>
      <c r="I84" t="s">
        <v>1386</v>
      </c>
      <c r="K84" t="s">
        <v>1351</v>
      </c>
      <c r="L84">
        <v>6</v>
      </c>
      <c r="M84">
        <v>2</v>
      </c>
      <c r="N84">
        <v>0</v>
      </c>
      <c r="O84">
        <v>2</v>
      </c>
      <c r="P84">
        <v>0</v>
      </c>
      <c r="Q84">
        <v>4895</v>
      </c>
      <c r="R84">
        <v>4895</v>
      </c>
      <c r="S84">
        <v>110</v>
      </c>
      <c r="T84">
        <v>0</v>
      </c>
      <c r="U84">
        <v>0</v>
      </c>
      <c r="V84">
        <v>4</v>
      </c>
      <c r="W84">
        <v>2</v>
      </c>
      <c r="X84">
        <v>0</v>
      </c>
      <c r="Y84">
        <v>0</v>
      </c>
      <c r="Z84" t="b">
        <v>0</v>
      </c>
      <c r="AA84" t="b">
        <v>1</v>
      </c>
      <c r="AB84">
        <v>8</v>
      </c>
      <c r="AD84">
        <v>83870.8671875</v>
      </c>
      <c r="AE84">
        <v>83870.8671875</v>
      </c>
      <c r="AI84">
        <v>286167.40625</v>
      </c>
      <c r="AJ84" t="s">
        <v>268</v>
      </c>
      <c r="AK84">
        <v>0</v>
      </c>
      <c r="AL84">
        <v>0</v>
      </c>
      <c r="AM84">
        <v>0</v>
      </c>
      <c r="AN84">
        <v>44</v>
      </c>
      <c r="AO84">
        <v>0</v>
      </c>
      <c r="AP84">
        <v>56</v>
      </c>
      <c r="AQ84">
        <v>0</v>
      </c>
      <c r="AR84">
        <v>0</v>
      </c>
      <c r="AS84">
        <v>0</v>
      </c>
      <c r="AT84" t="b">
        <v>0</v>
      </c>
      <c r="AU84">
        <v>2</v>
      </c>
      <c r="AV84">
        <v>2</v>
      </c>
      <c r="AW84">
        <v>0</v>
      </c>
      <c r="AX84" t="b">
        <v>0</v>
      </c>
      <c r="AY84" t="b">
        <v>0</v>
      </c>
      <c r="AZ84" t="b">
        <v>0</v>
      </c>
      <c r="BA84" t="b">
        <v>0</v>
      </c>
      <c r="BB84" t="s">
        <v>268</v>
      </c>
      <c r="BC84" t="s">
        <v>268</v>
      </c>
      <c r="BD84" t="s">
        <v>268</v>
      </c>
      <c r="BE84" t="s">
        <v>1307</v>
      </c>
      <c r="BF84" t="s">
        <v>1308</v>
      </c>
      <c r="BG84" t="s">
        <v>1309</v>
      </c>
      <c r="BH84" t="s">
        <v>1310</v>
      </c>
      <c r="BI84" t="s">
        <v>1322</v>
      </c>
      <c r="BJ84" t="b">
        <v>0</v>
      </c>
      <c r="BK84" t="b">
        <v>1</v>
      </c>
      <c r="BL84" t="b">
        <v>0</v>
      </c>
      <c r="BM84" t="b">
        <v>0</v>
      </c>
      <c r="BN84" t="b">
        <v>0</v>
      </c>
      <c r="BO84" t="b">
        <v>0</v>
      </c>
      <c r="BP84">
        <v>3</v>
      </c>
      <c r="BQ84">
        <v>13</v>
      </c>
      <c r="BR84">
        <v>0</v>
      </c>
      <c r="BS84">
        <v>0</v>
      </c>
      <c r="BT84" t="b">
        <v>1</v>
      </c>
      <c r="BU84">
        <v>0</v>
      </c>
      <c r="BV84">
        <v>8</v>
      </c>
      <c r="BW84">
        <v>3400</v>
      </c>
      <c r="BX84">
        <v>0</v>
      </c>
      <c r="BY84" t="s">
        <v>268</v>
      </c>
      <c r="BZ84" t="s">
        <v>268</v>
      </c>
      <c r="CA84" t="s">
        <v>268</v>
      </c>
      <c r="CB84" t="s">
        <v>271</v>
      </c>
      <c r="CC84" t="s">
        <v>1319</v>
      </c>
      <c r="CD84" t="s">
        <v>1313</v>
      </c>
      <c r="CE84" t="s">
        <v>1314</v>
      </c>
      <c r="CF84" t="s">
        <v>1315</v>
      </c>
      <c r="CG84">
        <f t="shared" si="5"/>
        <v>1257.44055175781</v>
      </c>
      <c r="CH84">
        <f t="shared" si="6"/>
        <v>4895</v>
      </c>
      <c r="CI84">
        <f t="shared" si="7"/>
        <v>2</v>
      </c>
      <c r="CJ84">
        <f t="shared" si="8"/>
        <v>6155171.5008544801</v>
      </c>
      <c r="CK84">
        <f t="shared" si="9"/>
        <v>2514.88110351562</v>
      </c>
    </row>
    <row r="85" spans="1:89">
      <c r="A85">
        <v>20665</v>
      </c>
      <c r="B85" t="s">
        <v>1302</v>
      </c>
      <c r="C85">
        <v>685.87664794921898</v>
      </c>
      <c r="D85" t="s">
        <v>1334</v>
      </c>
      <c r="E85">
        <v>1977</v>
      </c>
      <c r="F85" t="s">
        <v>1395</v>
      </c>
      <c r="G85" t="s">
        <v>168</v>
      </c>
      <c r="H85">
        <v>97301</v>
      </c>
      <c r="I85" t="s">
        <v>1386</v>
      </c>
      <c r="K85" t="s">
        <v>1306</v>
      </c>
      <c r="L85">
        <v>11</v>
      </c>
      <c r="M85">
        <v>3</v>
      </c>
      <c r="N85">
        <v>0</v>
      </c>
      <c r="O85">
        <v>3</v>
      </c>
      <c r="P85">
        <v>0</v>
      </c>
      <c r="Q85">
        <v>9500</v>
      </c>
      <c r="R85">
        <v>9500</v>
      </c>
      <c r="S85">
        <v>144</v>
      </c>
      <c r="T85">
        <v>0</v>
      </c>
      <c r="U85">
        <v>0</v>
      </c>
      <c r="V85">
        <v>11</v>
      </c>
      <c r="W85">
        <v>0</v>
      </c>
      <c r="X85">
        <v>0</v>
      </c>
      <c r="Y85">
        <v>10</v>
      </c>
      <c r="Z85" t="b">
        <v>0</v>
      </c>
      <c r="AA85" t="b">
        <v>1</v>
      </c>
      <c r="AB85">
        <v>8</v>
      </c>
      <c r="AC85">
        <v>33666.51171875</v>
      </c>
      <c r="AD85">
        <v>56208.30859375</v>
      </c>
      <c r="AE85">
        <v>89874.8203125</v>
      </c>
      <c r="AI85">
        <v>306652.875</v>
      </c>
      <c r="AJ85" t="s">
        <v>268</v>
      </c>
      <c r="AK85">
        <v>0</v>
      </c>
      <c r="AL85">
        <v>3</v>
      </c>
      <c r="AM85">
        <v>0</v>
      </c>
      <c r="AN85">
        <v>60</v>
      </c>
      <c r="AO85">
        <v>0</v>
      </c>
      <c r="AP85">
        <v>5</v>
      </c>
      <c r="AQ85">
        <v>0</v>
      </c>
      <c r="AR85">
        <v>0</v>
      </c>
      <c r="AS85">
        <v>32</v>
      </c>
      <c r="AT85" t="b">
        <v>1</v>
      </c>
      <c r="AU85">
        <v>2</v>
      </c>
      <c r="AV85">
        <v>2</v>
      </c>
      <c r="AW85">
        <v>1</v>
      </c>
      <c r="AX85" t="b">
        <v>0</v>
      </c>
      <c r="AY85" t="b">
        <v>0</v>
      </c>
      <c r="AZ85" t="b">
        <v>0</v>
      </c>
      <c r="BA85" t="b">
        <v>0</v>
      </c>
      <c r="BB85" t="s">
        <v>268</v>
      </c>
      <c r="BC85" t="s">
        <v>268</v>
      </c>
      <c r="BD85" t="s">
        <v>268</v>
      </c>
      <c r="BE85" t="s">
        <v>1353</v>
      </c>
      <c r="BF85" t="s">
        <v>1308</v>
      </c>
      <c r="BG85" t="s">
        <v>1309</v>
      </c>
      <c r="BH85" t="s">
        <v>1336</v>
      </c>
      <c r="BI85" t="s">
        <v>1322</v>
      </c>
      <c r="BJ85" t="b">
        <v>0</v>
      </c>
      <c r="BK85" t="b">
        <v>1</v>
      </c>
      <c r="BL85" t="b">
        <v>0</v>
      </c>
      <c r="BM85" t="b">
        <v>0</v>
      </c>
      <c r="BN85" t="b">
        <v>0</v>
      </c>
      <c r="BO85" t="b">
        <v>0</v>
      </c>
      <c r="BP85">
        <v>1</v>
      </c>
      <c r="BQ85">
        <v>12</v>
      </c>
      <c r="BR85">
        <v>0</v>
      </c>
      <c r="BS85">
        <v>0</v>
      </c>
      <c r="BT85" t="b">
        <v>1</v>
      </c>
      <c r="BU85">
        <v>0</v>
      </c>
      <c r="BV85">
        <v>12</v>
      </c>
      <c r="BW85">
        <v>1260</v>
      </c>
      <c r="BX85">
        <v>1</v>
      </c>
      <c r="BY85" t="s">
        <v>268</v>
      </c>
      <c r="BZ85" t="s">
        <v>268</v>
      </c>
      <c r="CA85" t="s">
        <v>271</v>
      </c>
      <c r="CB85" t="s">
        <v>268</v>
      </c>
      <c r="CC85" t="s">
        <v>1319</v>
      </c>
      <c r="CD85" t="s">
        <v>1313</v>
      </c>
      <c r="CE85" t="s">
        <v>1327</v>
      </c>
      <c r="CF85" t="s">
        <v>1315</v>
      </c>
      <c r="CG85">
        <f t="shared" si="5"/>
        <v>685.87664794921898</v>
      </c>
      <c r="CH85">
        <f t="shared" si="6"/>
        <v>9500</v>
      </c>
      <c r="CI85">
        <f t="shared" si="7"/>
        <v>3</v>
      </c>
      <c r="CJ85">
        <f t="shared" si="8"/>
        <v>6515828.15551758</v>
      </c>
      <c r="CK85">
        <f t="shared" si="9"/>
        <v>2057.6299438476572</v>
      </c>
    </row>
    <row r="86" spans="1:89">
      <c r="A86">
        <v>20705</v>
      </c>
      <c r="B86" t="s">
        <v>1302</v>
      </c>
      <c r="C86">
        <v>1257.44055175781</v>
      </c>
      <c r="D86" t="s">
        <v>1334</v>
      </c>
      <c r="E86">
        <v>1977</v>
      </c>
      <c r="F86" t="s">
        <v>1405</v>
      </c>
      <c r="G86" t="s">
        <v>168</v>
      </c>
      <c r="H86">
        <v>97439</v>
      </c>
      <c r="I86" t="s">
        <v>1389</v>
      </c>
      <c r="K86" t="s">
        <v>1306</v>
      </c>
      <c r="L86">
        <v>6</v>
      </c>
      <c r="M86">
        <v>1</v>
      </c>
      <c r="N86">
        <v>0</v>
      </c>
      <c r="O86">
        <v>1</v>
      </c>
      <c r="P86">
        <v>0</v>
      </c>
      <c r="Q86">
        <v>5540</v>
      </c>
      <c r="R86">
        <v>5540</v>
      </c>
      <c r="S86">
        <v>490</v>
      </c>
      <c r="T86">
        <v>0</v>
      </c>
      <c r="U86">
        <v>5</v>
      </c>
      <c r="V86">
        <v>1</v>
      </c>
      <c r="W86">
        <v>0</v>
      </c>
      <c r="X86">
        <v>0</v>
      </c>
      <c r="Y86">
        <v>0</v>
      </c>
      <c r="Z86" t="b">
        <v>0</v>
      </c>
      <c r="AA86" t="b">
        <v>1</v>
      </c>
      <c r="AB86">
        <v>7.5</v>
      </c>
      <c r="AD86">
        <v>64331.05859375</v>
      </c>
      <c r="AE86">
        <v>64331.05859375</v>
      </c>
      <c r="AI86">
        <v>219497.578125</v>
      </c>
      <c r="AJ86" t="s">
        <v>268</v>
      </c>
      <c r="AK86">
        <v>0</v>
      </c>
      <c r="AL86">
        <v>0</v>
      </c>
      <c r="AM86">
        <v>0</v>
      </c>
      <c r="AN86">
        <v>56</v>
      </c>
      <c r="AO86">
        <v>0</v>
      </c>
      <c r="AP86">
        <v>40</v>
      </c>
      <c r="AQ86">
        <v>0</v>
      </c>
      <c r="AR86">
        <v>0</v>
      </c>
      <c r="AS86">
        <v>4</v>
      </c>
      <c r="AT86" t="b">
        <v>0</v>
      </c>
      <c r="AU86">
        <v>3</v>
      </c>
      <c r="AV86">
        <v>3</v>
      </c>
      <c r="AW86">
        <v>0</v>
      </c>
      <c r="AX86" t="b">
        <v>0</v>
      </c>
      <c r="AY86" t="b">
        <v>0</v>
      </c>
      <c r="AZ86" t="b">
        <v>1</v>
      </c>
      <c r="BA86" t="b">
        <v>0</v>
      </c>
      <c r="BB86" t="s">
        <v>268</v>
      </c>
      <c r="BC86" t="s">
        <v>268</v>
      </c>
      <c r="BD86" t="s">
        <v>268</v>
      </c>
      <c r="BE86" t="s">
        <v>1307</v>
      </c>
      <c r="BF86" t="s">
        <v>1308</v>
      </c>
      <c r="BG86" t="s">
        <v>1309</v>
      </c>
      <c r="BH86" t="s">
        <v>1310</v>
      </c>
      <c r="BI86" t="s">
        <v>1322</v>
      </c>
      <c r="BJ86" t="b">
        <v>0</v>
      </c>
      <c r="BK86" t="b">
        <v>1</v>
      </c>
      <c r="BL86" t="b">
        <v>0</v>
      </c>
      <c r="BM86" t="b">
        <v>0</v>
      </c>
      <c r="BN86" t="b">
        <v>0</v>
      </c>
      <c r="BO86" t="b">
        <v>0</v>
      </c>
      <c r="BP86">
        <v>15</v>
      </c>
      <c r="BQ86">
        <v>7</v>
      </c>
      <c r="BR86">
        <v>0</v>
      </c>
      <c r="BS86">
        <v>0</v>
      </c>
      <c r="BT86" t="b">
        <v>1</v>
      </c>
      <c r="BU86">
        <v>0</v>
      </c>
      <c r="BV86">
        <v>9</v>
      </c>
      <c r="BW86">
        <v>3825</v>
      </c>
      <c r="BX86">
        <v>0</v>
      </c>
      <c r="BY86" t="s">
        <v>268</v>
      </c>
      <c r="BZ86" t="s">
        <v>268</v>
      </c>
      <c r="CA86" t="s">
        <v>268</v>
      </c>
      <c r="CB86" t="s">
        <v>271</v>
      </c>
      <c r="CC86" t="s">
        <v>1319</v>
      </c>
      <c r="CD86" t="s">
        <v>1313</v>
      </c>
      <c r="CE86" t="s">
        <v>1327</v>
      </c>
      <c r="CF86" t="s">
        <v>1315</v>
      </c>
      <c r="CG86">
        <f t="shared" si="5"/>
        <v>1257.44055175781</v>
      </c>
      <c r="CH86">
        <f t="shared" si="6"/>
        <v>5540</v>
      </c>
      <c r="CI86">
        <f t="shared" si="7"/>
        <v>1</v>
      </c>
      <c r="CJ86">
        <f t="shared" si="8"/>
        <v>6966220.6567382673</v>
      </c>
      <c r="CK86">
        <f t="shared" si="9"/>
        <v>1257.44055175781</v>
      </c>
    </row>
    <row r="87" spans="1:89">
      <c r="A87">
        <v>20803</v>
      </c>
      <c r="B87" t="s">
        <v>1302</v>
      </c>
      <c r="C87">
        <v>838.293701171875</v>
      </c>
      <c r="D87" t="s">
        <v>1334</v>
      </c>
      <c r="E87">
        <v>1976</v>
      </c>
      <c r="F87" t="s">
        <v>1406</v>
      </c>
      <c r="G87" t="s">
        <v>167</v>
      </c>
      <c r="H87">
        <v>98901</v>
      </c>
      <c r="I87" t="s">
        <v>1407</v>
      </c>
      <c r="K87" t="s">
        <v>1306</v>
      </c>
      <c r="L87">
        <v>9</v>
      </c>
      <c r="M87">
        <v>2</v>
      </c>
      <c r="N87">
        <v>0</v>
      </c>
      <c r="O87">
        <v>2</v>
      </c>
      <c r="P87">
        <v>0</v>
      </c>
      <c r="Q87">
        <v>5650</v>
      </c>
      <c r="R87">
        <v>5650</v>
      </c>
      <c r="S87">
        <v>101</v>
      </c>
      <c r="T87">
        <v>0</v>
      </c>
      <c r="U87">
        <v>0</v>
      </c>
      <c r="V87">
        <v>1</v>
      </c>
      <c r="W87">
        <v>8</v>
      </c>
      <c r="X87">
        <v>0</v>
      </c>
      <c r="Y87">
        <v>0</v>
      </c>
      <c r="Z87" t="b">
        <v>0</v>
      </c>
      <c r="AA87" t="b">
        <v>1</v>
      </c>
      <c r="AB87">
        <v>7.5</v>
      </c>
      <c r="AJ87" t="s">
        <v>268</v>
      </c>
      <c r="AK87">
        <v>0</v>
      </c>
      <c r="AL87">
        <v>11</v>
      </c>
      <c r="AM87">
        <v>0</v>
      </c>
      <c r="AN87">
        <v>41</v>
      </c>
      <c r="AO87">
        <v>0</v>
      </c>
      <c r="AP87">
        <v>38</v>
      </c>
      <c r="AQ87">
        <v>0</v>
      </c>
      <c r="AR87">
        <v>0</v>
      </c>
      <c r="AS87">
        <v>10</v>
      </c>
      <c r="AT87" t="b">
        <v>0</v>
      </c>
      <c r="AU87">
        <v>2</v>
      </c>
      <c r="AV87">
        <v>2</v>
      </c>
      <c r="AW87">
        <v>0</v>
      </c>
      <c r="AX87" t="b">
        <v>0</v>
      </c>
      <c r="AY87" t="b">
        <v>0</v>
      </c>
      <c r="AZ87" t="b">
        <v>0</v>
      </c>
      <c r="BA87" t="b">
        <v>0</v>
      </c>
      <c r="BB87" t="s">
        <v>268</v>
      </c>
      <c r="BC87" t="s">
        <v>268</v>
      </c>
      <c r="BD87" t="s">
        <v>268</v>
      </c>
      <c r="BE87" t="s">
        <v>1307</v>
      </c>
      <c r="BF87" t="s">
        <v>1308</v>
      </c>
      <c r="BG87" t="s">
        <v>1309</v>
      </c>
      <c r="BH87" t="s">
        <v>1336</v>
      </c>
      <c r="BI87" t="s">
        <v>1344</v>
      </c>
      <c r="BJ87" t="b">
        <v>0</v>
      </c>
      <c r="BK87" t="b">
        <v>1</v>
      </c>
      <c r="BL87" t="b">
        <v>0</v>
      </c>
      <c r="BM87" t="b">
        <v>0</v>
      </c>
      <c r="BN87" t="b">
        <v>0</v>
      </c>
      <c r="BO87" t="b">
        <v>0</v>
      </c>
      <c r="BP87">
        <v>1</v>
      </c>
      <c r="BQ87">
        <v>9</v>
      </c>
      <c r="BR87">
        <v>0</v>
      </c>
      <c r="BS87">
        <v>0</v>
      </c>
      <c r="BT87" t="b">
        <v>1</v>
      </c>
      <c r="BV87">
        <v>10</v>
      </c>
      <c r="BW87">
        <v>4250</v>
      </c>
      <c r="BX87">
        <v>0</v>
      </c>
      <c r="BY87" t="s">
        <v>268</v>
      </c>
      <c r="BZ87" t="s">
        <v>268</v>
      </c>
      <c r="CA87" t="s">
        <v>268</v>
      </c>
      <c r="CB87" t="s">
        <v>271</v>
      </c>
      <c r="CC87" t="s">
        <v>1319</v>
      </c>
      <c r="CD87" t="s">
        <v>1313</v>
      </c>
      <c r="CE87" t="s">
        <v>1327</v>
      </c>
      <c r="CF87" t="s">
        <v>1315</v>
      </c>
      <c r="CG87">
        <f t="shared" si="5"/>
        <v>838.293701171875</v>
      </c>
      <c r="CH87">
        <f t="shared" si="6"/>
        <v>5650</v>
      </c>
      <c r="CI87">
        <f t="shared" si="7"/>
        <v>2</v>
      </c>
      <c r="CJ87">
        <f t="shared" si="8"/>
        <v>4736359.4116210937</v>
      </c>
      <c r="CK87">
        <f t="shared" si="9"/>
        <v>1676.58740234375</v>
      </c>
    </row>
    <row r="88" spans="1:89">
      <c r="A88">
        <v>21000</v>
      </c>
      <c r="B88" t="s">
        <v>1302</v>
      </c>
      <c r="C88">
        <v>251.48811340332</v>
      </c>
      <c r="D88" t="s">
        <v>1354</v>
      </c>
      <c r="E88">
        <v>1952</v>
      </c>
      <c r="F88" t="s">
        <v>1408</v>
      </c>
      <c r="G88" t="s">
        <v>167</v>
      </c>
      <c r="H88">
        <v>98926</v>
      </c>
      <c r="I88" t="s">
        <v>1409</v>
      </c>
      <c r="K88" t="s">
        <v>1306</v>
      </c>
      <c r="L88">
        <v>30</v>
      </c>
      <c r="M88">
        <v>2</v>
      </c>
      <c r="N88">
        <v>0</v>
      </c>
      <c r="O88">
        <v>2</v>
      </c>
      <c r="P88">
        <v>0</v>
      </c>
      <c r="Q88">
        <v>26968</v>
      </c>
      <c r="R88">
        <v>26264</v>
      </c>
      <c r="S88">
        <v>8359</v>
      </c>
      <c r="T88">
        <v>0</v>
      </c>
      <c r="U88">
        <v>0</v>
      </c>
      <c r="V88">
        <v>18</v>
      </c>
      <c r="W88">
        <v>2</v>
      </c>
      <c r="X88">
        <v>10</v>
      </c>
      <c r="Y88">
        <v>0</v>
      </c>
      <c r="Z88" t="b">
        <v>1</v>
      </c>
      <c r="AA88" t="b">
        <v>1</v>
      </c>
      <c r="AB88">
        <v>8</v>
      </c>
      <c r="AD88">
        <v>196690.265625</v>
      </c>
      <c r="AE88">
        <v>196690.265625</v>
      </c>
      <c r="AI88">
        <v>671107.1875</v>
      </c>
      <c r="AJ88" t="s">
        <v>268</v>
      </c>
      <c r="AK88">
        <v>706</v>
      </c>
      <c r="AL88">
        <v>37</v>
      </c>
      <c r="AM88">
        <v>0</v>
      </c>
      <c r="AN88">
        <v>17</v>
      </c>
      <c r="AO88">
        <v>0</v>
      </c>
      <c r="AP88">
        <v>17</v>
      </c>
      <c r="AQ88">
        <v>0</v>
      </c>
      <c r="AR88">
        <v>0</v>
      </c>
      <c r="AS88">
        <v>29</v>
      </c>
      <c r="AT88" t="b">
        <v>1</v>
      </c>
      <c r="AU88">
        <v>2</v>
      </c>
      <c r="AV88">
        <v>2</v>
      </c>
      <c r="AW88">
        <v>1</v>
      </c>
      <c r="AX88" t="b">
        <v>0</v>
      </c>
      <c r="AY88" t="b">
        <v>0</v>
      </c>
      <c r="AZ88" t="b">
        <v>1</v>
      </c>
      <c r="BA88" t="b">
        <v>0</v>
      </c>
      <c r="BB88" t="s">
        <v>268</v>
      </c>
      <c r="BC88" t="s">
        <v>268</v>
      </c>
      <c r="BD88" t="s">
        <v>268</v>
      </c>
      <c r="BE88" t="s">
        <v>1307</v>
      </c>
      <c r="BF88" t="s">
        <v>1308</v>
      </c>
      <c r="BG88" t="s">
        <v>1309</v>
      </c>
      <c r="BH88" t="s">
        <v>1336</v>
      </c>
      <c r="BI88" t="s">
        <v>1322</v>
      </c>
      <c r="BJ88" t="b">
        <v>0</v>
      </c>
      <c r="BK88" t="b">
        <v>1</v>
      </c>
      <c r="BL88" t="b">
        <v>0</v>
      </c>
      <c r="BM88" t="b">
        <v>0</v>
      </c>
      <c r="BN88" t="b">
        <v>0</v>
      </c>
      <c r="BO88" t="b">
        <v>0</v>
      </c>
      <c r="BP88">
        <v>2</v>
      </c>
      <c r="BQ88">
        <v>32</v>
      </c>
      <c r="BR88">
        <v>0</v>
      </c>
      <c r="BS88">
        <v>0</v>
      </c>
      <c r="BT88" t="b">
        <v>1</v>
      </c>
      <c r="BV88">
        <v>29</v>
      </c>
      <c r="BW88">
        <v>12325</v>
      </c>
      <c r="BX88">
        <v>0</v>
      </c>
      <c r="BY88" t="s">
        <v>268</v>
      </c>
      <c r="BZ88" t="s">
        <v>268</v>
      </c>
      <c r="CA88" t="s">
        <v>268</v>
      </c>
      <c r="CB88" t="s">
        <v>271</v>
      </c>
      <c r="CC88" t="s">
        <v>1319</v>
      </c>
      <c r="CD88" t="s">
        <v>1313</v>
      </c>
      <c r="CE88" t="s">
        <v>1327</v>
      </c>
      <c r="CF88" t="s">
        <v>1315</v>
      </c>
      <c r="CG88">
        <f t="shared" si="5"/>
        <v>251.48811340332</v>
      </c>
      <c r="CH88">
        <f t="shared" si="6"/>
        <v>26968</v>
      </c>
      <c r="CI88">
        <f t="shared" si="7"/>
        <v>2</v>
      </c>
      <c r="CJ88">
        <f t="shared" si="8"/>
        <v>6782131.4422607338</v>
      </c>
      <c r="CK88">
        <f t="shared" si="9"/>
        <v>502.97622680664</v>
      </c>
    </row>
    <row r="89" spans="1:89">
      <c r="A89">
        <v>21268</v>
      </c>
      <c r="B89" t="s">
        <v>1302</v>
      </c>
      <c r="C89">
        <v>1257.44055175781</v>
      </c>
      <c r="D89" t="s">
        <v>1334</v>
      </c>
      <c r="E89">
        <v>1979</v>
      </c>
      <c r="F89" t="s">
        <v>1390</v>
      </c>
      <c r="G89" t="s">
        <v>167</v>
      </c>
      <c r="H89">
        <v>98665</v>
      </c>
      <c r="I89" t="s">
        <v>1391</v>
      </c>
      <c r="K89" t="s">
        <v>1351</v>
      </c>
      <c r="L89">
        <v>6</v>
      </c>
      <c r="M89">
        <v>2</v>
      </c>
      <c r="N89">
        <v>0</v>
      </c>
      <c r="O89">
        <v>2</v>
      </c>
      <c r="P89">
        <v>0</v>
      </c>
      <c r="Q89">
        <v>4316</v>
      </c>
      <c r="R89">
        <v>4316</v>
      </c>
      <c r="S89">
        <v>0</v>
      </c>
      <c r="T89">
        <v>0</v>
      </c>
      <c r="U89">
        <v>0</v>
      </c>
      <c r="V89">
        <v>4</v>
      </c>
      <c r="W89">
        <v>2</v>
      </c>
      <c r="X89">
        <v>0</v>
      </c>
      <c r="Y89">
        <v>0</v>
      </c>
      <c r="Z89" t="b">
        <v>0</v>
      </c>
      <c r="AA89" t="b">
        <v>0</v>
      </c>
      <c r="AB89">
        <v>7.5</v>
      </c>
      <c r="AD89">
        <v>57394.25</v>
      </c>
      <c r="AE89">
        <v>57394.25</v>
      </c>
      <c r="AI89">
        <v>195829.1875</v>
      </c>
      <c r="AJ89" t="s">
        <v>268</v>
      </c>
      <c r="AK89">
        <v>0</v>
      </c>
      <c r="AL89">
        <v>0</v>
      </c>
      <c r="AM89">
        <v>0</v>
      </c>
      <c r="AN89">
        <v>50</v>
      </c>
      <c r="AO89">
        <v>0</v>
      </c>
      <c r="AP89">
        <v>50</v>
      </c>
      <c r="AQ89">
        <v>0</v>
      </c>
      <c r="AR89">
        <v>0</v>
      </c>
      <c r="AS89">
        <v>0</v>
      </c>
      <c r="AT89" t="b">
        <v>0</v>
      </c>
      <c r="AU89">
        <v>0</v>
      </c>
      <c r="AV89">
        <v>0</v>
      </c>
      <c r="AW89">
        <v>0</v>
      </c>
      <c r="AX89" t="b">
        <v>0</v>
      </c>
      <c r="AY89" t="b">
        <v>0</v>
      </c>
      <c r="AZ89" t="b">
        <v>0</v>
      </c>
      <c r="BA89" t="b">
        <v>0</v>
      </c>
      <c r="BB89" t="s">
        <v>268</v>
      </c>
      <c r="BC89" t="s">
        <v>268</v>
      </c>
      <c r="BD89" t="s">
        <v>268</v>
      </c>
      <c r="BE89" t="s">
        <v>1307</v>
      </c>
      <c r="BF89" t="s">
        <v>1308</v>
      </c>
      <c r="BG89" t="s">
        <v>1309</v>
      </c>
      <c r="BH89" t="s">
        <v>1310</v>
      </c>
      <c r="BI89" t="s">
        <v>1311</v>
      </c>
      <c r="BJ89" t="b">
        <v>0</v>
      </c>
      <c r="BK89" t="b">
        <v>1</v>
      </c>
      <c r="BL89" t="b">
        <v>0</v>
      </c>
      <c r="BM89" t="b">
        <v>0</v>
      </c>
      <c r="BN89" t="b">
        <v>0</v>
      </c>
      <c r="BO89" t="b">
        <v>0</v>
      </c>
      <c r="BP89">
        <v>6</v>
      </c>
      <c r="BQ89">
        <v>6</v>
      </c>
      <c r="BR89">
        <v>0</v>
      </c>
      <c r="BS89">
        <v>0</v>
      </c>
      <c r="BT89" t="b">
        <v>1</v>
      </c>
      <c r="BU89">
        <v>0</v>
      </c>
      <c r="BV89">
        <v>10</v>
      </c>
      <c r="BW89">
        <v>4250</v>
      </c>
      <c r="BX89">
        <v>0</v>
      </c>
      <c r="BY89" t="s">
        <v>268</v>
      </c>
      <c r="BZ89" t="s">
        <v>268</v>
      </c>
      <c r="CA89" t="s">
        <v>268</v>
      </c>
      <c r="CB89" t="s">
        <v>271</v>
      </c>
      <c r="CC89" t="s">
        <v>1319</v>
      </c>
      <c r="CD89" t="s">
        <v>1313</v>
      </c>
      <c r="CE89" t="s">
        <v>1327</v>
      </c>
      <c r="CF89" t="s">
        <v>1315</v>
      </c>
      <c r="CG89">
        <f t="shared" si="5"/>
        <v>1257.44055175781</v>
      </c>
      <c r="CH89">
        <f t="shared" si="6"/>
        <v>4316</v>
      </c>
      <c r="CI89">
        <f t="shared" si="7"/>
        <v>2</v>
      </c>
      <c r="CJ89">
        <f t="shared" si="8"/>
        <v>5427113.4213867076</v>
      </c>
      <c r="CK89">
        <f t="shared" si="9"/>
        <v>2514.88110351562</v>
      </c>
    </row>
    <row r="90" spans="1:89">
      <c r="A90">
        <v>21346</v>
      </c>
      <c r="B90" t="s">
        <v>1302</v>
      </c>
      <c r="C90">
        <v>754.46429443359398</v>
      </c>
      <c r="D90" t="s">
        <v>1340</v>
      </c>
      <c r="E90">
        <v>1998</v>
      </c>
      <c r="F90" t="s">
        <v>1410</v>
      </c>
      <c r="G90" t="s">
        <v>170</v>
      </c>
      <c r="H90">
        <v>59602</v>
      </c>
      <c r="I90" t="s">
        <v>1411</v>
      </c>
      <c r="J90" t="s">
        <v>1411</v>
      </c>
      <c r="K90" t="s">
        <v>1306</v>
      </c>
      <c r="L90">
        <v>10</v>
      </c>
      <c r="M90">
        <v>2</v>
      </c>
      <c r="N90">
        <v>0</v>
      </c>
      <c r="O90">
        <v>2</v>
      </c>
      <c r="P90">
        <v>0</v>
      </c>
      <c r="Q90">
        <v>10050</v>
      </c>
      <c r="R90">
        <v>10050</v>
      </c>
      <c r="S90">
        <v>0</v>
      </c>
      <c r="T90">
        <v>0</v>
      </c>
      <c r="U90">
        <v>0</v>
      </c>
      <c r="V90">
        <v>10</v>
      </c>
      <c r="W90">
        <v>0</v>
      </c>
      <c r="X90">
        <v>0</v>
      </c>
      <c r="Y90">
        <v>6</v>
      </c>
      <c r="Z90" t="b">
        <v>0</v>
      </c>
      <c r="AA90" t="b">
        <v>0</v>
      </c>
      <c r="AB90">
        <v>8</v>
      </c>
      <c r="AJ90" t="s">
        <v>268</v>
      </c>
      <c r="AK90">
        <v>0</v>
      </c>
      <c r="AL90">
        <v>10</v>
      </c>
      <c r="AM90">
        <v>0</v>
      </c>
      <c r="AN90">
        <v>30</v>
      </c>
      <c r="AO90">
        <v>0</v>
      </c>
      <c r="AP90">
        <v>50</v>
      </c>
      <c r="AQ90">
        <v>0</v>
      </c>
      <c r="AR90">
        <v>0</v>
      </c>
      <c r="AS90">
        <v>10</v>
      </c>
      <c r="AT90" t="b">
        <v>1</v>
      </c>
      <c r="AU90">
        <v>0</v>
      </c>
      <c r="AV90">
        <v>0</v>
      </c>
      <c r="AW90">
        <v>0</v>
      </c>
      <c r="AX90" t="b">
        <v>0</v>
      </c>
      <c r="AY90" t="b">
        <v>0</v>
      </c>
      <c r="AZ90" t="b">
        <v>0</v>
      </c>
      <c r="BA90" t="b">
        <v>0</v>
      </c>
      <c r="BB90" t="s">
        <v>268</v>
      </c>
      <c r="BC90" t="s">
        <v>268</v>
      </c>
      <c r="BD90" t="s">
        <v>268</v>
      </c>
      <c r="BE90" t="s">
        <v>1341</v>
      </c>
      <c r="BF90" t="s">
        <v>1342</v>
      </c>
      <c r="BG90" t="s">
        <v>1309</v>
      </c>
      <c r="BH90" t="s">
        <v>1310</v>
      </c>
      <c r="BI90" t="s">
        <v>1311</v>
      </c>
      <c r="BJ90" t="b">
        <v>1</v>
      </c>
      <c r="BK90" t="b">
        <v>1</v>
      </c>
      <c r="BL90" t="b">
        <v>1</v>
      </c>
      <c r="BM90" t="b">
        <v>0</v>
      </c>
      <c r="BN90" t="b">
        <v>0</v>
      </c>
      <c r="BO90" t="b">
        <v>0</v>
      </c>
      <c r="BP90">
        <v>1</v>
      </c>
      <c r="BQ90">
        <v>10</v>
      </c>
      <c r="BR90">
        <v>10</v>
      </c>
      <c r="BS90">
        <v>10</v>
      </c>
      <c r="BT90" t="b">
        <v>1</v>
      </c>
      <c r="BU90">
        <v>0</v>
      </c>
      <c r="BV90">
        <v>13</v>
      </c>
      <c r="BW90">
        <v>5525</v>
      </c>
      <c r="BX90">
        <v>0</v>
      </c>
      <c r="BY90" t="s">
        <v>268</v>
      </c>
      <c r="BZ90" t="s">
        <v>268</v>
      </c>
      <c r="CA90" t="s">
        <v>268</v>
      </c>
      <c r="CB90" t="s">
        <v>271</v>
      </c>
      <c r="CC90" t="s">
        <v>1312</v>
      </c>
      <c r="CD90" t="s">
        <v>1313</v>
      </c>
      <c r="CE90" t="s">
        <v>1314</v>
      </c>
      <c r="CF90" t="s">
        <v>1315</v>
      </c>
      <c r="CG90" t="str">
        <f t="shared" si="5"/>
        <v/>
      </c>
      <c r="CH90" t="str">
        <f t="shared" si="6"/>
        <v/>
      </c>
      <c r="CI90" t="str">
        <f t="shared" si="7"/>
        <v/>
      </c>
      <c r="CJ90" t="str">
        <f t="shared" si="8"/>
        <v/>
      </c>
      <c r="CK90" t="str">
        <f t="shared" si="9"/>
        <v/>
      </c>
    </row>
    <row r="91" spans="1:89">
      <c r="A91">
        <v>21424</v>
      </c>
      <c r="B91" t="s">
        <v>1302</v>
      </c>
      <c r="C91">
        <v>397.08648681640602</v>
      </c>
      <c r="D91" t="s">
        <v>1334</v>
      </c>
      <c r="E91">
        <v>1972</v>
      </c>
      <c r="F91" t="s">
        <v>1412</v>
      </c>
      <c r="G91" t="s">
        <v>168</v>
      </c>
      <c r="H91">
        <v>97504</v>
      </c>
      <c r="I91" t="s">
        <v>1407</v>
      </c>
      <c r="J91" t="s">
        <v>1393</v>
      </c>
      <c r="K91" t="s">
        <v>1306</v>
      </c>
      <c r="L91">
        <v>19</v>
      </c>
      <c r="M91">
        <v>2</v>
      </c>
      <c r="N91">
        <v>0</v>
      </c>
      <c r="O91">
        <v>3</v>
      </c>
      <c r="P91">
        <v>0</v>
      </c>
      <c r="Q91">
        <v>14360</v>
      </c>
      <c r="R91">
        <v>14360</v>
      </c>
      <c r="S91">
        <v>162</v>
      </c>
      <c r="T91">
        <v>0</v>
      </c>
      <c r="U91">
        <v>0</v>
      </c>
      <c r="V91">
        <v>0</v>
      </c>
      <c r="W91">
        <v>18</v>
      </c>
      <c r="X91">
        <v>1</v>
      </c>
      <c r="Y91">
        <v>5</v>
      </c>
      <c r="Z91" t="b">
        <v>0</v>
      </c>
      <c r="AA91" t="b">
        <v>1</v>
      </c>
      <c r="AB91">
        <v>8</v>
      </c>
      <c r="AC91">
        <v>6422.76708984375</v>
      </c>
      <c r="AD91">
        <v>56584.93359375</v>
      </c>
      <c r="AE91">
        <v>63007.69921875</v>
      </c>
      <c r="AJ91" t="s">
        <v>268</v>
      </c>
      <c r="AK91">
        <v>0</v>
      </c>
      <c r="AL91">
        <v>18</v>
      </c>
      <c r="AM91">
        <v>0</v>
      </c>
      <c r="AN91">
        <v>53</v>
      </c>
      <c r="AO91">
        <v>0</v>
      </c>
      <c r="AP91">
        <v>23</v>
      </c>
      <c r="AQ91">
        <v>0</v>
      </c>
      <c r="AR91">
        <v>0</v>
      </c>
      <c r="AS91">
        <v>6</v>
      </c>
      <c r="AT91" t="b">
        <v>1</v>
      </c>
      <c r="AU91">
        <v>3</v>
      </c>
      <c r="AV91">
        <v>3</v>
      </c>
      <c r="AW91">
        <v>0</v>
      </c>
      <c r="AX91" t="b">
        <v>0</v>
      </c>
      <c r="AY91" t="b">
        <v>0</v>
      </c>
      <c r="AZ91" t="b">
        <v>0</v>
      </c>
      <c r="BA91" t="b">
        <v>0</v>
      </c>
      <c r="BB91" t="s">
        <v>268</v>
      </c>
      <c r="BC91" t="s">
        <v>268</v>
      </c>
      <c r="BD91" t="s">
        <v>268</v>
      </c>
      <c r="BE91" t="s">
        <v>1341</v>
      </c>
      <c r="BF91" t="s">
        <v>1342</v>
      </c>
      <c r="BG91" t="s">
        <v>1309</v>
      </c>
      <c r="BH91" t="s">
        <v>1336</v>
      </c>
      <c r="BI91" t="s">
        <v>1344</v>
      </c>
      <c r="BJ91" t="b">
        <v>1</v>
      </c>
      <c r="BK91" t="b">
        <v>1</v>
      </c>
      <c r="BL91" t="b">
        <v>1</v>
      </c>
      <c r="BM91" t="b">
        <v>0</v>
      </c>
      <c r="BN91" t="b">
        <v>0</v>
      </c>
      <c r="BO91" t="b">
        <v>0</v>
      </c>
      <c r="BP91">
        <v>1</v>
      </c>
      <c r="BQ91">
        <v>20</v>
      </c>
      <c r="BR91">
        <v>1</v>
      </c>
      <c r="BS91">
        <v>20</v>
      </c>
      <c r="BT91" t="b">
        <v>1</v>
      </c>
      <c r="BU91">
        <v>0</v>
      </c>
      <c r="BV91">
        <v>21</v>
      </c>
      <c r="BW91">
        <v>203</v>
      </c>
      <c r="BX91">
        <v>1</v>
      </c>
      <c r="BY91" t="s">
        <v>268</v>
      </c>
      <c r="BZ91" t="s">
        <v>268</v>
      </c>
      <c r="CA91" t="s">
        <v>271</v>
      </c>
      <c r="CB91" t="s">
        <v>268</v>
      </c>
      <c r="CC91" t="s">
        <v>1319</v>
      </c>
      <c r="CD91" t="s">
        <v>1313</v>
      </c>
      <c r="CE91" t="s">
        <v>1314</v>
      </c>
      <c r="CF91" t="s">
        <v>1315</v>
      </c>
      <c r="CG91" t="str">
        <f t="shared" si="5"/>
        <v/>
      </c>
      <c r="CH91" t="str">
        <f t="shared" si="6"/>
        <v/>
      </c>
      <c r="CI91" t="str">
        <f t="shared" si="7"/>
        <v/>
      </c>
      <c r="CJ91" t="str">
        <f t="shared" si="8"/>
        <v/>
      </c>
      <c r="CK91" t="str">
        <f t="shared" si="9"/>
        <v/>
      </c>
    </row>
    <row r="92" spans="1:89">
      <c r="A92">
        <v>21488</v>
      </c>
      <c r="B92" t="s">
        <v>1302</v>
      </c>
      <c r="C92">
        <v>943.08038330078102</v>
      </c>
      <c r="D92" t="s">
        <v>1303</v>
      </c>
      <c r="E92">
        <v>1989</v>
      </c>
      <c r="F92" t="s">
        <v>1395</v>
      </c>
      <c r="G92" t="s">
        <v>168</v>
      </c>
      <c r="H92">
        <v>97306</v>
      </c>
      <c r="I92" t="s">
        <v>1386</v>
      </c>
      <c r="K92" t="s">
        <v>1306</v>
      </c>
      <c r="L92">
        <v>8</v>
      </c>
      <c r="M92">
        <v>2</v>
      </c>
      <c r="N92">
        <v>0</v>
      </c>
      <c r="O92">
        <v>2</v>
      </c>
      <c r="P92">
        <v>0</v>
      </c>
      <c r="Q92">
        <v>5848</v>
      </c>
      <c r="R92">
        <v>5848</v>
      </c>
      <c r="S92">
        <v>0</v>
      </c>
      <c r="T92">
        <v>0</v>
      </c>
      <c r="U92">
        <v>0</v>
      </c>
      <c r="V92">
        <v>4</v>
      </c>
      <c r="W92">
        <v>4</v>
      </c>
      <c r="X92">
        <v>0</v>
      </c>
      <c r="Y92">
        <v>0</v>
      </c>
      <c r="Z92" t="b">
        <v>0</v>
      </c>
      <c r="AA92" t="b">
        <v>0</v>
      </c>
      <c r="AB92">
        <v>7.6599998474121103</v>
      </c>
      <c r="AC92">
        <v>34216.45703125</v>
      </c>
      <c r="AD92">
        <v>66660.5078125</v>
      </c>
      <c r="AE92">
        <v>100876.96875</v>
      </c>
      <c r="AI92">
        <v>344192.21875</v>
      </c>
      <c r="AJ92" t="s">
        <v>268</v>
      </c>
      <c r="AK92">
        <v>0</v>
      </c>
      <c r="AL92">
        <v>0</v>
      </c>
      <c r="AM92">
        <v>9</v>
      </c>
      <c r="AN92">
        <v>0</v>
      </c>
      <c r="AO92">
        <v>36</v>
      </c>
      <c r="AP92">
        <v>0</v>
      </c>
      <c r="AQ92">
        <v>46</v>
      </c>
      <c r="AR92">
        <v>9</v>
      </c>
      <c r="AS92">
        <v>0</v>
      </c>
      <c r="AT92" t="b">
        <v>1</v>
      </c>
      <c r="AU92">
        <v>0</v>
      </c>
      <c r="AV92">
        <v>0</v>
      </c>
      <c r="AW92">
        <v>0</v>
      </c>
      <c r="AX92" t="b">
        <v>0</v>
      </c>
      <c r="AY92" t="b">
        <v>0</v>
      </c>
      <c r="AZ92" t="b">
        <v>0</v>
      </c>
      <c r="BA92" t="b">
        <v>0</v>
      </c>
      <c r="BB92" t="s">
        <v>268</v>
      </c>
      <c r="BC92" t="s">
        <v>268</v>
      </c>
      <c r="BD92" t="s">
        <v>268</v>
      </c>
      <c r="BE92" t="s">
        <v>1307</v>
      </c>
      <c r="BF92" t="s">
        <v>1308</v>
      </c>
      <c r="BG92" t="s">
        <v>1309</v>
      </c>
      <c r="BH92" t="s">
        <v>1310</v>
      </c>
      <c r="BI92" t="s">
        <v>1311</v>
      </c>
      <c r="BJ92" t="b">
        <v>0</v>
      </c>
      <c r="BK92" t="b">
        <v>1</v>
      </c>
      <c r="BL92" t="b">
        <v>0</v>
      </c>
      <c r="BM92" t="b">
        <v>0</v>
      </c>
      <c r="BN92" t="b">
        <v>0</v>
      </c>
      <c r="BO92" t="b">
        <v>0</v>
      </c>
      <c r="BP92">
        <v>4</v>
      </c>
      <c r="BQ92">
        <v>8</v>
      </c>
      <c r="BR92">
        <v>0</v>
      </c>
      <c r="BS92">
        <v>0</v>
      </c>
      <c r="BT92" t="b">
        <v>1</v>
      </c>
      <c r="BU92">
        <v>0</v>
      </c>
      <c r="BV92">
        <v>10</v>
      </c>
      <c r="BW92">
        <v>4250</v>
      </c>
      <c r="BX92">
        <v>0</v>
      </c>
      <c r="BY92" t="s">
        <v>268</v>
      </c>
      <c r="BZ92" t="s">
        <v>268</v>
      </c>
      <c r="CA92" t="s">
        <v>268</v>
      </c>
      <c r="CB92" t="s">
        <v>271</v>
      </c>
      <c r="CC92" t="s">
        <v>1319</v>
      </c>
      <c r="CD92" t="s">
        <v>1313</v>
      </c>
      <c r="CE92" t="s">
        <v>1327</v>
      </c>
      <c r="CF92" t="s">
        <v>1315</v>
      </c>
      <c r="CG92">
        <f t="shared" si="5"/>
        <v>943.08038330078102</v>
      </c>
      <c r="CH92">
        <f t="shared" si="6"/>
        <v>5848</v>
      </c>
      <c r="CI92">
        <f t="shared" si="7"/>
        <v>2</v>
      </c>
      <c r="CJ92">
        <f t="shared" si="8"/>
        <v>5515134.0815429678</v>
      </c>
      <c r="CK92">
        <f t="shared" si="9"/>
        <v>1886.160766601562</v>
      </c>
    </row>
    <row r="93" spans="1:89">
      <c r="A93">
        <v>21505</v>
      </c>
      <c r="B93" t="s">
        <v>1302</v>
      </c>
      <c r="C93">
        <v>628.72027587890602</v>
      </c>
      <c r="D93" t="s">
        <v>1324</v>
      </c>
      <c r="E93">
        <v>1964</v>
      </c>
      <c r="F93" t="s">
        <v>1385</v>
      </c>
      <c r="G93" t="s">
        <v>168</v>
      </c>
      <c r="H93">
        <v>97219</v>
      </c>
      <c r="I93" t="s">
        <v>1386</v>
      </c>
      <c r="K93" t="s">
        <v>1306</v>
      </c>
      <c r="L93">
        <v>12</v>
      </c>
      <c r="M93">
        <v>3</v>
      </c>
      <c r="N93">
        <v>0</v>
      </c>
      <c r="O93">
        <v>3</v>
      </c>
      <c r="P93">
        <v>0</v>
      </c>
      <c r="Q93">
        <v>15540</v>
      </c>
      <c r="R93">
        <v>15540</v>
      </c>
      <c r="S93">
        <v>2250</v>
      </c>
      <c r="T93">
        <v>0</v>
      </c>
      <c r="U93">
        <v>0</v>
      </c>
      <c r="V93">
        <v>3</v>
      </c>
      <c r="W93">
        <v>9</v>
      </c>
      <c r="X93">
        <v>0</v>
      </c>
      <c r="Y93">
        <v>0</v>
      </c>
      <c r="Z93" t="b">
        <v>0</v>
      </c>
      <c r="AA93" t="b">
        <v>1</v>
      </c>
      <c r="AB93">
        <v>8</v>
      </c>
      <c r="AC93">
        <v>12036.7978515625</v>
      </c>
      <c r="AD93">
        <v>90616.5625</v>
      </c>
      <c r="AE93">
        <v>102653.359375</v>
      </c>
      <c r="AI93">
        <v>350253.25</v>
      </c>
      <c r="AJ93" t="s">
        <v>268</v>
      </c>
      <c r="AK93">
        <v>0</v>
      </c>
      <c r="AL93">
        <v>38</v>
      </c>
      <c r="AM93">
        <v>0</v>
      </c>
      <c r="AN93">
        <v>14</v>
      </c>
      <c r="AO93">
        <v>0</v>
      </c>
      <c r="AP93">
        <v>14</v>
      </c>
      <c r="AQ93">
        <v>0</v>
      </c>
      <c r="AR93">
        <v>0</v>
      </c>
      <c r="AS93">
        <v>34</v>
      </c>
      <c r="AT93" t="b">
        <v>1</v>
      </c>
      <c r="AU93">
        <v>1</v>
      </c>
      <c r="AV93">
        <v>1</v>
      </c>
      <c r="AW93">
        <v>0</v>
      </c>
      <c r="AX93" t="b">
        <v>0</v>
      </c>
      <c r="AY93" t="b">
        <v>0</v>
      </c>
      <c r="AZ93" t="b">
        <v>0</v>
      </c>
      <c r="BA93" t="b">
        <v>0</v>
      </c>
      <c r="BB93" t="s">
        <v>268</v>
      </c>
      <c r="BC93" t="s">
        <v>268</v>
      </c>
      <c r="BD93" t="s">
        <v>268</v>
      </c>
      <c r="BE93" t="s">
        <v>1307</v>
      </c>
      <c r="BF93" t="s">
        <v>1308</v>
      </c>
      <c r="BG93" t="s">
        <v>1309</v>
      </c>
      <c r="BH93" t="s">
        <v>1310</v>
      </c>
      <c r="BI93" t="s">
        <v>1322</v>
      </c>
      <c r="BJ93" t="b">
        <v>0</v>
      </c>
      <c r="BK93" t="b">
        <v>1</v>
      </c>
      <c r="BL93" t="b">
        <v>0</v>
      </c>
      <c r="BM93" t="b">
        <v>0</v>
      </c>
      <c r="BN93" t="b">
        <v>0</v>
      </c>
      <c r="BO93" t="b">
        <v>0</v>
      </c>
      <c r="BP93">
        <v>1</v>
      </c>
      <c r="BQ93">
        <v>13</v>
      </c>
      <c r="BR93">
        <v>0</v>
      </c>
      <c r="BS93">
        <v>0</v>
      </c>
      <c r="BT93" t="b">
        <v>1</v>
      </c>
      <c r="BV93">
        <v>18</v>
      </c>
      <c r="BW93">
        <v>7650</v>
      </c>
      <c r="BX93">
        <v>0</v>
      </c>
      <c r="BY93" t="s">
        <v>268</v>
      </c>
      <c r="BZ93" t="s">
        <v>268</v>
      </c>
      <c r="CA93" t="s">
        <v>268</v>
      </c>
      <c r="CB93" t="s">
        <v>271</v>
      </c>
      <c r="CC93" t="s">
        <v>1319</v>
      </c>
      <c r="CD93" t="s">
        <v>1313</v>
      </c>
      <c r="CE93" t="s">
        <v>1357</v>
      </c>
      <c r="CF93" t="s">
        <v>1315</v>
      </c>
      <c r="CG93">
        <f t="shared" si="5"/>
        <v>628.72027587890602</v>
      </c>
      <c r="CH93">
        <f t="shared" si="6"/>
        <v>15540</v>
      </c>
      <c r="CI93">
        <f t="shared" si="7"/>
        <v>3</v>
      </c>
      <c r="CJ93">
        <f t="shared" si="8"/>
        <v>9770313.0871581994</v>
      </c>
      <c r="CK93">
        <f t="shared" si="9"/>
        <v>1886.1608276367181</v>
      </c>
    </row>
    <row r="94" spans="1:89">
      <c r="A94">
        <v>21564</v>
      </c>
      <c r="B94" t="s">
        <v>1302</v>
      </c>
      <c r="C94">
        <v>328.02795410156301</v>
      </c>
      <c r="D94" t="s">
        <v>1303</v>
      </c>
      <c r="E94">
        <v>1983</v>
      </c>
      <c r="F94" t="s">
        <v>1413</v>
      </c>
      <c r="G94" t="s">
        <v>167</v>
      </c>
      <c r="H94">
        <v>98405</v>
      </c>
      <c r="I94" t="s">
        <v>1305</v>
      </c>
      <c r="K94" t="s">
        <v>1306</v>
      </c>
      <c r="L94">
        <v>23</v>
      </c>
      <c r="M94">
        <v>3</v>
      </c>
      <c r="N94">
        <v>0</v>
      </c>
      <c r="O94">
        <v>3</v>
      </c>
      <c r="P94">
        <v>0</v>
      </c>
      <c r="Q94">
        <v>17600</v>
      </c>
      <c r="R94">
        <v>17600</v>
      </c>
      <c r="S94">
        <v>4953</v>
      </c>
      <c r="T94">
        <v>0</v>
      </c>
      <c r="U94">
        <v>0</v>
      </c>
      <c r="V94">
        <v>0</v>
      </c>
      <c r="W94">
        <v>23</v>
      </c>
      <c r="X94">
        <v>0</v>
      </c>
      <c r="Y94">
        <v>4</v>
      </c>
      <c r="Z94" t="b">
        <v>0</v>
      </c>
      <c r="AA94" t="b">
        <v>1</v>
      </c>
      <c r="AB94">
        <v>8</v>
      </c>
      <c r="AC94">
        <v>98025.9765625</v>
      </c>
      <c r="AD94">
        <v>112631.515625</v>
      </c>
      <c r="AE94">
        <v>210657.5</v>
      </c>
      <c r="AI94">
        <v>718763.375</v>
      </c>
      <c r="AJ94" t="s">
        <v>268</v>
      </c>
      <c r="AK94">
        <v>0</v>
      </c>
      <c r="AL94">
        <v>44</v>
      </c>
      <c r="AM94">
        <v>0</v>
      </c>
      <c r="AN94">
        <v>2</v>
      </c>
      <c r="AO94">
        <v>0</v>
      </c>
      <c r="AP94">
        <v>35</v>
      </c>
      <c r="AQ94">
        <v>0</v>
      </c>
      <c r="AR94">
        <v>0</v>
      </c>
      <c r="AS94">
        <v>19</v>
      </c>
      <c r="AT94" t="b">
        <v>1</v>
      </c>
      <c r="AU94">
        <v>3</v>
      </c>
      <c r="AV94">
        <v>3</v>
      </c>
      <c r="AW94">
        <v>1</v>
      </c>
      <c r="AX94" t="b">
        <v>0</v>
      </c>
      <c r="AY94" t="b">
        <v>0</v>
      </c>
      <c r="AZ94" t="b">
        <v>1</v>
      </c>
      <c r="BA94" t="b">
        <v>0</v>
      </c>
      <c r="BB94" t="s">
        <v>268</v>
      </c>
      <c r="BC94" t="s">
        <v>268</v>
      </c>
      <c r="BD94" t="s">
        <v>268</v>
      </c>
      <c r="BE94" t="s">
        <v>1307</v>
      </c>
      <c r="BF94" t="s">
        <v>1308</v>
      </c>
      <c r="BG94" t="s">
        <v>1309</v>
      </c>
      <c r="BH94" t="s">
        <v>1310</v>
      </c>
      <c r="BI94" t="s">
        <v>1344</v>
      </c>
      <c r="BJ94" t="b">
        <v>0</v>
      </c>
      <c r="BK94" t="b">
        <v>1</v>
      </c>
      <c r="BL94" t="b">
        <v>0</v>
      </c>
      <c r="BM94" t="b">
        <v>0</v>
      </c>
      <c r="BN94" t="b">
        <v>0</v>
      </c>
      <c r="BO94" t="b">
        <v>0</v>
      </c>
      <c r="BP94">
        <v>1</v>
      </c>
      <c r="BQ94">
        <v>24</v>
      </c>
      <c r="BR94">
        <v>0</v>
      </c>
      <c r="BS94">
        <v>0</v>
      </c>
      <c r="BT94" t="b">
        <v>1</v>
      </c>
      <c r="BV94">
        <v>16</v>
      </c>
      <c r="BW94">
        <v>6800</v>
      </c>
      <c r="BX94">
        <v>0</v>
      </c>
      <c r="BY94" t="s">
        <v>268</v>
      </c>
      <c r="BZ94" t="s">
        <v>268</v>
      </c>
      <c r="CA94" t="s">
        <v>268</v>
      </c>
      <c r="CB94" t="s">
        <v>271</v>
      </c>
      <c r="CC94" t="s">
        <v>1312</v>
      </c>
      <c r="CD94" t="s">
        <v>1313</v>
      </c>
      <c r="CE94" t="s">
        <v>1356</v>
      </c>
      <c r="CF94" t="s">
        <v>1315</v>
      </c>
      <c r="CG94">
        <f t="shared" si="5"/>
        <v>328.02795410156301</v>
      </c>
      <c r="CH94">
        <f t="shared" si="6"/>
        <v>17600</v>
      </c>
      <c r="CI94">
        <f t="shared" si="7"/>
        <v>3</v>
      </c>
      <c r="CJ94">
        <f t="shared" si="8"/>
        <v>5773291.9921875093</v>
      </c>
      <c r="CK94">
        <f t="shared" si="9"/>
        <v>984.08386230468909</v>
      </c>
    </row>
    <row r="95" spans="1:89">
      <c r="A95">
        <v>21576</v>
      </c>
      <c r="B95" t="s">
        <v>1302</v>
      </c>
      <c r="C95">
        <v>314.36013793945301</v>
      </c>
      <c r="D95" t="s">
        <v>1334</v>
      </c>
      <c r="E95">
        <v>1973</v>
      </c>
      <c r="F95" t="s">
        <v>1414</v>
      </c>
      <c r="G95" t="s">
        <v>167</v>
      </c>
      <c r="H95">
        <v>99336</v>
      </c>
      <c r="I95" t="s">
        <v>1415</v>
      </c>
      <c r="K95" t="s">
        <v>1306</v>
      </c>
      <c r="L95">
        <v>24</v>
      </c>
      <c r="M95">
        <v>2</v>
      </c>
      <c r="N95">
        <v>0</v>
      </c>
      <c r="O95">
        <v>2</v>
      </c>
      <c r="P95">
        <v>0</v>
      </c>
      <c r="Q95">
        <v>23040</v>
      </c>
      <c r="R95">
        <v>23040</v>
      </c>
      <c r="S95">
        <v>300</v>
      </c>
      <c r="T95">
        <v>0</v>
      </c>
      <c r="U95">
        <v>0</v>
      </c>
      <c r="V95">
        <v>24</v>
      </c>
      <c r="W95">
        <v>0</v>
      </c>
      <c r="X95">
        <v>0</v>
      </c>
      <c r="Y95">
        <v>3</v>
      </c>
      <c r="Z95" t="b">
        <v>0</v>
      </c>
      <c r="AA95" t="b">
        <v>1</v>
      </c>
      <c r="AB95">
        <v>7</v>
      </c>
      <c r="AC95">
        <v>20729.169921875</v>
      </c>
      <c r="AD95">
        <v>207866.015625</v>
      </c>
      <c r="AE95">
        <v>228595.1875</v>
      </c>
      <c r="AI95">
        <v>779966.75</v>
      </c>
      <c r="AJ95" t="s">
        <v>268</v>
      </c>
      <c r="AK95">
        <v>0</v>
      </c>
      <c r="AL95">
        <v>36</v>
      </c>
      <c r="AM95">
        <v>0</v>
      </c>
      <c r="AN95">
        <v>7</v>
      </c>
      <c r="AO95">
        <v>0</v>
      </c>
      <c r="AP95">
        <v>7</v>
      </c>
      <c r="AQ95">
        <v>0</v>
      </c>
      <c r="AR95">
        <v>0</v>
      </c>
      <c r="AS95">
        <v>36</v>
      </c>
      <c r="AT95" t="b">
        <v>0</v>
      </c>
      <c r="AU95">
        <v>5</v>
      </c>
      <c r="AV95">
        <v>5</v>
      </c>
      <c r="AW95">
        <v>0</v>
      </c>
      <c r="AX95" t="b">
        <v>0</v>
      </c>
      <c r="AY95" t="b">
        <v>0</v>
      </c>
      <c r="AZ95" t="b">
        <v>0</v>
      </c>
      <c r="BA95" t="b">
        <v>0</v>
      </c>
      <c r="BB95" t="s">
        <v>268</v>
      </c>
      <c r="BC95" t="s">
        <v>268</v>
      </c>
      <c r="BD95" t="s">
        <v>268</v>
      </c>
      <c r="BE95" t="s">
        <v>1307</v>
      </c>
      <c r="BF95" t="s">
        <v>1308</v>
      </c>
      <c r="BG95" t="s">
        <v>1309</v>
      </c>
      <c r="BH95" t="s">
        <v>1336</v>
      </c>
      <c r="BI95" t="s">
        <v>1322</v>
      </c>
      <c r="BJ95" t="b">
        <v>0</v>
      </c>
      <c r="BK95" t="b">
        <v>1</v>
      </c>
      <c r="BL95" t="b">
        <v>0</v>
      </c>
      <c r="BM95" t="b">
        <v>0</v>
      </c>
      <c r="BN95" t="b">
        <v>0</v>
      </c>
      <c r="BO95" t="b">
        <v>0</v>
      </c>
      <c r="BP95">
        <v>4</v>
      </c>
      <c r="BQ95">
        <v>26</v>
      </c>
      <c r="BR95">
        <v>0</v>
      </c>
      <c r="BS95">
        <v>0</v>
      </c>
      <c r="BT95" t="b">
        <v>1</v>
      </c>
      <c r="BU95">
        <v>0</v>
      </c>
      <c r="BV95">
        <v>24</v>
      </c>
      <c r="BW95">
        <v>10200</v>
      </c>
      <c r="BX95">
        <v>0</v>
      </c>
      <c r="BY95" t="s">
        <v>268</v>
      </c>
      <c r="BZ95" t="s">
        <v>268</v>
      </c>
      <c r="CA95" t="s">
        <v>268</v>
      </c>
      <c r="CB95" t="s">
        <v>271</v>
      </c>
      <c r="CC95" t="s">
        <v>1319</v>
      </c>
      <c r="CD95" t="s">
        <v>1313</v>
      </c>
      <c r="CE95" t="s">
        <v>1327</v>
      </c>
      <c r="CF95" t="s">
        <v>1315</v>
      </c>
      <c r="CG95">
        <f t="shared" si="5"/>
        <v>314.36013793945301</v>
      </c>
      <c r="CH95">
        <f t="shared" si="6"/>
        <v>23040</v>
      </c>
      <c r="CI95">
        <f t="shared" si="7"/>
        <v>2</v>
      </c>
      <c r="CJ95">
        <f t="shared" si="8"/>
        <v>7242857.5781249972</v>
      </c>
      <c r="CK95">
        <f t="shared" si="9"/>
        <v>628.72027587890602</v>
      </c>
    </row>
    <row r="96" spans="1:89">
      <c r="A96">
        <v>21627</v>
      </c>
      <c r="B96" t="s">
        <v>1302</v>
      </c>
      <c r="C96">
        <v>314.36013793945301</v>
      </c>
      <c r="D96" t="s">
        <v>1338</v>
      </c>
      <c r="E96">
        <v>2004</v>
      </c>
      <c r="F96" t="s">
        <v>1416</v>
      </c>
      <c r="G96" t="s">
        <v>169</v>
      </c>
      <c r="H96">
        <v>83704</v>
      </c>
      <c r="I96" t="s">
        <v>1417</v>
      </c>
      <c r="J96" t="s">
        <v>1418</v>
      </c>
      <c r="K96" t="s">
        <v>1306</v>
      </c>
      <c r="L96">
        <v>24</v>
      </c>
      <c r="M96">
        <v>3</v>
      </c>
      <c r="N96">
        <v>0</v>
      </c>
      <c r="O96">
        <v>3</v>
      </c>
      <c r="P96">
        <v>0</v>
      </c>
      <c r="Q96">
        <v>22200</v>
      </c>
      <c r="R96">
        <v>22200</v>
      </c>
      <c r="S96">
        <v>0</v>
      </c>
      <c r="T96">
        <v>0</v>
      </c>
      <c r="U96">
        <v>12</v>
      </c>
      <c r="V96">
        <v>12</v>
      </c>
      <c r="W96">
        <v>0</v>
      </c>
      <c r="X96">
        <v>0</v>
      </c>
      <c r="Y96">
        <v>8</v>
      </c>
      <c r="Z96" t="b">
        <v>0</v>
      </c>
      <c r="AA96" t="b">
        <v>0</v>
      </c>
      <c r="AB96">
        <v>8</v>
      </c>
      <c r="AD96">
        <v>50591.65625</v>
      </c>
      <c r="AE96">
        <v>50591.65625</v>
      </c>
      <c r="AJ96" t="s">
        <v>268</v>
      </c>
      <c r="AK96">
        <v>0</v>
      </c>
      <c r="AL96">
        <v>44</v>
      </c>
      <c r="AM96">
        <v>0</v>
      </c>
      <c r="AN96">
        <v>6</v>
      </c>
      <c r="AO96">
        <v>0</v>
      </c>
      <c r="AP96">
        <v>6</v>
      </c>
      <c r="AQ96">
        <v>0</v>
      </c>
      <c r="AR96">
        <v>0</v>
      </c>
      <c r="AS96">
        <v>44</v>
      </c>
      <c r="AT96" t="b">
        <v>1</v>
      </c>
      <c r="AU96">
        <v>0</v>
      </c>
      <c r="AV96">
        <v>0</v>
      </c>
      <c r="AW96">
        <v>0</v>
      </c>
      <c r="AX96" t="b">
        <v>0</v>
      </c>
      <c r="AY96" t="b">
        <v>0</v>
      </c>
      <c r="AZ96" t="b">
        <v>0</v>
      </c>
      <c r="BA96" t="b">
        <v>0</v>
      </c>
      <c r="BB96" t="s">
        <v>268</v>
      </c>
      <c r="BC96" t="s">
        <v>268</v>
      </c>
      <c r="BD96" t="s">
        <v>268</v>
      </c>
      <c r="BE96" t="s">
        <v>1341</v>
      </c>
      <c r="BF96" t="s">
        <v>1342</v>
      </c>
      <c r="BG96" t="s">
        <v>1309</v>
      </c>
      <c r="BH96" t="s">
        <v>1343</v>
      </c>
      <c r="BI96" t="s">
        <v>1311</v>
      </c>
      <c r="BJ96" t="b">
        <v>1</v>
      </c>
      <c r="BK96" t="b">
        <v>1</v>
      </c>
      <c r="BL96" t="b">
        <v>1</v>
      </c>
      <c r="BM96" t="b">
        <v>0</v>
      </c>
      <c r="BN96" t="b">
        <v>0</v>
      </c>
      <c r="BO96" t="b">
        <v>0</v>
      </c>
      <c r="BP96">
        <v>2</v>
      </c>
      <c r="BQ96">
        <v>27</v>
      </c>
      <c r="BR96">
        <v>2</v>
      </c>
      <c r="BS96">
        <v>24</v>
      </c>
      <c r="BT96" t="b">
        <v>1</v>
      </c>
      <c r="BU96">
        <v>0</v>
      </c>
      <c r="BV96">
        <v>24</v>
      </c>
      <c r="BW96">
        <v>10200</v>
      </c>
      <c r="BX96">
        <v>0</v>
      </c>
      <c r="BY96" t="s">
        <v>268</v>
      </c>
      <c r="BZ96" t="s">
        <v>268</v>
      </c>
      <c r="CA96" t="s">
        <v>268</v>
      </c>
      <c r="CB96" t="s">
        <v>271</v>
      </c>
      <c r="CC96" t="s">
        <v>1312</v>
      </c>
      <c r="CD96" t="s">
        <v>1313</v>
      </c>
      <c r="CE96" t="s">
        <v>1314</v>
      </c>
      <c r="CF96" t="s">
        <v>1315</v>
      </c>
      <c r="CG96" t="str">
        <f t="shared" si="5"/>
        <v/>
      </c>
      <c r="CH96" t="str">
        <f t="shared" si="6"/>
        <v/>
      </c>
      <c r="CI96" t="str">
        <f t="shared" si="7"/>
        <v/>
      </c>
      <c r="CJ96" t="str">
        <f t="shared" si="8"/>
        <v/>
      </c>
      <c r="CK96" t="str">
        <f t="shared" si="9"/>
        <v/>
      </c>
    </row>
    <row r="97" spans="1:89">
      <c r="A97">
        <v>21642</v>
      </c>
      <c r="B97" t="s">
        <v>1302</v>
      </c>
      <c r="C97">
        <v>943.08038330078102</v>
      </c>
      <c r="D97" t="s">
        <v>1324</v>
      </c>
      <c r="E97">
        <v>1963</v>
      </c>
      <c r="F97" t="s">
        <v>1413</v>
      </c>
      <c r="G97" t="s">
        <v>167</v>
      </c>
      <c r="H97">
        <v>98403</v>
      </c>
      <c r="I97" t="s">
        <v>1305</v>
      </c>
      <c r="K97" t="s">
        <v>1306</v>
      </c>
      <c r="L97">
        <v>8</v>
      </c>
      <c r="M97">
        <v>1</v>
      </c>
      <c r="N97">
        <v>0</v>
      </c>
      <c r="O97">
        <v>1</v>
      </c>
      <c r="P97">
        <v>0</v>
      </c>
      <c r="Q97">
        <v>4504</v>
      </c>
      <c r="R97">
        <v>4504</v>
      </c>
      <c r="S97">
        <v>158</v>
      </c>
      <c r="T97">
        <v>0</v>
      </c>
      <c r="U97">
        <v>0</v>
      </c>
      <c r="V97">
        <v>0</v>
      </c>
      <c r="W97">
        <v>8</v>
      </c>
      <c r="X97">
        <v>0</v>
      </c>
      <c r="Y97">
        <v>0</v>
      </c>
      <c r="Z97" t="b">
        <v>0</v>
      </c>
      <c r="AA97" t="b">
        <v>1</v>
      </c>
      <c r="AB97">
        <v>8</v>
      </c>
      <c r="AD97">
        <v>26107.80859375</v>
      </c>
      <c r="AE97">
        <v>26107.80859375</v>
      </c>
      <c r="AI97">
        <v>89079.84375</v>
      </c>
      <c r="AJ97" t="s">
        <v>268</v>
      </c>
      <c r="AK97">
        <v>0</v>
      </c>
      <c r="AL97">
        <v>30</v>
      </c>
      <c r="AM97">
        <v>0</v>
      </c>
      <c r="AN97">
        <v>22</v>
      </c>
      <c r="AO97">
        <v>0</v>
      </c>
      <c r="AP97">
        <v>22</v>
      </c>
      <c r="AQ97">
        <v>0</v>
      </c>
      <c r="AR97">
        <v>0</v>
      </c>
      <c r="AS97">
        <v>26</v>
      </c>
      <c r="AT97" t="b">
        <v>0</v>
      </c>
      <c r="AU97">
        <v>1</v>
      </c>
      <c r="AV97">
        <v>1</v>
      </c>
      <c r="AW97">
        <v>0</v>
      </c>
      <c r="AX97" t="b">
        <v>0</v>
      </c>
      <c r="AY97" t="b">
        <v>0</v>
      </c>
      <c r="AZ97" t="b">
        <v>0</v>
      </c>
      <c r="BA97" t="b">
        <v>0</v>
      </c>
      <c r="BB97" t="s">
        <v>268</v>
      </c>
      <c r="BC97" t="s">
        <v>268</v>
      </c>
      <c r="BD97" t="s">
        <v>268</v>
      </c>
      <c r="BE97" t="s">
        <v>1307</v>
      </c>
      <c r="BF97" t="s">
        <v>1308</v>
      </c>
      <c r="BG97" t="s">
        <v>1309</v>
      </c>
      <c r="BH97" t="s">
        <v>1310</v>
      </c>
      <c r="BI97" t="s">
        <v>1322</v>
      </c>
      <c r="BJ97" t="b">
        <v>0</v>
      </c>
      <c r="BK97" t="b">
        <v>1</v>
      </c>
      <c r="BL97" t="b">
        <v>0</v>
      </c>
      <c r="BM97" t="b">
        <v>0</v>
      </c>
      <c r="BN97" t="b">
        <v>0</v>
      </c>
      <c r="BO97" t="b">
        <v>0</v>
      </c>
      <c r="BP97">
        <v>1</v>
      </c>
      <c r="BQ97">
        <v>9</v>
      </c>
      <c r="BR97">
        <v>0</v>
      </c>
      <c r="BS97">
        <v>0</v>
      </c>
      <c r="BT97" t="b">
        <v>1</v>
      </c>
      <c r="BU97">
        <v>0</v>
      </c>
      <c r="BV97">
        <v>6</v>
      </c>
      <c r="BW97">
        <v>1387</v>
      </c>
      <c r="BX97">
        <v>0</v>
      </c>
      <c r="BY97" t="s">
        <v>268</v>
      </c>
      <c r="BZ97" t="s">
        <v>268</v>
      </c>
      <c r="CA97" t="s">
        <v>271</v>
      </c>
      <c r="CB97" t="s">
        <v>268</v>
      </c>
      <c r="CC97" t="s">
        <v>1312</v>
      </c>
      <c r="CD97" t="s">
        <v>1313</v>
      </c>
      <c r="CE97" t="s">
        <v>1314</v>
      </c>
      <c r="CF97" t="s">
        <v>1315</v>
      </c>
      <c r="CG97">
        <f t="shared" si="5"/>
        <v>943.08038330078102</v>
      </c>
      <c r="CH97">
        <f t="shared" si="6"/>
        <v>4504</v>
      </c>
      <c r="CI97">
        <f t="shared" si="7"/>
        <v>1</v>
      </c>
      <c r="CJ97">
        <f t="shared" si="8"/>
        <v>4247634.0463867178</v>
      </c>
      <c r="CK97">
        <f t="shared" si="9"/>
        <v>943.08038330078102</v>
      </c>
    </row>
    <row r="98" spans="1:89">
      <c r="A98">
        <v>21691</v>
      </c>
      <c r="B98" t="s">
        <v>1302</v>
      </c>
      <c r="C98">
        <v>943.08038330078102</v>
      </c>
      <c r="D98" t="s">
        <v>1334</v>
      </c>
      <c r="E98">
        <v>1980</v>
      </c>
      <c r="F98" t="s">
        <v>1419</v>
      </c>
      <c r="G98" t="s">
        <v>170</v>
      </c>
      <c r="H98">
        <v>59645</v>
      </c>
      <c r="I98" t="s">
        <v>1411</v>
      </c>
      <c r="K98" t="s">
        <v>1306</v>
      </c>
      <c r="L98">
        <v>8</v>
      </c>
      <c r="M98">
        <v>1</v>
      </c>
      <c r="N98">
        <v>0</v>
      </c>
      <c r="O98">
        <v>1</v>
      </c>
      <c r="P98">
        <v>0</v>
      </c>
      <c r="Q98">
        <v>6726</v>
      </c>
      <c r="R98">
        <v>6726</v>
      </c>
      <c r="S98">
        <v>1265</v>
      </c>
      <c r="T98">
        <v>0</v>
      </c>
      <c r="U98">
        <v>0</v>
      </c>
      <c r="V98">
        <v>7</v>
      </c>
      <c r="W98">
        <v>1</v>
      </c>
      <c r="X98">
        <v>0</v>
      </c>
      <c r="Y98">
        <v>0</v>
      </c>
      <c r="Z98" t="b">
        <v>0</v>
      </c>
      <c r="AA98" t="b">
        <v>1</v>
      </c>
      <c r="AB98">
        <v>8</v>
      </c>
      <c r="AJ98" t="s">
        <v>271</v>
      </c>
      <c r="AK98">
        <v>0</v>
      </c>
      <c r="AL98">
        <v>40</v>
      </c>
      <c r="AM98">
        <v>0</v>
      </c>
      <c r="AN98">
        <v>10</v>
      </c>
      <c r="AO98">
        <v>0</v>
      </c>
      <c r="AP98">
        <v>10</v>
      </c>
      <c r="AQ98">
        <v>0</v>
      </c>
      <c r="AR98">
        <v>0</v>
      </c>
      <c r="AS98">
        <v>40</v>
      </c>
      <c r="AT98" t="b">
        <v>0</v>
      </c>
      <c r="AU98">
        <v>2</v>
      </c>
      <c r="AV98">
        <v>2</v>
      </c>
      <c r="AW98">
        <v>0</v>
      </c>
      <c r="AX98" t="b">
        <v>0</v>
      </c>
      <c r="AY98" t="b">
        <v>0</v>
      </c>
      <c r="AZ98" t="b">
        <v>1</v>
      </c>
      <c r="BA98" t="b">
        <v>0</v>
      </c>
      <c r="BB98" t="s">
        <v>268</v>
      </c>
      <c r="BC98" t="s">
        <v>268</v>
      </c>
      <c r="BD98" t="s">
        <v>268</v>
      </c>
      <c r="BE98" t="s">
        <v>1307</v>
      </c>
      <c r="BF98" t="s">
        <v>1308</v>
      </c>
      <c r="BG98" t="s">
        <v>1309</v>
      </c>
      <c r="BH98" t="s">
        <v>1336</v>
      </c>
      <c r="BI98" t="s">
        <v>1322</v>
      </c>
      <c r="BJ98" t="b">
        <v>0</v>
      </c>
      <c r="BK98" t="b">
        <v>1</v>
      </c>
      <c r="BL98" t="b">
        <v>0</v>
      </c>
      <c r="BM98" t="b">
        <v>0</v>
      </c>
      <c r="BN98" t="b">
        <v>0</v>
      </c>
      <c r="BO98" t="b">
        <v>0</v>
      </c>
      <c r="BP98">
        <v>9</v>
      </c>
      <c r="BQ98">
        <v>9</v>
      </c>
      <c r="BR98">
        <v>0</v>
      </c>
      <c r="BS98">
        <v>0</v>
      </c>
      <c r="BT98" t="b">
        <v>1</v>
      </c>
      <c r="BU98">
        <v>0</v>
      </c>
      <c r="BV98">
        <v>5</v>
      </c>
      <c r="BW98">
        <v>2125</v>
      </c>
      <c r="BX98">
        <v>0</v>
      </c>
      <c r="BY98" t="s">
        <v>268</v>
      </c>
      <c r="BZ98" t="s">
        <v>268</v>
      </c>
      <c r="CA98" t="s">
        <v>268</v>
      </c>
      <c r="CB98" t="s">
        <v>271</v>
      </c>
      <c r="CC98" t="s">
        <v>1319</v>
      </c>
      <c r="CD98" t="s">
        <v>1313</v>
      </c>
      <c r="CE98" t="s">
        <v>1327</v>
      </c>
      <c r="CF98" t="s">
        <v>1315</v>
      </c>
      <c r="CG98">
        <f t="shared" si="5"/>
        <v>943.08038330078102</v>
      </c>
      <c r="CH98">
        <f t="shared" si="6"/>
        <v>6726</v>
      </c>
      <c r="CI98">
        <f t="shared" si="7"/>
        <v>1</v>
      </c>
      <c r="CJ98">
        <f t="shared" si="8"/>
        <v>6343158.6580810528</v>
      </c>
      <c r="CK98">
        <f t="shared" si="9"/>
        <v>943.08038330078102</v>
      </c>
    </row>
    <row r="99" spans="1:89">
      <c r="A99">
        <v>21757</v>
      </c>
      <c r="B99" t="s">
        <v>1302</v>
      </c>
      <c r="C99">
        <v>1257.44055175781</v>
      </c>
      <c r="D99" t="s">
        <v>1324</v>
      </c>
      <c r="E99">
        <v>1962</v>
      </c>
      <c r="F99" t="s">
        <v>1413</v>
      </c>
      <c r="G99" t="s">
        <v>167</v>
      </c>
      <c r="H99">
        <v>98444</v>
      </c>
      <c r="I99" t="s">
        <v>1305</v>
      </c>
      <c r="K99" t="s">
        <v>1306</v>
      </c>
      <c r="L99">
        <v>6</v>
      </c>
      <c r="M99">
        <v>1</v>
      </c>
      <c r="N99">
        <v>0</v>
      </c>
      <c r="O99">
        <v>1</v>
      </c>
      <c r="P99">
        <v>0</v>
      </c>
      <c r="Q99">
        <v>4588</v>
      </c>
      <c r="R99">
        <v>4588</v>
      </c>
      <c r="S99">
        <v>0</v>
      </c>
      <c r="T99">
        <v>0</v>
      </c>
      <c r="U99">
        <v>0</v>
      </c>
      <c r="V99">
        <v>6</v>
      </c>
      <c r="W99">
        <v>0</v>
      </c>
      <c r="X99">
        <v>0</v>
      </c>
      <c r="Y99">
        <v>16</v>
      </c>
      <c r="Z99" t="b">
        <v>0</v>
      </c>
      <c r="AA99" t="b">
        <v>0</v>
      </c>
      <c r="AB99">
        <v>7.5</v>
      </c>
      <c r="AD99">
        <v>378021.03125</v>
      </c>
      <c r="AE99">
        <v>378021.03125</v>
      </c>
      <c r="AI99">
        <v>1289807.75</v>
      </c>
      <c r="AJ99" t="s">
        <v>268</v>
      </c>
      <c r="AK99">
        <v>0</v>
      </c>
      <c r="AL99">
        <v>41</v>
      </c>
      <c r="AM99">
        <v>0</v>
      </c>
      <c r="AN99">
        <v>0</v>
      </c>
      <c r="AO99">
        <v>0</v>
      </c>
      <c r="AP99">
        <v>0</v>
      </c>
      <c r="AQ99">
        <v>0</v>
      </c>
      <c r="AR99">
        <v>0</v>
      </c>
      <c r="AS99">
        <v>59</v>
      </c>
      <c r="AT99" t="b">
        <v>0</v>
      </c>
      <c r="AU99">
        <v>0</v>
      </c>
      <c r="AV99">
        <v>0</v>
      </c>
      <c r="AW99">
        <v>0</v>
      </c>
      <c r="AX99" t="b">
        <v>0</v>
      </c>
      <c r="AY99" t="b">
        <v>0</v>
      </c>
      <c r="AZ99" t="b">
        <v>0</v>
      </c>
      <c r="BA99" t="b">
        <v>0</v>
      </c>
      <c r="BB99" t="s">
        <v>268</v>
      </c>
      <c r="BC99" t="s">
        <v>268</v>
      </c>
      <c r="BD99" t="s">
        <v>268</v>
      </c>
      <c r="BE99" t="s">
        <v>1307</v>
      </c>
      <c r="BF99" t="s">
        <v>1308</v>
      </c>
      <c r="BG99" t="s">
        <v>1309</v>
      </c>
      <c r="BH99" t="s">
        <v>1310</v>
      </c>
      <c r="BI99" t="s">
        <v>1311</v>
      </c>
      <c r="BJ99" t="b">
        <v>0</v>
      </c>
      <c r="BK99" t="b">
        <v>1</v>
      </c>
      <c r="BL99" t="b">
        <v>0</v>
      </c>
      <c r="BM99" t="b">
        <v>0</v>
      </c>
      <c r="BN99" t="b">
        <v>0</v>
      </c>
      <c r="BO99" t="b">
        <v>0</v>
      </c>
      <c r="BP99">
        <v>2</v>
      </c>
      <c r="BQ99">
        <v>1</v>
      </c>
      <c r="BR99">
        <v>0</v>
      </c>
      <c r="BS99">
        <v>0</v>
      </c>
      <c r="BT99" t="b">
        <v>1</v>
      </c>
      <c r="BU99">
        <v>0</v>
      </c>
      <c r="BV99">
        <v>6</v>
      </c>
      <c r="BW99">
        <v>2550</v>
      </c>
      <c r="BX99">
        <v>0</v>
      </c>
      <c r="BY99" t="s">
        <v>268</v>
      </c>
      <c r="BZ99" t="s">
        <v>268</v>
      </c>
      <c r="CA99" t="s">
        <v>268</v>
      </c>
      <c r="CB99" t="s">
        <v>271</v>
      </c>
      <c r="CC99" t="s">
        <v>1312</v>
      </c>
      <c r="CD99" t="s">
        <v>1313</v>
      </c>
      <c r="CE99" t="s">
        <v>1314</v>
      </c>
      <c r="CF99" t="s">
        <v>1315</v>
      </c>
      <c r="CG99">
        <f t="shared" si="5"/>
        <v>1257.44055175781</v>
      </c>
      <c r="CH99">
        <f t="shared" si="6"/>
        <v>4588</v>
      </c>
      <c r="CI99">
        <f t="shared" si="7"/>
        <v>1</v>
      </c>
      <c r="CJ99">
        <f t="shared" si="8"/>
        <v>5769137.2514648326</v>
      </c>
      <c r="CK99">
        <f t="shared" si="9"/>
        <v>1257.44055175781</v>
      </c>
    </row>
    <row r="100" spans="1:89">
      <c r="A100">
        <v>21839</v>
      </c>
      <c r="B100" t="s">
        <v>1331</v>
      </c>
      <c r="C100">
        <v>314.36013793945301</v>
      </c>
      <c r="D100" t="s">
        <v>1338</v>
      </c>
      <c r="E100">
        <v>2010</v>
      </c>
      <c r="F100" t="s">
        <v>1385</v>
      </c>
      <c r="G100" t="s">
        <v>168</v>
      </c>
      <c r="H100">
        <v>97229</v>
      </c>
      <c r="I100" t="s">
        <v>1386</v>
      </c>
      <c r="K100" t="s">
        <v>1306</v>
      </c>
      <c r="L100">
        <v>24</v>
      </c>
      <c r="M100">
        <v>4</v>
      </c>
      <c r="N100">
        <v>0</v>
      </c>
      <c r="O100">
        <v>4</v>
      </c>
      <c r="P100">
        <v>0</v>
      </c>
      <c r="Q100">
        <v>22464</v>
      </c>
      <c r="R100">
        <v>22464</v>
      </c>
      <c r="S100">
        <v>150</v>
      </c>
      <c r="T100">
        <v>0</v>
      </c>
      <c r="U100">
        <v>0</v>
      </c>
      <c r="V100">
        <v>24</v>
      </c>
      <c r="W100">
        <v>0</v>
      </c>
      <c r="X100">
        <v>0</v>
      </c>
      <c r="Y100">
        <v>0</v>
      </c>
      <c r="Z100" t="b">
        <v>0</v>
      </c>
      <c r="AA100" t="b">
        <v>1</v>
      </c>
      <c r="AB100">
        <v>8</v>
      </c>
      <c r="AC100">
        <v>18836.14453125</v>
      </c>
      <c r="AD100">
        <v>113560.625</v>
      </c>
      <c r="AE100">
        <v>132396.765625</v>
      </c>
      <c r="AI100">
        <v>451737.75</v>
      </c>
      <c r="AJ100" t="s">
        <v>268</v>
      </c>
      <c r="AK100">
        <v>0</v>
      </c>
      <c r="AL100">
        <v>15</v>
      </c>
      <c r="AM100">
        <v>0</v>
      </c>
      <c r="AN100">
        <v>23</v>
      </c>
      <c r="AO100">
        <v>0</v>
      </c>
      <c r="AP100">
        <v>47</v>
      </c>
      <c r="AQ100">
        <v>0</v>
      </c>
      <c r="AR100">
        <v>0</v>
      </c>
      <c r="AS100">
        <v>15</v>
      </c>
      <c r="AT100" t="b">
        <v>1</v>
      </c>
      <c r="AU100">
        <v>0</v>
      </c>
      <c r="AV100">
        <v>0</v>
      </c>
      <c r="AW100">
        <v>0</v>
      </c>
      <c r="AX100" t="b">
        <v>0</v>
      </c>
      <c r="AY100" t="b">
        <v>0</v>
      </c>
      <c r="AZ100" t="b">
        <v>1</v>
      </c>
      <c r="BA100" t="b">
        <v>0</v>
      </c>
      <c r="BB100" t="s">
        <v>268</v>
      </c>
      <c r="BC100" t="s">
        <v>268</v>
      </c>
      <c r="BD100" t="s">
        <v>268</v>
      </c>
      <c r="BE100" t="s">
        <v>1307</v>
      </c>
      <c r="BF100" t="s">
        <v>1308</v>
      </c>
      <c r="BG100" t="s">
        <v>1309</v>
      </c>
      <c r="BH100" t="s">
        <v>1310</v>
      </c>
      <c r="BI100" t="s">
        <v>1311</v>
      </c>
      <c r="BJ100" t="b">
        <v>0</v>
      </c>
      <c r="BK100" t="b">
        <v>1</v>
      </c>
      <c r="BL100" t="b">
        <v>1</v>
      </c>
      <c r="BM100" t="b">
        <v>0</v>
      </c>
      <c r="BN100" t="b">
        <v>0</v>
      </c>
      <c r="BO100" t="b">
        <v>0</v>
      </c>
      <c r="BP100">
        <v>21</v>
      </c>
      <c r="BQ100">
        <v>25</v>
      </c>
      <c r="BR100">
        <v>1</v>
      </c>
      <c r="BS100">
        <v>1</v>
      </c>
      <c r="BT100" t="b">
        <v>1</v>
      </c>
      <c r="BU100">
        <v>0</v>
      </c>
      <c r="BV100">
        <v>28</v>
      </c>
      <c r="BW100">
        <v>6437</v>
      </c>
      <c r="BX100">
        <v>1</v>
      </c>
      <c r="BY100" t="s">
        <v>271</v>
      </c>
      <c r="BZ100" t="s">
        <v>268</v>
      </c>
      <c r="CA100" t="s">
        <v>271</v>
      </c>
      <c r="CB100" t="s">
        <v>271</v>
      </c>
      <c r="CC100" t="s">
        <v>1312</v>
      </c>
      <c r="CD100" t="s">
        <v>1313</v>
      </c>
      <c r="CE100" t="s">
        <v>1314</v>
      </c>
      <c r="CF100" t="s">
        <v>1315</v>
      </c>
      <c r="CG100" t="str">
        <f t="shared" si="5"/>
        <v/>
      </c>
      <c r="CH100" t="str">
        <f t="shared" si="6"/>
        <v/>
      </c>
      <c r="CI100" t="str">
        <f t="shared" si="7"/>
        <v/>
      </c>
      <c r="CJ100" t="str">
        <f t="shared" si="8"/>
        <v/>
      </c>
      <c r="CK100" t="str">
        <f t="shared" si="9"/>
        <v/>
      </c>
    </row>
    <row r="101" spans="1:89">
      <c r="A101">
        <v>21844</v>
      </c>
      <c r="B101" t="s">
        <v>1302</v>
      </c>
      <c r="C101">
        <v>628.72027587890602</v>
      </c>
      <c r="D101" t="s">
        <v>1338</v>
      </c>
      <c r="E101">
        <v>2004</v>
      </c>
      <c r="F101" t="s">
        <v>1420</v>
      </c>
      <c r="G101" t="s">
        <v>168</v>
      </c>
      <c r="H101">
        <v>97701</v>
      </c>
      <c r="I101" t="s">
        <v>1407</v>
      </c>
      <c r="J101" t="s">
        <v>1365</v>
      </c>
      <c r="K101" t="s">
        <v>1351</v>
      </c>
      <c r="L101">
        <v>12</v>
      </c>
      <c r="M101">
        <v>3</v>
      </c>
      <c r="N101">
        <v>0</v>
      </c>
      <c r="O101">
        <v>3</v>
      </c>
      <c r="P101">
        <v>0</v>
      </c>
      <c r="Q101">
        <v>13035</v>
      </c>
      <c r="R101">
        <v>13035</v>
      </c>
      <c r="S101">
        <v>0</v>
      </c>
      <c r="T101">
        <v>0</v>
      </c>
      <c r="U101">
        <v>2</v>
      </c>
      <c r="V101">
        <v>9</v>
      </c>
      <c r="W101">
        <v>1</v>
      </c>
      <c r="X101">
        <v>0</v>
      </c>
      <c r="Y101">
        <v>5</v>
      </c>
      <c r="Z101" t="b">
        <v>0</v>
      </c>
      <c r="AA101" t="b">
        <v>0</v>
      </c>
      <c r="AB101">
        <v>7.5</v>
      </c>
      <c r="AC101">
        <v>24649.017578125</v>
      </c>
      <c r="AD101">
        <v>83862.734375</v>
      </c>
      <c r="AE101">
        <v>108511.75</v>
      </c>
      <c r="AH101">
        <v>607.44207763671898</v>
      </c>
      <c r="AI101">
        <v>430986.3125</v>
      </c>
      <c r="AJ101" t="s">
        <v>268</v>
      </c>
      <c r="AK101">
        <v>0</v>
      </c>
      <c r="AL101">
        <v>6</v>
      </c>
      <c r="AM101">
        <v>0</v>
      </c>
      <c r="AN101">
        <v>56</v>
      </c>
      <c r="AO101">
        <v>0</v>
      </c>
      <c r="AP101">
        <v>34</v>
      </c>
      <c r="AQ101">
        <v>0</v>
      </c>
      <c r="AR101">
        <v>0</v>
      </c>
      <c r="AS101">
        <v>4</v>
      </c>
      <c r="AT101" t="b">
        <v>1</v>
      </c>
      <c r="AU101">
        <v>0</v>
      </c>
      <c r="AV101">
        <v>0</v>
      </c>
      <c r="AW101">
        <v>0</v>
      </c>
      <c r="AX101" t="b">
        <v>0</v>
      </c>
      <c r="AY101" t="b">
        <v>0</v>
      </c>
      <c r="AZ101" t="b">
        <v>0</v>
      </c>
      <c r="BA101" t="b">
        <v>0</v>
      </c>
      <c r="BB101" t="s">
        <v>268</v>
      </c>
      <c r="BC101" t="s">
        <v>268</v>
      </c>
      <c r="BD101" t="s">
        <v>268</v>
      </c>
      <c r="BE101" t="s">
        <v>1307</v>
      </c>
      <c r="BF101" t="s">
        <v>1308</v>
      </c>
      <c r="BG101" t="s">
        <v>1309</v>
      </c>
      <c r="BH101" t="s">
        <v>1310</v>
      </c>
      <c r="BI101" t="s">
        <v>1311</v>
      </c>
      <c r="BJ101" t="b">
        <v>1</v>
      </c>
      <c r="BK101" t="b">
        <v>1</v>
      </c>
      <c r="BL101" t="b">
        <v>1</v>
      </c>
      <c r="BM101" t="b">
        <v>0</v>
      </c>
      <c r="BN101" t="b">
        <v>0</v>
      </c>
      <c r="BO101" t="b">
        <v>0</v>
      </c>
      <c r="BP101">
        <v>2</v>
      </c>
      <c r="BQ101">
        <v>13</v>
      </c>
      <c r="BR101">
        <v>1</v>
      </c>
      <c r="BS101">
        <v>1</v>
      </c>
      <c r="BT101" t="b">
        <v>1</v>
      </c>
      <c r="BU101">
        <v>0</v>
      </c>
      <c r="BV101">
        <v>228</v>
      </c>
      <c r="BW101">
        <v>16900</v>
      </c>
      <c r="BX101">
        <v>1</v>
      </c>
      <c r="BY101" t="s">
        <v>271</v>
      </c>
      <c r="BZ101" t="s">
        <v>268</v>
      </c>
      <c r="CA101" t="s">
        <v>271</v>
      </c>
      <c r="CB101" t="s">
        <v>271</v>
      </c>
      <c r="CC101" t="s">
        <v>1312</v>
      </c>
      <c r="CD101" t="s">
        <v>1313</v>
      </c>
      <c r="CE101" t="s">
        <v>1314</v>
      </c>
      <c r="CF101" t="s">
        <v>1315</v>
      </c>
      <c r="CG101">
        <f t="shared" si="5"/>
        <v>628.72027587890602</v>
      </c>
      <c r="CH101">
        <f t="shared" si="6"/>
        <v>13035</v>
      </c>
      <c r="CI101">
        <f t="shared" si="7"/>
        <v>3</v>
      </c>
      <c r="CJ101">
        <f t="shared" si="8"/>
        <v>8195368.7960815402</v>
      </c>
      <c r="CK101">
        <f t="shared" si="9"/>
        <v>1886.1608276367181</v>
      </c>
    </row>
    <row r="102" spans="1:89">
      <c r="A102">
        <v>21910</v>
      </c>
      <c r="B102" t="s">
        <v>1302</v>
      </c>
      <c r="C102">
        <v>184.01568603515599</v>
      </c>
      <c r="D102" t="s">
        <v>1303</v>
      </c>
      <c r="E102">
        <v>1986</v>
      </c>
      <c r="F102" t="s">
        <v>1385</v>
      </c>
      <c r="G102" t="s">
        <v>168</v>
      </c>
      <c r="H102">
        <v>97213</v>
      </c>
      <c r="I102" t="s">
        <v>1386</v>
      </c>
      <c r="J102" t="s">
        <v>1358</v>
      </c>
      <c r="K102" t="s">
        <v>1306</v>
      </c>
      <c r="L102">
        <v>41</v>
      </c>
      <c r="M102">
        <v>3</v>
      </c>
      <c r="N102">
        <v>0</v>
      </c>
      <c r="O102">
        <v>3</v>
      </c>
      <c r="P102">
        <v>0</v>
      </c>
      <c r="Q102">
        <v>32127</v>
      </c>
      <c r="R102">
        <v>32127</v>
      </c>
      <c r="S102">
        <v>6207</v>
      </c>
      <c r="T102">
        <v>0</v>
      </c>
      <c r="U102">
        <v>0</v>
      </c>
      <c r="V102">
        <v>0</v>
      </c>
      <c r="W102">
        <v>41</v>
      </c>
      <c r="X102">
        <v>0</v>
      </c>
      <c r="Y102">
        <v>0</v>
      </c>
      <c r="Z102" t="b">
        <v>0</v>
      </c>
      <c r="AA102" t="b">
        <v>1</v>
      </c>
      <c r="AB102">
        <v>8</v>
      </c>
      <c r="AC102">
        <v>57594.58203125</v>
      </c>
      <c r="AD102">
        <v>133148.53125</v>
      </c>
      <c r="AE102">
        <v>190743.109375</v>
      </c>
      <c r="AH102">
        <v>2690.08471679688</v>
      </c>
      <c r="AI102">
        <v>919823.9375</v>
      </c>
      <c r="AJ102" t="s">
        <v>271</v>
      </c>
      <c r="AK102">
        <v>0</v>
      </c>
      <c r="AL102">
        <v>5</v>
      </c>
      <c r="AM102">
        <v>0</v>
      </c>
      <c r="AN102">
        <v>45</v>
      </c>
      <c r="AO102">
        <v>0</v>
      </c>
      <c r="AP102">
        <v>45</v>
      </c>
      <c r="AQ102">
        <v>0</v>
      </c>
      <c r="AR102">
        <v>0</v>
      </c>
      <c r="AS102">
        <v>5</v>
      </c>
      <c r="AT102" t="b">
        <v>0</v>
      </c>
      <c r="AU102">
        <v>1</v>
      </c>
      <c r="AV102">
        <v>2</v>
      </c>
      <c r="AW102">
        <v>1</v>
      </c>
      <c r="AX102" t="b">
        <v>0</v>
      </c>
      <c r="AY102" t="b">
        <v>0</v>
      </c>
      <c r="AZ102" t="b">
        <v>1</v>
      </c>
      <c r="BA102" t="b">
        <v>0</v>
      </c>
      <c r="BB102" t="s">
        <v>268</v>
      </c>
      <c r="BC102" t="s">
        <v>268</v>
      </c>
      <c r="BD102" t="s">
        <v>268</v>
      </c>
      <c r="BE102" t="s">
        <v>1307</v>
      </c>
      <c r="BF102" t="s">
        <v>1308</v>
      </c>
      <c r="BG102" t="s">
        <v>1309</v>
      </c>
      <c r="BH102" t="s">
        <v>1336</v>
      </c>
      <c r="BI102" t="s">
        <v>1344</v>
      </c>
      <c r="BJ102" t="b">
        <v>1</v>
      </c>
      <c r="BK102" t="b">
        <v>1</v>
      </c>
      <c r="BL102" t="b">
        <v>1</v>
      </c>
      <c r="BM102" t="b">
        <v>0</v>
      </c>
      <c r="BN102" t="b">
        <v>0</v>
      </c>
      <c r="BO102" t="b">
        <v>0</v>
      </c>
      <c r="BP102">
        <v>1</v>
      </c>
      <c r="BQ102">
        <v>42</v>
      </c>
      <c r="BR102">
        <v>1</v>
      </c>
      <c r="BS102">
        <v>1</v>
      </c>
      <c r="BT102" t="b">
        <v>1</v>
      </c>
      <c r="BU102">
        <v>0</v>
      </c>
      <c r="BV102">
        <v>14</v>
      </c>
      <c r="BW102">
        <v>5950</v>
      </c>
      <c r="BX102">
        <v>0</v>
      </c>
      <c r="BY102" t="s">
        <v>268</v>
      </c>
      <c r="BZ102" t="s">
        <v>268</v>
      </c>
      <c r="CA102" t="s">
        <v>268</v>
      </c>
      <c r="CB102" t="s">
        <v>271</v>
      </c>
      <c r="CC102" t="s">
        <v>1312</v>
      </c>
      <c r="CD102" t="s">
        <v>1313</v>
      </c>
      <c r="CE102" t="s">
        <v>1314</v>
      </c>
      <c r="CF102" t="s">
        <v>1315</v>
      </c>
      <c r="CG102">
        <f t="shared" si="5"/>
        <v>184.01568603515599</v>
      </c>
      <c r="CH102">
        <f t="shared" si="6"/>
        <v>32127</v>
      </c>
      <c r="CI102">
        <f t="shared" si="7"/>
        <v>3</v>
      </c>
      <c r="CJ102">
        <f t="shared" si="8"/>
        <v>5911871.9452514565</v>
      </c>
      <c r="CK102">
        <f t="shared" si="9"/>
        <v>552.04705810546795</v>
      </c>
    </row>
    <row r="103" spans="1:89">
      <c r="A103">
        <v>21952</v>
      </c>
      <c r="B103" t="s">
        <v>1302</v>
      </c>
      <c r="C103">
        <v>419.14685058593801</v>
      </c>
      <c r="D103" t="s">
        <v>1303</v>
      </c>
      <c r="E103">
        <v>1988</v>
      </c>
      <c r="F103" t="s">
        <v>1421</v>
      </c>
      <c r="G103" t="s">
        <v>168</v>
      </c>
      <c r="H103">
        <v>97267</v>
      </c>
      <c r="I103" t="s">
        <v>1386</v>
      </c>
      <c r="J103" t="s">
        <v>1358</v>
      </c>
      <c r="K103" t="s">
        <v>1306</v>
      </c>
      <c r="L103">
        <v>18</v>
      </c>
      <c r="M103">
        <v>3</v>
      </c>
      <c r="N103">
        <v>0</v>
      </c>
      <c r="O103">
        <v>3</v>
      </c>
      <c r="P103">
        <v>0</v>
      </c>
      <c r="Q103">
        <v>14280</v>
      </c>
      <c r="R103">
        <v>14280</v>
      </c>
      <c r="S103">
        <v>0</v>
      </c>
      <c r="T103">
        <v>0</v>
      </c>
      <c r="U103">
        <v>0</v>
      </c>
      <c r="V103">
        <v>6</v>
      </c>
      <c r="W103">
        <v>12</v>
      </c>
      <c r="X103">
        <v>0</v>
      </c>
      <c r="Y103">
        <v>5</v>
      </c>
      <c r="Z103" t="b">
        <v>0</v>
      </c>
      <c r="AA103" t="b">
        <v>0</v>
      </c>
      <c r="AB103">
        <v>8</v>
      </c>
      <c r="AD103">
        <v>117352.7890625</v>
      </c>
      <c r="AE103">
        <v>117352.7890625</v>
      </c>
      <c r="AJ103" t="s">
        <v>268</v>
      </c>
      <c r="AK103">
        <v>0</v>
      </c>
      <c r="AL103">
        <v>0</v>
      </c>
      <c r="AM103">
        <v>0</v>
      </c>
      <c r="AN103">
        <v>72</v>
      </c>
      <c r="AO103">
        <v>0</v>
      </c>
      <c r="AP103">
        <v>28</v>
      </c>
      <c r="AQ103">
        <v>0</v>
      </c>
      <c r="AR103">
        <v>0</v>
      </c>
      <c r="AS103">
        <v>0</v>
      </c>
      <c r="AT103" t="b">
        <v>1</v>
      </c>
      <c r="AU103">
        <v>12</v>
      </c>
      <c r="AV103">
        <v>12</v>
      </c>
      <c r="AW103">
        <v>0</v>
      </c>
      <c r="AX103" t="b">
        <v>0</v>
      </c>
      <c r="AY103" t="b">
        <v>0</v>
      </c>
      <c r="AZ103" t="b">
        <v>0</v>
      </c>
      <c r="BA103" t="b">
        <v>0</v>
      </c>
      <c r="BB103" t="s">
        <v>268</v>
      </c>
      <c r="BC103" t="s">
        <v>268</v>
      </c>
      <c r="BD103" t="s">
        <v>268</v>
      </c>
      <c r="BE103" t="s">
        <v>1307</v>
      </c>
      <c r="BF103" t="s">
        <v>1308</v>
      </c>
      <c r="BG103" t="s">
        <v>1309</v>
      </c>
      <c r="BH103" t="s">
        <v>1336</v>
      </c>
      <c r="BI103" t="s">
        <v>1311</v>
      </c>
      <c r="BJ103" t="b">
        <v>1</v>
      </c>
      <c r="BK103" t="b">
        <v>1</v>
      </c>
      <c r="BL103" t="b">
        <v>1</v>
      </c>
      <c r="BM103" t="b">
        <v>0</v>
      </c>
      <c r="BN103" t="b">
        <v>0</v>
      </c>
      <c r="BO103" t="b">
        <v>0</v>
      </c>
      <c r="BP103">
        <v>24</v>
      </c>
      <c r="BQ103">
        <v>162</v>
      </c>
      <c r="BR103">
        <v>3</v>
      </c>
      <c r="BS103">
        <v>3</v>
      </c>
      <c r="BT103" t="b">
        <v>1</v>
      </c>
      <c r="BU103">
        <v>0</v>
      </c>
      <c r="BV103">
        <v>18</v>
      </c>
      <c r="BW103">
        <v>28065</v>
      </c>
      <c r="BX103">
        <v>1</v>
      </c>
      <c r="BY103" t="s">
        <v>271</v>
      </c>
      <c r="BZ103" t="s">
        <v>268</v>
      </c>
      <c r="CA103" t="s">
        <v>271</v>
      </c>
      <c r="CB103" t="s">
        <v>271</v>
      </c>
      <c r="CC103" t="s">
        <v>1312</v>
      </c>
      <c r="CD103" t="s">
        <v>1313</v>
      </c>
      <c r="CE103" t="s">
        <v>1314</v>
      </c>
      <c r="CF103" t="s">
        <v>1315</v>
      </c>
      <c r="CG103">
        <f t="shared" si="5"/>
        <v>419.14685058593801</v>
      </c>
      <c r="CH103">
        <f t="shared" si="6"/>
        <v>14280</v>
      </c>
      <c r="CI103">
        <f t="shared" si="7"/>
        <v>3</v>
      </c>
      <c r="CJ103">
        <f t="shared" si="8"/>
        <v>5985417.026367195</v>
      </c>
      <c r="CK103">
        <f t="shared" si="9"/>
        <v>1257.4405517578141</v>
      </c>
    </row>
    <row r="104" spans="1:89">
      <c r="A104">
        <v>21985</v>
      </c>
      <c r="B104" t="s">
        <v>1302</v>
      </c>
      <c r="C104">
        <v>754.46429443359398</v>
      </c>
      <c r="D104" t="s">
        <v>1340</v>
      </c>
      <c r="E104">
        <v>1994</v>
      </c>
      <c r="F104" t="s">
        <v>1422</v>
      </c>
      <c r="G104" t="s">
        <v>168</v>
      </c>
      <c r="H104">
        <v>97062</v>
      </c>
      <c r="I104" t="s">
        <v>1386</v>
      </c>
      <c r="K104" t="s">
        <v>1306</v>
      </c>
      <c r="L104">
        <v>10</v>
      </c>
      <c r="M104">
        <v>2</v>
      </c>
      <c r="N104">
        <v>0</v>
      </c>
      <c r="O104">
        <v>3</v>
      </c>
      <c r="P104">
        <v>0</v>
      </c>
      <c r="Q104">
        <v>8361</v>
      </c>
      <c r="R104">
        <v>8316</v>
      </c>
      <c r="S104">
        <v>162</v>
      </c>
      <c r="T104">
        <v>0</v>
      </c>
      <c r="U104">
        <v>0</v>
      </c>
      <c r="V104">
        <v>5</v>
      </c>
      <c r="W104">
        <v>5</v>
      </c>
      <c r="X104">
        <v>0</v>
      </c>
      <c r="Y104">
        <v>0</v>
      </c>
      <c r="Z104" t="b">
        <v>0</v>
      </c>
      <c r="AA104" t="b">
        <v>1</v>
      </c>
      <c r="AB104">
        <v>7.6700000762939498</v>
      </c>
      <c r="AD104">
        <v>60436.0859375</v>
      </c>
      <c r="AE104">
        <v>60436.0859375</v>
      </c>
      <c r="AI104">
        <v>206207.921875</v>
      </c>
      <c r="AJ104" t="s">
        <v>271</v>
      </c>
      <c r="AK104">
        <v>0</v>
      </c>
      <c r="AL104">
        <v>31</v>
      </c>
      <c r="AM104">
        <v>0</v>
      </c>
      <c r="AN104">
        <v>0</v>
      </c>
      <c r="AO104">
        <v>0</v>
      </c>
      <c r="AP104">
        <v>4</v>
      </c>
      <c r="AQ104">
        <v>0</v>
      </c>
      <c r="AR104">
        <v>0</v>
      </c>
      <c r="AS104">
        <v>65</v>
      </c>
      <c r="AT104" t="b">
        <v>1</v>
      </c>
      <c r="AU104">
        <v>4</v>
      </c>
      <c r="AV104">
        <v>4</v>
      </c>
      <c r="AW104">
        <v>0</v>
      </c>
      <c r="AX104" t="b">
        <v>0</v>
      </c>
      <c r="AY104" t="b">
        <v>0</v>
      </c>
      <c r="AZ104" t="b">
        <v>0</v>
      </c>
      <c r="BA104" t="b">
        <v>0</v>
      </c>
      <c r="BB104" t="s">
        <v>268</v>
      </c>
      <c r="BC104" t="s">
        <v>268</v>
      </c>
      <c r="BD104" t="s">
        <v>271</v>
      </c>
      <c r="BE104" t="s">
        <v>1307</v>
      </c>
      <c r="BF104" t="s">
        <v>1308</v>
      </c>
      <c r="BG104" t="s">
        <v>1309</v>
      </c>
      <c r="BH104" t="s">
        <v>1310</v>
      </c>
      <c r="BI104" t="s">
        <v>1322</v>
      </c>
      <c r="BJ104" t="b">
        <v>0</v>
      </c>
      <c r="BK104" t="b">
        <v>1</v>
      </c>
      <c r="BL104" t="b">
        <v>0</v>
      </c>
      <c r="BM104" t="b">
        <v>0</v>
      </c>
      <c r="BN104" t="b">
        <v>0</v>
      </c>
      <c r="BO104" t="b">
        <v>0</v>
      </c>
      <c r="BP104">
        <v>5</v>
      </c>
      <c r="BQ104">
        <v>13</v>
      </c>
      <c r="BR104">
        <v>0</v>
      </c>
      <c r="BS104">
        <v>0</v>
      </c>
      <c r="BT104" t="b">
        <v>1</v>
      </c>
      <c r="BU104">
        <v>42</v>
      </c>
      <c r="BV104">
        <v>17</v>
      </c>
      <c r="BW104">
        <v>7225</v>
      </c>
      <c r="BX104">
        <v>0</v>
      </c>
      <c r="BY104" t="s">
        <v>268</v>
      </c>
      <c r="BZ104" t="s">
        <v>268</v>
      </c>
      <c r="CA104" t="s">
        <v>268</v>
      </c>
      <c r="CB104" t="s">
        <v>271</v>
      </c>
      <c r="CC104" t="s">
        <v>1319</v>
      </c>
      <c r="CD104" t="s">
        <v>1313</v>
      </c>
      <c r="CE104" t="s">
        <v>1327</v>
      </c>
      <c r="CF104" t="s">
        <v>1315</v>
      </c>
      <c r="CG104">
        <f t="shared" si="5"/>
        <v>754.46429443359398</v>
      </c>
      <c r="CH104">
        <f t="shared" si="6"/>
        <v>8361</v>
      </c>
      <c r="CI104">
        <f t="shared" si="7"/>
        <v>2</v>
      </c>
      <c r="CJ104">
        <f t="shared" si="8"/>
        <v>6308075.9657592792</v>
      </c>
      <c r="CK104">
        <f t="shared" si="9"/>
        <v>1508.928588867188</v>
      </c>
    </row>
    <row r="105" spans="1:89">
      <c r="A105">
        <v>21998</v>
      </c>
      <c r="B105" t="s">
        <v>1302</v>
      </c>
      <c r="C105">
        <v>943.08038330078102</v>
      </c>
      <c r="D105" t="s">
        <v>1303</v>
      </c>
      <c r="E105">
        <v>1990</v>
      </c>
      <c r="F105" t="s">
        <v>1423</v>
      </c>
      <c r="G105" t="s">
        <v>170</v>
      </c>
      <c r="H105">
        <v>59802</v>
      </c>
      <c r="I105" t="s">
        <v>1411</v>
      </c>
      <c r="J105" t="s">
        <v>1411</v>
      </c>
      <c r="K105" t="s">
        <v>1306</v>
      </c>
      <c r="L105">
        <v>8</v>
      </c>
      <c r="M105">
        <v>2</v>
      </c>
      <c r="N105">
        <v>0</v>
      </c>
      <c r="O105">
        <v>2</v>
      </c>
      <c r="P105">
        <v>0</v>
      </c>
      <c r="Q105">
        <v>8414</v>
      </c>
      <c r="R105">
        <v>8414</v>
      </c>
      <c r="S105">
        <v>2178</v>
      </c>
      <c r="T105">
        <v>0</v>
      </c>
      <c r="U105">
        <v>0</v>
      </c>
      <c r="V105">
        <v>2</v>
      </c>
      <c r="W105">
        <v>6</v>
      </c>
      <c r="X105">
        <v>0</v>
      </c>
      <c r="Y105">
        <v>0</v>
      </c>
      <c r="Z105" t="b">
        <v>0</v>
      </c>
      <c r="AA105" t="b">
        <v>1</v>
      </c>
      <c r="AB105">
        <v>8</v>
      </c>
      <c r="AH105">
        <v>3256.15283203125</v>
      </c>
      <c r="AJ105" t="s">
        <v>268</v>
      </c>
      <c r="AK105">
        <v>0</v>
      </c>
      <c r="AL105">
        <v>10</v>
      </c>
      <c r="AM105">
        <v>0</v>
      </c>
      <c r="AN105">
        <v>40</v>
      </c>
      <c r="AO105">
        <v>0</v>
      </c>
      <c r="AP105">
        <v>40</v>
      </c>
      <c r="AQ105">
        <v>0</v>
      </c>
      <c r="AR105">
        <v>0</v>
      </c>
      <c r="AS105">
        <v>10</v>
      </c>
      <c r="AT105" t="b">
        <v>0</v>
      </c>
      <c r="AU105">
        <v>1</v>
      </c>
      <c r="AV105">
        <v>1</v>
      </c>
      <c r="AW105">
        <v>1</v>
      </c>
      <c r="AX105" t="b">
        <v>1</v>
      </c>
      <c r="AY105" t="b">
        <v>0</v>
      </c>
      <c r="AZ105" t="b">
        <v>0</v>
      </c>
      <c r="BA105" t="b">
        <v>0</v>
      </c>
      <c r="BB105" t="s">
        <v>268</v>
      </c>
      <c r="BC105" t="s">
        <v>268</v>
      </c>
      <c r="BD105" t="s">
        <v>268</v>
      </c>
      <c r="BE105" t="s">
        <v>1345</v>
      </c>
      <c r="BF105" t="s">
        <v>1342</v>
      </c>
      <c r="BG105" t="s">
        <v>1346</v>
      </c>
      <c r="BH105" t="s">
        <v>1310</v>
      </c>
      <c r="BI105" t="s">
        <v>1344</v>
      </c>
      <c r="BJ105" t="b">
        <v>1</v>
      </c>
      <c r="BK105" t="b">
        <v>1</v>
      </c>
      <c r="BL105" t="b">
        <v>1</v>
      </c>
      <c r="BM105" t="b">
        <v>0</v>
      </c>
      <c r="BN105" t="b">
        <v>0</v>
      </c>
      <c r="BO105" t="b">
        <v>0</v>
      </c>
      <c r="BP105">
        <v>1</v>
      </c>
      <c r="BQ105">
        <v>9</v>
      </c>
      <c r="BR105">
        <v>1</v>
      </c>
      <c r="BS105">
        <v>1</v>
      </c>
      <c r="BT105" t="b">
        <v>1</v>
      </c>
      <c r="BV105">
        <v>8</v>
      </c>
      <c r="BW105">
        <v>3400</v>
      </c>
      <c r="BX105">
        <v>0</v>
      </c>
      <c r="BY105" t="s">
        <v>268</v>
      </c>
      <c r="BZ105" t="s">
        <v>268</v>
      </c>
      <c r="CA105" t="s">
        <v>268</v>
      </c>
      <c r="CB105" t="s">
        <v>271</v>
      </c>
      <c r="CC105" t="s">
        <v>1319</v>
      </c>
      <c r="CD105" t="s">
        <v>1313</v>
      </c>
      <c r="CE105" t="s">
        <v>1327</v>
      </c>
      <c r="CF105" t="s">
        <v>1315</v>
      </c>
      <c r="CG105" t="str">
        <f t="shared" si="5"/>
        <v/>
      </c>
      <c r="CH105" t="str">
        <f t="shared" si="6"/>
        <v/>
      </c>
      <c r="CI105" t="str">
        <f t="shared" si="7"/>
        <v/>
      </c>
      <c r="CJ105" t="str">
        <f t="shared" si="8"/>
        <v/>
      </c>
      <c r="CK105" t="str">
        <f t="shared" si="9"/>
        <v/>
      </c>
    </row>
    <row r="106" spans="1:89">
      <c r="A106">
        <v>22058</v>
      </c>
      <c r="B106" t="s">
        <v>1302</v>
      </c>
      <c r="C106">
        <v>251.48811340332</v>
      </c>
      <c r="D106" t="s">
        <v>1324</v>
      </c>
      <c r="E106">
        <v>1970</v>
      </c>
      <c r="F106" t="s">
        <v>1385</v>
      </c>
      <c r="G106" t="s">
        <v>168</v>
      </c>
      <c r="H106">
        <v>97236</v>
      </c>
      <c r="I106" t="s">
        <v>1386</v>
      </c>
      <c r="K106" t="s">
        <v>1306</v>
      </c>
      <c r="L106">
        <v>30</v>
      </c>
      <c r="M106">
        <v>2</v>
      </c>
      <c r="N106">
        <v>0</v>
      </c>
      <c r="O106">
        <v>2</v>
      </c>
      <c r="P106">
        <v>0</v>
      </c>
      <c r="Q106">
        <v>23760</v>
      </c>
      <c r="R106">
        <v>23760</v>
      </c>
      <c r="S106">
        <v>110</v>
      </c>
      <c r="T106">
        <v>0</v>
      </c>
      <c r="U106">
        <v>10</v>
      </c>
      <c r="V106">
        <v>11</v>
      </c>
      <c r="W106">
        <v>9</v>
      </c>
      <c r="X106">
        <v>0</v>
      </c>
      <c r="Y106">
        <v>3</v>
      </c>
      <c r="Z106" t="b">
        <v>0</v>
      </c>
      <c r="AA106" t="b">
        <v>1</v>
      </c>
      <c r="AB106">
        <v>8</v>
      </c>
      <c r="AD106">
        <v>247166.796875</v>
      </c>
      <c r="AE106">
        <v>247166.796875</v>
      </c>
      <c r="AI106">
        <v>843333.125</v>
      </c>
      <c r="AJ106" t="s">
        <v>268</v>
      </c>
      <c r="AK106">
        <v>0</v>
      </c>
      <c r="AL106">
        <v>42</v>
      </c>
      <c r="AM106">
        <v>0</v>
      </c>
      <c r="AN106">
        <v>8</v>
      </c>
      <c r="AO106">
        <v>0</v>
      </c>
      <c r="AP106">
        <v>12</v>
      </c>
      <c r="AQ106">
        <v>0</v>
      </c>
      <c r="AR106">
        <v>0</v>
      </c>
      <c r="AS106">
        <v>38</v>
      </c>
      <c r="AT106" t="b">
        <v>0</v>
      </c>
      <c r="AU106">
        <v>4</v>
      </c>
      <c r="AV106">
        <v>4</v>
      </c>
      <c r="AW106">
        <v>0</v>
      </c>
      <c r="AX106" t="b">
        <v>0</v>
      </c>
      <c r="AY106" t="b">
        <v>0</v>
      </c>
      <c r="AZ106" t="b">
        <v>1</v>
      </c>
      <c r="BA106" t="b">
        <v>0</v>
      </c>
      <c r="BB106" t="s">
        <v>268</v>
      </c>
      <c r="BC106" t="s">
        <v>268</v>
      </c>
      <c r="BD106" t="s">
        <v>268</v>
      </c>
      <c r="BE106" t="s">
        <v>1307</v>
      </c>
      <c r="BF106" t="s">
        <v>1308</v>
      </c>
      <c r="BG106" t="s">
        <v>1309</v>
      </c>
      <c r="BH106" t="s">
        <v>1310</v>
      </c>
      <c r="BI106" t="s">
        <v>1322</v>
      </c>
      <c r="BJ106" t="b">
        <v>0</v>
      </c>
      <c r="BK106" t="b">
        <v>1</v>
      </c>
      <c r="BL106" t="b">
        <v>0</v>
      </c>
      <c r="BM106" t="b">
        <v>0</v>
      </c>
      <c r="BN106" t="b">
        <v>0</v>
      </c>
      <c r="BO106" t="b">
        <v>0</v>
      </c>
      <c r="BP106">
        <v>18</v>
      </c>
      <c r="BQ106">
        <v>31</v>
      </c>
      <c r="BR106">
        <v>0</v>
      </c>
      <c r="BS106">
        <v>0</v>
      </c>
      <c r="BT106" t="b">
        <v>1</v>
      </c>
      <c r="BV106">
        <v>30</v>
      </c>
      <c r="BW106">
        <v>12750</v>
      </c>
      <c r="BX106">
        <v>0</v>
      </c>
      <c r="BY106" t="s">
        <v>268</v>
      </c>
      <c r="BZ106" t="s">
        <v>268</v>
      </c>
      <c r="CA106" t="s">
        <v>268</v>
      </c>
      <c r="CB106" t="s">
        <v>271</v>
      </c>
      <c r="CC106" t="s">
        <v>1319</v>
      </c>
      <c r="CD106" t="s">
        <v>1313</v>
      </c>
      <c r="CE106" t="s">
        <v>1327</v>
      </c>
      <c r="CF106" t="s">
        <v>1315</v>
      </c>
      <c r="CG106">
        <f t="shared" si="5"/>
        <v>251.48811340332</v>
      </c>
      <c r="CH106">
        <f t="shared" si="6"/>
        <v>23760</v>
      </c>
      <c r="CI106">
        <f t="shared" si="7"/>
        <v>2</v>
      </c>
      <c r="CJ106">
        <f t="shared" si="8"/>
        <v>5975357.5744628832</v>
      </c>
      <c r="CK106">
        <f t="shared" si="9"/>
        <v>502.97622680664</v>
      </c>
    </row>
    <row r="107" spans="1:89">
      <c r="A107">
        <v>22106</v>
      </c>
      <c r="B107" t="s">
        <v>1302</v>
      </c>
      <c r="C107">
        <v>235.770095825195</v>
      </c>
      <c r="D107" t="s">
        <v>1334</v>
      </c>
      <c r="E107">
        <v>1973</v>
      </c>
      <c r="F107" t="s">
        <v>1385</v>
      </c>
      <c r="G107" t="s">
        <v>168</v>
      </c>
      <c r="H107">
        <v>97230</v>
      </c>
      <c r="I107" t="s">
        <v>1386</v>
      </c>
      <c r="K107" t="s">
        <v>1306</v>
      </c>
      <c r="L107">
        <v>32</v>
      </c>
      <c r="M107">
        <v>3</v>
      </c>
      <c r="N107">
        <v>0</v>
      </c>
      <c r="O107">
        <v>3</v>
      </c>
      <c r="P107">
        <v>0</v>
      </c>
      <c r="Q107">
        <v>15922</v>
      </c>
      <c r="R107">
        <v>15922</v>
      </c>
      <c r="S107">
        <v>400</v>
      </c>
      <c r="T107">
        <v>0</v>
      </c>
      <c r="U107">
        <v>4</v>
      </c>
      <c r="V107">
        <v>14</v>
      </c>
      <c r="W107">
        <v>14</v>
      </c>
      <c r="X107">
        <v>0</v>
      </c>
      <c r="Y107">
        <v>35</v>
      </c>
      <c r="Z107" t="b">
        <v>0</v>
      </c>
      <c r="AA107" t="b">
        <v>1</v>
      </c>
      <c r="AB107">
        <v>8.25</v>
      </c>
      <c r="AD107">
        <v>150207.25</v>
      </c>
      <c r="AE107">
        <v>150207.25</v>
      </c>
      <c r="AI107">
        <v>512507.125</v>
      </c>
      <c r="AJ107" t="s">
        <v>268</v>
      </c>
      <c r="AK107">
        <v>0</v>
      </c>
      <c r="AL107">
        <v>0</v>
      </c>
      <c r="AM107">
        <v>0</v>
      </c>
      <c r="AN107">
        <v>50</v>
      </c>
      <c r="AO107">
        <v>0</v>
      </c>
      <c r="AP107">
        <v>50</v>
      </c>
      <c r="AQ107">
        <v>0</v>
      </c>
      <c r="AR107">
        <v>0</v>
      </c>
      <c r="AS107">
        <v>0</v>
      </c>
      <c r="AT107" t="b">
        <v>1</v>
      </c>
      <c r="AU107">
        <v>3</v>
      </c>
      <c r="AV107">
        <v>2</v>
      </c>
      <c r="AW107">
        <v>0</v>
      </c>
      <c r="AX107" t="b">
        <v>0</v>
      </c>
      <c r="AY107" t="b">
        <v>0</v>
      </c>
      <c r="AZ107" t="b">
        <v>0</v>
      </c>
      <c r="BA107" t="b">
        <v>0</v>
      </c>
      <c r="BB107" t="s">
        <v>268</v>
      </c>
      <c r="BC107" t="s">
        <v>268</v>
      </c>
      <c r="BD107" t="s">
        <v>268</v>
      </c>
      <c r="BE107" t="s">
        <v>1307</v>
      </c>
      <c r="BF107" t="s">
        <v>1308</v>
      </c>
      <c r="BG107" t="s">
        <v>1309</v>
      </c>
      <c r="BH107" t="s">
        <v>1310</v>
      </c>
      <c r="BI107" t="s">
        <v>1322</v>
      </c>
      <c r="BJ107" t="b">
        <v>0</v>
      </c>
      <c r="BK107" t="b">
        <v>1</v>
      </c>
      <c r="BL107" t="b">
        <v>0</v>
      </c>
      <c r="BM107" t="b">
        <v>0</v>
      </c>
      <c r="BN107" t="b">
        <v>0</v>
      </c>
      <c r="BO107" t="b">
        <v>0</v>
      </c>
      <c r="BP107">
        <v>4</v>
      </c>
      <c r="BQ107">
        <v>26</v>
      </c>
      <c r="BR107">
        <v>0</v>
      </c>
      <c r="BS107">
        <v>0</v>
      </c>
      <c r="BT107" t="b">
        <v>1</v>
      </c>
      <c r="BU107">
        <v>0</v>
      </c>
      <c r="BV107">
        <v>21</v>
      </c>
      <c r="BW107">
        <v>7130</v>
      </c>
      <c r="BX107">
        <v>0</v>
      </c>
      <c r="BY107" t="s">
        <v>268</v>
      </c>
      <c r="BZ107" t="s">
        <v>268</v>
      </c>
      <c r="CA107" t="s">
        <v>271</v>
      </c>
      <c r="CB107" t="s">
        <v>271</v>
      </c>
      <c r="CC107" t="s">
        <v>1319</v>
      </c>
      <c r="CD107" t="s">
        <v>1313</v>
      </c>
      <c r="CE107" t="s">
        <v>1314</v>
      </c>
      <c r="CF107" t="s">
        <v>1315</v>
      </c>
      <c r="CG107">
        <f t="shared" si="5"/>
        <v>235.770095825195</v>
      </c>
      <c r="CH107">
        <f t="shared" si="6"/>
        <v>15922</v>
      </c>
      <c r="CI107">
        <f t="shared" si="7"/>
        <v>3</v>
      </c>
      <c r="CJ107">
        <f t="shared" si="8"/>
        <v>3753931.4657287546</v>
      </c>
      <c r="CK107">
        <f t="shared" si="9"/>
        <v>707.31028747558503</v>
      </c>
    </row>
    <row r="108" spans="1:89">
      <c r="A108">
        <v>22262</v>
      </c>
      <c r="B108" t="s">
        <v>1302</v>
      </c>
      <c r="C108">
        <v>943.08038330078102</v>
      </c>
      <c r="D108" t="s">
        <v>1338</v>
      </c>
      <c r="E108">
        <v>2003</v>
      </c>
      <c r="F108" t="s">
        <v>1424</v>
      </c>
      <c r="G108" t="s">
        <v>167</v>
      </c>
      <c r="H108">
        <v>99223</v>
      </c>
      <c r="I108" t="s">
        <v>1393</v>
      </c>
      <c r="K108" t="s">
        <v>1306</v>
      </c>
      <c r="L108">
        <v>8</v>
      </c>
      <c r="M108">
        <v>2</v>
      </c>
      <c r="N108">
        <v>0</v>
      </c>
      <c r="O108">
        <v>2</v>
      </c>
      <c r="P108">
        <v>0</v>
      </c>
      <c r="Q108">
        <v>8240</v>
      </c>
      <c r="R108">
        <v>8240</v>
      </c>
      <c r="S108">
        <v>0</v>
      </c>
      <c r="T108">
        <v>0</v>
      </c>
      <c r="U108">
        <v>0</v>
      </c>
      <c r="V108">
        <v>4</v>
      </c>
      <c r="W108">
        <v>4</v>
      </c>
      <c r="X108">
        <v>0</v>
      </c>
      <c r="Y108">
        <v>0</v>
      </c>
      <c r="Z108" t="b">
        <v>0</v>
      </c>
      <c r="AA108" t="b">
        <v>0</v>
      </c>
      <c r="AB108">
        <v>9</v>
      </c>
      <c r="AJ108" t="s">
        <v>268</v>
      </c>
      <c r="AK108">
        <v>0</v>
      </c>
      <c r="AL108">
        <v>0</v>
      </c>
      <c r="AM108">
        <v>0</v>
      </c>
      <c r="AN108">
        <v>24</v>
      </c>
      <c r="AO108">
        <v>0</v>
      </c>
      <c r="AP108">
        <v>76</v>
      </c>
      <c r="AQ108">
        <v>0</v>
      </c>
      <c r="AR108">
        <v>0</v>
      </c>
      <c r="AS108">
        <v>0</v>
      </c>
      <c r="AT108" t="b">
        <v>1</v>
      </c>
      <c r="AU108">
        <v>0</v>
      </c>
      <c r="AV108">
        <v>0</v>
      </c>
      <c r="AW108">
        <v>0</v>
      </c>
      <c r="AX108" t="b">
        <v>0</v>
      </c>
      <c r="AY108" t="b">
        <v>0</v>
      </c>
      <c r="AZ108" t="b">
        <v>0</v>
      </c>
      <c r="BA108" t="b">
        <v>0</v>
      </c>
      <c r="BB108" t="s">
        <v>268</v>
      </c>
      <c r="BC108" t="s">
        <v>268</v>
      </c>
      <c r="BD108" t="s">
        <v>268</v>
      </c>
      <c r="BE108" t="s">
        <v>1307</v>
      </c>
      <c r="BF108" t="s">
        <v>1308</v>
      </c>
      <c r="BG108" t="s">
        <v>1309</v>
      </c>
      <c r="BH108" t="s">
        <v>1336</v>
      </c>
      <c r="BI108" t="s">
        <v>1311</v>
      </c>
      <c r="BJ108" t="b">
        <v>0</v>
      </c>
      <c r="BK108" t="b">
        <v>1</v>
      </c>
      <c r="BL108" t="b">
        <v>0</v>
      </c>
      <c r="BM108" t="b">
        <v>0</v>
      </c>
      <c r="BN108" t="b">
        <v>0</v>
      </c>
      <c r="BO108" t="b">
        <v>0</v>
      </c>
      <c r="BP108">
        <v>9</v>
      </c>
      <c r="BQ108">
        <v>55</v>
      </c>
      <c r="BR108">
        <v>0</v>
      </c>
      <c r="BS108">
        <v>0</v>
      </c>
      <c r="BT108" t="b">
        <v>1</v>
      </c>
      <c r="BU108">
        <v>0</v>
      </c>
      <c r="BV108">
        <v>8</v>
      </c>
      <c r="BW108">
        <v>3000</v>
      </c>
      <c r="BX108">
        <v>0</v>
      </c>
      <c r="BY108" t="s">
        <v>268</v>
      </c>
      <c r="BZ108" t="s">
        <v>268</v>
      </c>
      <c r="CA108" t="s">
        <v>271</v>
      </c>
      <c r="CB108" t="s">
        <v>271</v>
      </c>
      <c r="CC108" t="s">
        <v>1312</v>
      </c>
      <c r="CD108" t="s">
        <v>1313</v>
      </c>
      <c r="CE108" t="s">
        <v>1314</v>
      </c>
      <c r="CF108" t="s">
        <v>1315</v>
      </c>
      <c r="CG108">
        <f t="shared" si="5"/>
        <v>943.08038330078102</v>
      </c>
      <c r="CH108">
        <f t="shared" si="6"/>
        <v>8240</v>
      </c>
      <c r="CI108">
        <f t="shared" si="7"/>
        <v>2</v>
      </c>
      <c r="CJ108">
        <f t="shared" si="8"/>
        <v>7770982.3583984356</v>
      </c>
      <c r="CK108">
        <f t="shared" si="9"/>
        <v>1886.160766601562</v>
      </c>
    </row>
    <row r="109" spans="1:89">
      <c r="A109">
        <v>22371</v>
      </c>
      <c r="B109" t="s">
        <v>1302</v>
      </c>
      <c r="C109">
        <v>1257.44055175781</v>
      </c>
      <c r="D109" t="s">
        <v>1303</v>
      </c>
      <c r="E109">
        <v>1982</v>
      </c>
      <c r="F109" t="s">
        <v>1425</v>
      </c>
      <c r="G109" t="s">
        <v>169</v>
      </c>
      <c r="H109">
        <v>83870</v>
      </c>
      <c r="I109" t="s">
        <v>1426</v>
      </c>
      <c r="K109" t="s">
        <v>1306</v>
      </c>
      <c r="L109">
        <v>6</v>
      </c>
      <c r="M109">
        <v>1</v>
      </c>
      <c r="N109">
        <v>0</v>
      </c>
      <c r="O109">
        <v>1</v>
      </c>
      <c r="P109">
        <v>0</v>
      </c>
      <c r="Q109">
        <v>5400</v>
      </c>
      <c r="R109">
        <v>5400</v>
      </c>
      <c r="S109">
        <v>0</v>
      </c>
      <c r="T109">
        <v>0</v>
      </c>
      <c r="U109">
        <v>0</v>
      </c>
      <c r="V109">
        <v>6</v>
      </c>
      <c r="W109">
        <v>0</v>
      </c>
      <c r="X109">
        <v>0</v>
      </c>
      <c r="Y109">
        <v>0</v>
      </c>
      <c r="Z109" t="b">
        <v>0</v>
      </c>
      <c r="AA109" t="b">
        <v>0</v>
      </c>
      <c r="AB109">
        <v>9</v>
      </c>
      <c r="AJ109" t="s">
        <v>271</v>
      </c>
      <c r="AK109">
        <v>0</v>
      </c>
      <c r="AL109">
        <v>0</v>
      </c>
      <c r="AM109">
        <v>0</v>
      </c>
      <c r="AN109">
        <v>0</v>
      </c>
      <c r="AO109">
        <v>50</v>
      </c>
      <c r="AP109">
        <v>0</v>
      </c>
      <c r="AQ109">
        <v>50</v>
      </c>
      <c r="AR109">
        <v>0</v>
      </c>
      <c r="AS109">
        <v>0</v>
      </c>
      <c r="AT109" t="b">
        <v>0</v>
      </c>
      <c r="AU109">
        <v>0</v>
      </c>
      <c r="AV109">
        <v>0</v>
      </c>
      <c r="AW109">
        <v>0</v>
      </c>
      <c r="AX109" t="b">
        <v>0</v>
      </c>
      <c r="AY109" t="b">
        <v>0</v>
      </c>
      <c r="AZ109" t="b">
        <v>0</v>
      </c>
      <c r="BA109" t="b">
        <v>0</v>
      </c>
      <c r="BB109" t="s">
        <v>268</v>
      </c>
      <c r="BC109" t="s">
        <v>268</v>
      </c>
      <c r="BD109" t="s">
        <v>268</v>
      </c>
      <c r="BE109" t="s">
        <v>1307</v>
      </c>
      <c r="BF109" t="s">
        <v>1308</v>
      </c>
      <c r="BG109" t="s">
        <v>1309</v>
      </c>
      <c r="BH109" t="s">
        <v>1336</v>
      </c>
      <c r="BI109" t="s">
        <v>1311</v>
      </c>
      <c r="BJ109" t="b">
        <v>0</v>
      </c>
      <c r="BK109" t="b">
        <v>1</v>
      </c>
      <c r="BL109" t="b">
        <v>0</v>
      </c>
      <c r="BM109" t="b">
        <v>0</v>
      </c>
      <c r="BN109" t="b">
        <v>0</v>
      </c>
      <c r="BO109" t="b">
        <v>0</v>
      </c>
      <c r="BP109">
        <v>1</v>
      </c>
      <c r="BQ109">
        <v>6</v>
      </c>
      <c r="BR109">
        <v>0</v>
      </c>
      <c r="BS109">
        <v>0</v>
      </c>
      <c r="BT109" t="b">
        <v>1</v>
      </c>
      <c r="BV109">
        <v>12</v>
      </c>
      <c r="BW109">
        <v>5100</v>
      </c>
      <c r="BX109">
        <v>0</v>
      </c>
      <c r="BY109" t="s">
        <v>268</v>
      </c>
      <c r="BZ109" t="s">
        <v>268</v>
      </c>
      <c r="CA109" t="s">
        <v>268</v>
      </c>
      <c r="CB109" t="s">
        <v>271</v>
      </c>
      <c r="CC109" t="s">
        <v>1312</v>
      </c>
      <c r="CD109" t="s">
        <v>1313</v>
      </c>
      <c r="CE109" t="s">
        <v>1314</v>
      </c>
      <c r="CF109" t="s">
        <v>1315</v>
      </c>
      <c r="CG109">
        <f t="shared" si="5"/>
        <v>1257.44055175781</v>
      </c>
      <c r="CH109">
        <f t="shared" si="6"/>
        <v>5400</v>
      </c>
      <c r="CI109">
        <f t="shared" si="7"/>
        <v>1</v>
      </c>
      <c r="CJ109">
        <f t="shared" si="8"/>
        <v>6790178.9794921735</v>
      </c>
      <c r="CK109">
        <f t="shared" si="9"/>
        <v>1257.44055175781</v>
      </c>
    </row>
    <row r="110" spans="1:89">
      <c r="A110">
        <v>22450</v>
      </c>
      <c r="B110" t="s">
        <v>1302</v>
      </c>
      <c r="C110">
        <v>538.903076171875</v>
      </c>
      <c r="D110" t="s">
        <v>1334</v>
      </c>
      <c r="E110">
        <v>1978</v>
      </c>
      <c r="F110" t="s">
        <v>1385</v>
      </c>
      <c r="G110" t="s">
        <v>168</v>
      </c>
      <c r="H110">
        <v>97215</v>
      </c>
      <c r="I110" t="s">
        <v>1386</v>
      </c>
      <c r="K110" t="s">
        <v>1306</v>
      </c>
      <c r="L110">
        <v>14</v>
      </c>
      <c r="M110">
        <v>2</v>
      </c>
      <c r="N110">
        <v>0</v>
      </c>
      <c r="O110">
        <v>2</v>
      </c>
      <c r="P110">
        <v>0</v>
      </c>
      <c r="Q110">
        <v>10246</v>
      </c>
      <c r="R110">
        <v>10246</v>
      </c>
      <c r="S110">
        <v>400</v>
      </c>
      <c r="T110">
        <v>0</v>
      </c>
      <c r="U110">
        <v>0</v>
      </c>
      <c r="V110">
        <v>4</v>
      </c>
      <c r="W110">
        <v>10</v>
      </c>
      <c r="X110">
        <v>0</v>
      </c>
      <c r="Y110">
        <v>0</v>
      </c>
      <c r="Z110" t="b">
        <v>0</v>
      </c>
      <c r="AA110" t="b">
        <v>1</v>
      </c>
      <c r="AB110">
        <v>8</v>
      </c>
      <c r="AD110">
        <v>92402.6640625</v>
      </c>
      <c r="AE110">
        <v>92402.6640625</v>
      </c>
      <c r="AI110">
        <v>315277.875</v>
      </c>
      <c r="AJ110" t="s">
        <v>268</v>
      </c>
      <c r="AK110">
        <v>0</v>
      </c>
      <c r="AL110">
        <v>12</v>
      </c>
      <c r="AM110">
        <v>0</v>
      </c>
      <c r="AN110">
        <v>25</v>
      </c>
      <c r="AO110">
        <v>0</v>
      </c>
      <c r="AP110">
        <v>28</v>
      </c>
      <c r="AQ110">
        <v>0</v>
      </c>
      <c r="AR110">
        <v>0</v>
      </c>
      <c r="AS110">
        <v>35</v>
      </c>
      <c r="AT110" t="b">
        <v>1</v>
      </c>
      <c r="AU110">
        <v>2</v>
      </c>
      <c r="AV110">
        <v>2</v>
      </c>
      <c r="AW110">
        <v>0</v>
      </c>
      <c r="AX110" t="b">
        <v>0</v>
      </c>
      <c r="AY110" t="b">
        <v>0</v>
      </c>
      <c r="AZ110" t="b">
        <v>0</v>
      </c>
      <c r="BA110" t="b">
        <v>0</v>
      </c>
      <c r="BB110" t="s">
        <v>268</v>
      </c>
      <c r="BC110" t="s">
        <v>268</v>
      </c>
      <c r="BD110" t="s">
        <v>268</v>
      </c>
      <c r="BE110" t="s">
        <v>1307</v>
      </c>
      <c r="BF110" t="s">
        <v>1308</v>
      </c>
      <c r="BG110" t="s">
        <v>1309</v>
      </c>
      <c r="BH110" t="s">
        <v>1336</v>
      </c>
      <c r="BI110" t="s">
        <v>1322</v>
      </c>
      <c r="BJ110" t="b">
        <v>0</v>
      </c>
      <c r="BK110" t="b">
        <v>1</v>
      </c>
      <c r="BL110" t="b">
        <v>0</v>
      </c>
      <c r="BM110" t="b">
        <v>0</v>
      </c>
      <c r="BN110" t="b">
        <v>0</v>
      </c>
      <c r="BO110" t="b">
        <v>0</v>
      </c>
      <c r="BP110">
        <v>2</v>
      </c>
      <c r="BQ110">
        <v>13</v>
      </c>
      <c r="BR110">
        <v>0</v>
      </c>
      <c r="BS110">
        <v>0</v>
      </c>
      <c r="BT110" t="b">
        <v>1</v>
      </c>
      <c r="BV110">
        <v>12</v>
      </c>
      <c r="BW110">
        <v>5100</v>
      </c>
      <c r="BX110">
        <v>0</v>
      </c>
      <c r="BY110" t="s">
        <v>268</v>
      </c>
      <c r="BZ110" t="s">
        <v>268</v>
      </c>
      <c r="CA110" t="s">
        <v>268</v>
      </c>
      <c r="CB110" t="s">
        <v>271</v>
      </c>
      <c r="CC110" t="s">
        <v>1319</v>
      </c>
      <c r="CD110" t="s">
        <v>1313</v>
      </c>
      <c r="CE110" t="s">
        <v>1327</v>
      </c>
      <c r="CF110" t="s">
        <v>1315</v>
      </c>
      <c r="CG110">
        <f t="shared" si="5"/>
        <v>538.903076171875</v>
      </c>
      <c r="CH110">
        <f t="shared" si="6"/>
        <v>10246</v>
      </c>
      <c r="CI110">
        <f t="shared" si="7"/>
        <v>2</v>
      </c>
      <c r="CJ110">
        <f t="shared" si="8"/>
        <v>5521600.9184570312</v>
      </c>
      <c r="CK110">
        <f t="shared" si="9"/>
        <v>1077.80615234375</v>
      </c>
    </row>
    <row r="111" spans="1:89">
      <c r="A111">
        <v>22536</v>
      </c>
      <c r="B111" t="s">
        <v>1302</v>
      </c>
      <c r="C111">
        <v>100.59523773193401</v>
      </c>
      <c r="D111" t="s">
        <v>1334</v>
      </c>
      <c r="E111">
        <v>1975</v>
      </c>
      <c r="F111" t="s">
        <v>1422</v>
      </c>
      <c r="G111" t="s">
        <v>168</v>
      </c>
      <c r="H111">
        <v>97062</v>
      </c>
      <c r="I111" t="s">
        <v>1386</v>
      </c>
      <c r="J111" t="s">
        <v>1358</v>
      </c>
      <c r="K111" t="s">
        <v>1306</v>
      </c>
      <c r="L111">
        <v>75</v>
      </c>
      <c r="M111">
        <v>3</v>
      </c>
      <c r="N111">
        <v>0</v>
      </c>
      <c r="O111">
        <v>3</v>
      </c>
      <c r="P111">
        <v>0</v>
      </c>
      <c r="Q111">
        <v>92509</v>
      </c>
      <c r="R111">
        <v>92509</v>
      </c>
      <c r="S111">
        <v>11607</v>
      </c>
      <c r="T111">
        <v>0</v>
      </c>
      <c r="U111">
        <v>3</v>
      </c>
      <c r="V111">
        <v>51</v>
      </c>
      <c r="W111">
        <v>21</v>
      </c>
      <c r="X111">
        <v>0</v>
      </c>
      <c r="Y111">
        <v>5</v>
      </c>
      <c r="Z111" t="b">
        <v>0</v>
      </c>
      <c r="AA111" t="b">
        <v>1</v>
      </c>
      <c r="AB111">
        <v>8</v>
      </c>
      <c r="AC111">
        <v>152533.65625</v>
      </c>
      <c r="AD111">
        <v>586965.4375</v>
      </c>
      <c r="AE111">
        <v>739499.125</v>
      </c>
      <c r="AH111">
        <v>887.92816162109398</v>
      </c>
      <c r="AI111">
        <v>2611963.75</v>
      </c>
      <c r="AJ111" t="s">
        <v>268</v>
      </c>
      <c r="AK111">
        <v>0</v>
      </c>
      <c r="AL111">
        <v>0</v>
      </c>
      <c r="AM111">
        <v>20</v>
      </c>
      <c r="AN111">
        <v>0</v>
      </c>
      <c r="AO111">
        <v>27</v>
      </c>
      <c r="AP111">
        <v>3</v>
      </c>
      <c r="AQ111">
        <v>0</v>
      </c>
      <c r="AR111">
        <v>19</v>
      </c>
      <c r="AS111">
        <v>31</v>
      </c>
      <c r="AT111" t="b">
        <v>1</v>
      </c>
      <c r="AU111">
        <v>1</v>
      </c>
      <c r="AV111">
        <v>1</v>
      </c>
      <c r="AW111">
        <v>2</v>
      </c>
      <c r="AX111" t="b">
        <v>0</v>
      </c>
      <c r="AY111" t="b">
        <v>0</v>
      </c>
      <c r="AZ111" t="b">
        <v>1</v>
      </c>
      <c r="BA111" t="b">
        <v>0</v>
      </c>
      <c r="BB111" t="s">
        <v>268</v>
      </c>
      <c r="BC111" t="s">
        <v>268</v>
      </c>
      <c r="BD111" t="s">
        <v>271</v>
      </c>
      <c r="BE111" t="s">
        <v>1307</v>
      </c>
      <c r="BF111" t="s">
        <v>1308</v>
      </c>
      <c r="BG111" t="s">
        <v>1309</v>
      </c>
      <c r="BH111" t="s">
        <v>1336</v>
      </c>
      <c r="BI111" t="s">
        <v>1322</v>
      </c>
      <c r="BJ111" t="b">
        <v>1</v>
      </c>
      <c r="BK111" t="b">
        <v>1</v>
      </c>
      <c r="BL111" t="b">
        <v>1</v>
      </c>
      <c r="BM111" t="b">
        <v>0</v>
      </c>
      <c r="BN111" t="b">
        <v>0</v>
      </c>
      <c r="BO111" t="b">
        <v>0</v>
      </c>
      <c r="BP111">
        <v>3</v>
      </c>
      <c r="BQ111">
        <v>81</v>
      </c>
      <c r="BR111">
        <v>1</v>
      </c>
      <c r="BS111">
        <v>1</v>
      </c>
      <c r="BT111" t="b">
        <v>1</v>
      </c>
      <c r="BU111">
        <v>0</v>
      </c>
      <c r="BV111">
        <v>135</v>
      </c>
      <c r="BW111">
        <v>51236</v>
      </c>
      <c r="BX111">
        <v>1</v>
      </c>
      <c r="BY111" t="s">
        <v>271</v>
      </c>
      <c r="BZ111" t="s">
        <v>268</v>
      </c>
      <c r="CA111" t="s">
        <v>268</v>
      </c>
      <c r="CB111" t="s">
        <v>271</v>
      </c>
      <c r="CC111" t="s">
        <v>1319</v>
      </c>
      <c r="CD111" t="s">
        <v>1313</v>
      </c>
      <c r="CE111" t="s">
        <v>1333</v>
      </c>
      <c r="CF111" t="s">
        <v>1315</v>
      </c>
      <c r="CG111">
        <f t="shared" si="5"/>
        <v>100.59523773193401</v>
      </c>
      <c r="CH111">
        <f t="shared" si="6"/>
        <v>92509</v>
      </c>
      <c r="CI111">
        <f t="shared" si="7"/>
        <v>3</v>
      </c>
      <c r="CJ111">
        <f t="shared" si="8"/>
        <v>9305964.8473434821</v>
      </c>
      <c r="CK111">
        <f t="shared" si="9"/>
        <v>301.78571319580203</v>
      </c>
    </row>
    <row r="112" spans="1:89">
      <c r="A112">
        <v>22870</v>
      </c>
      <c r="B112" t="s">
        <v>1302</v>
      </c>
      <c r="C112">
        <v>471.54019165039102</v>
      </c>
      <c r="D112" t="s">
        <v>1334</v>
      </c>
      <c r="E112">
        <v>1979</v>
      </c>
      <c r="F112" t="s">
        <v>1427</v>
      </c>
      <c r="G112" t="s">
        <v>168</v>
      </c>
      <c r="H112">
        <v>97477</v>
      </c>
      <c r="I112" t="s">
        <v>1428</v>
      </c>
      <c r="K112" t="s">
        <v>1351</v>
      </c>
      <c r="L112">
        <v>16</v>
      </c>
      <c r="M112">
        <v>2</v>
      </c>
      <c r="N112">
        <v>0</v>
      </c>
      <c r="O112">
        <v>2</v>
      </c>
      <c r="P112">
        <v>0</v>
      </c>
      <c r="Q112">
        <v>14688</v>
      </c>
      <c r="R112">
        <v>14688</v>
      </c>
      <c r="S112">
        <v>0</v>
      </c>
      <c r="T112">
        <v>0</v>
      </c>
      <c r="U112">
        <v>0</v>
      </c>
      <c r="V112">
        <v>16</v>
      </c>
      <c r="W112">
        <v>0</v>
      </c>
      <c r="X112">
        <v>0</v>
      </c>
      <c r="Y112">
        <v>4</v>
      </c>
      <c r="Z112" t="b">
        <v>0</v>
      </c>
      <c r="AA112" t="b">
        <v>0</v>
      </c>
      <c r="AB112">
        <v>8</v>
      </c>
      <c r="AC112">
        <v>164387.84375</v>
      </c>
      <c r="AD112">
        <v>118590.4140625</v>
      </c>
      <c r="AE112">
        <v>282978.25</v>
      </c>
      <c r="AI112">
        <v>965521.8125</v>
      </c>
      <c r="AJ112" t="s">
        <v>268</v>
      </c>
      <c r="AK112">
        <v>0</v>
      </c>
      <c r="AL112">
        <v>49</v>
      </c>
      <c r="AM112">
        <v>0</v>
      </c>
      <c r="AN112">
        <v>0</v>
      </c>
      <c r="AO112">
        <v>0</v>
      </c>
      <c r="AP112">
        <v>0</v>
      </c>
      <c r="AQ112">
        <v>0</v>
      </c>
      <c r="AR112">
        <v>0</v>
      </c>
      <c r="AS112">
        <v>51</v>
      </c>
      <c r="AT112" t="b">
        <v>1</v>
      </c>
      <c r="AU112">
        <v>0</v>
      </c>
      <c r="AV112">
        <v>0</v>
      </c>
      <c r="AW112">
        <v>0</v>
      </c>
      <c r="AX112" t="b">
        <v>0</v>
      </c>
      <c r="AY112" t="b">
        <v>0</v>
      </c>
      <c r="AZ112" t="b">
        <v>0</v>
      </c>
      <c r="BA112" t="b">
        <v>0</v>
      </c>
      <c r="BB112" t="s">
        <v>268</v>
      </c>
      <c r="BC112" t="s">
        <v>268</v>
      </c>
      <c r="BD112" t="s">
        <v>268</v>
      </c>
      <c r="BE112" t="s">
        <v>1307</v>
      </c>
      <c r="BF112" t="s">
        <v>1308</v>
      </c>
      <c r="BG112" t="s">
        <v>1309</v>
      </c>
      <c r="BH112" t="s">
        <v>1336</v>
      </c>
      <c r="BI112" t="s">
        <v>1311</v>
      </c>
      <c r="BJ112" t="b">
        <v>0</v>
      </c>
      <c r="BK112" t="b">
        <v>1</v>
      </c>
      <c r="BL112" t="b">
        <v>0</v>
      </c>
      <c r="BM112" t="b">
        <v>0</v>
      </c>
      <c r="BN112" t="b">
        <v>0</v>
      </c>
      <c r="BO112" t="b">
        <v>0</v>
      </c>
      <c r="BP112">
        <v>8</v>
      </c>
      <c r="BQ112">
        <v>18</v>
      </c>
      <c r="BR112">
        <v>0</v>
      </c>
      <c r="BS112">
        <v>0</v>
      </c>
      <c r="BT112" t="b">
        <v>1</v>
      </c>
      <c r="BU112">
        <v>0</v>
      </c>
      <c r="BV112">
        <v>13</v>
      </c>
      <c r="BW112">
        <v>4896</v>
      </c>
      <c r="BX112">
        <v>1</v>
      </c>
      <c r="BY112" t="s">
        <v>271</v>
      </c>
      <c r="BZ112" t="s">
        <v>268</v>
      </c>
      <c r="CA112" t="s">
        <v>268</v>
      </c>
      <c r="CB112" t="s">
        <v>271</v>
      </c>
      <c r="CC112" t="s">
        <v>1319</v>
      </c>
      <c r="CD112" t="s">
        <v>1313</v>
      </c>
      <c r="CE112" t="s">
        <v>1314</v>
      </c>
      <c r="CF112" t="s">
        <v>1315</v>
      </c>
      <c r="CG112">
        <f t="shared" si="5"/>
        <v>471.54019165039102</v>
      </c>
      <c r="CH112">
        <f t="shared" si="6"/>
        <v>14688</v>
      </c>
      <c r="CI112">
        <f t="shared" si="7"/>
        <v>2</v>
      </c>
      <c r="CJ112">
        <f t="shared" si="8"/>
        <v>6925982.3349609431</v>
      </c>
      <c r="CK112">
        <f t="shared" si="9"/>
        <v>943.08038330078205</v>
      </c>
    </row>
    <row r="113" spans="1:89">
      <c r="A113">
        <v>22906</v>
      </c>
      <c r="B113" t="s">
        <v>1302</v>
      </c>
      <c r="C113">
        <v>628.72027587890602</v>
      </c>
      <c r="D113" t="s">
        <v>1340</v>
      </c>
      <c r="E113">
        <v>1998</v>
      </c>
      <c r="F113" t="s">
        <v>1394</v>
      </c>
      <c r="G113" t="s">
        <v>168</v>
      </c>
      <c r="H113">
        <v>97223</v>
      </c>
      <c r="I113" t="s">
        <v>1386</v>
      </c>
      <c r="K113" t="s">
        <v>1306</v>
      </c>
      <c r="L113">
        <v>12</v>
      </c>
      <c r="M113">
        <v>2</v>
      </c>
      <c r="N113">
        <v>0</v>
      </c>
      <c r="O113">
        <v>2</v>
      </c>
      <c r="P113">
        <v>0</v>
      </c>
      <c r="Q113">
        <v>11050</v>
      </c>
      <c r="R113">
        <v>11050</v>
      </c>
      <c r="S113">
        <v>0</v>
      </c>
      <c r="T113">
        <v>0</v>
      </c>
      <c r="U113">
        <v>0</v>
      </c>
      <c r="V113">
        <v>4</v>
      </c>
      <c r="W113">
        <v>8</v>
      </c>
      <c r="X113">
        <v>0</v>
      </c>
      <c r="Y113">
        <v>0</v>
      </c>
      <c r="Z113" t="b">
        <v>0</v>
      </c>
      <c r="AA113" t="b">
        <v>0</v>
      </c>
      <c r="AB113">
        <v>8</v>
      </c>
      <c r="AC113">
        <v>8261.927734375</v>
      </c>
      <c r="AD113">
        <v>94268.2890625</v>
      </c>
      <c r="AE113">
        <v>102530.21875</v>
      </c>
      <c r="AI113">
        <v>349833.09375</v>
      </c>
      <c r="AJ113" t="s">
        <v>268</v>
      </c>
      <c r="AK113">
        <v>0</v>
      </c>
      <c r="AL113">
        <v>63</v>
      </c>
      <c r="AM113">
        <v>0</v>
      </c>
      <c r="AN113">
        <v>0</v>
      </c>
      <c r="AO113">
        <v>0</v>
      </c>
      <c r="AP113">
        <v>0</v>
      </c>
      <c r="AQ113">
        <v>0</v>
      </c>
      <c r="AR113">
        <v>0</v>
      </c>
      <c r="AS113">
        <v>37</v>
      </c>
      <c r="AT113" t="b">
        <v>1</v>
      </c>
      <c r="AU113">
        <v>0</v>
      </c>
      <c r="AV113">
        <v>0</v>
      </c>
      <c r="AW113">
        <v>0</v>
      </c>
      <c r="AX113" t="b">
        <v>0</v>
      </c>
      <c r="AY113" t="b">
        <v>0</v>
      </c>
      <c r="AZ113" t="b">
        <v>0</v>
      </c>
      <c r="BA113" t="b">
        <v>0</v>
      </c>
      <c r="BB113" t="s">
        <v>268</v>
      </c>
      <c r="BC113" t="s">
        <v>268</v>
      </c>
      <c r="BD113" t="s">
        <v>268</v>
      </c>
      <c r="BE113" t="s">
        <v>1307</v>
      </c>
      <c r="BF113" t="s">
        <v>1308</v>
      </c>
      <c r="BG113" t="s">
        <v>1309</v>
      </c>
      <c r="BH113" t="s">
        <v>1310</v>
      </c>
      <c r="BI113" t="s">
        <v>1311</v>
      </c>
      <c r="BJ113" t="b">
        <v>0</v>
      </c>
      <c r="BK113" t="b">
        <v>1</v>
      </c>
      <c r="BL113" t="b">
        <v>0</v>
      </c>
      <c r="BM113" t="b">
        <v>0</v>
      </c>
      <c r="BN113" t="b">
        <v>0</v>
      </c>
      <c r="BO113" t="b">
        <v>0</v>
      </c>
      <c r="BP113">
        <v>4</v>
      </c>
      <c r="BQ113">
        <v>13</v>
      </c>
      <c r="BR113">
        <v>0</v>
      </c>
      <c r="BS113">
        <v>0</v>
      </c>
      <c r="BT113" t="b">
        <v>1</v>
      </c>
      <c r="BU113">
        <v>0</v>
      </c>
      <c r="BV113">
        <v>24</v>
      </c>
      <c r="BW113">
        <v>7100</v>
      </c>
      <c r="BX113">
        <v>1</v>
      </c>
      <c r="BY113" t="s">
        <v>271</v>
      </c>
      <c r="BZ113" t="s">
        <v>268</v>
      </c>
      <c r="CA113" t="s">
        <v>268</v>
      </c>
      <c r="CB113" t="s">
        <v>271</v>
      </c>
      <c r="CC113" t="s">
        <v>1319</v>
      </c>
      <c r="CD113" t="s">
        <v>1313</v>
      </c>
      <c r="CE113" t="s">
        <v>1314</v>
      </c>
      <c r="CF113" t="s">
        <v>1315</v>
      </c>
      <c r="CG113">
        <f t="shared" si="5"/>
        <v>628.72027587890602</v>
      </c>
      <c r="CH113">
        <f t="shared" si="6"/>
        <v>11050</v>
      </c>
      <c r="CI113">
        <f t="shared" si="7"/>
        <v>2</v>
      </c>
      <c r="CJ113">
        <f t="shared" si="8"/>
        <v>6947359.0484619113</v>
      </c>
      <c r="CK113">
        <f t="shared" si="9"/>
        <v>1257.440551757812</v>
      </c>
    </row>
    <row r="114" spans="1:89">
      <c r="A114">
        <v>23106</v>
      </c>
      <c r="B114" t="s">
        <v>1371</v>
      </c>
      <c r="C114">
        <v>123.68268585205099</v>
      </c>
      <c r="D114" t="s">
        <v>1338</v>
      </c>
      <c r="E114">
        <v>2009</v>
      </c>
      <c r="F114" t="s">
        <v>1413</v>
      </c>
      <c r="G114" t="s">
        <v>167</v>
      </c>
      <c r="H114">
        <v>98402</v>
      </c>
      <c r="I114" t="s">
        <v>1305</v>
      </c>
      <c r="J114" t="s">
        <v>1317</v>
      </c>
      <c r="K114" t="s">
        <v>1306</v>
      </c>
      <c r="L114">
        <v>61</v>
      </c>
      <c r="M114">
        <v>6</v>
      </c>
      <c r="N114">
        <v>0.5</v>
      </c>
      <c r="O114">
        <v>7</v>
      </c>
      <c r="P114">
        <v>0</v>
      </c>
      <c r="Q114">
        <v>100564</v>
      </c>
      <c r="R114">
        <v>93639</v>
      </c>
      <c r="S114">
        <v>9757</v>
      </c>
      <c r="T114">
        <v>0</v>
      </c>
      <c r="U114">
        <v>5</v>
      </c>
      <c r="V114">
        <v>34</v>
      </c>
      <c r="W114">
        <v>22</v>
      </c>
      <c r="X114">
        <v>0</v>
      </c>
      <c r="Y114">
        <v>2</v>
      </c>
      <c r="Z114" t="b">
        <v>1</v>
      </c>
      <c r="AA114" t="b">
        <v>1</v>
      </c>
      <c r="AB114">
        <v>11.75</v>
      </c>
      <c r="AC114">
        <v>547141.625</v>
      </c>
      <c r="AD114">
        <v>550538.6875</v>
      </c>
      <c r="AE114">
        <v>1097680.25</v>
      </c>
      <c r="AH114">
        <v>7386.88623046875</v>
      </c>
      <c r="AI114">
        <v>4483973.5</v>
      </c>
      <c r="AJ114" t="s">
        <v>268</v>
      </c>
      <c r="AK114">
        <v>6925</v>
      </c>
      <c r="AL114">
        <v>36</v>
      </c>
      <c r="AM114">
        <v>1</v>
      </c>
      <c r="AN114">
        <v>13</v>
      </c>
      <c r="AO114">
        <v>1</v>
      </c>
      <c r="AP114">
        <v>19</v>
      </c>
      <c r="AQ114">
        <v>0</v>
      </c>
      <c r="AR114">
        <v>0</v>
      </c>
      <c r="AS114">
        <v>36</v>
      </c>
      <c r="AT114" t="b">
        <v>1</v>
      </c>
      <c r="AU114">
        <v>0</v>
      </c>
      <c r="AV114">
        <v>0</v>
      </c>
      <c r="AW114">
        <v>1</v>
      </c>
      <c r="AX114" t="b">
        <v>1</v>
      </c>
      <c r="AY114" t="b">
        <v>1</v>
      </c>
      <c r="AZ114" t="b">
        <v>0</v>
      </c>
      <c r="BA114" t="b">
        <v>0</v>
      </c>
      <c r="BB114" t="s">
        <v>268</v>
      </c>
      <c r="BC114" t="s">
        <v>271</v>
      </c>
      <c r="BD114" t="s">
        <v>271</v>
      </c>
      <c r="BE114" t="s">
        <v>1429</v>
      </c>
      <c r="BF114" t="s">
        <v>1308</v>
      </c>
      <c r="BG114" t="s">
        <v>1346</v>
      </c>
      <c r="BH114" t="s">
        <v>1430</v>
      </c>
      <c r="BI114" t="s">
        <v>1322</v>
      </c>
      <c r="BJ114" t="b">
        <v>1</v>
      </c>
      <c r="BK114" t="b">
        <v>1</v>
      </c>
      <c r="BL114" t="b">
        <v>1</v>
      </c>
      <c r="BM114" t="b">
        <v>0</v>
      </c>
      <c r="BN114" t="b">
        <v>0</v>
      </c>
      <c r="BO114" t="b">
        <v>0</v>
      </c>
      <c r="BP114">
        <v>8</v>
      </c>
      <c r="BQ114">
        <v>66</v>
      </c>
      <c r="BR114">
        <v>1</v>
      </c>
      <c r="BS114">
        <v>1</v>
      </c>
      <c r="BT114" t="b">
        <v>1</v>
      </c>
      <c r="BU114">
        <v>50</v>
      </c>
      <c r="BV114">
        <v>121</v>
      </c>
      <c r="BW114">
        <v>16506</v>
      </c>
      <c r="BX114">
        <v>2.5</v>
      </c>
      <c r="BY114" t="s">
        <v>271</v>
      </c>
      <c r="BZ114" t="s">
        <v>268</v>
      </c>
      <c r="CA114" t="s">
        <v>268</v>
      </c>
      <c r="CB114" t="s">
        <v>268</v>
      </c>
      <c r="CC114" t="s">
        <v>1312</v>
      </c>
      <c r="CD114" t="s">
        <v>1360</v>
      </c>
      <c r="CE114" t="s">
        <v>1333</v>
      </c>
      <c r="CF114" t="s">
        <v>1361</v>
      </c>
      <c r="CG114" t="str">
        <f t="shared" si="5"/>
        <v/>
      </c>
      <c r="CH114" t="str">
        <f t="shared" si="6"/>
        <v/>
      </c>
      <c r="CI114" t="str">
        <f t="shared" si="7"/>
        <v/>
      </c>
      <c r="CJ114" t="str">
        <f t="shared" si="8"/>
        <v/>
      </c>
      <c r="CK114" t="str">
        <f t="shared" si="9"/>
        <v/>
      </c>
    </row>
    <row r="115" spans="1:89">
      <c r="A115">
        <v>23425</v>
      </c>
      <c r="B115" t="s">
        <v>1302</v>
      </c>
      <c r="C115">
        <v>754.46429443359398</v>
      </c>
      <c r="D115" t="s">
        <v>1324</v>
      </c>
      <c r="E115">
        <v>1968</v>
      </c>
      <c r="F115" t="s">
        <v>1404</v>
      </c>
      <c r="G115" t="s">
        <v>168</v>
      </c>
      <c r="H115">
        <v>97005</v>
      </c>
      <c r="I115" t="s">
        <v>1386</v>
      </c>
      <c r="K115" t="s">
        <v>1306</v>
      </c>
      <c r="L115">
        <v>10</v>
      </c>
      <c r="M115">
        <v>2</v>
      </c>
      <c r="N115">
        <v>0</v>
      </c>
      <c r="O115">
        <v>2</v>
      </c>
      <c r="P115">
        <v>0</v>
      </c>
      <c r="Q115">
        <v>5480</v>
      </c>
      <c r="R115">
        <v>5480</v>
      </c>
      <c r="S115">
        <v>0</v>
      </c>
      <c r="T115">
        <v>0</v>
      </c>
      <c r="U115">
        <v>0</v>
      </c>
      <c r="V115">
        <v>1</v>
      </c>
      <c r="W115">
        <v>9</v>
      </c>
      <c r="X115">
        <v>0</v>
      </c>
      <c r="Y115">
        <v>0</v>
      </c>
      <c r="Z115" t="b">
        <v>0</v>
      </c>
      <c r="AA115" t="b">
        <v>0</v>
      </c>
      <c r="AB115">
        <v>9</v>
      </c>
      <c r="AC115">
        <v>14573.5458984375</v>
      </c>
      <c r="AD115">
        <v>51766.29296875</v>
      </c>
      <c r="AE115">
        <v>66339.8359375</v>
      </c>
      <c r="AI115">
        <v>226351.515625</v>
      </c>
      <c r="AJ115" t="s">
        <v>268</v>
      </c>
      <c r="AK115">
        <v>0</v>
      </c>
      <c r="AL115">
        <v>30</v>
      </c>
      <c r="AM115">
        <v>0</v>
      </c>
      <c r="AN115">
        <v>0</v>
      </c>
      <c r="AO115">
        <v>0</v>
      </c>
      <c r="AP115">
        <v>6</v>
      </c>
      <c r="AQ115">
        <v>0</v>
      </c>
      <c r="AR115">
        <v>0</v>
      </c>
      <c r="AS115">
        <v>64</v>
      </c>
      <c r="AT115" t="b">
        <v>1</v>
      </c>
      <c r="AU115">
        <v>0</v>
      </c>
      <c r="AV115">
        <v>0</v>
      </c>
      <c r="AW115">
        <v>0</v>
      </c>
      <c r="AX115" t="b">
        <v>0</v>
      </c>
      <c r="AY115" t="b">
        <v>0</v>
      </c>
      <c r="AZ115" t="b">
        <v>0</v>
      </c>
      <c r="BA115" t="b">
        <v>0</v>
      </c>
      <c r="BB115" t="s">
        <v>268</v>
      </c>
      <c r="BC115" t="s">
        <v>268</v>
      </c>
      <c r="BD115" t="s">
        <v>268</v>
      </c>
      <c r="BE115" t="s">
        <v>1307</v>
      </c>
      <c r="BF115" t="s">
        <v>1308</v>
      </c>
      <c r="BG115" t="s">
        <v>1309</v>
      </c>
      <c r="BH115" t="s">
        <v>1336</v>
      </c>
      <c r="BI115" t="s">
        <v>1311</v>
      </c>
      <c r="BJ115" t="b">
        <v>0</v>
      </c>
      <c r="BK115" t="b">
        <v>1</v>
      </c>
      <c r="BL115" t="b">
        <v>0</v>
      </c>
      <c r="BM115" t="b">
        <v>0</v>
      </c>
      <c r="BN115" t="b">
        <v>0</v>
      </c>
      <c r="BO115" t="b">
        <v>0</v>
      </c>
      <c r="BP115">
        <v>1</v>
      </c>
      <c r="BQ115">
        <v>10</v>
      </c>
      <c r="BR115">
        <v>0</v>
      </c>
      <c r="BS115">
        <v>0</v>
      </c>
      <c r="BT115" t="b">
        <v>1</v>
      </c>
      <c r="BU115">
        <v>0</v>
      </c>
      <c r="BV115">
        <v>14</v>
      </c>
      <c r="BW115">
        <v>5950</v>
      </c>
      <c r="BX115">
        <v>0</v>
      </c>
      <c r="BY115" t="s">
        <v>268</v>
      </c>
      <c r="BZ115" t="s">
        <v>268</v>
      </c>
      <c r="CA115" t="s">
        <v>268</v>
      </c>
      <c r="CB115" t="s">
        <v>271</v>
      </c>
      <c r="CC115" t="s">
        <v>1319</v>
      </c>
      <c r="CD115" t="s">
        <v>1313</v>
      </c>
      <c r="CE115" t="s">
        <v>1314</v>
      </c>
      <c r="CF115" t="s">
        <v>1315</v>
      </c>
      <c r="CG115">
        <f t="shared" si="5"/>
        <v>754.46429443359398</v>
      </c>
      <c r="CH115">
        <f t="shared" si="6"/>
        <v>5480</v>
      </c>
      <c r="CI115">
        <f t="shared" si="7"/>
        <v>2</v>
      </c>
      <c r="CJ115">
        <f t="shared" si="8"/>
        <v>4134464.3334960951</v>
      </c>
      <c r="CK115">
        <f t="shared" si="9"/>
        <v>1508.928588867188</v>
      </c>
    </row>
    <row r="116" spans="1:89">
      <c r="A116">
        <v>23531</v>
      </c>
      <c r="B116" t="s">
        <v>1302</v>
      </c>
      <c r="C116">
        <v>419.14685058593801</v>
      </c>
      <c r="D116" t="s">
        <v>1340</v>
      </c>
      <c r="E116">
        <v>1997</v>
      </c>
      <c r="F116" t="s">
        <v>1431</v>
      </c>
      <c r="G116" t="s">
        <v>167</v>
      </c>
      <c r="H116">
        <v>99206</v>
      </c>
      <c r="I116" t="s">
        <v>1393</v>
      </c>
      <c r="J116" t="s">
        <v>1393</v>
      </c>
      <c r="K116" t="s">
        <v>1306</v>
      </c>
      <c r="L116">
        <v>18</v>
      </c>
      <c r="M116">
        <v>3</v>
      </c>
      <c r="N116">
        <v>0</v>
      </c>
      <c r="O116">
        <v>3</v>
      </c>
      <c r="P116">
        <v>0</v>
      </c>
      <c r="Q116">
        <v>15192</v>
      </c>
      <c r="R116">
        <v>15192</v>
      </c>
      <c r="S116">
        <v>0</v>
      </c>
      <c r="T116">
        <v>0</v>
      </c>
      <c r="U116">
        <v>0</v>
      </c>
      <c r="V116">
        <v>18</v>
      </c>
      <c r="W116">
        <v>0</v>
      </c>
      <c r="X116">
        <v>0</v>
      </c>
      <c r="Y116">
        <v>5</v>
      </c>
      <c r="Z116" t="b">
        <v>0</v>
      </c>
      <c r="AA116" t="b">
        <v>0</v>
      </c>
      <c r="AB116">
        <v>7.5</v>
      </c>
      <c r="AJ116" t="s">
        <v>268</v>
      </c>
      <c r="AK116">
        <v>0</v>
      </c>
      <c r="AL116">
        <v>0</v>
      </c>
      <c r="AM116">
        <v>0</v>
      </c>
      <c r="AN116">
        <v>38</v>
      </c>
      <c r="AO116">
        <v>0</v>
      </c>
      <c r="AP116">
        <v>62</v>
      </c>
      <c r="AQ116">
        <v>0</v>
      </c>
      <c r="AR116">
        <v>0</v>
      </c>
      <c r="AS116">
        <v>0</v>
      </c>
      <c r="AT116" t="b">
        <v>1</v>
      </c>
      <c r="AU116">
        <v>0</v>
      </c>
      <c r="AV116">
        <v>0</v>
      </c>
      <c r="AW116">
        <v>0</v>
      </c>
      <c r="AX116" t="b">
        <v>0</v>
      </c>
      <c r="AY116" t="b">
        <v>0</v>
      </c>
      <c r="AZ116" t="b">
        <v>0</v>
      </c>
      <c r="BA116" t="b">
        <v>0</v>
      </c>
      <c r="BB116" t="s">
        <v>268</v>
      </c>
      <c r="BC116" t="s">
        <v>268</v>
      </c>
      <c r="BD116" t="s">
        <v>268</v>
      </c>
      <c r="BE116" t="s">
        <v>1307</v>
      </c>
      <c r="BF116" t="s">
        <v>1308</v>
      </c>
      <c r="BG116" t="s">
        <v>1309</v>
      </c>
      <c r="BH116" t="s">
        <v>1336</v>
      </c>
      <c r="BI116" t="s">
        <v>1311</v>
      </c>
      <c r="BJ116" t="b">
        <v>1</v>
      </c>
      <c r="BK116" t="b">
        <v>1</v>
      </c>
      <c r="BL116" t="b">
        <v>1</v>
      </c>
      <c r="BM116" t="b">
        <v>0</v>
      </c>
      <c r="BN116" t="b">
        <v>0</v>
      </c>
      <c r="BO116" t="b">
        <v>0</v>
      </c>
      <c r="BP116">
        <v>25</v>
      </c>
      <c r="BQ116">
        <v>142</v>
      </c>
      <c r="BR116">
        <v>1</v>
      </c>
      <c r="BS116">
        <v>1</v>
      </c>
      <c r="BT116" t="b">
        <v>1</v>
      </c>
      <c r="BU116">
        <v>0</v>
      </c>
      <c r="BV116">
        <v>18</v>
      </c>
      <c r="BW116">
        <v>7455</v>
      </c>
      <c r="BX116">
        <v>1</v>
      </c>
      <c r="BY116" t="s">
        <v>271</v>
      </c>
      <c r="BZ116" t="s">
        <v>268</v>
      </c>
      <c r="CA116" t="s">
        <v>268</v>
      </c>
      <c r="CB116" t="s">
        <v>271</v>
      </c>
      <c r="CC116" t="s">
        <v>1312</v>
      </c>
      <c r="CD116" t="s">
        <v>1313</v>
      </c>
      <c r="CE116" t="s">
        <v>1314</v>
      </c>
      <c r="CF116" t="s">
        <v>1315</v>
      </c>
      <c r="CG116">
        <f t="shared" si="5"/>
        <v>419.14685058593801</v>
      </c>
      <c r="CH116">
        <f t="shared" si="6"/>
        <v>15192</v>
      </c>
      <c r="CI116">
        <f t="shared" si="7"/>
        <v>3</v>
      </c>
      <c r="CJ116">
        <f t="shared" si="8"/>
        <v>6367678.95410157</v>
      </c>
      <c r="CK116">
        <f t="shared" si="9"/>
        <v>1257.4405517578141</v>
      </c>
    </row>
    <row r="117" spans="1:89">
      <c r="A117">
        <v>23623</v>
      </c>
      <c r="B117" t="s">
        <v>1302</v>
      </c>
      <c r="C117">
        <v>314.36013793945301</v>
      </c>
      <c r="D117" t="s">
        <v>1334</v>
      </c>
      <c r="E117">
        <v>1976</v>
      </c>
      <c r="F117" t="s">
        <v>1390</v>
      </c>
      <c r="G117" t="s">
        <v>167</v>
      </c>
      <c r="H117">
        <v>98661</v>
      </c>
      <c r="I117" t="s">
        <v>1391</v>
      </c>
      <c r="J117" t="s">
        <v>1358</v>
      </c>
      <c r="K117" t="s">
        <v>1306</v>
      </c>
      <c r="L117">
        <v>24</v>
      </c>
      <c r="M117">
        <v>3</v>
      </c>
      <c r="N117">
        <v>0</v>
      </c>
      <c r="O117">
        <v>2.5</v>
      </c>
      <c r="P117">
        <v>0</v>
      </c>
      <c r="Q117">
        <v>12876</v>
      </c>
      <c r="R117">
        <v>12876</v>
      </c>
      <c r="S117">
        <v>0</v>
      </c>
      <c r="T117">
        <v>0</v>
      </c>
      <c r="U117">
        <v>0</v>
      </c>
      <c r="V117">
        <v>0</v>
      </c>
      <c r="W117">
        <v>24</v>
      </c>
      <c r="X117">
        <v>0</v>
      </c>
      <c r="Y117">
        <v>0</v>
      </c>
      <c r="Z117" t="b">
        <v>0</v>
      </c>
      <c r="AA117" t="b">
        <v>0</v>
      </c>
      <c r="AB117">
        <v>8</v>
      </c>
      <c r="AC117">
        <v>2185.93090820313</v>
      </c>
      <c r="AD117">
        <v>134733.28125</v>
      </c>
      <c r="AE117">
        <v>136919.21875</v>
      </c>
      <c r="AJ117" t="s">
        <v>268</v>
      </c>
      <c r="AK117">
        <v>0</v>
      </c>
      <c r="AL117">
        <v>57</v>
      </c>
      <c r="AM117">
        <v>0</v>
      </c>
      <c r="AN117">
        <v>0</v>
      </c>
      <c r="AO117">
        <v>0</v>
      </c>
      <c r="AP117">
        <v>0</v>
      </c>
      <c r="AQ117">
        <v>0</v>
      </c>
      <c r="AR117">
        <v>0</v>
      </c>
      <c r="AS117">
        <v>43</v>
      </c>
      <c r="AT117" t="b">
        <v>0</v>
      </c>
      <c r="AU117">
        <v>0</v>
      </c>
      <c r="AV117">
        <v>0</v>
      </c>
      <c r="AW117">
        <v>0</v>
      </c>
      <c r="AX117" t="b">
        <v>0</v>
      </c>
      <c r="AY117" t="b">
        <v>0</v>
      </c>
      <c r="AZ117" t="b">
        <v>0</v>
      </c>
      <c r="BA117" t="b">
        <v>0</v>
      </c>
      <c r="BB117" t="s">
        <v>268</v>
      </c>
      <c r="BC117" t="s">
        <v>268</v>
      </c>
      <c r="BD117" t="s">
        <v>268</v>
      </c>
      <c r="BE117" t="s">
        <v>1307</v>
      </c>
      <c r="BF117" t="s">
        <v>1308</v>
      </c>
      <c r="BG117" t="s">
        <v>1309</v>
      </c>
      <c r="BH117" t="s">
        <v>1310</v>
      </c>
      <c r="BI117" t="s">
        <v>1311</v>
      </c>
      <c r="BJ117" t="b">
        <v>1</v>
      </c>
      <c r="BK117" t="b">
        <v>1</v>
      </c>
      <c r="BL117" t="b">
        <v>0</v>
      </c>
      <c r="BM117" t="b">
        <v>0</v>
      </c>
      <c r="BN117" t="b">
        <v>0</v>
      </c>
      <c r="BO117" t="b">
        <v>0</v>
      </c>
      <c r="BP117">
        <v>3</v>
      </c>
      <c r="BQ117">
        <v>25</v>
      </c>
      <c r="BR117">
        <v>0</v>
      </c>
      <c r="BS117">
        <v>0</v>
      </c>
      <c r="BT117" t="b">
        <v>1</v>
      </c>
      <c r="BV117">
        <v>27</v>
      </c>
      <c r="BW117">
        <v>11475</v>
      </c>
      <c r="BX117">
        <v>0</v>
      </c>
      <c r="BY117" t="s">
        <v>268</v>
      </c>
      <c r="BZ117" t="s">
        <v>268</v>
      </c>
      <c r="CA117" t="s">
        <v>268</v>
      </c>
      <c r="CB117" t="s">
        <v>271</v>
      </c>
      <c r="CC117" t="s">
        <v>1312</v>
      </c>
      <c r="CD117" t="s">
        <v>1313</v>
      </c>
      <c r="CE117" t="s">
        <v>1314</v>
      </c>
      <c r="CF117" t="s">
        <v>1315</v>
      </c>
      <c r="CG117">
        <f t="shared" si="5"/>
        <v>314.36013793945301</v>
      </c>
      <c r="CH117">
        <f t="shared" si="6"/>
        <v>12876</v>
      </c>
      <c r="CI117">
        <f t="shared" si="7"/>
        <v>3</v>
      </c>
      <c r="CJ117">
        <f t="shared" si="8"/>
        <v>4047701.136108397</v>
      </c>
      <c r="CK117">
        <f t="shared" si="9"/>
        <v>943.08041381835903</v>
      </c>
    </row>
    <row r="118" spans="1:89">
      <c r="A118">
        <v>23681</v>
      </c>
      <c r="B118" t="s">
        <v>1302</v>
      </c>
      <c r="C118">
        <v>943.08038330078102</v>
      </c>
      <c r="D118" t="s">
        <v>1303</v>
      </c>
      <c r="E118">
        <v>1990</v>
      </c>
      <c r="F118" t="s">
        <v>1412</v>
      </c>
      <c r="G118" t="s">
        <v>168</v>
      </c>
      <c r="H118">
        <v>97504</v>
      </c>
      <c r="I118" t="s">
        <v>1407</v>
      </c>
      <c r="J118" t="s">
        <v>1393</v>
      </c>
      <c r="K118" t="s">
        <v>1306</v>
      </c>
      <c r="L118">
        <v>8</v>
      </c>
      <c r="M118">
        <v>2</v>
      </c>
      <c r="N118">
        <v>0</v>
      </c>
      <c r="O118">
        <v>2</v>
      </c>
      <c r="P118">
        <v>0</v>
      </c>
      <c r="Q118">
        <v>10048</v>
      </c>
      <c r="R118">
        <v>10048</v>
      </c>
      <c r="S118">
        <v>0</v>
      </c>
      <c r="T118">
        <v>0</v>
      </c>
      <c r="U118">
        <v>0</v>
      </c>
      <c r="V118">
        <v>8</v>
      </c>
      <c r="W118">
        <v>0</v>
      </c>
      <c r="X118">
        <v>0</v>
      </c>
      <c r="Y118">
        <v>0</v>
      </c>
      <c r="Z118" t="b">
        <v>0</v>
      </c>
      <c r="AA118" t="b">
        <v>0</v>
      </c>
      <c r="AB118">
        <v>8</v>
      </c>
      <c r="AC118">
        <v>7206.7763671875</v>
      </c>
      <c r="AD118">
        <v>66956.8671875</v>
      </c>
      <c r="AE118">
        <v>74163.640625</v>
      </c>
      <c r="AJ118" t="s">
        <v>268</v>
      </c>
      <c r="AK118">
        <v>0</v>
      </c>
      <c r="AL118">
        <v>24</v>
      </c>
      <c r="AM118">
        <v>0</v>
      </c>
      <c r="AN118">
        <v>26</v>
      </c>
      <c r="AO118">
        <v>0</v>
      </c>
      <c r="AP118">
        <v>26</v>
      </c>
      <c r="AQ118">
        <v>0</v>
      </c>
      <c r="AR118">
        <v>0</v>
      </c>
      <c r="AS118">
        <v>24</v>
      </c>
      <c r="AT118" t="b">
        <v>1</v>
      </c>
      <c r="AU118">
        <v>0</v>
      </c>
      <c r="AV118">
        <v>0</v>
      </c>
      <c r="AW118">
        <v>0</v>
      </c>
      <c r="AX118" t="b">
        <v>0</v>
      </c>
      <c r="AY118" t="b">
        <v>0</v>
      </c>
      <c r="AZ118" t="b">
        <v>0</v>
      </c>
      <c r="BA118" t="b">
        <v>0</v>
      </c>
      <c r="BB118" t="s">
        <v>268</v>
      </c>
      <c r="BC118" t="s">
        <v>268</v>
      </c>
      <c r="BD118" t="s">
        <v>271</v>
      </c>
      <c r="BE118" t="s">
        <v>1432</v>
      </c>
      <c r="BF118" t="s">
        <v>1308</v>
      </c>
      <c r="BG118" t="s">
        <v>1309</v>
      </c>
      <c r="BH118" t="s">
        <v>1343</v>
      </c>
      <c r="BI118" t="s">
        <v>1311</v>
      </c>
      <c r="BJ118" t="b">
        <v>1</v>
      </c>
      <c r="BK118" t="b">
        <v>1</v>
      </c>
      <c r="BL118" t="b">
        <v>0</v>
      </c>
      <c r="BM118" t="b">
        <v>0</v>
      </c>
      <c r="BN118" t="b">
        <v>0</v>
      </c>
      <c r="BO118" t="b">
        <v>0</v>
      </c>
      <c r="BP118">
        <v>4</v>
      </c>
      <c r="BQ118">
        <v>10</v>
      </c>
      <c r="BR118">
        <v>0</v>
      </c>
      <c r="BS118">
        <v>0</v>
      </c>
      <c r="BT118" t="b">
        <v>1</v>
      </c>
      <c r="BU118">
        <v>0</v>
      </c>
      <c r="BV118">
        <v>14</v>
      </c>
      <c r="BW118">
        <v>3469</v>
      </c>
      <c r="BX118">
        <v>1</v>
      </c>
      <c r="BY118" t="s">
        <v>271</v>
      </c>
      <c r="BZ118" t="s">
        <v>268</v>
      </c>
      <c r="CA118" t="s">
        <v>271</v>
      </c>
      <c r="CB118" t="s">
        <v>271</v>
      </c>
      <c r="CC118" t="s">
        <v>1312</v>
      </c>
      <c r="CD118" t="s">
        <v>1313</v>
      </c>
      <c r="CE118" t="s">
        <v>1314</v>
      </c>
      <c r="CF118" t="s">
        <v>1315</v>
      </c>
      <c r="CG118">
        <f t="shared" si="5"/>
        <v>943.08038330078102</v>
      </c>
      <c r="CH118">
        <f t="shared" si="6"/>
        <v>10048</v>
      </c>
      <c r="CI118">
        <f t="shared" si="7"/>
        <v>2</v>
      </c>
      <c r="CJ118">
        <f t="shared" si="8"/>
        <v>9476071.6914062481</v>
      </c>
      <c r="CK118">
        <f t="shared" si="9"/>
        <v>1886.160766601562</v>
      </c>
    </row>
    <row r="119" spans="1:89">
      <c r="A119">
        <v>23685</v>
      </c>
      <c r="B119" t="s">
        <v>1302</v>
      </c>
      <c r="C119">
        <v>754.46429443359398</v>
      </c>
      <c r="D119" t="s">
        <v>1334</v>
      </c>
      <c r="E119">
        <v>1979</v>
      </c>
      <c r="F119" t="s">
        <v>1433</v>
      </c>
      <c r="G119" t="s">
        <v>168</v>
      </c>
      <c r="H119">
        <v>97367</v>
      </c>
      <c r="I119" t="s">
        <v>1407</v>
      </c>
      <c r="J119" t="s">
        <v>1358</v>
      </c>
      <c r="K119" t="s">
        <v>1306</v>
      </c>
      <c r="L119">
        <v>10</v>
      </c>
      <c r="M119">
        <v>2</v>
      </c>
      <c r="N119">
        <v>0</v>
      </c>
      <c r="O119">
        <v>2</v>
      </c>
      <c r="P119">
        <v>0</v>
      </c>
      <c r="Q119">
        <v>8400</v>
      </c>
      <c r="R119">
        <v>8400</v>
      </c>
      <c r="S119">
        <v>0</v>
      </c>
      <c r="T119">
        <v>0</v>
      </c>
      <c r="U119">
        <v>2</v>
      </c>
      <c r="V119">
        <v>8</v>
      </c>
      <c r="W119">
        <v>0</v>
      </c>
      <c r="X119">
        <v>0</v>
      </c>
      <c r="Y119">
        <v>10</v>
      </c>
      <c r="Z119" t="b">
        <v>0</v>
      </c>
      <c r="AA119" t="b">
        <v>0</v>
      </c>
      <c r="AB119">
        <v>7.6599998474121103</v>
      </c>
      <c r="AD119">
        <v>78153.4609375</v>
      </c>
      <c r="AE119">
        <v>78153.4609375</v>
      </c>
      <c r="AH119">
        <v>579.93786621093795</v>
      </c>
      <c r="AI119">
        <v>324653.40625</v>
      </c>
      <c r="AJ119" t="s">
        <v>268</v>
      </c>
      <c r="AK119">
        <v>0</v>
      </c>
      <c r="AL119">
        <v>32</v>
      </c>
      <c r="AM119">
        <v>0</v>
      </c>
      <c r="AN119">
        <v>3</v>
      </c>
      <c r="AO119">
        <v>0</v>
      </c>
      <c r="AP119">
        <v>3</v>
      </c>
      <c r="AQ119">
        <v>0</v>
      </c>
      <c r="AR119">
        <v>0</v>
      </c>
      <c r="AS119">
        <v>62</v>
      </c>
      <c r="AT119" t="b">
        <v>1</v>
      </c>
      <c r="AU119">
        <v>0</v>
      </c>
      <c r="AV119">
        <v>0</v>
      </c>
      <c r="AX119" t="b">
        <v>0</v>
      </c>
      <c r="AY119" t="b">
        <v>0</v>
      </c>
      <c r="AZ119" t="b">
        <v>0</v>
      </c>
      <c r="BA119" t="b">
        <v>0</v>
      </c>
      <c r="BB119" t="s">
        <v>268</v>
      </c>
      <c r="BC119" t="s">
        <v>268</v>
      </c>
      <c r="BD119" t="s">
        <v>268</v>
      </c>
      <c r="BE119" t="s">
        <v>1307</v>
      </c>
      <c r="BF119" t="s">
        <v>1308</v>
      </c>
      <c r="BG119" t="s">
        <v>1309</v>
      </c>
      <c r="BH119" t="s">
        <v>1310</v>
      </c>
      <c r="BI119" t="s">
        <v>1311</v>
      </c>
      <c r="BJ119" t="b">
        <v>1</v>
      </c>
      <c r="BK119" t="b">
        <v>1</v>
      </c>
      <c r="BL119" t="b">
        <v>1</v>
      </c>
      <c r="BM119" t="b">
        <v>0</v>
      </c>
      <c r="BN119" t="b">
        <v>0</v>
      </c>
      <c r="BO119" t="b">
        <v>0</v>
      </c>
      <c r="BP119">
        <v>5</v>
      </c>
      <c r="BQ119">
        <v>11</v>
      </c>
      <c r="BR119">
        <v>1</v>
      </c>
      <c r="BS119">
        <v>1</v>
      </c>
      <c r="BT119" t="b">
        <v>1</v>
      </c>
      <c r="BU119">
        <v>40</v>
      </c>
      <c r="BV119">
        <v>12</v>
      </c>
      <c r="BW119">
        <v>5100</v>
      </c>
      <c r="BX119">
        <v>0</v>
      </c>
      <c r="BY119" t="s">
        <v>268</v>
      </c>
      <c r="BZ119" t="s">
        <v>268</v>
      </c>
      <c r="CA119" t="s">
        <v>268</v>
      </c>
      <c r="CB119" t="s">
        <v>271</v>
      </c>
      <c r="CC119" t="s">
        <v>1312</v>
      </c>
      <c r="CD119" t="s">
        <v>1313</v>
      </c>
      <c r="CE119" t="s">
        <v>1314</v>
      </c>
      <c r="CF119" t="s">
        <v>1315</v>
      </c>
      <c r="CG119">
        <f t="shared" si="5"/>
        <v>754.46429443359398</v>
      </c>
      <c r="CH119">
        <f t="shared" si="6"/>
        <v>8400</v>
      </c>
      <c r="CI119">
        <f t="shared" si="7"/>
        <v>2</v>
      </c>
      <c r="CJ119">
        <f t="shared" si="8"/>
        <v>6337500.0732421894</v>
      </c>
      <c r="CK119">
        <f t="shared" si="9"/>
        <v>1508.928588867188</v>
      </c>
    </row>
    <row r="120" spans="1:89">
      <c r="A120">
        <v>23800</v>
      </c>
      <c r="B120" t="s">
        <v>1302</v>
      </c>
      <c r="C120">
        <v>188.61607360839801</v>
      </c>
      <c r="D120" t="s">
        <v>1324</v>
      </c>
      <c r="E120">
        <v>1964</v>
      </c>
      <c r="F120" t="s">
        <v>1410</v>
      </c>
      <c r="G120" t="s">
        <v>170</v>
      </c>
      <c r="H120">
        <v>59601</v>
      </c>
      <c r="I120" t="s">
        <v>1411</v>
      </c>
      <c r="J120" t="s">
        <v>1411</v>
      </c>
      <c r="K120" t="s">
        <v>1306</v>
      </c>
      <c r="L120">
        <v>40</v>
      </c>
      <c r="M120">
        <v>3</v>
      </c>
      <c r="N120">
        <v>0</v>
      </c>
      <c r="O120">
        <v>3</v>
      </c>
      <c r="P120">
        <v>0</v>
      </c>
      <c r="Q120">
        <v>32024</v>
      </c>
      <c r="R120">
        <v>32024</v>
      </c>
      <c r="S120">
        <v>4599</v>
      </c>
      <c r="T120">
        <v>0</v>
      </c>
      <c r="U120">
        <v>0</v>
      </c>
      <c r="V120">
        <v>12</v>
      </c>
      <c r="W120">
        <v>27</v>
      </c>
      <c r="X120">
        <v>1</v>
      </c>
      <c r="Y120">
        <v>10</v>
      </c>
      <c r="Z120" t="b">
        <v>0</v>
      </c>
      <c r="AA120" t="b">
        <v>1</v>
      </c>
      <c r="AB120">
        <v>8</v>
      </c>
      <c r="AH120">
        <v>13652.072265625</v>
      </c>
      <c r="AJ120" t="s">
        <v>268</v>
      </c>
      <c r="AK120">
        <v>0</v>
      </c>
      <c r="AL120">
        <v>40</v>
      </c>
      <c r="AM120">
        <v>0</v>
      </c>
      <c r="AN120">
        <v>10</v>
      </c>
      <c r="AO120">
        <v>0</v>
      </c>
      <c r="AP120">
        <v>10</v>
      </c>
      <c r="AQ120">
        <v>0</v>
      </c>
      <c r="AR120">
        <v>0</v>
      </c>
      <c r="AS120">
        <v>40</v>
      </c>
      <c r="AT120" t="b">
        <v>0</v>
      </c>
      <c r="AU120">
        <v>3</v>
      </c>
      <c r="AV120">
        <v>3</v>
      </c>
      <c r="AW120">
        <v>0</v>
      </c>
      <c r="AX120" t="b">
        <v>1</v>
      </c>
      <c r="AY120" t="b">
        <v>0</v>
      </c>
      <c r="AZ120" t="b">
        <v>0</v>
      </c>
      <c r="BA120" t="b">
        <v>0</v>
      </c>
      <c r="BB120" t="s">
        <v>271</v>
      </c>
      <c r="BC120" t="s">
        <v>268</v>
      </c>
      <c r="BD120" t="s">
        <v>268</v>
      </c>
      <c r="BE120" t="s">
        <v>1345</v>
      </c>
      <c r="BF120" t="s">
        <v>1342</v>
      </c>
      <c r="BG120" t="s">
        <v>1346</v>
      </c>
      <c r="BH120" t="s">
        <v>1434</v>
      </c>
      <c r="BI120" t="s">
        <v>1344</v>
      </c>
      <c r="BJ120" t="b">
        <v>1</v>
      </c>
      <c r="BK120" t="b">
        <v>1</v>
      </c>
      <c r="BL120" t="b">
        <v>1</v>
      </c>
      <c r="BM120" t="b">
        <v>0</v>
      </c>
      <c r="BN120" t="b">
        <v>0</v>
      </c>
      <c r="BO120" t="b">
        <v>0</v>
      </c>
      <c r="BP120">
        <v>1</v>
      </c>
      <c r="BQ120">
        <v>41</v>
      </c>
      <c r="BR120">
        <v>1</v>
      </c>
      <c r="BS120">
        <v>1</v>
      </c>
      <c r="BT120" t="b">
        <v>1</v>
      </c>
      <c r="BV120">
        <v>38</v>
      </c>
      <c r="BW120">
        <v>16150</v>
      </c>
      <c r="BX120">
        <v>0</v>
      </c>
      <c r="BY120" t="s">
        <v>268</v>
      </c>
      <c r="BZ120" t="s">
        <v>268</v>
      </c>
      <c r="CA120" t="s">
        <v>268</v>
      </c>
      <c r="CB120" t="s">
        <v>271</v>
      </c>
      <c r="CC120" t="s">
        <v>1387</v>
      </c>
      <c r="CD120" t="s">
        <v>1373</v>
      </c>
      <c r="CE120" t="s">
        <v>1356</v>
      </c>
      <c r="CF120" t="s">
        <v>1435</v>
      </c>
      <c r="CG120" t="str">
        <f t="shared" si="5"/>
        <v/>
      </c>
      <c r="CH120" t="str">
        <f t="shared" si="6"/>
        <v/>
      </c>
      <c r="CI120" t="str">
        <f t="shared" si="7"/>
        <v/>
      </c>
      <c r="CJ120" t="str">
        <f t="shared" si="8"/>
        <v/>
      </c>
      <c r="CK120" t="str">
        <f t="shared" si="9"/>
        <v/>
      </c>
    </row>
    <row r="121" spans="1:89">
      <c r="A121">
        <v>23899</v>
      </c>
      <c r="B121" t="s">
        <v>1302</v>
      </c>
      <c r="C121">
        <v>167.65873718261699</v>
      </c>
      <c r="D121" t="s">
        <v>1338</v>
      </c>
      <c r="E121">
        <v>2002</v>
      </c>
      <c r="F121" t="s">
        <v>1390</v>
      </c>
      <c r="G121" t="s">
        <v>167</v>
      </c>
      <c r="H121">
        <v>98665</v>
      </c>
      <c r="I121" t="s">
        <v>1391</v>
      </c>
      <c r="J121" t="s">
        <v>1358</v>
      </c>
      <c r="K121" t="s">
        <v>1306</v>
      </c>
      <c r="L121">
        <v>45</v>
      </c>
      <c r="M121">
        <v>3</v>
      </c>
      <c r="N121">
        <v>0</v>
      </c>
      <c r="O121">
        <v>3</v>
      </c>
      <c r="P121">
        <v>0</v>
      </c>
      <c r="Q121">
        <v>38165</v>
      </c>
      <c r="R121">
        <v>38165</v>
      </c>
      <c r="S121">
        <v>12400</v>
      </c>
      <c r="T121">
        <v>0</v>
      </c>
      <c r="U121">
        <v>0</v>
      </c>
      <c r="V121">
        <v>1</v>
      </c>
      <c r="W121">
        <v>44</v>
      </c>
      <c r="X121">
        <v>0</v>
      </c>
      <c r="Y121">
        <v>0</v>
      </c>
      <c r="Z121" t="b">
        <v>0</v>
      </c>
      <c r="AA121" t="b">
        <v>1</v>
      </c>
      <c r="AB121">
        <v>8</v>
      </c>
      <c r="AC121">
        <v>105824.8515625</v>
      </c>
      <c r="AD121">
        <v>147050.015625</v>
      </c>
      <c r="AE121">
        <v>252874.875</v>
      </c>
      <c r="AH121">
        <v>3406.1171875</v>
      </c>
      <c r="AI121">
        <v>1203420.75</v>
      </c>
      <c r="AJ121" t="s">
        <v>268</v>
      </c>
      <c r="AK121">
        <v>0</v>
      </c>
      <c r="AL121">
        <v>12</v>
      </c>
      <c r="AM121">
        <v>0</v>
      </c>
      <c r="AN121">
        <v>37</v>
      </c>
      <c r="AO121">
        <v>0</v>
      </c>
      <c r="AP121">
        <v>35</v>
      </c>
      <c r="AQ121">
        <v>0</v>
      </c>
      <c r="AR121">
        <v>0</v>
      </c>
      <c r="AS121">
        <v>16</v>
      </c>
      <c r="AT121" t="b">
        <v>0</v>
      </c>
      <c r="AU121">
        <v>3</v>
      </c>
      <c r="AV121">
        <v>3</v>
      </c>
      <c r="AW121">
        <v>1</v>
      </c>
      <c r="AX121" t="b">
        <v>0</v>
      </c>
      <c r="AY121" t="b">
        <v>1</v>
      </c>
      <c r="AZ121" t="b">
        <v>1</v>
      </c>
      <c r="BA121" t="b">
        <v>1</v>
      </c>
      <c r="BB121" t="s">
        <v>268</v>
      </c>
      <c r="BC121" t="s">
        <v>268</v>
      </c>
      <c r="BD121" t="s">
        <v>268</v>
      </c>
      <c r="BE121" t="s">
        <v>1307</v>
      </c>
      <c r="BF121" t="s">
        <v>1308</v>
      </c>
      <c r="BG121" t="s">
        <v>1309</v>
      </c>
      <c r="BH121" t="s">
        <v>1336</v>
      </c>
      <c r="BI121" t="s">
        <v>1379</v>
      </c>
      <c r="BJ121" t="b">
        <v>1</v>
      </c>
      <c r="BK121" t="b">
        <v>1</v>
      </c>
      <c r="BL121" t="b">
        <v>1</v>
      </c>
      <c r="BM121" t="b">
        <v>0</v>
      </c>
      <c r="BN121" t="b">
        <v>0</v>
      </c>
      <c r="BO121" t="b">
        <v>0</v>
      </c>
      <c r="BP121">
        <v>1</v>
      </c>
      <c r="BQ121">
        <v>46</v>
      </c>
      <c r="BR121">
        <v>1</v>
      </c>
      <c r="BS121">
        <v>1</v>
      </c>
      <c r="BT121" t="b">
        <v>1</v>
      </c>
      <c r="BV121">
        <v>45</v>
      </c>
      <c r="BW121">
        <v>19125</v>
      </c>
      <c r="BX121">
        <v>0</v>
      </c>
      <c r="BY121" t="s">
        <v>268</v>
      </c>
      <c r="BZ121" t="s">
        <v>268</v>
      </c>
      <c r="CA121" t="s">
        <v>268</v>
      </c>
      <c r="CB121" t="s">
        <v>271</v>
      </c>
      <c r="CC121" t="s">
        <v>1312</v>
      </c>
      <c r="CD121" t="s">
        <v>1313</v>
      </c>
      <c r="CE121" t="s">
        <v>1314</v>
      </c>
      <c r="CF121" t="s">
        <v>1315</v>
      </c>
      <c r="CG121">
        <f t="shared" si="5"/>
        <v>167.65873718261699</v>
      </c>
      <c r="CH121">
        <f t="shared" si="6"/>
        <v>38165</v>
      </c>
      <c r="CI121">
        <f t="shared" si="7"/>
        <v>3</v>
      </c>
      <c r="CJ121">
        <f t="shared" si="8"/>
        <v>6398695.7045745775</v>
      </c>
      <c r="CK121">
        <f t="shared" si="9"/>
        <v>502.97621154785099</v>
      </c>
    </row>
    <row r="122" spans="1:89">
      <c r="A122">
        <v>23996</v>
      </c>
      <c r="B122" t="s">
        <v>1371</v>
      </c>
      <c r="C122">
        <v>89.817184448242202</v>
      </c>
      <c r="D122" t="s">
        <v>1334</v>
      </c>
      <c r="E122">
        <v>1972</v>
      </c>
      <c r="F122" t="s">
        <v>1424</v>
      </c>
      <c r="G122" t="s">
        <v>167</v>
      </c>
      <c r="H122">
        <v>99201</v>
      </c>
      <c r="I122" t="s">
        <v>1393</v>
      </c>
      <c r="J122" t="s">
        <v>1393</v>
      </c>
      <c r="K122" t="s">
        <v>1306</v>
      </c>
      <c r="L122">
        <v>84</v>
      </c>
      <c r="M122">
        <v>8</v>
      </c>
      <c r="N122">
        <v>0</v>
      </c>
      <c r="O122">
        <v>8</v>
      </c>
      <c r="P122">
        <v>0</v>
      </c>
      <c r="Q122">
        <v>96545</v>
      </c>
      <c r="R122">
        <v>96545</v>
      </c>
      <c r="S122">
        <v>7060</v>
      </c>
      <c r="T122">
        <v>0</v>
      </c>
      <c r="U122">
        <v>0</v>
      </c>
      <c r="V122">
        <v>34</v>
      </c>
      <c r="W122">
        <v>50</v>
      </c>
      <c r="X122">
        <v>0</v>
      </c>
      <c r="Y122">
        <v>11</v>
      </c>
      <c r="Z122" t="b">
        <v>0</v>
      </c>
      <c r="AA122" t="b">
        <v>1</v>
      </c>
      <c r="AB122">
        <v>8</v>
      </c>
      <c r="AJ122" t="s">
        <v>268</v>
      </c>
      <c r="AK122">
        <v>0</v>
      </c>
      <c r="AL122">
        <v>15</v>
      </c>
      <c r="AM122">
        <v>0</v>
      </c>
      <c r="AN122">
        <v>35</v>
      </c>
      <c r="AO122">
        <v>0</v>
      </c>
      <c r="AP122">
        <v>35</v>
      </c>
      <c r="AQ122">
        <v>0</v>
      </c>
      <c r="AR122">
        <v>0</v>
      </c>
      <c r="AS122">
        <v>15</v>
      </c>
      <c r="AT122" t="b">
        <v>1</v>
      </c>
      <c r="AU122">
        <v>6</v>
      </c>
      <c r="AV122">
        <v>6</v>
      </c>
      <c r="AW122">
        <v>2</v>
      </c>
      <c r="AX122" t="b">
        <v>0</v>
      </c>
      <c r="AY122" t="b">
        <v>0</v>
      </c>
      <c r="AZ122" t="b">
        <v>0</v>
      </c>
      <c r="BA122" t="b">
        <v>1</v>
      </c>
      <c r="BB122" t="s">
        <v>268</v>
      </c>
      <c r="BC122" t="s">
        <v>268</v>
      </c>
      <c r="BD122" t="s">
        <v>271</v>
      </c>
      <c r="BE122" t="s">
        <v>1307</v>
      </c>
      <c r="BF122" t="s">
        <v>1308</v>
      </c>
      <c r="BG122" t="s">
        <v>1309</v>
      </c>
      <c r="BH122" t="s">
        <v>1336</v>
      </c>
      <c r="BI122" t="s">
        <v>1311</v>
      </c>
      <c r="BJ122" t="b">
        <v>1</v>
      </c>
      <c r="BK122" t="b">
        <v>1</v>
      </c>
      <c r="BL122" t="b">
        <v>1</v>
      </c>
      <c r="BM122" t="b">
        <v>0</v>
      </c>
      <c r="BN122" t="b">
        <v>0</v>
      </c>
      <c r="BO122" t="b">
        <v>0</v>
      </c>
      <c r="BP122">
        <v>1</v>
      </c>
      <c r="BQ122">
        <v>83</v>
      </c>
      <c r="BR122">
        <v>1</v>
      </c>
      <c r="BS122">
        <v>1</v>
      </c>
      <c r="BT122" t="b">
        <v>1</v>
      </c>
      <c r="BV122">
        <v>88</v>
      </c>
      <c r="BW122">
        <v>37400</v>
      </c>
      <c r="BX122">
        <v>0</v>
      </c>
      <c r="BY122" t="s">
        <v>268</v>
      </c>
      <c r="BZ122" t="s">
        <v>268</v>
      </c>
      <c r="CA122" t="s">
        <v>268</v>
      </c>
      <c r="CB122" t="s">
        <v>271</v>
      </c>
      <c r="CC122" t="s">
        <v>1387</v>
      </c>
      <c r="CD122" t="s">
        <v>1373</v>
      </c>
      <c r="CE122" t="s">
        <v>1314</v>
      </c>
      <c r="CF122" t="s">
        <v>1374</v>
      </c>
      <c r="CG122" t="str">
        <f t="shared" si="5"/>
        <v/>
      </c>
      <c r="CH122" t="str">
        <f t="shared" si="6"/>
        <v/>
      </c>
      <c r="CI122" t="str">
        <f t="shared" si="7"/>
        <v/>
      </c>
      <c r="CJ122" t="str">
        <f t="shared" si="8"/>
        <v/>
      </c>
      <c r="CK122" t="str">
        <f t="shared" si="9"/>
        <v/>
      </c>
    </row>
    <row r="123" spans="1:89">
      <c r="A123">
        <v>24009</v>
      </c>
      <c r="B123" t="s">
        <v>1302</v>
      </c>
      <c r="C123">
        <v>943.08038330078102</v>
      </c>
      <c r="D123" t="s">
        <v>1340</v>
      </c>
      <c r="E123">
        <v>1994</v>
      </c>
      <c r="F123" t="s">
        <v>1416</v>
      </c>
      <c r="G123" t="s">
        <v>169</v>
      </c>
      <c r="H123">
        <v>83705</v>
      </c>
      <c r="I123" t="s">
        <v>1417</v>
      </c>
      <c r="J123" t="s">
        <v>1418</v>
      </c>
      <c r="K123" t="s">
        <v>1306</v>
      </c>
      <c r="L123">
        <v>8</v>
      </c>
      <c r="M123">
        <v>2</v>
      </c>
      <c r="N123">
        <v>0</v>
      </c>
      <c r="O123">
        <v>2</v>
      </c>
      <c r="P123">
        <v>0</v>
      </c>
      <c r="Q123">
        <v>4112</v>
      </c>
      <c r="R123">
        <v>4112</v>
      </c>
      <c r="S123">
        <v>0</v>
      </c>
      <c r="T123">
        <v>0</v>
      </c>
      <c r="U123">
        <v>0</v>
      </c>
      <c r="V123">
        <v>0</v>
      </c>
      <c r="W123">
        <v>8</v>
      </c>
      <c r="X123">
        <v>0</v>
      </c>
      <c r="Y123">
        <v>0</v>
      </c>
      <c r="Z123" t="b">
        <v>0</v>
      </c>
      <c r="AA123" t="b">
        <v>0</v>
      </c>
      <c r="AB123">
        <v>8</v>
      </c>
      <c r="AD123">
        <v>33502.30078125</v>
      </c>
      <c r="AE123">
        <v>33502.30078125</v>
      </c>
      <c r="AJ123" t="s">
        <v>268</v>
      </c>
      <c r="AK123">
        <v>0</v>
      </c>
      <c r="AL123">
        <v>39</v>
      </c>
      <c r="AM123">
        <v>0</v>
      </c>
      <c r="AN123">
        <v>11</v>
      </c>
      <c r="AO123">
        <v>0</v>
      </c>
      <c r="AP123">
        <v>11</v>
      </c>
      <c r="AQ123">
        <v>0</v>
      </c>
      <c r="AR123">
        <v>0</v>
      </c>
      <c r="AS123">
        <v>39</v>
      </c>
      <c r="AT123" t="b">
        <v>1</v>
      </c>
      <c r="AU123">
        <v>0</v>
      </c>
      <c r="AV123">
        <v>0</v>
      </c>
      <c r="AW123">
        <v>0</v>
      </c>
      <c r="AX123" t="b">
        <v>0</v>
      </c>
      <c r="AY123" t="b">
        <v>0</v>
      </c>
      <c r="AZ123" t="b">
        <v>0</v>
      </c>
      <c r="BA123" t="b">
        <v>0</v>
      </c>
      <c r="BB123" t="s">
        <v>268</v>
      </c>
      <c r="BC123" t="s">
        <v>268</v>
      </c>
      <c r="BD123" t="s">
        <v>268</v>
      </c>
      <c r="BE123" t="s">
        <v>1359</v>
      </c>
      <c r="BF123" t="s">
        <v>1342</v>
      </c>
      <c r="BG123" t="s">
        <v>1309</v>
      </c>
      <c r="BH123" t="s">
        <v>1343</v>
      </c>
      <c r="BI123" t="s">
        <v>1311</v>
      </c>
      <c r="BJ123" t="b">
        <v>1</v>
      </c>
      <c r="BK123" t="b">
        <v>1</v>
      </c>
      <c r="BL123" t="b">
        <v>1</v>
      </c>
      <c r="BM123" t="b">
        <v>0</v>
      </c>
      <c r="BN123" t="b">
        <v>0</v>
      </c>
      <c r="BO123" t="b">
        <v>0</v>
      </c>
      <c r="BP123">
        <v>1</v>
      </c>
      <c r="BQ123">
        <v>9</v>
      </c>
      <c r="BR123">
        <v>4</v>
      </c>
      <c r="BS123">
        <v>8</v>
      </c>
      <c r="BT123" t="b">
        <v>1</v>
      </c>
      <c r="BU123">
        <v>0</v>
      </c>
      <c r="BV123">
        <v>15</v>
      </c>
      <c r="BW123">
        <v>6375</v>
      </c>
      <c r="BX123">
        <v>0</v>
      </c>
      <c r="BY123" t="s">
        <v>268</v>
      </c>
      <c r="BZ123" t="s">
        <v>268</v>
      </c>
      <c r="CA123" t="s">
        <v>268</v>
      </c>
      <c r="CB123" t="s">
        <v>271</v>
      </c>
      <c r="CC123" t="s">
        <v>1312</v>
      </c>
      <c r="CD123" t="s">
        <v>1313</v>
      </c>
      <c r="CE123" t="s">
        <v>1327</v>
      </c>
      <c r="CF123" t="s">
        <v>1315</v>
      </c>
      <c r="CG123" t="str">
        <f t="shared" si="5"/>
        <v/>
      </c>
      <c r="CH123" t="str">
        <f t="shared" si="6"/>
        <v/>
      </c>
      <c r="CI123" t="str">
        <f t="shared" si="7"/>
        <v/>
      </c>
      <c r="CJ123" t="str">
        <f t="shared" si="8"/>
        <v/>
      </c>
      <c r="CK123" t="str">
        <f t="shared" si="9"/>
        <v/>
      </c>
    </row>
    <row r="124" spans="1:89">
      <c r="A124">
        <v>24123</v>
      </c>
      <c r="B124" t="s">
        <v>1302</v>
      </c>
      <c r="C124">
        <v>1257.44055175781</v>
      </c>
      <c r="D124" t="s">
        <v>1354</v>
      </c>
      <c r="E124">
        <v>1900</v>
      </c>
      <c r="F124" t="s">
        <v>1436</v>
      </c>
      <c r="G124" t="s">
        <v>168</v>
      </c>
      <c r="H124">
        <v>97814</v>
      </c>
      <c r="I124" t="s">
        <v>1437</v>
      </c>
      <c r="J124" t="s">
        <v>1365</v>
      </c>
      <c r="K124" t="s">
        <v>1306</v>
      </c>
      <c r="L124">
        <v>6</v>
      </c>
      <c r="M124">
        <v>3</v>
      </c>
      <c r="N124">
        <v>0</v>
      </c>
      <c r="O124">
        <v>2</v>
      </c>
      <c r="P124">
        <v>0</v>
      </c>
      <c r="Q124">
        <v>5622</v>
      </c>
      <c r="R124">
        <v>5622</v>
      </c>
      <c r="S124">
        <v>0</v>
      </c>
      <c r="T124">
        <v>0</v>
      </c>
      <c r="U124">
        <v>0</v>
      </c>
      <c r="V124">
        <v>0</v>
      </c>
      <c r="W124">
        <v>4</v>
      </c>
      <c r="X124">
        <v>2</v>
      </c>
      <c r="Y124">
        <v>71</v>
      </c>
      <c r="Z124" t="b">
        <v>0</v>
      </c>
      <c r="AA124" t="b">
        <v>0</v>
      </c>
      <c r="AB124">
        <v>8.8000001907348597</v>
      </c>
      <c r="AH124">
        <v>1571.33642578125</v>
      </c>
      <c r="AJ124" t="s">
        <v>268</v>
      </c>
      <c r="AK124">
        <v>0</v>
      </c>
      <c r="AL124">
        <v>18</v>
      </c>
      <c r="AM124">
        <v>0</v>
      </c>
      <c r="AN124">
        <v>31</v>
      </c>
      <c r="AO124">
        <v>0</v>
      </c>
      <c r="AP124">
        <v>37</v>
      </c>
      <c r="AQ124">
        <v>0</v>
      </c>
      <c r="AR124">
        <v>0</v>
      </c>
      <c r="AS124">
        <v>14</v>
      </c>
      <c r="AT124" t="b">
        <v>1</v>
      </c>
      <c r="AU124">
        <v>0</v>
      </c>
      <c r="AV124">
        <v>0</v>
      </c>
      <c r="AW124">
        <v>0</v>
      </c>
      <c r="AX124" t="b">
        <v>1</v>
      </c>
      <c r="AY124" t="b">
        <v>0</v>
      </c>
      <c r="AZ124" t="b">
        <v>0</v>
      </c>
      <c r="BA124" t="b">
        <v>0</v>
      </c>
      <c r="BB124" t="s">
        <v>268</v>
      </c>
      <c r="BC124" t="s">
        <v>268</v>
      </c>
      <c r="BD124" t="s">
        <v>268</v>
      </c>
      <c r="BE124" t="s">
        <v>1438</v>
      </c>
      <c r="BF124" t="s">
        <v>1342</v>
      </c>
      <c r="BG124" t="s">
        <v>1346</v>
      </c>
      <c r="BH124" t="s">
        <v>1310</v>
      </c>
      <c r="BI124" t="s">
        <v>1380</v>
      </c>
      <c r="BJ124" t="b">
        <v>1</v>
      </c>
      <c r="BK124" t="b">
        <v>1</v>
      </c>
      <c r="BL124" t="b">
        <v>1</v>
      </c>
      <c r="BM124" t="b">
        <v>0</v>
      </c>
      <c r="BN124" t="b">
        <v>0</v>
      </c>
      <c r="BO124" t="b">
        <v>0</v>
      </c>
      <c r="BP124">
        <v>1</v>
      </c>
      <c r="BQ124">
        <v>1</v>
      </c>
      <c r="BR124">
        <v>1</v>
      </c>
      <c r="BS124">
        <v>1</v>
      </c>
      <c r="BT124" t="b">
        <v>0</v>
      </c>
      <c r="BV124">
        <v>0</v>
      </c>
      <c r="BW124">
        <v>0</v>
      </c>
      <c r="BX124">
        <v>0</v>
      </c>
      <c r="BY124" t="s">
        <v>268</v>
      </c>
      <c r="BZ124" t="s">
        <v>268</v>
      </c>
      <c r="CA124" t="s">
        <v>268</v>
      </c>
      <c r="CB124" t="s">
        <v>268</v>
      </c>
      <c r="CC124" t="s">
        <v>1319</v>
      </c>
      <c r="CD124" t="s">
        <v>1313</v>
      </c>
      <c r="CE124" t="s">
        <v>1397</v>
      </c>
      <c r="CF124" t="s">
        <v>1315</v>
      </c>
      <c r="CG124" t="str">
        <f t="shared" si="5"/>
        <v/>
      </c>
      <c r="CH124" t="str">
        <f t="shared" si="6"/>
        <v/>
      </c>
      <c r="CI124" t="str">
        <f t="shared" si="7"/>
        <v/>
      </c>
      <c r="CJ124" t="str">
        <f t="shared" si="8"/>
        <v/>
      </c>
      <c r="CK124" t="str">
        <f t="shared" si="9"/>
        <v/>
      </c>
    </row>
    <row r="125" spans="1:89">
      <c r="A125">
        <v>24139</v>
      </c>
      <c r="B125" t="s">
        <v>1302</v>
      </c>
      <c r="C125">
        <v>471.54019165039102</v>
      </c>
      <c r="D125" t="s">
        <v>1303</v>
      </c>
      <c r="E125">
        <v>1981</v>
      </c>
      <c r="F125" t="s">
        <v>1439</v>
      </c>
      <c r="G125" t="s">
        <v>168</v>
      </c>
      <c r="H125">
        <v>97330</v>
      </c>
      <c r="I125" t="s">
        <v>1407</v>
      </c>
      <c r="K125" t="s">
        <v>1306</v>
      </c>
      <c r="L125">
        <v>16</v>
      </c>
      <c r="M125">
        <v>2</v>
      </c>
      <c r="N125">
        <v>0</v>
      </c>
      <c r="O125">
        <v>2</v>
      </c>
      <c r="P125">
        <v>0</v>
      </c>
      <c r="Q125">
        <v>14560</v>
      </c>
      <c r="R125">
        <v>14560</v>
      </c>
      <c r="S125">
        <v>88</v>
      </c>
      <c r="T125">
        <v>0</v>
      </c>
      <c r="U125">
        <v>0</v>
      </c>
      <c r="V125">
        <v>16</v>
      </c>
      <c r="W125">
        <v>0</v>
      </c>
      <c r="X125">
        <v>0</v>
      </c>
      <c r="Y125">
        <v>0</v>
      </c>
      <c r="Z125" t="b">
        <v>0</v>
      </c>
      <c r="AA125" t="b">
        <v>1</v>
      </c>
      <c r="AB125">
        <v>8</v>
      </c>
      <c r="AC125">
        <v>20222.9765625</v>
      </c>
      <c r="AD125">
        <v>110400.640625</v>
      </c>
      <c r="AE125">
        <v>130623.6171875</v>
      </c>
      <c r="AI125">
        <v>445687.78125</v>
      </c>
      <c r="AJ125" t="s">
        <v>268</v>
      </c>
      <c r="AK125">
        <v>0</v>
      </c>
      <c r="AL125">
        <v>50</v>
      </c>
      <c r="AM125">
        <v>0</v>
      </c>
      <c r="AN125">
        <v>0</v>
      </c>
      <c r="AO125">
        <v>0</v>
      </c>
      <c r="AP125">
        <v>0</v>
      </c>
      <c r="AQ125">
        <v>0</v>
      </c>
      <c r="AR125">
        <v>0</v>
      </c>
      <c r="AS125">
        <v>50</v>
      </c>
      <c r="AT125" t="b">
        <v>1</v>
      </c>
      <c r="AU125">
        <v>2</v>
      </c>
      <c r="AV125">
        <v>2</v>
      </c>
      <c r="AW125">
        <v>0</v>
      </c>
      <c r="AX125" t="b">
        <v>0</v>
      </c>
      <c r="AY125" t="b">
        <v>0</v>
      </c>
      <c r="AZ125" t="b">
        <v>0</v>
      </c>
      <c r="BA125" t="b">
        <v>0</v>
      </c>
      <c r="BB125" t="s">
        <v>268</v>
      </c>
      <c r="BC125" t="s">
        <v>268</v>
      </c>
      <c r="BD125" t="s">
        <v>268</v>
      </c>
      <c r="BE125" t="s">
        <v>1307</v>
      </c>
      <c r="BF125" t="s">
        <v>1308</v>
      </c>
      <c r="BG125" t="s">
        <v>1309</v>
      </c>
      <c r="BH125" t="s">
        <v>1310</v>
      </c>
      <c r="BI125" t="s">
        <v>1322</v>
      </c>
      <c r="BJ125" t="b">
        <v>0</v>
      </c>
      <c r="BK125" t="b">
        <v>1</v>
      </c>
      <c r="BL125" t="b">
        <v>0</v>
      </c>
      <c r="BM125" t="b">
        <v>0</v>
      </c>
      <c r="BN125" t="b">
        <v>0</v>
      </c>
      <c r="BO125" t="b">
        <v>0</v>
      </c>
      <c r="BP125">
        <v>9</v>
      </c>
      <c r="BQ125">
        <v>18</v>
      </c>
      <c r="BR125">
        <v>0</v>
      </c>
      <c r="BS125">
        <v>0</v>
      </c>
      <c r="BT125" t="b">
        <v>1</v>
      </c>
      <c r="BU125">
        <v>0</v>
      </c>
      <c r="BV125">
        <v>14</v>
      </c>
      <c r="BW125">
        <v>5950</v>
      </c>
      <c r="BX125">
        <v>0</v>
      </c>
      <c r="BY125" t="s">
        <v>268</v>
      </c>
      <c r="BZ125" t="s">
        <v>268</v>
      </c>
      <c r="CA125" t="s">
        <v>268</v>
      </c>
      <c r="CB125" t="s">
        <v>271</v>
      </c>
      <c r="CC125" t="s">
        <v>1319</v>
      </c>
      <c r="CD125" t="s">
        <v>1313</v>
      </c>
      <c r="CE125" t="s">
        <v>1327</v>
      </c>
      <c r="CF125" t="s">
        <v>1315</v>
      </c>
      <c r="CG125">
        <f t="shared" si="5"/>
        <v>471.54019165039102</v>
      </c>
      <c r="CH125">
        <f t="shared" si="6"/>
        <v>14560</v>
      </c>
      <c r="CI125">
        <f t="shared" si="7"/>
        <v>2</v>
      </c>
      <c r="CJ125">
        <f t="shared" si="8"/>
        <v>6865625.1904296931</v>
      </c>
      <c r="CK125">
        <f t="shared" si="9"/>
        <v>943.08038330078205</v>
      </c>
    </row>
    <row r="126" spans="1:89">
      <c r="A126">
        <v>24637</v>
      </c>
      <c r="B126" t="s">
        <v>1302</v>
      </c>
      <c r="C126">
        <v>209.57342529296901</v>
      </c>
      <c r="D126" t="s">
        <v>1334</v>
      </c>
      <c r="E126">
        <v>1972</v>
      </c>
      <c r="F126" t="s">
        <v>1416</v>
      </c>
      <c r="G126" t="s">
        <v>169</v>
      </c>
      <c r="H126">
        <v>83704</v>
      </c>
      <c r="I126" t="s">
        <v>1417</v>
      </c>
      <c r="J126" t="s">
        <v>1418</v>
      </c>
      <c r="K126" t="s">
        <v>1306</v>
      </c>
      <c r="L126">
        <v>36</v>
      </c>
      <c r="M126">
        <v>2</v>
      </c>
      <c r="N126">
        <v>0</v>
      </c>
      <c r="O126">
        <v>2</v>
      </c>
      <c r="P126">
        <v>0</v>
      </c>
      <c r="Q126">
        <v>31180</v>
      </c>
      <c r="R126">
        <v>31180</v>
      </c>
      <c r="S126">
        <v>672</v>
      </c>
      <c r="T126">
        <v>0</v>
      </c>
      <c r="U126">
        <v>0</v>
      </c>
      <c r="V126">
        <v>30</v>
      </c>
      <c r="W126">
        <v>6</v>
      </c>
      <c r="X126">
        <v>0</v>
      </c>
      <c r="Y126">
        <v>0</v>
      </c>
      <c r="Z126" t="b">
        <v>0</v>
      </c>
      <c r="AA126" t="b">
        <v>1</v>
      </c>
      <c r="AB126">
        <v>8</v>
      </c>
      <c r="AC126">
        <v>9745.0341796875</v>
      </c>
      <c r="AD126">
        <v>333279.125</v>
      </c>
      <c r="AE126">
        <v>343024.15625</v>
      </c>
      <c r="AH126">
        <v>3304.06640625</v>
      </c>
      <c r="AI126">
        <v>1500805</v>
      </c>
      <c r="AJ126" t="s">
        <v>268</v>
      </c>
      <c r="AK126">
        <v>0</v>
      </c>
      <c r="AL126">
        <v>24</v>
      </c>
      <c r="AM126">
        <v>0</v>
      </c>
      <c r="AN126">
        <v>23</v>
      </c>
      <c r="AO126">
        <v>0</v>
      </c>
      <c r="AP126">
        <v>29</v>
      </c>
      <c r="AQ126">
        <v>0</v>
      </c>
      <c r="AR126">
        <v>0</v>
      </c>
      <c r="AS126">
        <v>24</v>
      </c>
      <c r="AT126" t="b">
        <v>0</v>
      </c>
      <c r="AU126">
        <v>3</v>
      </c>
      <c r="AV126">
        <v>3</v>
      </c>
      <c r="AW126">
        <v>0</v>
      </c>
      <c r="AX126" t="b">
        <v>0</v>
      </c>
      <c r="AY126" t="b">
        <v>0</v>
      </c>
      <c r="AZ126" t="b">
        <v>1</v>
      </c>
      <c r="BA126" t="b">
        <v>0</v>
      </c>
      <c r="BB126" t="s">
        <v>268</v>
      </c>
      <c r="BC126" t="s">
        <v>268</v>
      </c>
      <c r="BD126" t="s">
        <v>268</v>
      </c>
      <c r="BE126" t="s">
        <v>1307</v>
      </c>
      <c r="BF126" t="s">
        <v>1308</v>
      </c>
      <c r="BG126" t="s">
        <v>1309</v>
      </c>
      <c r="BH126" t="s">
        <v>1336</v>
      </c>
      <c r="BI126" t="s">
        <v>1322</v>
      </c>
      <c r="BJ126" t="b">
        <v>1</v>
      </c>
      <c r="BK126" t="b">
        <v>1</v>
      </c>
      <c r="BL126" t="b">
        <v>1</v>
      </c>
      <c r="BM126" t="b">
        <v>0</v>
      </c>
      <c r="BN126" t="b">
        <v>0</v>
      </c>
      <c r="BO126" t="b">
        <v>0</v>
      </c>
      <c r="BP126">
        <v>8</v>
      </c>
      <c r="BQ126">
        <v>40</v>
      </c>
      <c r="BR126">
        <v>0</v>
      </c>
      <c r="BS126">
        <v>0</v>
      </c>
      <c r="BT126" t="b">
        <v>1</v>
      </c>
      <c r="BU126">
        <v>0</v>
      </c>
      <c r="BV126">
        <v>53</v>
      </c>
      <c r="BW126">
        <v>22525</v>
      </c>
      <c r="BX126">
        <v>0</v>
      </c>
      <c r="BY126" t="s">
        <v>268</v>
      </c>
      <c r="BZ126" t="s">
        <v>268</v>
      </c>
      <c r="CA126" t="s">
        <v>268</v>
      </c>
      <c r="CB126" t="s">
        <v>271</v>
      </c>
      <c r="CC126" t="s">
        <v>1319</v>
      </c>
      <c r="CD126" t="s">
        <v>1313</v>
      </c>
      <c r="CE126" t="s">
        <v>1327</v>
      </c>
      <c r="CF126" t="s">
        <v>1315</v>
      </c>
      <c r="CG126">
        <f t="shared" si="5"/>
        <v>209.57342529296901</v>
      </c>
      <c r="CH126">
        <f t="shared" si="6"/>
        <v>31180</v>
      </c>
      <c r="CI126">
        <f t="shared" si="7"/>
        <v>2</v>
      </c>
      <c r="CJ126">
        <f t="shared" si="8"/>
        <v>6534499.400634774</v>
      </c>
      <c r="CK126">
        <f t="shared" si="9"/>
        <v>419.14685058593801</v>
      </c>
    </row>
    <row r="127" spans="1:89">
      <c r="A127">
        <v>24802</v>
      </c>
      <c r="B127" t="s">
        <v>1302</v>
      </c>
      <c r="C127">
        <v>314.36013793945301</v>
      </c>
      <c r="D127" t="s">
        <v>1334</v>
      </c>
      <c r="E127">
        <v>1978</v>
      </c>
      <c r="F127" t="s">
        <v>1385</v>
      </c>
      <c r="G127" t="s">
        <v>168</v>
      </c>
      <c r="H127">
        <v>97230</v>
      </c>
      <c r="I127" t="s">
        <v>1386</v>
      </c>
      <c r="K127" t="s">
        <v>1306</v>
      </c>
      <c r="L127">
        <v>24</v>
      </c>
      <c r="M127">
        <v>3</v>
      </c>
      <c r="N127">
        <v>0</v>
      </c>
      <c r="O127">
        <v>3</v>
      </c>
      <c r="P127">
        <v>0</v>
      </c>
      <c r="Q127">
        <v>27456</v>
      </c>
      <c r="R127">
        <v>27456</v>
      </c>
      <c r="S127">
        <v>0</v>
      </c>
      <c r="T127">
        <v>0</v>
      </c>
      <c r="U127">
        <v>0</v>
      </c>
      <c r="V127">
        <v>18</v>
      </c>
      <c r="W127">
        <v>6</v>
      </c>
      <c r="X127">
        <v>0</v>
      </c>
      <c r="Y127">
        <v>8</v>
      </c>
      <c r="Z127" t="b">
        <v>0</v>
      </c>
      <c r="AA127" t="b">
        <v>0</v>
      </c>
      <c r="AB127">
        <v>8</v>
      </c>
      <c r="AC127">
        <v>43115.1953125</v>
      </c>
      <c r="AD127">
        <v>186263.84375</v>
      </c>
      <c r="AE127">
        <v>229379.03125</v>
      </c>
      <c r="AI127">
        <v>782641.25</v>
      </c>
      <c r="AJ127" t="s">
        <v>268</v>
      </c>
      <c r="AK127">
        <v>0</v>
      </c>
      <c r="AL127">
        <v>0</v>
      </c>
      <c r="AM127">
        <v>0</v>
      </c>
      <c r="AN127">
        <v>35</v>
      </c>
      <c r="AO127">
        <v>0</v>
      </c>
      <c r="AP127">
        <v>63</v>
      </c>
      <c r="AQ127">
        <v>0</v>
      </c>
      <c r="AR127">
        <v>0</v>
      </c>
      <c r="AS127">
        <v>2</v>
      </c>
      <c r="AT127" t="b">
        <v>1</v>
      </c>
      <c r="AU127">
        <v>0</v>
      </c>
      <c r="AV127">
        <v>0</v>
      </c>
      <c r="AW127">
        <v>0</v>
      </c>
      <c r="AX127" t="b">
        <v>0</v>
      </c>
      <c r="AY127" t="b">
        <v>0</v>
      </c>
      <c r="AZ127" t="b">
        <v>0</v>
      </c>
      <c r="BA127" t="b">
        <v>0</v>
      </c>
      <c r="BB127" t="s">
        <v>268</v>
      </c>
      <c r="BC127" t="s">
        <v>268</v>
      </c>
      <c r="BD127" t="s">
        <v>268</v>
      </c>
      <c r="BE127" t="s">
        <v>1307</v>
      </c>
      <c r="BF127" t="s">
        <v>1308</v>
      </c>
      <c r="BG127" t="s">
        <v>1309</v>
      </c>
      <c r="BH127" t="s">
        <v>1310</v>
      </c>
      <c r="BI127" t="s">
        <v>1311</v>
      </c>
      <c r="BJ127" t="b">
        <v>0</v>
      </c>
      <c r="BK127" t="b">
        <v>1</v>
      </c>
      <c r="BL127" t="b">
        <v>0</v>
      </c>
      <c r="BM127" t="b">
        <v>0</v>
      </c>
      <c r="BN127" t="b">
        <v>0</v>
      </c>
      <c r="BO127" t="b">
        <v>0</v>
      </c>
      <c r="BP127">
        <v>11</v>
      </c>
      <c r="BQ127">
        <v>146</v>
      </c>
      <c r="BR127">
        <v>0</v>
      </c>
      <c r="BS127">
        <v>0</v>
      </c>
      <c r="BT127" t="b">
        <v>1</v>
      </c>
      <c r="BU127">
        <v>0</v>
      </c>
      <c r="BV127">
        <v>36</v>
      </c>
      <c r="BW127">
        <v>20855</v>
      </c>
      <c r="BX127">
        <v>1</v>
      </c>
      <c r="BY127" t="s">
        <v>271</v>
      </c>
      <c r="BZ127" t="s">
        <v>268</v>
      </c>
      <c r="CA127" t="s">
        <v>268</v>
      </c>
      <c r="CB127" t="s">
        <v>271</v>
      </c>
      <c r="CC127" t="s">
        <v>1312</v>
      </c>
      <c r="CD127" t="s">
        <v>1313</v>
      </c>
      <c r="CE127" t="s">
        <v>1314</v>
      </c>
      <c r="CF127" t="s">
        <v>1315</v>
      </c>
      <c r="CG127">
        <f t="shared" si="5"/>
        <v>314.36013793945301</v>
      </c>
      <c r="CH127">
        <f t="shared" si="6"/>
        <v>27456</v>
      </c>
      <c r="CI127">
        <f t="shared" si="7"/>
        <v>3</v>
      </c>
      <c r="CJ127">
        <f t="shared" si="8"/>
        <v>8631071.9472656213</v>
      </c>
      <c r="CK127">
        <f t="shared" si="9"/>
        <v>943.08041381835903</v>
      </c>
    </row>
    <row r="128" spans="1:89">
      <c r="A128">
        <v>29940</v>
      </c>
      <c r="B128" t="s">
        <v>1331</v>
      </c>
      <c r="C128">
        <v>21.904685974121101</v>
      </c>
      <c r="D128" t="s">
        <v>1334</v>
      </c>
      <c r="E128">
        <v>1980</v>
      </c>
      <c r="F128" t="s">
        <v>1320</v>
      </c>
      <c r="G128" t="s">
        <v>167</v>
      </c>
      <c r="H128">
        <v>98134</v>
      </c>
      <c r="I128" t="s">
        <v>1321</v>
      </c>
      <c r="K128" t="s">
        <v>1306</v>
      </c>
      <c r="L128">
        <v>50</v>
      </c>
      <c r="M128">
        <v>4</v>
      </c>
      <c r="N128">
        <v>0</v>
      </c>
      <c r="O128">
        <v>4</v>
      </c>
      <c r="P128">
        <v>0</v>
      </c>
      <c r="Q128">
        <v>58440</v>
      </c>
      <c r="R128">
        <v>58440</v>
      </c>
      <c r="S128">
        <v>1517</v>
      </c>
      <c r="T128">
        <v>0</v>
      </c>
      <c r="U128">
        <v>3</v>
      </c>
      <c r="V128">
        <v>47</v>
      </c>
      <c r="W128">
        <v>0</v>
      </c>
      <c r="X128">
        <v>0</v>
      </c>
      <c r="Y128">
        <v>6</v>
      </c>
      <c r="Z128" t="b">
        <v>0</v>
      </c>
      <c r="AA128" t="b">
        <v>1</v>
      </c>
      <c r="AC128">
        <v>19311.46875</v>
      </c>
      <c r="AD128">
        <v>442529.75</v>
      </c>
      <c r="AE128">
        <v>461841.21875</v>
      </c>
      <c r="AI128">
        <v>1575802.25</v>
      </c>
      <c r="AJ128" t="s">
        <v>268</v>
      </c>
      <c r="AK128">
        <v>0</v>
      </c>
      <c r="AL128">
        <v>13</v>
      </c>
      <c r="AM128">
        <v>0</v>
      </c>
      <c r="AN128">
        <v>31</v>
      </c>
      <c r="AO128">
        <v>0</v>
      </c>
      <c r="AP128">
        <v>13</v>
      </c>
      <c r="AQ128">
        <v>0</v>
      </c>
      <c r="AR128">
        <v>0</v>
      </c>
      <c r="AS128">
        <v>43</v>
      </c>
      <c r="AT128" t="b">
        <v>1</v>
      </c>
      <c r="AU128">
        <v>3</v>
      </c>
      <c r="AV128">
        <v>3</v>
      </c>
      <c r="AW128">
        <v>2</v>
      </c>
      <c r="AX128" t="b">
        <v>0</v>
      </c>
      <c r="AY128" t="b">
        <v>1</v>
      </c>
      <c r="AZ128" t="b">
        <v>1</v>
      </c>
      <c r="BA128" t="b">
        <v>0</v>
      </c>
      <c r="BB128" t="s">
        <v>268</v>
      </c>
      <c r="BC128" t="s">
        <v>268</v>
      </c>
      <c r="BD128" t="s">
        <v>268</v>
      </c>
      <c r="BE128" t="s">
        <v>1307</v>
      </c>
      <c r="BF128" t="s">
        <v>1308</v>
      </c>
      <c r="BG128" t="s">
        <v>1309</v>
      </c>
      <c r="BH128" t="s">
        <v>1336</v>
      </c>
      <c r="BI128" t="s">
        <v>1322</v>
      </c>
      <c r="BJ128" t="b">
        <v>0</v>
      </c>
      <c r="BK128" t="b">
        <v>1</v>
      </c>
      <c r="BL128" t="b">
        <v>0</v>
      </c>
      <c r="BM128" t="b">
        <v>0</v>
      </c>
      <c r="BN128" t="b">
        <v>0</v>
      </c>
      <c r="BO128" t="b">
        <v>0</v>
      </c>
      <c r="BP128">
        <v>2</v>
      </c>
      <c r="BQ128">
        <v>53</v>
      </c>
      <c r="BR128">
        <v>0</v>
      </c>
      <c r="BS128">
        <v>0</v>
      </c>
      <c r="BT128" t="b">
        <v>1</v>
      </c>
      <c r="BU128">
        <v>0</v>
      </c>
      <c r="BV128">
        <v>63</v>
      </c>
      <c r="BW128">
        <v>14485</v>
      </c>
      <c r="BX128">
        <v>0</v>
      </c>
      <c r="BY128" t="s">
        <v>268</v>
      </c>
      <c r="BZ128" t="s">
        <v>268</v>
      </c>
      <c r="CA128" t="s">
        <v>271</v>
      </c>
      <c r="CB128" t="s">
        <v>271</v>
      </c>
      <c r="CC128" t="s">
        <v>1319</v>
      </c>
      <c r="CD128" t="s">
        <v>1313</v>
      </c>
      <c r="CE128" t="s">
        <v>1314</v>
      </c>
      <c r="CF128" t="s">
        <v>1315</v>
      </c>
      <c r="CG128" t="str">
        <f t="shared" si="5"/>
        <v/>
      </c>
      <c r="CH128" t="str">
        <f t="shared" si="6"/>
        <v/>
      </c>
      <c r="CI128" t="str">
        <f t="shared" si="7"/>
        <v/>
      </c>
      <c r="CJ128" t="str">
        <f t="shared" si="8"/>
        <v/>
      </c>
      <c r="CK128" t="str">
        <f t="shared" si="9"/>
        <v/>
      </c>
    </row>
    <row r="129" spans="1:89">
      <c r="A129">
        <v>60022</v>
      </c>
      <c r="B129" t="s">
        <v>1302</v>
      </c>
      <c r="C129">
        <v>600.53796386718795</v>
      </c>
      <c r="D129" t="s">
        <v>1334</v>
      </c>
      <c r="E129">
        <v>1979</v>
      </c>
      <c r="F129" t="s">
        <v>1382</v>
      </c>
      <c r="G129" t="s">
        <v>167</v>
      </c>
      <c r="H129">
        <v>98503</v>
      </c>
      <c r="I129" t="s">
        <v>1317</v>
      </c>
      <c r="K129" t="s">
        <v>1306</v>
      </c>
      <c r="L129">
        <v>8</v>
      </c>
      <c r="M129">
        <v>2</v>
      </c>
      <c r="N129">
        <v>0</v>
      </c>
      <c r="O129">
        <v>2</v>
      </c>
      <c r="P129">
        <v>0</v>
      </c>
      <c r="Q129">
        <v>4700</v>
      </c>
      <c r="R129">
        <v>4700</v>
      </c>
      <c r="S129">
        <v>315</v>
      </c>
      <c r="T129">
        <v>0</v>
      </c>
      <c r="U129">
        <v>0</v>
      </c>
      <c r="V129">
        <v>0</v>
      </c>
      <c r="W129">
        <v>8</v>
      </c>
      <c r="X129">
        <v>0</v>
      </c>
      <c r="Y129">
        <v>0</v>
      </c>
      <c r="Z129" t="b">
        <v>0</v>
      </c>
      <c r="AA129" t="b">
        <v>1</v>
      </c>
      <c r="AB129">
        <v>7.75</v>
      </c>
      <c r="AC129">
        <v>6832.90087890625</v>
      </c>
      <c r="AD129">
        <v>51567.83984375</v>
      </c>
      <c r="AE129">
        <v>58400.7421875</v>
      </c>
      <c r="AI129">
        <v>199263.328125</v>
      </c>
      <c r="AJ129" t="s">
        <v>268</v>
      </c>
      <c r="AK129">
        <v>0</v>
      </c>
      <c r="AL129">
        <v>13</v>
      </c>
      <c r="AM129">
        <v>0</v>
      </c>
      <c r="AN129">
        <v>36</v>
      </c>
      <c r="AO129">
        <v>0</v>
      </c>
      <c r="AP129">
        <v>36</v>
      </c>
      <c r="AQ129">
        <v>0</v>
      </c>
      <c r="AR129">
        <v>0</v>
      </c>
      <c r="AS129">
        <v>13</v>
      </c>
      <c r="AT129" t="b">
        <v>1</v>
      </c>
      <c r="AU129">
        <v>3</v>
      </c>
      <c r="AV129">
        <v>3</v>
      </c>
      <c r="AW129">
        <v>0</v>
      </c>
      <c r="AX129" t="b">
        <v>0</v>
      </c>
      <c r="AY129" t="b">
        <v>0</v>
      </c>
      <c r="AZ129" t="b">
        <v>1</v>
      </c>
      <c r="BA129" t="b">
        <v>0</v>
      </c>
      <c r="BB129" t="s">
        <v>268</v>
      </c>
      <c r="BC129" t="s">
        <v>268</v>
      </c>
      <c r="BD129" t="s">
        <v>268</v>
      </c>
      <c r="BE129" t="s">
        <v>1307</v>
      </c>
      <c r="BF129" t="s">
        <v>1308</v>
      </c>
      <c r="BG129" t="s">
        <v>1309</v>
      </c>
      <c r="BH129" t="s">
        <v>1310</v>
      </c>
      <c r="BI129" t="s">
        <v>1322</v>
      </c>
      <c r="BJ129" t="b">
        <v>0</v>
      </c>
      <c r="BK129" t="b">
        <v>1</v>
      </c>
      <c r="BL129" t="b">
        <v>0</v>
      </c>
      <c r="BM129" t="b">
        <v>0</v>
      </c>
      <c r="BN129" t="b">
        <v>0</v>
      </c>
      <c r="BO129" t="b">
        <v>0</v>
      </c>
      <c r="BP129">
        <v>1</v>
      </c>
      <c r="BQ129">
        <v>9</v>
      </c>
      <c r="BR129">
        <v>0</v>
      </c>
      <c r="BS129">
        <v>0</v>
      </c>
      <c r="BT129" t="b">
        <v>1</v>
      </c>
      <c r="BU129">
        <v>25</v>
      </c>
      <c r="BV129">
        <v>8</v>
      </c>
      <c r="BW129">
        <v>3400</v>
      </c>
      <c r="BX129">
        <v>0</v>
      </c>
      <c r="BY129" t="s">
        <v>268</v>
      </c>
      <c r="BZ129" t="s">
        <v>268</v>
      </c>
      <c r="CA129" t="s">
        <v>268</v>
      </c>
      <c r="CB129" t="s">
        <v>271</v>
      </c>
      <c r="CC129" t="s">
        <v>1312</v>
      </c>
      <c r="CD129" t="s">
        <v>1313</v>
      </c>
      <c r="CE129" t="s">
        <v>1314</v>
      </c>
      <c r="CF129" t="s">
        <v>1315</v>
      </c>
      <c r="CG129">
        <f t="shared" si="5"/>
        <v>600.53796386718795</v>
      </c>
      <c r="CH129">
        <f t="shared" si="6"/>
        <v>4700</v>
      </c>
      <c r="CI129">
        <f t="shared" si="7"/>
        <v>2</v>
      </c>
      <c r="CJ129">
        <f t="shared" si="8"/>
        <v>2822528.4301757836</v>
      </c>
      <c r="CK129">
        <f t="shared" si="9"/>
        <v>1201.0759277343759</v>
      </c>
    </row>
    <row r="130" spans="1:89">
      <c r="A130">
        <v>60051</v>
      </c>
      <c r="B130" t="s">
        <v>1302</v>
      </c>
      <c r="C130">
        <v>960.86071777343795</v>
      </c>
      <c r="D130" t="s">
        <v>1303</v>
      </c>
      <c r="E130">
        <v>1989</v>
      </c>
      <c r="F130" t="s">
        <v>1339</v>
      </c>
      <c r="G130" t="s">
        <v>167</v>
      </c>
      <c r="H130">
        <v>98032</v>
      </c>
      <c r="I130" t="s">
        <v>1317</v>
      </c>
      <c r="J130" t="s">
        <v>1317</v>
      </c>
      <c r="K130" t="s">
        <v>1351</v>
      </c>
      <c r="L130">
        <v>5</v>
      </c>
      <c r="M130">
        <v>2</v>
      </c>
      <c r="N130">
        <v>0</v>
      </c>
      <c r="O130">
        <v>2</v>
      </c>
      <c r="P130">
        <v>0</v>
      </c>
      <c r="Q130">
        <v>5210</v>
      </c>
      <c r="R130">
        <v>5210</v>
      </c>
      <c r="S130">
        <v>0</v>
      </c>
      <c r="T130">
        <v>0</v>
      </c>
      <c r="U130">
        <v>0</v>
      </c>
      <c r="V130">
        <v>5</v>
      </c>
      <c r="W130">
        <v>0</v>
      </c>
      <c r="X130">
        <v>0</v>
      </c>
      <c r="Y130">
        <v>20</v>
      </c>
      <c r="Z130" t="b">
        <v>0</v>
      </c>
      <c r="AA130" t="b">
        <v>0</v>
      </c>
      <c r="AB130">
        <v>8</v>
      </c>
      <c r="AD130">
        <v>50388.2265625</v>
      </c>
      <c r="AE130">
        <v>50388.2265625</v>
      </c>
      <c r="AJ130" t="s">
        <v>268</v>
      </c>
      <c r="AK130">
        <v>0</v>
      </c>
      <c r="AL130">
        <v>0</v>
      </c>
      <c r="AM130">
        <v>34</v>
      </c>
      <c r="AN130">
        <v>0</v>
      </c>
      <c r="AO130">
        <v>7</v>
      </c>
      <c r="AP130">
        <v>0</v>
      </c>
      <c r="AQ130">
        <v>7</v>
      </c>
      <c r="AR130">
        <v>52</v>
      </c>
      <c r="AS130">
        <v>0</v>
      </c>
      <c r="AT130" t="b">
        <v>0</v>
      </c>
      <c r="AU130">
        <v>0</v>
      </c>
      <c r="AV130">
        <v>0</v>
      </c>
      <c r="AW130">
        <v>0</v>
      </c>
      <c r="AX130" t="b">
        <v>0</v>
      </c>
      <c r="AY130" t="b">
        <v>0</v>
      </c>
      <c r="AZ130" t="b">
        <v>0</v>
      </c>
      <c r="BA130" t="b">
        <v>0</v>
      </c>
      <c r="BB130" t="s">
        <v>268</v>
      </c>
      <c r="BC130" t="s">
        <v>268</v>
      </c>
      <c r="BD130" t="s">
        <v>268</v>
      </c>
      <c r="BE130" t="s">
        <v>1307</v>
      </c>
      <c r="BF130" t="s">
        <v>1308</v>
      </c>
      <c r="BG130" t="s">
        <v>1309</v>
      </c>
      <c r="BH130" t="s">
        <v>1336</v>
      </c>
      <c r="BI130" t="s">
        <v>1311</v>
      </c>
      <c r="BJ130" t="b">
        <v>1</v>
      </c>
      <c r="BK130" t="b">
        <v>1</v>
      </c>
      <c r="BL130" t="b">
        <v>0</v>
      </c>
      <c r="BM130" t="b">
        <v>0</v>
      </c>
      <c r="BN130" t="b">
        <v>0</v>
      </c>
      <c r="BO130" t="b">
        <v>0</v>
      </c>
      <c r="BP130">
        <v>2</v>
      </c>
      <c r="BQ130">
        <v>5</v>
      </c>
      <c r="BR130">
        <v>0</v>
      </c>
      <c r="BS130">
        <v>0</v>
      </c>
      <c r="BT130" t="b">
        <v>1</v>
      </c>
      <c r="BU130">
        <v>0</v>
      </c>
      <c r="BV130">
        <v>10</v>
      </c>
      <c r="BW130">
        <v>3228</v>
      </c>
      <c r="BX130">
        <v>1</v>
      </c>
      <c r="BY130" t="s">
        <v>271</v>
      </c>
      <c r="BZ130" t="s">
        <v>268</v>
      </c>
      <c r="CA130" t="s">
        <v>268</v>
      </c>
      <c r="CB130" t="s">
        <v>271</v>
      </c>
      <c r="CC130" t="s">
        <v>1312</v>
      </c>
      <c r="CD130" t="s">
        <v>1313</v>
      </c>
      <c r="CE130" t="s">
        <v>1314</v>
      </c>
      <c r="CF130" t="s">
        <v>1315</v>
      </c>
      <c r="CG130">
        <f t="shared" si="5"/>
        <v>960.86071777343795</v>
      </c>
      <c r="CH130">
        <f t="shared" si="6"/>
        <v>5210</v>
      </c>
      <c r="CI130">
        <f t="shared" si="7"/>
        <v>2</v>
      </c>
      <c r="CJ130">
        <f t="shared" si="8"/>
        <v>5006084.3395996122</v>
      </c>
      <c r="CK130">
        <f t="shared" si="9"/>
        <v>1921.7214355468759</v>
      </c>
    </row>
    <row r="131" spans="1:89">
      <c r="A131">
        <v>60071</v>
      </c>
      <c r="B131" t="s">
        <v>1331</v>
      </c>
      <c r="C131">
        <v>184.78091430664099</v>
      </c>
      <c r="D131" t="s">
        <v>1340</v>
      </c>
      <c r="E131">
        <v>1997</v>
      </c>
      <c r="F131" t="s">
        <v>1440</v>
      </c>
      <c r="G131" t="s">
        <v>167</v>
      </c>
      <c r="H131">
        <v>98059</v>
      </c>
      <c r="I131" t="s">
        <v>1317</v>
      </c>
      <c r="J131" t="s">
        <v>1317</v>
      </c>
      <c r="K131" t="s">
        <v>1306</v>
      </c>
      <c r="L131">
        <v>26</v>
      </c>
      <c r="M131">
        <v>4</v>
      </c>
      <c r="N131">
        <v>0</v>
      </c>
      <c r="O131">
        <v>4</v>
      </c>
      <c r="P131">
        <v>0</v>
      </c>
      <c r="Q131">
        <v>26423</v>
      </c>
      <c r="R131">
        <v>26423</v>
      </c>
      <c r="S131">
        <v>6798</v>
      </c>
      <c r="T131">
        <v>0</v>
      </c>
      <c r="U131">
        <v>5</v>
      </c>
      <c r="V131">
        <v>11</v>
      </c>
      <c r="W131">
        <v>10</v>
      </c>
      <c r="X131">
        <v>0</v>
      </c>
      <c r="Y131">
        <v>4</v>
      </c>
      <c r="Z131" t="b">
        <v>0</v>
      </c>
      <c r="AA131" t="b">
        <v>1</v>
      </c>
      <c r="AB131">
        <v>7.75</v>
      </c>
      <c r="AC131">
        <v>50357.7734375</v>
      </c>
      <c r="AD131">
        <v>194838.328125</v>
      </c>
      <c r="AE131">
        <v>245196.09375</v>
      </c>
      <c r="AJ131" t="s">
        <v>268</v>
      </c>
      <c r="AK131">
        <v>0</v>
      </c>
      <c r="AL131">
        <v>0</v>
      </c>
      <c r="AM131">
        <v>14</v>
      </c>
      <c r="AN131">
        <v>0</v>
      </c>
      <c r="AO131">
        <v>41</v>
      </c>
      <c r="AP131">
        <v>0</v>
      </c>
      <c r="AQ131">
        <v>32</v>
      </c>
      <c r="AR131">
        <v>13</v>
      </c>
      <c r="AS131">
        <v>0</v>
      </c>
      <c r="AT131" t="b">
        <v>1</v>
      </c>
      <c r="AU131">
        <v>0</v>
      </c>
      <c r="AV131">
        <v>0</v>
      </c>
      <c r="AW131">
        <v>0</v>
      </c>
      <c r="AX131" t="b">
        <v>0</v>
      </c>
      <c r="AY131" t="b">
        <v>0</v>
      </c>
      <c r="AZ131" t="b">
        <v>1</v>
      </c>
      <c r="BA131" t="b">
        <v>1</v>
      </c>
      <c r="BB131" t="s">
        <v>268</v>
      </c>
      <c r="BC131" t="s">
        <v>268</v>
      </c>
      <c r="BD131" t="s">
        <v>268</v>
      </c>
      <c r="BE131" t="s">
        <v>1307</v>
      </c>
      <c r="BF131" t="s">
        <v>1308</v>
      </c>
      <c r="BG131" t="s">
        <v>1309</v>
      </c>
      <c r="BH131" t="s">
        <v>1310</v>
      </c>
      <c r="BI131" t="s">
        <v>1311</v>
      </c>
      <c r="BJ131" t="b">
        <v>1</v>
      </c>
      <c r="BK131" t="b">
        <v>1</v>
      </c>
      <c r="BL131" t="b">
        <v>0</v>
      </c>
      <c r="BM131" t="b">
        <v>0</v>
      </c>
      <c r="BN131" t="b">
        <v>0</v>
      </c>
      <c r="BO131" t="b">
        <v>0</v>
      </c>
      <c r="BP131">
        <v>8</v>
      </c>
      <c r="BQ131">
        <v>28</v>
      </c>
      <c r="BR131">
        <v>0</v>
      </c>
      <c r="BS131">
        <v>0</v>
      </c>
      <c r="BT131" t="b">
        <v>1</v>
      </c>
      <c r="BU131">
        <v>0</v>
      </c>
      <c r="BV131">
        <v>17</v>
      </c>
      <c r="BW131">
        <v>9035</v>
      </c>
      <c r="BX131">
        <v>1</v>
      </c>
      <c r="BY131" t="s">
        <v>271</v>
      </c>
      <c r="BZ131" t="s">
        <v>268</v>
      </c>
      <c r="CA131" t="s">
        <v>271</v>
      </c>
      <c r="CB131" t="s">
        <v>271</v>
      </c>
      <c r="CC131" t="s">
        <v>1312</v>
      </c>
      <c r="CD131" t="s">
        <v>1313</v>
      </c>
      <c r="CE131" t="s">
        <v>1357</v>
      </c>
      <c r="CF131" t="s">
        <v>1315</v>
      </c>
      <c r="CG131" t="str">
        <f t="shared" si="5"/>
        <v/>
      </c>
      <c r="CH131" t="str">
        <f t="shared" si="6"/>
        <v/>
      </c>
      <c r="CI131" t="str">
        <f t="shared" si="7"/>
        <v/>
      </c>
      <c r="CJ131" t="str">
        <f t="shared" si="8"/>
        <v/>
      </c>
      <c r="CK131" t="str">
        <f t="shared" si="9"/>
        <v/>
      </c>
    </row>
    <row r="132" spans="1:89">
      <c r="A132">
        <v>60099</v>
      </c>
      <c r="B132" t="s">
        <v>1302</v>
      </c>
      <c r="C132">
        <v>300.26898193359398</v>
      </c>
      <c r="D132" t="s">
        <v>1303</v>
      </c>
      <c r="E132">
        <v>1982</v>
      </c>
      <c r="F132" t="s">
        <v>1363</v>
      </c>
      <c r="G132" t="s">
        <v>167</v>
      </c>
      <c r="H132">
        <v>98052</v>
      </c>
      <c r="I132" t="s">
        <v>1317</v>
      </c>
      <c r="J132" t="s">
        <v>1317</v>
      </c>
      <c r="K132" t="s">
        <v>1306</v>
      </c>
      <c r="L132">
        <v>16</v>
      </c>
      <c r="M132">
        <v>2</v>
      </c>
      <c r="N132">
        <v>0</v>
      </c>
      <c r="O132">
        <v>2</v>
      </c>
      <c r="P132">
        <v>0</v>
      </c>
      <c r="Q132">
        <v>11615</v>
      </c>
      <c r="R132">
        <v>11615</v>
      </c>
      <c r="S132">
        <v>0</v>
      </c>
      <c r="T132">
        <v>0</v>
      </c>
      <c r="U132">
        <v>0</v>
      </c>
      <c r="V132">
        <v>0</v>
      </c>
      <c r="W132">
        <v>16</v>
      </c>
      <c r="X132">
        <v>0</v>
      </c>
      <c r="Y132">
        <v>0</v>
      </c>
      <c r="Z132" t="b">
        <v>0</v>
      </c>
      <c r="AA132" t="b">
        <v>0</v>
      </c>
      <c r="AB132">
        <v>8</v>
      </c>
      <c r="AC132">
        <v>1514.73291015625</v>
      </c>
      <c r="AD132">
        <v>136819.546875</v>
      </c>
      <c r="AE132">
        <v>138334.28125</v>
      </c>
      <c r="AJ132" t="s">
        <v>268</v>
      </c>
      <c r="AK132">
        <v>0</v>
      </c>
      <c r="AL132">
        <v>50</v>
      </c>
      <c r="AM132">
        <v>0</v>
      </c>
      <c r="AN132">
        <v>0</v>
      </c>
      <c r="AO132">
        <v>0</v>
      </c>
      <c r="AP132">
        <v>0</v>
      </c>
      <c r="AQ132">
        <v>0</v>
      </c>
      <c r="AR132">
        <v>0</v>
      </c>
      <c r="AS132">
        <v>50</v>
      </c>
      <c r="AT132" t="b">
        <v>1</v>
      </c>
      <c r="AU132">
        <v>0</v>
      </c>
      <c r="AV132">
        <v>0</v>
      </c>
      <c r="AW132">
        <v>0</v>
      </c>
      <c r="AX132" t="b">
        <v>0</v>
      </c>
      <c r="AY132" t="b">
        <v>0</v>
      </c>
      <c r="AZ132" t="b">
        <v>0</v>
      </c>
      <c r="BA132" t="b">
        <v>0</v>
      </c>
      <c r="BB132" t="s">
        <v>268</v>
      </c>
      <c r="BC132" t="s">
        <v>268</v>
      </c>
      <c r="BD132" t="s">
        <v>268</v>
      </c>
      <c r="BE132" t="s">
        <v>1341</v>
      </c>
      <c r="BF132" t="s">
        <v>1308</v>
      </c>
      <c r="BG132" t="s">
        <v>1309</v>
      </c>
      <c r="BH132" t="s">
        <v>1310</v>
      </c>
      <c r="BI132" t="s">
        <v>1311</v>
      </c>
      <c r="BJ132" t="b">
        <v>1</v>
      </c>
      <c r="BK132" t="b">
        <v>1</v>
      </c>
      <c r="BL132" t="b">
        <v>0</v>
      </c>
      <c r="BM132" t="b">
        <v>0</v>
      </c>
      <c r="BN132" t="b">
        <v>0</v>
      </c>
      <c r="BO132" t="b">
        <v>0</v>
      </c>
      <c r="BP132">
        <v>2</v>
      </c>
      <c r="BQ132">
        <v>18</v>
      </c>
      <c r="BR132">
        <v>0</v>
      </c>
      <c r="BS132">
        <v>0</v>
      </c>
      <c r="BT132" t="b">
        <v>1</v>
      </c>
      <c r="BU132">
        <v>0</v>
      </c>
      <c r="BV132">
        <v>22</v>
      </c>
      <c r="BW132">
        <v>2480</v>
      </c>
      <c r="BX132">
        <v>1</v>
      </c>
      <c r="BY132" t="s">
        <v>271</v>
      </c>
      <c r="BZ132" t="s">
        <v>268</v>
      </c>
      <c r="CA132" t="s">
        <v>271</v>
      </c>
      <c r="CB132" t="s">
        <v>271</v>
      </c>
      <c r="CC132" t="s">
        <v>1319</v>
      </c>
      <c r="CD132" t="s">
        <v>1313</v>
      </c>
      <c r="CE132" t="s">
        <v>1314</v>
      </c>
      <c r="CF132" t="s">
        <v>1315</v>
      </c>
      <c r="CG132">
        <f t="shared" ref="CG132:CG195" si="10">IF(AND($B132="1-3 stories",$BF132="electric"),$C132,"")</f>
        <v>300.26898193359398</v>
      </c>
      <c r="CH132">
        <f t="shared" ref="CH132:CH195" si="11">IF(CG132="","",$Q132)</f>
        <v>11615</v>
      </c>
      <c r="CI132">
        <f t="shared" ref="CI132:CI195" si="12">IF($CG132="","",$M132)</f>
        <v>2</v>
      </c>
      <c r="CJ132">
        <f t="shared" ref="CJ132:CJ195" si="13">IFERROR($CG132*CH132,"")</f>
        <v>3487624.2251586942</v>
      </c>
      <c r="CK132">
        <f t="shared" ref="CK132:CK195" si="14">IFERROR($CG132*CI132,"")</f>
        <v>600.53796386718795</v>
      </c>
    </row>
    <row r="133" spans="1:89">
      <c r="A133">
        <v>71001</v>
      </c>
      <c r="B133" t="s">
        <v>1302</v>
      </c>
      <c r="C133">
        <v>136.90428161621099</v>
      </c>
      <c r="D133" t="s">
        <v>1324</v>
      </c>
      <c r="E133">
        <v>1956</v>
      </c>
      <c r="F133" t="s">
        <v>1320</v>
      </c>
      <c r="G133" t="s">
        <v>167</v>
      </c>
      <c r="H133">
        <v>98115</v>
      </c>
      <c r="I133" t="s">
        <v>1321</v>
      </c>
      <c r="K133" t="s">
        <v>1306</v>
      </c>
      <c r="L133">
        <v>8</v>
      </c>
      <c r="M133">
        <v>2</v>
      </c>
      <c r="N133">
        <v>0</v>
      </c>
      <c r="O133">
        <v>2</v>
      </c>
      <c r="P133">
        <v>1</v>
      </c>
      <c r="Q133">
        <v>2816</v>
      </c>
      <c r="R133">
        <v>2816</v>
      </c>
      <c r="S133">
        <v>352</v>
      </c>
      <c r="T133">
        <v>0</v>
      </c>
      <c r="U133">
        <v>0</v>
      </c>
      <c r="V133">
        <v>0</v>
      </c>
      <c r="W133">
        <v>8</v>
      </c>
      <c r="X133">
        <v>0</v>
      </c>
      <c r="Y133">
        <v>0</v>
      </c>
      <c r="Z133" t="b">
        <v>0</v>
      </c>
      <c r="AA133" t="b">
        <v>1</v>
      </c>
      <c r="AB133">
        <v>8</v>
      </c>
      <c r="AC133">
        <v>3099.12744140625</v>
      </c>
      <c r="AD133">
        <v>38514.83984375</v>
      </c>
      <c r="AE133">
        <v>41613.96875</v>
      </c>
      <c r="AI133">
        <v>141986.859375</v>
      </c>
      <c r="AJ133" t="s">
        <v>268</v>
      </c>
      <c r="AK133">
        <v>0</v>
      </c>
      <c r="AL133">
        <v>23</v>
      </c>
      <c r="AM133">
        <v>0</v>
      </c>
      <c r="AN133">
        <v>14</v>
      </c>
      <c r="AO133">
        <v>0</v>
      </c>
      <c r="AP133">
        <v>13</v>
      </c>
      <c r="AQ133">
        <v>0</v>
      </c>
      <c r="AR133">
        <v>0</v>
      </c>
      <c r="AS133">
        <v>50</v>
      </c>
      <c r="AT133" t="b">
        <v>0</v>
      </c>
      <c r="AU133">
        <v>1</v>
      </c>
      <c r="AV133">
        <v>1</v>
      </c>
      <c r="AW133">
        <v>0</v>
      </c>
      <c r="AX133" t="b">
        <v>0</v>
      </c>
      <c r="AY133" t="b">
        <v>0</v>
      </c>
      <c r="AZ133" t="b">
        <v>1</v>
      </c>
      <c r="BA133" t="b">
        <v>0</v>
      </c>
      <c r="BB133" t="s">
        <v>268</v>
      </c>
      <c r="BC133" t="s">
        <v>268</v>
      </c>
      <c r="BD133" t="s">
        <v>268</v>
      </c>
      <c r="BE133" t="s">
        <v>1307</v>
      </c>
      <c r="BF133" t="s">
        <v>1308</v>
      </c>
      <c r="BG133" t="s">
        <v>1309</v>
      </c>
      <c r="BH133" t="s">
        <v>1310</v>
      </c>
      <c r="BI133" t="s">
        <v>1322</v>
      </c>
      <c r="BJ133" t="b">
        <v>0</v>
      </c>
      <c r="BK133" t="b">
        <v>1</v>
      </c>
      <c r="BL133" t="b">
        <v>0</v>
      </c>
      <c r="BM133" t="b">
        <v>0</v>
      </c>
      <c r="BN133" t="b">
        <v>0</v>
      </c>
      <c r="BO133" t="b">
        <v>0</v>
      </c>
      <c r="BP133">
        <v>1</v>
      </c>
      <c r="BQ133">
        <v>9</v>
      </c>
      <c r="BR133">
        <v>0</v>
      </c>
      <c r="BS133">
        <v>0</v>
      </c>
      <c r="BT133" t="b">
        <v>1</v>
      </c>
      <c r="BV133">
        <v>5</v>
      </c>
      <c r="BW133">
        <v>2125</v>
      </c>
      <c r="BX133">
        <v>0</v>
      </c>
      <c r="BY133" t="s">
        <v>268</v>
      </c>
      <c r="BZ133" t="s">
        <v>268</v>
      </c>
      <c r="CA133" t="s">
        <v>268</v>
      </c>
      <c r="CB133" t="s">
        <v>271</v>
      </c>
      <c r="CC133" t="s">
        <v>1312</v>
      </c>
      <c r="CD133" t="s">
        <v>1313</v>
      </c>
      <c r="CE133" t="s">
        <v>1357</v>
      </c>
      <c r="CF133" t="s">
        <v>1315</v>
      </c>
      <c r="CG133">
        <f t="shared" si="10"/>
        <v>136.90428161621099</v>
      </c>
      <c r="CH133">
        <f t="shared" si="11"/>
        <v>2816</v>
      </c>
      <c r="CI133">
        <f t="shared" si="12"/>
        <v>2</v>
      </c>
      <c r="CJ133">
        <f t="shared" si="13"/>
        <v>385522.45703125017</v>
      </c>
      <c r="CK133">
        <f t="shared" si="14"/>
        <v>273.80856323242199</v>
      </c>
    </row>
    <row r="134" spans="1:89">
      <c r="A134">
        <v>71002</v>
      </c>
      <c r="B134" t="s">
        <v>1331</v>
      </c>
      <c r="C134">
        <v>136.90428161621099</v>
      </c>
      <c r="D134" t="s">
        <v>1340</v>
      </c>
      <c r="E134">
        <v>1993</v>
      </c>
      <c r="F134" t="s">
        <v>1320</v>
      </c>
      <c r="G134" t="s">
        <v>167</v>
      </c>
      <c r="H134">
        <v>90812</v>
      </c>
      <c r="I134" t="s">
        <v>1321</v>
      </c>
      <c r="J134" t="s">
        <v>1317</v>
      </c>
      <c r="K134" t="s">
        <v>1306</v>
      </c>
      <c r="L134">
        <v>8</v>
      </c>
      <c r="M134">
        <v>3</v>
      </c>
      <c r="N134">
        <v>0</v>
      </c>
      <c r="O134">
        <v>4</v>
      </c>
      <c r="P134">
        <v>0</v>
      </c>
      <c r="Q134">
        <v>13086</v>
      </c>
      <c r="R134">
        <v>13086</v>
      </c>
      <c r="S134">
        <v>1862</v>
      </c>
      <c r="T134">
        <v>0</v>
      </c>
      <c r="U134">
        <v>3</v>
      </c>
      <c r="V134">
        <v>4</v>
      </c>
      <c r="W134">
        <v>1</v>
      </c>
      <c r="X134">
        <v>0</v>
      </c>
      <c r="Y134">
        <v>0</v>
      </c>
      <c r="Z134" t="b">
        <v>0</v>
      </c>
      <c r="AA134" t="b">
        <v>1</v>
      </c>
      <c r="AB134">
        <v>9</v>
      </c>
      <c r="AC134">
        <v>18184.248046875</v>
      </c>
      <c r="AD134">
        <v>75115.6484375</v>
      </c>
      <c r="AE134">
        <v>93299.8984375</v>
      </c>
      <c r="AH134">
        <v>1245.44946289063</v>
      </c>
      <c r="AI134">
        <v>442884.1875</v>
      </c>
      <c r="AJ134" t="s">
        <v>268</v>
      </c>
      <c r="AK134">
        <v>0</v>
      </c>
      <c r="AL134">
        <v>23</v>
      </c>
      <c r="AM134">
        <v>0</v>
      </c>
      <c r="AN134">
        <v>15</v>
      </c>
      <c r="AO134">
        <v>0</v>
      </c>
      <c r="AP134">
        <v>12</v>
      </c>
      <c r="AQ134">
        <v>0</v>
      </c>
      <c r="AR134">
        <v>0</v>
      </c>
      <c r="AS134">
        <v>51</v>
      </c>
      <c r="AT134" t="b">
        <v>1</v>
      </c>
      <c r="AU134">
        <v>0</v>
      </c>
      <c r="AV134">
        <v>0</v>
      </c>
      <c r="AW134">
        <v>1</v>
      </c>
      <c r="AX134" t="b">
        <v>0</v>
      </c>
      <c r="AY134" t="b">
        <v>0</v>
      </c>
      <c r="AZ134" t="b">
        <v>1</v>
      </c>
      <c r="BA134" t="b">
        <v>0</v>
      </c>
      <c r="BB134" t="s">
        <v>268</v>
      </c>
      <c r="BC134" t="s">
        <v>268</v>
      </c>
      <c r="BD134" t="s">
        <v>268</v>
      </c>
      <c r="BE134" t="s">
        <v>1307</v>
      </c>
      <c r="BF134" t="s">
        <v>1308</v>
      </c>
      <c r="BG134" t="s">
        <v>1309</v>
      </c>
      <c r="BH134" t="s">
        <v>1310</v>
      </c>
      <c r="BI134" t="s">
        <v>1311</v>
      </c>
      <c r="BJ134" t="b">
        <v>1</v>
      </c>
      <c r="BK134" t="b">
        <v>1</v>
      </c>
      <c r="BL134" t="b">
        <v>1</v>
      </c>
      <c r="BM134" t="b">
        <v>0</v>
      </c>
      <c r="BN134" t="b">
        <v>0</v>
      </c>
      <c r="BO134" t="b">
        <v>0</v>
      </c>
      <c r="BP134">
        <v>1</v>
      </c>
      <c r="BQ134">
        <v>11</v>
      </c>
      <c r="BR134">
        <v>1</v>
      </c>
      <c r="BS134">
        <v>1</v>
      </c>
      <c r="BT134" t="b">
        <v>1</v>
      </c>
      <c r="BU134">
        <v>0</v>
      </c>
      <c r="BV134">
        <v>17</v>
      </c>
      <c r="BW134">
        <v>5930</v>
      </c>
      <c r="BX134">
        <v>1</v>
      </c>
      <c r="BY134" t="s">
        <v>271</v>
      </c>
      <c r="BZ134" t="s">
        <v>268</v>
      </c>
      <c r="CA134" t="s">
        <v>268</v>
      </c>
      <c r="CB134" t="s">
        <v>268</v>
      </c>
      <c r="CC134" t="s">
        <v>1312</v>
      </c>
      <c r="CD134" t="s">
        <v>1313</v>
      </c>
      <c r="CE134" t="s">
        <v>1333</v>
      </c>
      <c r="CF134" t="s">
        <v>1315</v>
      </c>
      <c r="CG134" t="str">
        <f t="shared" si="10"/>
        <v/>
      </c>
      <c r="CH134" t="str">
        <f t="shared" si="11"/>
        <v/>
      </c>
      <c r="CI134" t="str">
        <f t="shared" si="12"/>
        <v/>
      </c>
      <c r="CJ134" t="str">
        <f t="shared" si="13"/>
        <v/>
      </c>
      <c r="CK134" t="str">
        <f t="shared" si="14"/>
        <v/>
      </c>
    </row>
    <row r="135" spans="1:89">
      <c r="A135">
        <v>71003</v>
      </c>
      <c r="B135" t="s">
        <v>1302</v>
      </c>
      <c r="C135">
        <v>182.53904724121099</v>
      </c>
      <c r="D135" t="s">
        <v>1334</v>
      </c>
      <c r="E135">
        <v>1977</v>
      </c>
      <c r="F135" t="s">
        <v>1320</v>
      </c>
      <c r="G135" t="s">
        <v>167</v>
      </c>
      <c r="H135">
        <v>98119</v>
      </c>
      <c r="I135" t="s">
        <v>1321</v>
      </c>
      <c r="K135" t="s">
        <v>1306</v>
      </c>
      <c r="L135">
        <v>6</v>
      </c>
      <c r="M135">
        <v>2</v>
      </c>
      <c r="N135">
        <v>0</v>
      </c>
      <c r="O135">
        <v>2</v>
      </c>
      <c r="P135">
        <v>0</v>
      </c>
      <c r="Q135">
        <v>4342</v>
      </c>
      <c r="R135">
        <v>4342</v>
      </c>
      <c r="S135">
        <v>46</v>
      </c>
      <c r="T135">
        <v>0</v>
      </c>
      <c r="U135">
        <v>0</v>
      </c>
      <c r="V135">
        <v>4</v>
      </c>
      <c r="W135">
        <v>2</v>
      </c>
      <c r="X135">
        <v>0</v>
      </c>
      <c r="Y135">
        <v>0</v>
      </c>
      <c r="Z135" t="b">
        <v>0</v>
      </c>
      <c r="AA135" t="b">
        <v>1</v>
      </c>
      <c r="AB135">
        <v>7.5</v>
      </c>
      <c r="AC135">
        <v>3952.2509765625</v>
      </c>
      <c r="AD135">
        <v>36498.32421875</v>
      </c>
      <c r="AE135">
        <v>40450.57421875</v>
      </c>
      <c r="AI135">
        <v>138017.359375</v>
      </c>
      <c r="AJ135" t="s">
        <v>268</v>
      </c>
      <c r="AK135">
        <v>0</v>
      </c>
      <c r="AL135">
        <v>11</v>
      </c>
      <c r="AM135">
        <v>0</v>
      </c>
      <c r="AN135">
        <v>43</v>
      </c>
      <c r="AO135">
        <v>0</v>
      </c>
      <c r="AP135">
        <v>46</v>
      </c>
      <c r="AQ135">
        <v>0</v>
      </c>
      <c r="AR135">
        <v>0</v>
      </c>
      <c r="AS135">
        <v>0</v>
      </c>
      <c r="AT135" t="b">
        <v>1</v>
      </c>
      <c r="AU135">
        <v>1</v>
      </c>
      <c r="AV135">
        <v>1</v>
      </c>
      <c r="AW135">
        <v>0</v>
      </c>
      <c r="AX135" t="b">
        <v>0</v>
      </c>
      <c r="AY135" t="b">
        <v>0</v>
      </c>
      <c r="AZ135" t="b">
        <v>0</v>
      </c>
      <c r="BA135" t="b">
        <v>0</v>
      </c>
      <c r="BB135" t="s">
        <v>268</v>
      </c>
      <c r="BC135" t="s">
        <v>268</v>
      </c>
      <c r="BD135" t="s">
        <v>268</v>
      </c>
      <c r="BE135" t="s">
        <v>1307</v>
      </c>
      <c r="BF135" t="s">
        <v>1308</v>
      </c>
      <c r="BG135" t="s">
        <v>1309</v>
      </c>
      <c r="BH135" t="s">
        <v>1310</v>
      </c>
      <c r="BI135" t="s">
        <v>1322</v>
      </c>
      <c r="BJ135" t="b">
        <v>0</v>
      </c>
      <c r="BK135" t="b">
        <v>1</v>
      </c>
      <c r="BL135" t="b">
        <v>0</v>
      </c>
      <c r="BM135" t="b">
        <v>0</v>
      </c>
      <c r="BN135" t="b">
        <v>0</v>
      </c>
      <c r="BO135" t="b">
        <v>0</v>
      </c>
      <c r="BP135">
        <v>1</v>
      </c>
      <c r="BQ135">
        <v>7</v>
      </c>
      <c r="BR135">
        <v>0</v>
      </c>
      <c r="BS135">
        <v>0</v>
      </c>
      <c r="BT135" t="b">
        <v>1</v>
      </c>
      <c r="BV135">
        <v>6</v>
      </c>
      <c r="BW135">
        <v>2550</v>
      </c>
      <c r="BX135">
        <v>0</v>
      </c>
      <c r="BY135" t="s">
        <v>268</v>
      </c>
      <c r="BZ135" t="s">
        <v>268</v>
      </c>
      <c r="CA135" t="s">
        <v>268</v>
      </c>
      <c r="CB135" t="s">
        <v>271</v>
      </c>
      <c r="CC135" t="s">
        <v>1319</v>
      </c>
      <c r="CD135" t="s">
        <v>1313</v>
      </c>
      <c r="CE135" t="s">
        <v>1327</v>
      </c>
      <c r="CF135" t="s">
        <v>1315</v>
      </c>
      <c r="CG135">
        <f t="shared" si="10"/>
        <v>182.53904724121099</v>
      </c>
      <c r="CH135">
        <f t="shared" si="11"/>
        <v>4342</v>
      </c>
      <c r="CI135">
        <f t="shared" si="12"/>
        <v>2</v>
      </c>
      <c r="CJ135">
        <f t="shared" si="13"/>
        <v>792584.54312133812</v>
      </c>
      <c r="CK135">
        <f t="shared" si="14"/>
        <v>365.07809448242199</v>
      </c>
    </row>
    <row r="136" spans="1:89">
      <c r="A136">
        <v>71004</v>
      </c>
      <c r="B136" t="s">
        <v>1302</v>
      </c>
      <c r="C136">
        <v>136.90428161621099</v>
      </c>
      <c r="D136" t="s">
        <v>1303</v>
      </c>
      <c r="E136">
        <v>1990</v>
      </c>
      <c r="F136" t="s">
        <v>1320</v>
      </c>
      <c r="G136" t="s">
        <v>167</v>
      </c>
      <c r="H136">
        <v>98106</v>
      </c>
      <c r="I136" t="s">
        <v>1321</v>
      </c>
      <c r="J136" t="s">
        <v>1317</v>
      </c>
      <c r="K136" t="s">
        <v>1306</v>
      </c>
      <c r="L136">
        <v>8</v>
      </c>
      <c r="M136">
        <v>2</v>
      </c>
      <c r="N136">
        <v>0</v>
      </c>
      <c r="O136">
        <v>2</v>
      </c>
      <c r="P136">
        <v>0</v>
      </c>
      <c r="Q136">
        <v>9274</v>
      </c>
      <c r="R136">
        <v>9274</v>
      </c>
      <c r="S136">
        <v>0</v>
      </c>
      <c r="T136">
        <v>0</v>
      </c>
      <c r="U136">
        <v>0</v>
      </c>
      <c r="V136">
        <v>4</v>
      </c>
      <c r="W136">
        <v>4</v>
      </c>
      <c r="X136">
        <v>0</v>
      </c>
      <c r="Y136">
        <v>0</v>
      </c>
      <c r="Z136" t="b">
        <v>0</v>
      </c>
      <c r="AA136" t="b">
        <v>0</v>
      </c>
      <c r="AB136">
        <v>8</v>
      </c>
      <c r="AD136">
        <v>85138.3046875</v>
      </c>
      <c r="AE136">
        <v>85138.3046875</v>
      </c>
      <c r="AI136">
        <v>290491.90625</v>
      </c>
      <c r="AJ136" t="s">
        <v>268</v>
      </c>
      <c r="AK136">
        <v>0</v>
      </c>
      <c r="AL136">
        <v>6</v>
      </c>
      <c r="AM136">
        <v>0</v>
      </c>
      <c r="AN136">
        <v>11</v>
      </c>
      <c r="AO136">
        <v>0</v>
      </c>
      <c r="AP136">
        <v>13</v>
      </c>
      <c r="AQ136">
        <v>0</v>
      </c>
      <c r="AR136">
        <v>0</v>
      </c>
      <c r="AS136">
        <v>70</v>
      </c>
      <c r="AT136" t="b">
        <v>0</v>
      </c>
      <c r="AU136">
        <v>0</v>
      </c>
      <c r="AV136">
        <v>0</v>
      </c>
      <c r="AW136">
        <v>0</v>
      </c>
      <c r="AX136" t="b">
        <v>0</v>
      </c>
      <c r="AY136" t="b">
        <v>0</v>
      </c>
      <c r="AZ136" t="b">
        <v>0</v>
      </c>
      <c r="BA136" t="b">
        <v>0</v>
      </c>
      <c r="BB136" t="s">
        <v>268</v>
      </c>
      <c r="BC136" t="s">
        <v>268</v>
      </c>
      <c r="BD136" t="s">
        <v>268</v>
      </c>
      <c r="BE136" t="s">
        <v>1307</v>
      </c>
      <c r="BF136" t="s">
        <v>1308</v>
      </c>
      <c r="BG136" t="s">
        <v>1309</v>
      </c>
      <c r="BH136" t="s">
        <v>1310</v>
      </c>
      <c r="BI136" t="s">
        <v>1311</v>
      </c>
      <c r="BJ136" t="b">
        <v>0</v>
      </c>
      <c r="BK136" t="b">
        <v>1</v>
      </c>
      <c r="BL136" t="b">
        <v>1</v>
      </c>
      <c r="BM136" t="b">
        <v>0</v>
      </c>
      <c r="BN136" t="b">
        <v>0</v>
      </c>
      <c r="BO136" t="b">
        <v>0</v>
      </c>
      <c r="BP136">
        <v>1</v>
      </c>
      <c r="BQ136">
        <v>9</v>
      </c>
      <c r="BR136">
        <v>1</v>
      </c>
      <c r="BS136">
        <v>1</v>
      </c>
      <c r="BT136" t="b">
        <v>1</v>
      </c>
      <c r="BU136">
        <v>80</v>
      </c>
      <c r="BV136">
        <v>9</v>
      </c>
      <c r="BW136">
        <v>2500</v>
      </c>
      <c r="BX136">
        <v>0</v>
      </c>
      <c r="BY136" t="s">
        <v>268</v>
      </c>
      <c r="BZ136" t="s">
        <v>268</v>
      </c>
      <c r="CA136" t="s">
        <v>271</v>
      </c>
      <c r="CB136" t="s">
        <v>271</v>
      </c>
      <c r="CC136" t="s">
        <v>1319</v>
      </c>
      <c r="CD136" t="s">
        <v>1313</v>
      </c>
      <c r="CE136" t="s">
        <v>1314</v>
      </c>
      <c r="CF136" t="s">
        <v>1315</v>
      </c>
      <c r="CG136">
        <f t="shared" si="10"/>
        <v>136.90428161621099</v>
      </c>
      <c r="CH136">
        <f t="shared" si="11"/>
        <v>9274</v>
      </c>
      <c r="CI136">
        <f t="shared" si="12"/>
        <v>2</v>
      </c>
      <c r="CJ136">
        <f t="shared" si="13"/>
        <v>1269650.3077087407</v>
      </c>
      <c r="CK136">
        <f t="shared" si="14"/>
        <v>273.80856323242199</v>
      </c>
    </row>
    <row r="137" spans="1:89">
      <c r="A137">
        <v>71005</v>
      </c>
      <c r="B137" t="s">
        <v>1302</v>
      </c>
      <c r="C137">
        <v>121.69268798828099</v>
      </c>
      <c r="D137" t="s">
        <v>1324</v>
      </c>
      <c r="E137">
        <v>1965</v>
      </c>
      <c r="F137" t="s">
        <v>1320</v>
      </c>
      <c r="G137" t="s">
        <v>167</v>
      </c>
      <c r="H137">
        <v>98146</v>
      </c>
      <c r="I137" t="s">
        <v>1321</v>
      </c>
      <c r="K137" t="s">
        <v>1306</v>
      </c>
      <c r="L137">
        <v>9</v>
      </c>
      <c r="M137">
        <v>3</v>
      </c>
      <c r="N137">
        <v>0</v>
      </c>
      <c r="O137">
        <v>3</v>
      </c>
      <c r="P137">
        <v>0</v>
      </c>
      <c r="Q137">
        <v>6771</v>
      </c>
      <c r="R137">
        <v>6771</v>
      </c>
      <c r="S137">
        <v>0</v>
      </c>
      <c r="T137">
        <v>0</v>
      </c>
      <c r="U137">
        <v>0</v>
      </c>
      <c r="V137">
        <v>3</v>
      </c>
      <c r="W137">
        <v>6</v>
      </c>
      <c r="X137">
        <v>0</v>
      </c>
      <c r="Y137">
        <v>0</v>
      </c>
      <c r="Z137" t="b">
        <v>0</v>
      </c>
      <c r="AA137" t="b">
        <v>0</v>
      </c>
      <c r="AB137">
        <v>8</v>
      </c>
      <c r="AC137">
        <v>3353.2587890625</v>
      </c>
      <c r="AD137">
        <v>79529.078125</v>
      </c>
      <c r="AE137">
        <v>82882.3359375</v>
      </c>
      <c r="AI137">
        <v>282794.53125</v>
      </c>
      <c r="AJ137" t="s">
        <v>268</v>
      </c>
      <c r="AK137">
        <v>0</v>
      </c>
      <c r="AL137">
        <v>4</v>
      </c>
      <c r="AM137">
        <v>0</v>
      </c>
      <c r="AN137">
        <v>6</v>
      </c>
      <c r="AO137">
        <v>0</v>
      </c>
      <c r="AP137">
        <v>0</v>
      </c>
      <c r="AQ137">
        <v>0</v>
      </c>
      <c r="AR137">
        <v>0</v>
      </c>
      <c r="AS137">
        <v>90</v>
      </c>
      <c r="AT137" t="b">
        <v>1</v>
      </c>
      <c r="AU137">
        <v>0</v>
      </c>
      <c r="AV137">
        <v>0</v>
      </c>
      <c r="AW137">
        <v>0</v>
      </c>
      <c r="AX137" t="b">
        <v>0</v>
      </c>
      <c r="AY137" t="b">
        <v>0</v>
      </c>
      <c r="AZ137" t="b">
        <v>0</v>
      </c>
      <c r="BA137" t="b">
        <v>0</v>
      </c>
      <c r="BB137" t="s">
        <v>268</v>
      </c>
      <c r="BC137" t="s">
        <v>268</v>
      </c>
      <c r="BD137" t="s">
        <v>268</v>
      </c>
      <c r="BE137" t="s">
        <v>1307</v>
      </c>
      <c r="BF137" t="s">
        <v>1308</v>
      </c>
      <c r="BG137" t="s">
        <v>1309</v>
      </c>
      <c r="BH137" t="s">
        <v>1310</v>
      </c>
      <c r="BI137" t="s">
        <v>1311</v>
      </c>
      <c r="BJ137" t="b">
        <v>0</v>
      </c>
      <c r="BK137" t="b">
        <v>1</v>
      </c>
      <c r="BL137" t="b">
        <v>0</v>
      </c>
      <c r="BM137" t="b">
        <v>0</v>
      </c>
      <c r="BN137" t="b">
        <v>0</v>
      </c>
      <c r="BO137" t="b">
        <v>0</v>
      </c>
      <c r="BP137">
        <v>1</v>
      </c>
      <c r="BQ137">
        <v>10</v>
      </c>
      <c r="BR137">
        <v>0</v>
      </c>
      <c r="BS137">
        <v>0</v>
      </c>
      <c r="BT137" t="b">
        <v>1</v>
      </c>
      <c r="BU137">
        <v>0</v>
      </c>
      <c r="BV137">
        <v>11</v>
      </c>
      <c r="BW137">
        <v>4675</v>
      </c>
      <c r="BX137">
        <v>0</v>
      </c>
      <c r="BY137" t="s">
        <v>268</v>
      </c>
      <c r="BZ137" t="s">
        <v>268</v>
      </c>
      <c r="CA137" t="s">
        <v>268</v>
      </c>
      <c r="CB137" t="s">
        <v>271</v>
      </c>
      <c r="CC137" t="s">
        <v>1312</v>
      </c>
      <c r="CD137" t="s">
        <v>1313</v>
      </c>
      <c r="CE137" t="s">
        <v>1314</v>
      </c>
      <c r="CF137" t="s">
        <v>1315</v>
      </c>
      <c r="CG137">
        <f t="shared" si="10"/>
        <v>121.69268798828099</v>
      </c>
      <c r="CH137">
        <f t="shared" si="11"/>
        <v>6771</v>
      </c>
      <c r="CI137">
        <f t="shared" si="12"/>
        <v>3</v>
      </c>
      <c r="CJ137">
        <f t="shared" si="13"/>
        <v>823981.1903686506</v>
      </c>
      <c r="CK137">
        <f t="shared" si="14"/>
        <v>365.07806396484295</v>
      </c>
    </row>
    <row r="138" spans="1:89">
      <c r="A138">
        <v>71006</v>
      </c>
      <c r="B138" t="s">
        <v>1302</v>
      </c>
      <c r="C138">
        <v>219.04685974121099</v>
      </c>
      <c r="D138" t="s">
        <v>1324</v>
      </c>
      <c r="E138">
        <v>1960</v>
      </c>
      <c r="F138" t="s">
        <v>1320</v>
      </c>
      <c r="G138" t="s">
        <v>167</v>
      </c>
      <c r="H138">
        <v>98103</v>
      </c>
      <c r="I138" t="s">
        <v>1321</v>
      </c>
      <c r="K138" t="s">
        <v>1306</v>
      </c>
      <c r="L138">
        <v>5</v>
      </c>
      <c r="M138">
        <v>2</v>
      </c>
      <c r="N138">
        <v>0</v>
      </c>
      <c r="O138">
        <v>2</v>
      </c>
      <c r="P138">
        <v>0</v>
      </c>
      <c r="Q138">
        <v>3452</v>
      </c>
      <c r="R138">
        <v>3452</v>
      </c>
      <c r="S138">
        <v>128</v>
      </c>
      <c r="T138">
        <v>0</v>
      </c>
      <c r="U138">
        <v>0</v>
      </c>
      <c r="V138">
        <v>3</v>
      </c>
      <c r="W138">
        <v>2</v>
      </c>
      <c r="X138">
        <v>0</v>
      </c>
      <c r="Y138">
        <v>0</v>
      </c>
      <c r="Z138" t="b">
        <v>0</v>
      </c>
      <c r="AA138" t="b">
        <v>1</v>
      </c>
      <c r="AB138">
        <v>7.75</v>
      </c>
      <c r="AC138">
        <v>1988.83288574219</v>
      </c>
      <c r="AD138">
        <v>25010.685546875</v>
      </c>
      <c r="AE138">
        <v>26999.517578125</v>
      </c>
      <c r="AI138">
        <v>92122.3515625</v>
      </c>
      <c r="AJ138" t="s">
        <v>268</v>
      </c>
      <c r="AL138">
        <v>11</v>
      </c>
      <c r="AM138">
        <v>0</v>
      </c>
      <c r="AN138">
        <v>17</v>
      </c>
      <c r="AO138">
        <v>0</v>
      </c>
      <c r="AP138">
        <v>56</v>
      </c>
      <c r="AQ138">
        <v>0</v>
      </c>
      <c r="AR138">
        <v>0</v>
      </c>
      <c r="AS138">
        <v>16</v>
      </c>
      <c r="AT138" t="b">
        <v>0</v>
      </c>
      <c r="AU138">
        <v>0</v>
      </c>
      <c r="AV138">
        <v>0</v>
      </c>
      <c r="AW138">
        <v>0</v>
      </c>
      <c r="AX138" t="b">
        <v>0</v>
      </c>
      <c r="AY138" t="b">
        <v>0</v>
      </c>
      <c r="AZ138" t="b">
        <v>0</v>
      </c>
      <c r="BA138" t="b">
        <v>0</v>
      </c>
      <c r="BB138" t="s">
        <v>268</v>
      </c>
      <c r="BC138" t="s">
        <v>268</v>
      </c>
      <c r="BD138" t="s">
        <v>268</v>
      </c>
      <c r="BE138" t="s">
        <v>1307</v>
      </c>
      <c r="BF138" t="s">
        <v>1308</v>
      </c>
      <c r="BG138" t="s">
        <v>1309</v>
      </c>
      <c r="BH138" t="s">
        <v>1310</v>
      </c>
      <c r="BI138" t="s">
        <v>1311</v>
      </c>
      <c r="BJ138" t="b">
        <v>0</v>
      </c>
      <c r="BK138" t="b">
        <v>1</v>
      </c>
      <c r="BL138" t="b">
        <v>0</v>
      </c>
      <c r="BM138" t="b">
        <v>0</v>
      </c>
      <c r="BN138" t="b">
        <v>0</v>
      </c>
      <c r="BO138" t="b">
        <v>0</v>
      </c>
      <c r="BP138">
        <v>1</v>
      </c>
      <c r="BQ138">
        <v>6</v>
      </c>
      <c r="BR138">
        <v>0</v>
      </c>
      <c r="BS138">
        <v>0</v>
      </c>
      <c r="BT138" t="b">
        <v>1</v>
      </c>
      <c r="BU138">
        <v>0</v>
      </c>
      <c r="BV138">
        <v>4</v>
      </c>
      <c r="BW138">
        <v>684</v>
      </c>
      <c r="BX138">
        <v>0</v>
      </c>
      <c r="BY138" t="s">
        <v>268</v>
      </c>
      <c r="BZ138" t="s">
        <v>268</v>
      </c>
      <c r="CA138" t="s">
        <v>271</v>
      </c>
      <c r="CB138" t="s">
        <v>268</v>
      </c>
      <c r="CC138" t="s">
        <v>1312</v>
      </c>
      <c r="CD138" t="s">
        <v>1313</v>
      </c>
      <c r="CE138" t="s">
        <v>1314</v>
      </c>
      <c r="CF138" t="s">
        <v>1315</v>
      </c>
      <c r="CG138">
        <f t="shared" si="10"/>
        <v>219.04685974121099</v>
      </c>
      <c r="CH138">
        <f t="shared" si="11"/>
        <v>3452</v>
      </c>
      <c r="CI138">
        <f t="shared" si="12"/>
        <v>2</v>
      </c>
      <c r="CJ138">
        <f t="shared" si="13"/>
        <v>756149.75982666039</v>
      </c>
      <c r="CK138">
        <f t="shared" si="14"/>
        <v>438.09371948242199</v>
      </c>
    </row>
    <row r="139" spans="1:89">
      <c r="A139">
        <v>71007</v>
      </c>
      <c r="B139" t="s">
        <v>1302</v>
      </c>
      <c r="C139">
        <v>219.04685974121099</v>
      </c>
      <c r="D139" t="s">
        <v>1324</v>
      </c>
      <c r="E139">
        <v>1969</v>
      </c>
      <c r="F139" t="s">
        <v>1320</v>
      </c>
      <c r="G139" t="s">
        <v>167</v>
      </c>
      <c r="H139">
        <v>98107</v>
      </c>
      <c r="I139" t="s">
        <v>1321</v>
      </c>
      <c r="K139" t="s">
        <v>1306</v>
      </c>
      <c r="L139">
        <v>5</v>
      </c>
      <c r="M139">
        <v>3</v>
      </c>
      <c r="N139">
        <v>0</v>
      </c>
      <c r="O139">
        <v>3</v>
      </c>
      <c r="P139">
        <v>0</v>
      </c>
      <c r="Q139">
        <v>4925</v>
      </c>
      <c r="R139">
        <v>4925</v>
      </c>
      <c r="S139">
        <v>739</v>
      </c>
      <c r="T139">
        <v>0</v>
      </c>
      <c r="U139">
        <v>0</v>
      </c>
      <c r="V139">
        <v>2</v>
      </c>
      <c r="W139">
        <v>3</v>
      </c>
      <c r="X139">
        <v>0</v>
      </c>
      <c r="Y139">
        <v>0</v>
      </c>
      <c r="Z139" t="b">
        <v>0</v>
      </c>
      <c r="AA139" t="b">
        <v>1</v>
      </c>
      <c r="AB139">
        <v>7.75</v>
      </c>
      <c r="AC139">
        <v>18313.673828125</v>
      </c>
      <c r="AD139">
        <v>31798.994140625</v>
      </c>
      <c r="AE139">
        <v>50112.66796875</v>
      </c>
      <c r="AI139">
        <v>170984.421875</v>
      </c>
      <c r="AJ139" t="s">
        <v>268</v>
      </c>
      <c r="AK139">
        <v>0</v>
      </c>
      <c r="AL139">
        <v>20</v>
      </c>
      <c r="AM139">
        <v>0</v>
      </c>
      <c r="AN139">
        <v>23</v>
      </c>
      <c r="AO139">
        <v>0</v>
      </c>
      <c r="AP139">
        <v>40</v>
      </c>
      <c r="AQ139">
        <v>0</v>
      </c>
      <c r="AR139">
        <v>0</v>
      </c>
      <c r="AS139">
        <v>17</v>
      </c>
      <c r="AT139" t="b">
        <v>1</v>
      </c>
      <c r="AU139">
        <v>1</v>
      </c>
      <c r="AV139">
        <v>1</v>
      </c>
      <c r="AW139">
        <v>0</v>
      </c>
      <c r="AX139" t="b">
        <v>0</v>
      </c>
      <c r="AY139" t="b">
        <v>0</v>
      </c>
      <c r="AZ139" t="b">
        <v>0</v>
      </c>
      <c r="BA139" t="b">
        <v>0</v>
      </c>
      <c r="BB139" t="s">
        <v>268</v>
      </c>
      <c r="BC139" t="s">
        <v>268</v>
      </c>
      <c r="BD139" t="s">
        <v>268</v>
      </c>
      <c r="BE139" t="s">
        <v>1307</v>
      </c>
      <c r="BF139" t="s">
        <v>1308</v>
      </c>
      <c r="BG139" t="s">
        <v>1309</v>
      </c>
      <c r="BH139" t="s">
        <v>1310</v>
      </c>
      <c r="BI139" t="s">
        <v>1344</v>
      </c>
      <c r="BJ139" t="b">
        <v>0</v>
      </c>
      <c r="BK139" t="b">
        <v>1</v>
      </c>
      <c r="BL139" t="b">
        <v>0</v>
      </c>
      <c r="BM139" t="b">
        <v>0</v>
      </c>
      <c r="BN139" t="b">
        <v>0</v>
      </c>
      <c r="BO139" t="b">
        <v>0</v>
      </c>
      <c r="BP139">
        <v>1</v>
      </c>
      <c r="BQ139">
        <v>7</v>
      </c>
      <c r="BR139">
        <v>0</v>
      </c>
      <c r="BS139">
        <v>0</v>
      </c>
      <c r="BT139" t="b">
        <v>1</v>
      </c>
      <c r="BU139">
        <v>0</v>
      </c>
      <c r="BV139">
        <v>5</v>
      </c>
      <c r="BW139">
        <v>1437</v>
      </c>
      <c r="BX139">
        <v>0</v>
      </c>
      <c r="BY139" t="s">
        <v>268</v>
      </c>
      <c r="BZ139" t="s">
        <v>268</v>
      </c>
      <c r="CA139" t="s">
        <v>271</v>
      </c>
      <c r="CB139" t="s">
        <v>271</v>
      </c>
      <c r="CC139" t="s">
        <v>1312</v>
      </c>
      <c r="CD139" t="s">
        <v>1313</v>
      </c>
      <c r="CE139" t="s">
        <v>1314</v>
      </c>
      <c r="CF139" t="s">
        <v>1315</v>
      </c>
      <c r="CG139">
        <f t="shared" si="10"/>
        <v>219.04685974121099</v>
      </c>
      <c r="CH139">
        <f t="shared" si="11"/>
        <v>4925</v>
      </c>
      <c r="CI139">
        <f t="shared" si="12"/>
        <v>3</v>
      </c>
      <c r="CJ139">
        <f t="shared" si="13"/>
        <v>1078805.7842254641</v>
      </c>
      <c r="CK139">
        <f t="shared" si="14"/>
        <v>657.14057922363304</v>
      </c>
    </row>
    <row r="140" spans="1:89">
      <c r="A140">
        <v>71008</v>
      </c>
      <c r="B140" t="s">
        <v>1302</v>
      </c>
      <c r="C140">
        <v>182.53904724121099</v>
      </c>
      <c r="D140" t="s">
        <v>1303</v>
      </c>
      <c r="E140">
        <v>1986</v>
      </c>
      <c r="F140" t="s">
        <v>1320</v>
      </c>
      <c r="G140" t="s">
        <v>167</v>
      </c>
      <c r="H140">
        <v>98106</v>
      </c>
      <c r="I140" t="s">
        <v>1321</v>
      </c>
      <c r="J140" t="s">
        <v>1317</v>
      </c>
      <c r="K140" t="s">
        <v>1306</v>
      </c>
      <c r="L140">
        <v>6</v>
      </c>
      <c r="M140">
        <v>3</v>
      </c>
      <c r="N140">
        <v>0</v>
      </c>
      <c r="O140">
        <v>3</v>
      </c>
      <c r="P140">
        <v>0</v>
      </c>
      <c r="Q140">
        <v>3780</v>
      </c>
      <c r="R140">
        <v>3780</v>
      </c>
      <c r="S140">
        <v>0</v>
      </c>
      <c r="T140">
        <v>0</v>
      </c>
      <c r="U140">
        <v>0</v>
      </c>
      <c r="V140">
        <v>0</v>
      </c>
      <c r="W140">
        <v>6</v>
      </c>
      <c r="X140">
        <v>0</v>
      </c>
      <c r="Y140">
        <v>0</v>
      </c>
      <c r="Z140" t="b">
        <v>0</v>
      </c>
      <c r="AA140" t="b">
        <v>0</v>
      </c>
      <c r="AB140">
        <v>8</v>
      </c>
      <c r="AC140">
        <v>8291.6953125</v>
      </c>
      <c r="AD140">
        <v>46411.87109375</v>
      </c>
      <c r="AE140">
        <v>54703.56640625</v>
      </c>
      <c r="AI140">
        <v>186648.5625</v>
      </c>
      <c r="AJ140" t="s">
        <v>268</v>
      </c>
      <c r="AK140">
        <v>0</v>
      </c>
      <c r="AL140">
        <v>57</v>
      </c>
      <c r="AM140">
        <v>0</v>
      </c>
      <c r="AN140">
        <v>16</v>
      </c>
      <c r="AO140">
        <v>0</v>
      </c>
      <c r="AP140">
        <v>16</v>
      </c>
      <c r="AQ140">
        <v>0</v>
      </c>
      <c r="AR140">
        <v>0</v>
      </c>
      <c r="AS140">
        <v>11</v>
      </c>
      <c r="AT140" t="b">
        <v>1</v>
      </c>
      <c r="AU140">
        <v>0</v>
      </c>
      <c r="AV140">
        <v>0</v>
      </c>
      <c r="AW140">
        <v>0</v>
      </c>
      <c r="AX140" t="b">
        <v>0</v>
      </c>
      <c r="AY140" t="b">
        <v>0</v>
      </c>
      <c r="AZ140" t="b">
        <v>0</v>
      </c>
      <c r="BA140" t="b">
        <v>0</v>
      </c>
      <c r="BB140" t="s">
        <v>268</v>
      </c>
      <c r="BC140" t="s">
        <v>268</v>
      </c>
      <c r="BD140" t="s">
        <v>271</v>
      </c>
      <c r="BE140" t="s">
        <v>1307</v>
      </c>
      <c r="BF140" t="s">
        <v>1308</v>
      </c>
      <c r="BG140" t="s">
        <v>1309</v>
      </c>
      <c r="BH140" t="s">
        <v>1310</v>
      </c>
      <c r="BI140" t="s">
        <v>1311</v>
      </c>
      <c r="BJ140" t="b">
        <v>0</v>
      </c>
      <c r="BK140" t="b">
        <v>1</v>
      </c>
      <c r="BL140" t="b">
        <v>0</v>
      </c>
      <c r="BM140" t="b">
        <v>0</v>
      </c>
      <c r="BN140" t="b">
        <v>0</v>
      </c>
      <c r="BO140" t="b">
        <v>0</v>
      </c>
      <c r="BP140">
        <v>1</v>
      </c>
      <c r="BQ140">
        <v>7</v>
      </c>
      <c r="BR140">
        <v>0</v>
      </c>
      <c r="BS140">
        <v>0</v>
      </c>
      <c r="BT140" t="b">
        <v>1</v>
      </c>
      <c r="BU140">
        <v>10</v>
      </c>
      <c r="BV140">
        <v>8</v>
      </c>
      <c r="BW140">
        <v>3100</v>
      </c>
      <c r="BX140">
        <v>1</v>
      </c>
      <c r="BY140" t="s">
        <v>271</v>
      </c>
      <c r="BZ140" t="s">
        <v>268</v>
      </c>
      <c r="CA140" t="s">
        <v>271</v>
      </c>
      <c r="CB140" t="s">
        <v>271</v>
      </c>
      <c r="CC140" t="s">
        <v>1312</v>
      </c>
      <c r="CD140" t="s">
        <v>1313</v>
      </c>
      <c r="CE140" t="s">
        <v>1314</v>
      </c>
      <c r="CF140" t="s">
        <v>1315</v>
      </c>
      <c r="CG140">
        <f t="shared" si="10"/>
        <v>182.53904724121099</v>
      </c>
      <c r="CH140">
        <f t="shared" si="11"/>
        <v>3780</v>
      </c>
      <c r="CI140">
        <f t="shared" si="12"/>
        <v>3</v>
      </c>
      <c r="CJ140">
        <f t="shared" si="13"/>
        <v>689997.59857177758</v>
      </c>
      <c r="CK140">
        <f t="shared" si="14"/>
        <v>547.61714172363304</v>
      </c>
    </row>
    <row r="141" spans="1:89">
      <c r="A141">
        <v>71009</v>
      </c>
      <c r="B141" t="s">
        <v>1302</v>
      </c>
      <c r="C141">
        <v>136.90428161621099</v>
      </c>
      <c r="D141" t="s">
        <v>1354</v>
      </c>
      <c r="E141">
        <v>1908</v>
      </c>
      <c r="F141" t="s">
        <v>1320</v>
      </c>
      <c r="G141" t="s">
        <v>167</v>
      </c>
      <c r="H141">
        <v>98107</v>
      </c>
      <c r="I141" t="s">
        <v>1321</v>
      </c>
      <c r="J141" t="s">
        <v>1317</v>
      </c>
      <c r="K141" t="s">
        <v>1306</v>
      </c>
      <c r="L141">
        <v>8</v>
      </c>
      <c r="M141">
        <v>3</v>
      </c>
      <c r="N141">
        <v>0</v>
      </c>
      <c r="O141">
        <v>3</v>
      </c>
      <c r="P141">
        <v>0</v>
      </c>
      <c r="Q141">
        <v>4398</v>
      </c>
      <c r="R141">
        <v>4398</v>
      </c>
      <c r="S141">
        <v>1240</v>
      </c>
      <c r="T141">
        <v>0</v>
      </c>
      <c r="U141">
        <v>0</v>
      </c>
      <c r="V141">
        <v>0</v>
      </c>
      <c r="W141">
        <v>4</v>
      </c>
      <c r="X141">
        <v>4</v>
      </c>
      <c r="Y141">
        <v>0</v>
      </c>
      <c r="Z141" t="b">
        <v>0</v>
      </c>
      <c r="AA141" t="b">
        <v>1</v>
      </c>
      <c r="AB141">
        <v>8.75</v>
      </c>
      <c r="AC141">
        <v>3079.2705078125</v>
      </c>
      <c r="AD141">
        <v>16979.1015625</v>
      </c>
      <c r="AE141">
        <v>20058.37109375</v>
      </c>
      <c r="AF141">
        <v>3684.45166015625</v>
      </c>
      <c r="AG141">
        <v>131.25532531738301</v>
      </c>
      <c r="AH141">
        <v>3815.70703125</v>
      </c>
      <c r="AI141">
        <v>450009.875</v>
      </c>
      <c r="AJ141" t="s">
        <v>268</v>
      </c>
      <c r="AK141">
        <v>0</v>
      </c>
      <c r="AL141">
        <v>31</v>
      </c>
      <c r="AM141">
        <v>0</v>
      </c>
      <c r="AN141">
        <v>25</v>
      </c>
      <c r="AO141">
        <v>0</v>
      </c>
      <c r="AP141">
        <v>16</v>
      </c>
      <c r="AQ141">
        <v>0</v>
      </c>
      <c r="AR141">
        <v>0</v>
      </c>
      <c r="AS141">
        <v>28</v>
      </c>
      <c r="AT141" t="b">
        <v>0</v>
      </c>
      <c r="AU141">
        <v>1</v>
      </c>
      <c r="AV141">
        <v>1</v>
      </c>
      <c r="AW141">
        <v>0</v>
      </c>
      <c r="AX141" t="b">
        <v>1</v>
      </c>
      <c r="AY141" t="b">
        <v>0</v>
      </c>
      <c r="AZ141" t="b">
        <v>0</v>
      </c>
      <c r="BA141" t="b">
        <v>0</v>
      </c>
      <c r="BB141" t="s">
        <v>268</v>
      </c>
      <c r="BC141" t="s">
        <v>268</v>
      </c>
      <c r="BD141" t="s">
        <v>268</v>
      </c>
      <c r="BE141" t="s">
        <v>1345</v>
      </c>
      <c r="BF141" t="s">
        <v>1342</v>
      </c>
      <c r="BG141" t="s">
        <v>1346</v>
      </c>
      <c r="BH141" t="s">
        <v>1310</v>
      </c>
      <c r="BI141" t="s">
        <v>1344</v>
      </c>
      <c r="BJ141" t="b">
        <v>1</v>
      </c>
      <c r="BK141" t="b">
        <v>1</v>
      </c>
      <c r="BL141" t="b">
        <v>1</v>
      </c>
      <c r="BM141" t="b">
        <v>0</v>
      </c>
      <c r="BN141" t="b">
        <v>0</v>
      </c>
      <c r="BO141" t="b">
        <v>0</v>
      </c>
      <c r="BP141">
        <v>1</v>
      </c>
      <c r="BQ141">
        <v>9</v>
      </c>
      <c r="BR141">
        <v>1</v>
      </c>
      <c r="BS141">
        <v>7</v>
      </c>
      <c r="BT141" t="b">
        <v>0</v>
      </c>
      <c r="BV141">
        <v>0</v>
      </c>
      <c r="BW141">
        <v>0</v>
      </c>
      <c r="BX141">
        <v>0</v>
      </c>
      <c r="BY141" t="s">
        <v>268</v>
      </c>
      <c r="BZ141" t="s">
        <v>268</v>
      </c>
      <c r="CA141" t="s">
        <v>268</v>
      </c>
      <c r="CB141" t="s">
        <v>268</v>
      </c>
      <c r="CC141" t="s">
        <v>1312</v>
      </c>
      <c r="CD141" t="s">
        <v>1313</v>
      </c>
      <c r="CE141" t="s">
        <v>1330</v>
      </c>
      <c r="CF141" t="s">
        <v>1315</v>
      </c>
      <c r="CG141" t="str">
        <f t="shared" si="10"/>
        <v/>
      </c>
      <c r="CH141" t="str">
        <f t="shared" si="11"/>
        <v/>
      </c>
      <c r="CI141" t="str">
        <f t="shared" si="12"/>
        <v/>
      </c>
      <c r="CJ141" t="str">
        <f t="shared" si="13"/>
        <v/>
      </c>
      <c r="CK141" t="str">
        <f t="shared" si="14"/>
        <v/>
      </c>
    </row>
    <row r="142" spans="1:89">
      <c r="A142">
        <v>71010</v>
      </c>
      <c r="B142" t="s">
        <v>1302</v>
      </c>
      <c r="C142">
        <v>182.53904724121099</v>
      </c>
      <c r="D142" t="s">
        <v>1303</v>
      </c>
      <c r="E142">
        <v>1990</v>
      </c>
      <c r="F142" t="s">
        <v>1320</v>
      </c>
      <c r="G142" t="s">
        <v>167</v>
      </c>
      <c r="H142">
        <v>98115</v>
      </c>
      <c r="I142" t="s">
        <v>1321</v>
      </c>
      <c r="K142" t="s">
        <v>1306</v>
      </c>
      <c r="L142">
        <v>6</v>
      </c>
      <c r="M142">
        <v>2</v>
      </c>
      <c r="N142">
        <v>0</v>
      </c>
      <c r="O142">
        <v>2</v>
      </c>
      <c r="P142">
        <v>0</v>
      </c>
      <c r="Q142">
        <v>5364</v>
      </c>
      <c r="R142">
        <v>5364</v>
      </c>
      <c r="S142">
        <v>544</v>
      </c>
      <c r="T142">
        <v>0</v>
      </c>
      <c r="U142">
        <v>0</v>
      </c>
      <c r="V142">
        <v>4</v>
      </c>
      <c r="W142">
        <v>2</v>
      </c>
      <c r="X142">
        <v>0</v>
      </c>
      <c r="Y142">
        <v>0</v>
      </c>
      <c r="Z142" t="b">
        <v>0</v>
      </c>
      <c r="AA142" t="b">
        <v>1</v>
      </c>
      <c r="AB142">
        <v>7.75</v>
      </c>
      <c r="AC142">
        <v>5140.099609375</v>
      </c>
      <c r="AD142">
        <v>53659.64453125</v>
      </c>
      <c r="AE142">
        <v>58799.7421875</v>
      </c>
      <c r="AI142">
        <v>200624.71875</v>
      </c>
      <c r="AJ142" t="s">
        <v>268</v>
      </c>
      <c r="AK142">
        <v>0</v>
      </c>
      <c r="AL142">
        <v>19</v>
      </c>
      <c r="AM142">
        <v>0</v>
      </c>
      <c r="AN142">
        <v>42</v>
      </c>
      <c r="AO142">
        <v>0</v>
      </c>
      <c r="AP142">
        <v>21</v>
      </c>
      <c r="AQ142">
        <v>0</v>
      </c>
      <c r="AR142">
        <v>0</v>
      </c>
      <c r="AS142">
        <v>18</v>
      </c>
      <c r="AT142" t="b">
        <v>0</v>
      </c>
      <c r="AU142">
        <v>0</v>
      </c>
      <c r="AV142">
        <v>0</v>
      </c>
      <c r="AW142">
        <v>0</v>
      </c>
      <c r="AX142" t="b">
        <v>0</v>
      </c>
      <c r="AY142" t="b">
        <v>0</v>
      </c>
      <c r="AZ142" t="b">
        <v>0</v>
      </c>
      <c r="BA142" t="b">
        <v>0</v>
      </c>
      <c r="BB142" t="s">
        <v>268</v>
      </c>
      <c r="BC142" t="s">
        <v>268</v>
      </c>
      <c r="BD142" t="s">
        <v>268</v>
      </c>
      <c r="BE142" t="s">
        <v>1307</v>
      </c>
      <c r="BF142" t="s">
        <v>1308</v>
      </c>
      <c r="BG142" t="s">
        <v>1309</v>
      </c>
      <c r="BH142" t="s">
        <v>1310</v>
      </c>
      <c r="BI142" t="s">
        <v>1311</v>
      </c>
      <c r="BJ142" t="b">
        <v>0</v>
      </c>
      <c r="BK142" t="b">
        <v>1</v>
      </c>
      <c r="BL142" t="b">
        <v>0</v>
      </c>
      <c r="BM142" t="b">
        <v>0</v>
      </c>
      <c r="BN142" t="b">
        <v>0</v>
      </c>
      <c r="BO142" t="b">
        <v>0</v>
      </c>
      <c r="BP142">
        <v>1</v>
      </c>
      <c r="BQ142">
        <v>7</v>
      </c>
      <c r="BR142">
        <v>0</v>
      </c>
      <c r="BS142">
        <v>0</v>
      </c>
      <c r="BT142" t="b">
        <v>1</v>
      </c>
      <c r="BU142">
        <v>0</v>
      </c>
      <c r="BV142">
        <v>6</v>
      </c>
      <c r="BW142">
        <v>2415</v>
      </c>
      <c r="BX142">
        <v>1</v>
      </c>
      <c r="BY142" t="s">
        <v>271</v>
      </c>
      <c r="BZ142" t="s">
        <v>268</v>
      </c>
      <c r="CA142" t="s">
        <v>268</v>
      </c>
      <c r="CB142" t="s">
        <v>268</v>
      </c>
      <c r="CC142" t="s">
        <v>1312</v>
      </c>
      <c r="CD142" t="s">
        <v>1313</v>
      </c>
      <c r="CE142" t="s">
        <v>1333</v>
      </c>
      <c r="CF142" t="s">
        <v>1315</v>
      </c>
      <c r="CG142">
        <f t="shared" si="10"/>
        <v>182.53904724121099</v>
      </c>
      <c r="CH142">
        <f t="shared" si="11"/>
        <v>5364</v>
      </c>
      <c r="CI142">
        <f t="shared" si="12"/>
        <v>2</v>
      </c>
      <c r="CJ142">
        <f t="shared" si="13"/>
        <v>979139.44940185582</v>
      </c>
      <c r="CK142">
        <f t="shared" si="14"/>
        <v>365.07809448242199</v>
      </c>
    </row>
    <row r="143" spans="1:89">
      <c r="A143">
        <v>71011</v>
      </c>
      <c r="B143" t="s">
        <v>1302</v>
      </c>
      <c r="C143">
        <v>136.90428161621099</v>
      </c>
      <c r="D143" t="s">
        <v>1354</v>
      </c>
      <c r="E143">
        <v>1935</v>
      </c>
      <c r="F143" t="s">
        <v>1320</v>
      </c>
      <c r="G143" t="s">
        <v>167</v>
      </c>
      <c r="H143">
        <v>98122</v>
      </c>
      <c r="I143" t="s">
        <v>1321</v>
      </c>
      <c r="K143" t="s">
        <v>1306</v>
      </c>
      <c r="L143">
        <v>8</v>
      </c>
      <c r="M143">
        <v>4</v>
      </c>
      <c r="N143">
        <v>0</v>
      </c>
      <c r="O143">
        <v>3</v>
      </c>
      <c r="P143">
        <v>0</v>
      </c>
      <c r="Q143">
        <v>7343</v>
      </c>
      <c r="R143">
        <v>7343</v>
      </c>
      <c r="S143">
        <v>680</v>
      </c>
      <c r="T143">
        <v>0</v>
      </c>
      <c r="U143">
        <v>0</v>
      </c>
      <c r="V143">
        <v>2</v>
      </c>
      <c r="W143">
        <v>5</v>
      </c>
      <c r="X143">
        <v>1</v>
      </c>
      <c r="Y143">
        <v>0</v>
      </c>
      <c r="Z143" t="b">
        <v>0</v>
      </c>
      <c r="AA143" t="b">
        <v>1</v>
      </c>
      <c r="AB143">
        <v>8</v>
      </c>
      <c r="AC143">
        <v>28963.060546875</v>
      </c>
      <c r="AD143">
        <v>52889.86328125</v>
      </c>
      <c r="AE143">
        <v>81852.921875</v>
      </c>
      <c r="AI143">
        <v>279282.15625</v>
      </c>
      <c r="AJ143" t="s">
        <v>271</v>
      </c>
      <c r="AK143">
        <v>0</v>
      </c>
      <c r="AL143">
        <v>33</v>
      </c>
      <c r="AM143">
        <v>0</v>
      </c>
      <c r="AN143">
        <v>31</v>
      </c>
      <c r="AO143">
        <v>0</v>
      </c>
      <c r="AP143">
        <v>12</v>
      </c>
      <c r="AQ143">
        <v>0</v>
      </c>
      <c r="AR143">
        <v>0</v>
      </c>
      <c r="AS143">
        <v>24</v>
      </c>
      <c r="AT143" t="b">
        <v>0</v>
      </c>
      <c r="AU143">
        <v>2</v>
      </c>
      <c r="AV143">
        <v>2</v>
      </c>
      <c r="AW143">
        <v>0</v>
      </c>
      <c r="AX143" t="b">
        <v>0</v>
      </c>
      <c r="AY143" t="b">
        <v>0</v>
      </c>
      <c r="AZ143" t="b">
        <v>0</v>
      </c>
      <c r="BA143" t="b">
        <v>0</v>
      </c>
      <c r="BB143" t="s">
        <v>268</v>
      </c>
      <c r="BC143" t="s">
        <v>268</v>
      </c>
      <c r="BD143" t="s">
        <v>268</v>
      </c>
      <c r="BE143" t="s">
        <v>1307</v>
      </c>
      <c r="BF143" t="s">
        <v>1308</v>
      </c>
      <c r="BG143" t="s">
        <v>1309</v>
      </c>
      <c r="BH143" t="s">
        <v>1310</v>
      </c>
      <c r="BI143" t="s">
        <v>1322</v>
      </c>
      <c r="BJ143" t="b">
        <v>0</v>
      </c>
      <c r="BK143" t="b">
        <v>1</v>
      </c>
      <c r="BL143" t="b">
        <v>0</v>
      </c>
      <c r="BM143" t="b">
        <v>0</v>
      </c>
      <c r="BN143" t="b">
        <v>0</v>
      </c>
      <c r="BO143" t="b">
        <v>0</v>
      </c>
      <c r="BP143">
        <v>1</v>
      </c>
      <c r="BQ143">
        <v>9</v>
      </c>
      <c r="BR143">
        <v>0</v>
      </c>
      <c r="BS143">
        <v>0</v>
      </c>
      <c r="BT143" t="b">
        <v>0</v>
      </c>
      <c r="BV143">
        <v>0</v>
      </c>
      <c r="BW143">
        <v>0</v>
      </c>
      <c r="BX143">
        <v>0</v>
      </c>
      <c r="BY143" t="s">
        <v>268</v>
      </c>
      <c r="BZ143" t="s">
        <v>268</v>
      </c>
      <c r="CA143" t="s">
        <v>268</v>
      </c>
      <c r="CB143" t="s">
        <v>268</v>
      </c>
      <c r="CC143" t="s">
        <v>1312</v>
      </c>
      <c r="CD143" t="s">
        <v>1313</v>
      </c>
      <c r="CE143" t="s">
        <v>1347</v>
      </c>
      <c r="CF143" t="s">
        <v>1315</v>
      </c>
      <c r="CG143">
        <f t="shared" si="10"/>
        <v>136.90428161621099</v>
      </c>
      <c r="CH143">
        <f t="shared" si="11"/>
        <v>7343</v>
      </c>
      <c r="CI143">
        <f t="shared" si="12"/>
        <v>4</v>
      </c>
      <c r="CJ143">
        <f t="shared" si="13"/>
        <v>1005288.1399078374</v>
      </c>
      <c r="CK143">
        <f t="shared" si="14"/>
        <v>547.61712646484398</v>
      </c>
    </row>
    <row r="144" spans="1:89">
      <c r="A144">
        <v>71012</v>
      </c>
      <c r="B144" t="s">
        <v>1302</v>
      </c>
      <c r="C144">
        <v>182.53904724121099</v>
      </c>
      <c r="D144" t="s">
        <v>1324</v>
      </c>
      <c r="E144">
        <v>1969</v>
      </c>
      <c r="F144" t="s">
        <v>1320</v>
      </c>
      <c r="G144" t="s">
        <v>167</v>
      </c>
      <c r="H144">
        <v>98109</v>
      </c>
      <c r="I144" t="s">
        <v>1321</v>
      </c>
      <c r="K144" t="s">
        <v>1306</v>
      </c>
      <c r="L144">
        <v>6</v>
      </c>
      <c r="M144">
        <v>3</v>
      </c>
      <c r="N144">
        <v>0</v>
      </c>
      <c r="O144">
        <v>2</v>
      </c>
      <c r="P144">
        <v>0</v>
      </c>
      <c r="Q144">
        <v>4320</v>
      </c>
      <c r="R144">
        <v>4320</v>
      </c>
      <c r="S144">
        <v>200</v>
      </c>
      <c r="T144">
        <v>0</v>
      </c>
      <c r="U144">
        <v>0</v>
      </c>
      <c r="V144">
        <v>1</v>
      </c>
      <c r="W144">
        <v>3</v>
      </c>
      <c r="X144">
        <v>2</v>
      </c>
      <c r="Y144">
        <v>0</v>
      </c>
      <c r="Z144" t="b">
        <v>0</v>
      </c>
      <c r="AA144" t="b">
        <v>1</v>
      </c>
      <c r="AB144">
        <v>8</v>
      </c>
      <c r="AC144">
        <v>2387.94067382813</v>
      </c>
      <c r="AD144">
        <v>32980.55859375</v>
      </c>
      <c r="AE144">
        <v>35368.5</v>
      </c>
      <c r="AI144">
        <v>120677.3203125</v>
      </c>
      <c r="AJ144" t="s">
        <v>268</v>
      </c>
      <c r="AK144">
        <v>0</v>
      </c>
      <c r="AL144">
        <v>33</v>
      </c>
      <c r="AM144">
        <v>0</v>
      </c>
      <c r="AN144">
        <v>10</v>
      </c>
      <c r="AO144">
        <v>0</v>
      </c>
      <c r="AP144">
        <v>57</v>
      </c>
      <c r="AQ144">
        <v>0</v>
      </c>
      <c r="AR144">
        <v>0</v>
      </c>
      <c r="AS144">
        <v>0</v>
      </c>
      <c r="AT144" t="b">
        <v>0</v>
      </c>
      <c r="AU144">
        <v>2</v>
      </c>
      <c r="AV144">
        <v>2</v>
      </c>
      <c r="AW144">
        <v>0</v>
      </c>
      <c r="AX144" t="b">
        <v>0</v>
      </c>
      <c r="AY144" t="b">
        <v>0</v>
      </c>
      <c r="AZ144" t="b">
        <v>0</v>
      </c>
      <c r="BA144" t="b">
        <v>0</v>
      </c>
      <c r="BB144" t="s">
        <v>268</v>
      </c>
      <c r="BC144" t="s">
        <v>268</v>
      </c>
      <c r="BD144" t="s">
        <v>268</v>
      </c>
      <c r="BE144" t="s">
        <v>1307</v>
      </c>
      <c r="BF144" t="s">
        <v>1308</v>
      </c>
      <c r="BG144" t="s">
        <v>1309</v>
      </c>
      <c r="BH144" t="s">
        <v>1310</v>
      </c>
      <c r="BI144" t="s">
        <v>1322</v>
      </c>
      <c r="BJ144" t="b">
        <v>0</v>
      </c>
      <c r="BK144" t="b">
        <v>1</v>
      </c>
      <c r="BL144" t="b">
        <v>0</v>
      </c>
      <c r="BM144" t="b">
        <v>0</v>
      </c>
      <c r="BN144" t="b">
        <v>0</v>
      </c>
      <c r="BO144" t="b">
        <v>0</v>
      </c>
      <c r="BP144">
        <v>1</v>
      </c>
      <c r="BQ144">
        <v>8</v>
      </c>
      <c r="BR144">
        <v>0</v>
      </c>
      <c r="BS144">
        <v>0</v>
      </c>
      <c r="BT144" t="b">
        <v>1</v>
      </c>
      <c r="BU144">
        <v>0</v>
      </c>
      <c r="BV144">
        <v>5</v>
      </c>
      <c r="BW144">
        <v>1975</v>
      </c>
      <c r="BX144">
        <v>0</v>
      </c>
      <c r="BY144" t="s">
        <v>268</v>
      </c>
      <c r="BZ144" t="s">
        <v>268</v>
      </c>
      <c r="CA144" t="s">
        <v>271</v>
      </c>
      <c r="CB144" t="s">
        <v>271</v>
      </c>
      <c r="CC144" t="s">
        <v>1319</v>
      </c>
      <c r="CD144" t="s">
        <v>1313</v>
      </c>
      <c r="CE144" t="s">
        <v>1356</v>
      </c>
      <c r="CF144" t="s">
        <v>1315</v>
      </c>
      <c r="CG144">
        <f t="shared" si="10"/>
        <v>182.53904724121099</v>
      </c>
      <c r="CH144">
        <f t="shared" si="11"/>
        <v>4320</v>
      </c>
      <c r="CI144">
        <f t="shared" si="12"/>
        <v>3</v>
      </c>
      <c r="CJ144">
        <f t="shared" si="13"/>
        <v>788568.68408203148</v>
      </c>
      <c r="CK144">
        <f t="shared" si="14"/>
        <v>547.61714172363304</v>
      </c>
    </row>
    <row r="145" spans="1:89">
      <c r="A145">
        <v>71013</v>
      </c>
      <c r="B145" t="s">
        <v>1302</v>
      </c>
      <c r="C145">
        <v>136.90428161621099</v>
      </c>
      <c r="D145" t="s">
        <v>1324</v>
      </c>
      <c r="E145">
        <v>1965</v>
      </c>
      <c r="F145" t="s">
        <v>1320</v>
      </c>
      <c r="G145" t="s">
        <v>167</v>
      </c>
      <c r="H145">
        <v>98105</v>
      </c>
      <c r="I145" t="s">
        <v>1321</v>
      </c>
      <c r="J145" t="s">
        <v>1317</v>
      </c>
      <c r="K145" t="s">
        <v>1306</v>
      </c>
      <c r="L145">
        <v>8</v>
      </c>
      <c r="M145">
        <v>3</v>
      </c>
      <c r="N145">
        <v>0</v>
      </c>
      <c r="O145">
        <v>3</v>
      </c>
      <c r="P145">
        <v>0</v>
      </c>
      <c r="Q145">
        <v>6663</v>
      </c>
      <c r="R145">
        <v>6663</v>
      </c>
      <c r="S145">
        <v>1289</v>
      </c>
      <c r="T145">
        <v>0</v>
      </c>
      <c r="U145">
        <v>0</v>
      </c>
      <c r="V145">
        <v>4</v>
      </c>
      <c r="W145">
        <v>3</v>
      </c>
      <c r="X145">
        <v>1</v>
      </c>
      <c r="Y145">
        <v>12</v>
      </c>
      <c r="Z145" t="b">
        <v>0</v>
      </c>
      <c r="AA145" t="b">
        <v>1</v>
      </c>
      <c r="AB145">
        <v>8</v>
      </c>
      <c r="AC145">
        <v>4325.66748046875</v>
      </c>
      <c r="AD145">
        <v>30495.52734375</v>
      </c>
      <c r="AE145">
        <v>34821.1953125</v>
      </c>
      <c r="AH145">
        <v>3870.19458007813</v>
      </c>
      <c r="AI145">
        <v>505829.375</v>
      </c>
      <c r="AJ145" t="s">
        <v>268</v>
      </c>
      <c r="AK145">
        <v>0</v>
      </c>
      <c r="AL145">
        <v>6</v>
      </c>
      <c r="AM145">
        <v>0</v>
      </c>
      <c r="AN145">
        <v>38</v>
      </c>
      <c r="AO145">
        <v>0</v>
      </c>
      <c r="AP145">
        <v>46</v>
      </c>
      <c r="AQ145">
        <v>0</v>
      </c>
      <c r="AR145">
        <v>0</v>
      </c>
      <c r="AS145">
        <v>10</v>
      </c>
      <c r="AT145" t="b">
        <v>0</v>
      </c>
      <c r="AU145">
        <v>1</v>
      </c>
      <c r="AV145">
        <v>1</v>
      </c>
      <c r="AW145">
        <v>0</v>
      </c>
      <c r="AX145" t="b">
        <v>1</v>
      </c>
      <c r="AY145" t="b">
        <v>0</v>
      </c>
      <c r="AZ145" t="b">
        <v>0</v>
      </c>
      <c r="BA145" t="b">
        <v>0</v>
      </c>
      <c r="BB145" t="s">
        <v>268</v>
      </c>
      <c r="BC145" t="s">
        <v>268</v>
      </c>
      <c r="BD145" t="s">
        <v>268</v>
      </c>
      <c r="BE145" t="s">
        <v>1345</v>
      </c>
      <c r="BF145" t="s">
        <v>1342</v>
      </c>
      <c r="BG145" t="s">
        <v>1346</v>
      </c>
      <c r="BH145" t="s">
        <v>1310</v>
      </c>
      <c r="BI145" t="s">
        <v>1322</v>
      </c>
      <c r="BJ145" t="b">
        <v>1</v>
      </c>
      <c r="BK145" t="b">
        <v>1</v>
      </c>
      <c r="BL145" t="b">
        <v>1</v>
      </c>
      <c r="BM145" t="b">
        <v>0</v>
      </c>
      <c r="BN145" t="b">
        <v>0</v>
      </c>
      <c r="BO145" t="b">
        <v>0</v>
      </c>
      <c r="BP145">
        <v>1</v>
      </c>
      <c r="BQ145">
        <v>9</v>
      </c>
      <c r="BR145">
        <v>1</v>
      </c>
      <c r="BS145">
        <v>1</v>
      </c>
      <c r="BT145" t="b">
        <v>1</v>
      </c>
      <c r="BV145">
        <v>6</v>
      </c>
      <c r="BW145">
        <v>2550</v>
      </c>
      <c r="BX145">
        <v>0</v>
      </c>
      <c r="BY145" t="s">
        <v>268</v>
      </c>
      <c r="BZ145" t="s">
        <v>268</v>
      </c>
      <c r="CA145" t="s">
        <v>268</v>
      </c>
      <c r="CB145" t="s">
        <v>271</v>
      </c>
      <c r="CC145" t="s">
        <v>1312</v>
      </c>
      <c r="CD145" t="s">
        <v>1313</v>
      </c>
      <c r="CE145" t="s">
        <v>1314</v>
      </c>
      <c r="CF145" t="s">
        <v>1315</v>
      </c>
      <c r="CG145" t="str">
        <f t="shared" si="10"/>
        <v/>
      </c>
      <c r="CH145" t="str">
        <f t="shared" si="11"/>
        <v/>
      </c>
      <c r="CI145" t="str">
        <f t="shared" si="12"/>
        <v/>
      </c>
      <c r="CJ145" t="str">
        <f t="shared" si="13"/>
        <v/>
      </c>
      <c r="CK145" t="str">
        <f t="shared" si="14"/>
        <v/>
      </c>
    </row>
    <row r="146" spans="1:89">
      <c r="A146">
        <v>71014</v>
      </c>
      <c r="B146" t="s">
        <v>1302</v>
      </c>
      <c r="C146">
        <v>136.90428161621099</v>
      </c>
      <c r="D146" t="s">
        <v>1324</v>
      </c>
      <c r="E146">
        <v>1964</v>
      </c>
      <c r="F146" t="s">
        <v>1320</v>
      </c>
      <c r="G146" t="s">
        <v>167</v>
      </c>
      <c r="H146">
        <v>98125</v>
      </c>
      <c r="I146" t="s">
        <v>1321</v>
      </c>
      <c r="K146" t="s">
        <v>1306</v>
      </c>
      <c r="L146">
        <v>8</v>
      </c>
      <c r="M146">
        <v>2</v>
      </c>
      <c r="N146">
        <v>0</v>
      </c>
      <c r="O146">
        <v>2</v>
      </c>
      <c r="P146">
        <v>0</v>
      </c>
      <c r="Q146">
        <v>5980</v>
      </c>
      <c r="R146">
        <v>5980</v>
      </c>
      <c r="S146">
        <v>60</v>
      </c>
      <c r="T146">
        <v>0</v>
      </c>
      <c r="U146">
        <v>0</v>
      </c>
      <c r="V146">
        <v>4</v>
      </c>
      <c r="W146">
        <v>4</v>
      </c>
      <c r="X146">
        <v>0</v>
      </c>
      <c r="Y146">
        <v>0</v>
      </c>
      <c r="Z146" t="b">
        <v>0</v>
      </c>
      <c r="AA146" t="b">
        <v>1</v>
      </c>
      <c r="AB146">
        <v>7.75</v>
      </c>
      <c r="AC146">
        <v>2280.20922851563</v>
      </c>
      <c r="AD146">
        <v>46829.8984375</v>
      </c>
      <c r="AE146">
        <v>49110.109375</v>
      </c>
      <c r="AI146">
        <v>167563.6875</v>
      </c>
      <c r="AJ146" t="s">
        <v>268</v>
      </c>
      <c r="AL146">
        <v>5</v>
      </c>
      <c r="AM146">
        <v>0</v>
      </c>
      <c r="AN146">
        <v>31</v>
      </c>
      <c r="AO146">
        <v>0</v>
      </c>
      <c r="AP146">
        <v>47</v>
      </c>
      <c r="AQ146">
        <v>0</v>
      </c>
      <c r="AR146">
        <v>0</v>
      </c>
      <c r="AS146">
        <v>17</v>
      </c>
      <c r="AT146" t="b">
        <v>0</v>
      </c>
      <c r="AU146">
        <v>1</v>
      </c>
      <c r="AV146">
        <v>2</v>
      </c>
      <c r="AW146">
        <v>0</v>
      </c>
      <c r="AX146" t="b">
        <v>0</v>
      </c>
      <c r="AY146" t="b">
        <v>0</v>
      </c>
      <c r="AZ146" t="b">
        <v>0</v>
      </c>
      <c r="BA146" t="b">
        <v>0</v>
      </c>
      <c r="BB146" t="s">
        <v>268</v>
      </c>
      <c r="BC146" t="s">
        <v>268</v>
      </c>
      <c r="BD146" t="s">
        <v>268</v>
      </c>
      <c r="BE146" t="s">
        <v>1307</v>
      </c>
      <c r="BF146" t="s">
        <v>1308</v>
      </c>
      <c r="BG146" t="s">
        <v>1309</v>
      </c>
      <c r="BH146" t="s">
        <v>1310</v>
      </c>
      <c r="BI146" t="s">
        <v>1322</v>
      </c>
      <c r="BJ146" t="b">
        <v>0</v>
      </c>
      <c r="BK146" t="b">
        <v>1</v>
      </c>
      <c r="BL146" t="b">
        <v>0</v>
      </c>
      <c r="BM146" t="b">
        <v>0</v>
      </c>
      <c r="BN146" t="b">
        <v>0</v>
      </c>
      <c r="BO146" t="b">
        <v>0</v>
      </c>
      <c r="BP146">
        <v>1</v>
      </c>
      <c r="BQ146">
        <v>9</v>
      </c>
      <c r="BR146">
        <v>0</v>
      </c>
      <c r="BS146">
        <v>0</v>
      </c>
      <c r="BT146" t="b">
        <v>1</v>
      </c>
      <c r="BV146">
        <v>15</v>
      </c>
      <c r="BW146">
        <v>6375</v>
      </c>
      <c r="BX146">
        <v>0</v>
      </c>
      <c r="BY146" t="s">
        <v>268</v>
      </c>
      <c r="BZ146" t="s">
        <v>268</v>
      </c>
      <c r="CA146" t="s">
        <v>268</v>
      </c>
      <c r="CB146" t="s">
        <v>271</v>
      </c>
      <c r="CC146" t="s">
        <v>1319</v>
      </c>
      <c r="CD146" t="s">
        <v>1313</v>
      </c>
      <c r="CE146" t="s">
        <v>1327</v>
      </c>
      <c r="CF146" t="s">
        <v>1315</v>
      </c>
      <c r="CG146">
        <f t="shared" si="10"/>
        <v>136.90428161621099</v>
      </c>
      <c r="CH146">
        <f t="shared" si="11"/>
        <v>5980</v>
      </c>
      <c r="CI146">
        <f t="shared" si="12"/>
        <v>2</v>
      </c>
      <c r="CJ146">
        <f t="shared" si="13"/>
        <v>818687.60406494176</v>
      </c>
      <c r="CK146">
        <f t="shared" si="14"/>
        <v>273.80856323242199</v>
      </c>
    </row>
    <row r="147" spans="1:89">
      <c r="A147">
        <v>72001</v>
      </c>
      <c r="B147" t="s">
        <v>1302</v>
      </c>
      <c r="C147">
        <v>78.231018066406307</v>
      </c>
      <c r="D147" t="s">
        <v>1334</v>
      </c>
      <c r="E147">
        <v>1979</v>
      </c>
      <c r="F147" t="s">
        <v>1320</v>
      </c>
      <c r="G147" t="s">
        <v>167</v>
      </c>
      <c r="H147">
        <v>98133</v>
      </c>
      <c r="I147" t="s">
        <v>1321</v>
      </c>
      <c r="K147" t="s">
        <v>1306</v>
      </c>
      <c r="L147">
        <v>14</v>
      </c>
      <c r="M147">
        <v>3</v>
      </c>
      <c r="N147">
        <v>0</v>
      </c>
      <c r="O147">
        <v>3</v>
      </c>
      <c r="P147">
        <v>1</v>
      </c>
      <c r="Q147">
        <v>13566</v>
      </c>
      <c r="R147">
        <v>13566</v>
      </c>
      <c r="S147">
        <v>1511</v>
      </c>
      <c r="T147">
        <v>0</v>
      </c>
      <c r="U147">
        <v>0</v>
      </c>
      <c r="V147">
        <v>3</v>
      </c>
      <c r="W147">
        <v>11</v>
      </c>
      <c r="X147">
        <v>0</v>
      </c>
      <c r="Y147">
        <v>0</v>
      </c>
      <c r="Z147" t="b">
        <v>0</v>
      </c>
      <c r="AA147" t="b">
        <v>1</v>
      </c>
      <c r="AB147">
        <v>7.75</v>
      </c>
      <c r="AC147">
        <v>11995.4560546875</v>
      </c>
      <c r="AD147">
        <v>98852.03125</v>
      </c>
      <c r="AE147">
        <v>110847.484375</v>
      </c>
      <c r="AI147">
        <v>378211.625</v>
      </c>
      <c r="AJ147" t="s">
        <v>268</v>
      </c>
      <c r="AK147">
        <v>0</v>
      </c>
      <c r="AL147">
        <v>6</v>
      </c>
      <c r="AM147">
        <v>0</v>
      </c>
      <c r="AN147">
        <v>29</v>
      </c>
      <c r="AO147">
        <v>0</v>
      </c>
      <c r="AP147">
        <v>46</v>
      </c>
      <c r="AQ147">
        <v>0</v>
      </c>
      <c r="AR147">
        <v>0</v>
      </c>
      <c r="AS147">
        <v>19</v>
      </c>
      <c r="AT147" t="b">
        <v>1</v>
      </c>
      <c r="AU147">
        <v>1</v>
      </c>
      <c r="AV147">
        <v>1</v>
      </c>
      <c r="AW147">
        <v>0</v>
      </c>
      <c r="AX147" t="b">
        <v>0</v>
      </c>
      <c r="AY147" t="b">
        <v>0</v>
      </c>
      <c r="AZ147" t="b">
        <v>0</v>
      </c>
      <c r="BA147" t="b">
        <v>0</v>
      </c>
      <c r="BB147" t="s">
        <v>268</v>
      </c>
      <c r="BC147" t="s">
        <v>268</v>
      </c>
      <c r="BD147" t="s">
        <v>268</v>
      </c>
      <c r="BE147" t="s">
        <v>1307</v>
      </c>
      <c r="BF147" t="s">
        <v>1308</v>
      </c>
      <c r="BG147" t="s">
        <v>1309</v>
      </c>
      <c r="BH147" t="s">
        <v>1310</v>
      </c>
      <c r="BI147" t="s">
        <v>1322</v>
      </c>
      <c r="BJ147" t="b">
        <v>0</v>
      </c>
      <c r="BK147" t="b">
        <v>1</v>
      </c>
      <c r="BL147" t="b">
        <v>0</v>
      </c>
      <c r="BM147" t="b">
        <v>0</v>
      </c>
      <c r="BN147" t="b">
        <v>0</v>
      </c>
      <c r="BO147" t="b">
        <v>0</v>
      </c>
      <c r="BP147">
        <v>1</v>
      </c>
      <c r="BQ147">
        <v>15</v>
      </c>
      <c r="BR147">
        <v>0</v>
      </c>
      <c r="BS147">
        <v>0</v>
      </c>
      <c r="BT147" t="b">
        <v>1</v>
      </c>
      <c r="BV147">
        <v>13</v>
      </c>
      <c r="BW147">
        <v>5525</v>
      </c>
      <c r="BX147">
        <v>0</v>
      </c>
      <c r="BY147" t="s">
        <v>268</v>
      </c>
      <c r="BZ147" t="s">
        <v>268</v>
      </c>
      <c r="CA147" t="s">
        <v>268</v>
      </c>
      <c r="CB147" t="s">
        <v>271</v>
      </c>
      <c r="CC147" t="s">
        <v>1319</v>
      </c>
      <c r="CD147" t="s">
        <v>1313</v>
      </c>
      <c r="CE147" t="s">
        <v>1327</v>
      </c>
      <c r="CF147" t="s">
        <v>1315</v>
      </c>
      <c r="CG147">
        <f t="shared" si="10"/>
        <v>78.231018066406307</v>
      </c>
      <c r="CH147">
        <f t="shared" si="11"/>
        <v>13566</v>
      </c>
      <c r="CI147">
        <f t="shared" si="12"/>
        <v>3</v>
      </c>
      <c r="CJ147">
        <f t="shared" si="13"/>
        <v>1061281.9910888679</v>
      </c>
      <c r="CK147">
        <f t="shared" si="14"/>
        <v>234.69305419921892</v>
      </c>
    </row>
    <row r="148" spans="1:89">
      <c r="A148">
        <v>72002</v>
      </c>
      <c r="B148" t="s">
        <v>1331</v>
      </c>
      <c r="C148">
        <v>99.566741943359403</v>
      </c>
      <c r="D148" t="s">
        <v>1340</v>
      </c>
      <c r="E148">
        <v>1994</v>
      </c>
      <c r="F148" t="s">
        <v>1320</v>
      </c>
      <c r="G148" t="s">
        <v>167</v>
      </c>
      <c r="H148">
        <v>98107</v>
      </c>
      <c r="I148" t="s">
        <v>1321</v>
      </c>
      <c r="J148" t="s">
        <v>1317</v>
      </c>
      <c r="K148" t="s">
        <v>1306</v>
      </c>
      <c r="L148">
        <v>11</v>
      </c>
      <c r="M148">
        <v>4</v>
      </c>
      <c r="N148">
        <v>0</v>
      </c>
      <c r="O148">
        <v>4</v>
      </c>
      <c r="P148">
        <v>0</v>
      </c>
      <c r="Q148">
        <v>12600</v>
      </c>
      <c r="R148">
        <v>12600</v>
      </c>
      <c r="S148">
        <v>2090</v>
      </c>
      <c r="T148">
        <v>0</v>
      </c>
      <c r="U148">
        <v>0</v>
      </c>
      <c r="V148">
        <v>11</v>
      </c>
      <c r="W148">
        <v>0</v>
      </c>
      <c r="X148">
        <v>0</v>
      </c>
      <c r="Y148">
        <v>0</v>
      </c>
      <c r="Z148" t="b">
        <v>0</v>
      </c>
      <c r="AA148" t="b">
        <v>1</v>
      </c>
      <c r="AB148">
        <v>7.6999998092651403</v>
      </c>
      <c r="AC148">
        <v>22214.388671875</v>
      </c>
      <c r="AD148">
        <v>62244.73828125</v>
      </c>
      <c r="AE148">
        <v>84459.125</v>
      </c>
      <c r="AH148">
        <v>1392.66442871094</v>
      </c>
      <c r="AI148">
        <v>427440.96875</v>
      </c>
      <c r="AJ148" t="s">
        <v>268</v>
      </c>
      <c r="AK148">
        <v>0</v>
      </c>
      <c r="AL148">
        <v>15</v>
      </c>
      <c r="AM148">
        <v>0</v>
      </c>
      <c r="AN148">
        <v>15</v>
      </c>
      <c r="AO148">
        <v>0</v>
      </c>
      <c r="AP148">
        <v>37</v>
      </c>
      <c r="AQ148">
        <v>0</v>
      </c>
      <c r="AR148">
        <v>0</v>
      </c>
      <c r="AS148">
        <v>31</v>
      </c>
      <c r="AT148" t="b">
        <v>1</v>
      </c>
      <c r="AU148">
        <v>0</v>
      </c>
      <c r="AV148">
        <v>0</v>
      </c>
      <c r="AW148">
        <v>1</v>
      </c>
      <c r="AX148" t="b">
        <v>0</v>
      </c>
      <c r="AY148" t="b">
        <v>0</v>
      </c>
      <c r="AZ148" t="b">
        <v>1</v>
      </c>
      <c r="BA148" t="b">
        <v>0</v>
      </c>
      <c r="BB148" t="s">
        <v>268</v>
      </c>
      <c r="BC148" t="s">
        <v>268</v>
      </c>
      <c r="BD148" t="s">
        <v>268</v>
      </c>
      <c r="BE148" t="s">
        <v>1307</v>
      </c>
      <c r="BF148" t="s">
        <v>1308</v>
      </c>
      <c r="BG148" t="s">
        <v>1309</v>
      </c>
      <c r="BH148" t="s">
        <v>1310</v>
      </c>
      <c r="BI148" t="s">
        <v>1311</v>
      </c>
      <c r="BJ148" t="b">
        <v>1</v>
      </c>
      <c r="BK148" t="b">
        <v>1</v>
      </c>
      <c r="BL148" t="b">
        <v>1</v>
      </c>
      <c r="BM148" t="b">
        <v>0</v>
      </c>
      <c r="BN148" t="b">
        <v>0</v>
      </c>
      <c r="BO148" t="b">
        <v>0</v>
      </c>
      <c r="BP148">
        <v>1</v>
      </c>
      <c r="BQ148">
        <v>13</v>
      </c>
      <c r="BR148">
        <v>1</v>
      </c>
      <c r="BS148">
        <v>1</v>
      </c>
      <c r="BT148" t="b">
        <v>1</v>
      </c>
      <c r="BU148">
        <v>0</v>
      </c>
      <c r="BV148">
        <v>14</v>
      </c>
      <c r="BW148">
        <v>3253</v>
      </c>
      <c r="BX148">
        <v>1</v>
      </c>
      <c r="BY148" t="s">
        <v>271</v>
      </c>
      <c r="BZ148" t="s">
        <v>271</v>
      </c>
      <c r="CA148" t="s">
        <v>268</v>
      </c>
      <c r="CB148" t="s">
        <v>268</v>
      </c>
      <c r="CC148" t="s">
        <v>1312</v>
      </c>
      <c r="CD148" t="s">
        <v>1313</v>
      </c>
      <c r="CE148" t="s">
        <v>1333</v>
      </c>
      <c r="CF148" t="s">
        <v>1315</v>
      </c>
      <c r="CG148" t="str">
        <f t="shared" si="10"/>
        <v/>
      </c>
      <c r="CH148" t="str">
        <f t="shared" si="11"/>
        <v/>
      </c>
      <c r="CI148" t="str">
        <f t="shared" si="12"/>
        <v/>
      </c>
      <c r="CJ148" t="str">
        <f t="shared" si="13"/>
        <v/>
      </c>
      <c r="CK148" t="str">
        <f t="shared" si="14"/>
        <v/>
      </c>
    </row>
    <row r="149" spans="1:89">
      <c r="A149">
        <v>72003</v>
      </c>
      <c r="B149" t="s">
        <v>1331</v>
      </c>
      <c r="C149">
        <v>109.523429870605</v>
      </c>
      <c r="D149" t="s">
        <v>1303</v>
      </c>
      <c r="E149">
        <v>1986</v>
      </c>
      <c r="F149" t="s">
        <v>1320</v>
      </c>
      <c r="G149" t="s">
        <v>167</v>
      </c>
      <c r="H149">
        <v>98125</v>
      </c>
      <c r="I149" t="s">
        <v>1321</v>
      </c>
      <c r="K149" t="s">
        <v>1306</v>
      </c>
      <c r="L149">
        <v>10</v>
      </c>
      <c r="M149">
        <v>4</v>
      </c>
      <c r="N149">
        <v>0</v>
      </c>
      <c r="O149">
        <v>4</v>
      </c>
      <c r="P149">
        <v>0</v>
      </c>
      <c r="Q149">
        <v>10340</v>
      </c>
      <c r="R149">
        <v>10340</v>
      </c>
      <c r="S149">
        <v>2150</v>
      </c>
      <c r="T149">
        <v>0</v>
      </c>
      <c r="U149">
        <v>0</v>
      </c>
      <c r="V149">
        <v>3</v>
      </c>
      <c r="W149">
        <v>7</v>
      </c>
      <c r="X149">
        <v>0</v>
      </c>
      <c r="Y149">
        <v>20</v>
      </c>
      <c r="Z149" t="b">
        <v>0</v>
      </c>
      <c r="AA149" t="b">
        <v>1</v>
      </c>
      <c r="AB149">
        <v>8</v>
      </c>
      <c r="AC149">
        <v>8485.9404296875</v>
      </c>
      <c r="AD149">
        <v>72694.2109375</v>
      </c>
      <c r="AE149">
        <v>81180.1484375</v>
      </c>
      <c r="AI149">
        <v>276986.65625</v>
      </c>
      <c r="AJ149" t="s">
        <v>268</v>
      </c>
      <c r="AK149">
        <v>0</v>
      </c>
      <c r="AL149">
        <v>23</v>
      </c>
      <c r="AM149">
        <v>0</v>
      </c>
      <c r="AN149">
        <v>15</v>
      </c>
      <c r="AO149">
        <v>0</v>
      </c>
      <c r="AP149">
        <v>52</v>
      </c>
      <c r="AQ149">
        <v>0</v>
      </c>
      <c r="AR149">
        <v>0</v>
      </c>
      <c r="AS149">
        <v>10</v>
      </c>
      <c r="AT149" t="b">
        <v>1</v>
      </c>
      <c r="AU149">
        <v>0</v>
      </c>
      <c r="AV149">
        <v>0</v>
      </c>
      <c r="AW149">
        <v>1</v>
      </c>
      <c r="AX149" t="b">
        <v>0</v>
      </c>
      <c r="AY149" t="b">
        <v>0</v>
      </c>
      <c r="AZ149" t="b">
        <v>1</v>
      </c>
      <c r="BA149" t="b">
        <v>0</v>
      </c>
      <c r="BB149" t="s">
        <v>268</v>
      </c>
      <c r="BC149" t="s">
        <v>268</v>
      </c>
      <c r="BD149" t="s">
        <v>268</v>
      </c>
      <c r="BE149" t="s">
        <v>1307</v>
      </c>
      <c r="BF149" t="s">
        <v>1308</v>
      </c>
      <c r="BG149" t="s">
        <v>1309</v>
      </c>
      <c r="BH149" t="s">
        <v>1310</v>
      </c>
      <c r="BI149" t="s">
        <v>1322</v>
      </c>
      <c r="BJ149" t="b">
        <v>0</v>
      </c>
      <c r="BK149" t="b">
        <v>1</v>
      </c>
      <c r="BL149" t="b">
        <v>0</v>
      </c>
      <c r="BM149" t="b">
        <v>0</v>
      </c>
      <c r="BN149" t="b">
        <v>0</v>
      </c>
      <c r="BO149" t="b">
        <v>0</v>
      </c>
      <c r="BP149">
        <v>1</v>
      </c>
      <c r="BQ149">
        <v>12</v>
      </c>
      <c r="BR149">
        <v>0</v>
      </c>
      <c r="BS149">
        <v>0</v>
      </c>
      <c r="BT149" t="b">
        <v>1</v>
      </c>
      <c r="BU149">
        <v>0</v>
      </c>
      <c r="BV149">
        <v>10</v>
      </c>
      <c r="BW149">
        <v>3675</v>
      </c>
      <c r="BX149">
        <v>0</v>
      </c>
      <c r="BY149" t="s">
        <v>268</v>
      </c>
      <c r="BZ149" t="s">
        <v>268</v>
      </c>
      <c r="CA149" t="s">
        <v>271</v>
      </c>
      <c r="CB149" t="s">
        <v>271</v>
      </c>
      <c r="CC149" t="s">
        <v>1312</v>
      </c>
      <c r="CD149" t="s">
        <v>1313</v>
      </c>
      <c r="CE149" t="s">
        <v>1314</v>
      </c>
      <c r="CF149" t="s">
        <v>1315</v>
      </c>
      <c r="CG149" t="str">
        <f t="shared" si="10"/>
        <v/>
      </c>
      <c r="CH149" t="str">
        <f t="shared" si="11"/>
        <v/>
      </c>
      <c r="CI149" t="str">
        <f t="shared" si="12"/>
        <v/>
      </c>
      <c r="CJ149" t="str">
        <f t="shared" si="13"/>
        <v/>
      </c>
      <c r="CK149" t="str">
        <f t="shared" si="14"/>
        <v/>
      </c>
    </row>
    <row r="150" spans="1:89">
      <c r="A150">
        <v>72004</v>
      </c>
      <c r="B150" t="s">
        <v>1331</v>
      </c>
      <c r="C150">
        <v>84.248786926269503</v>
      </c>
      <c r="D150" t="s">
        <v>1354</v>
      </c>
      <c r="E150">
        <v>1948</v>
      </c>
      <c r="F150" t="s">
        <v>1320</v>
      </c>
      <c r="G150" t="s">
        <v>167</v>
      </c>
      <c r="H150">
        <v>98107</v>
      </c>
      <c r="I150" t="s">
        <v>1321</v>
      </c>
      <c r="K150" t="s">
        <v>1306</v>
      </c>
      <c r="L150">
        <v>13</v>
      </c>
      <c r="M150">
        <v>4</v>
      </c>
      <c r="N150">
        <v>0</v>
      </c>
      <c r="O150">
        <v>4</v>
      </c>
      <c r="P150">
        <v>1</v>
      </c>
      <c r="Q150">
        <v>12200</v>
      </c>
      <c r="R150">
        <v>12200</v>
      </c>
      <c r="S150">
        <v>2416</v>
      </c>
      <c r="T150">
        <v>0</v>
      </c>
      <c r="U150">
        <v>0</v>
      </c>
      <c r="V150">
        <v>0</v>
      </c>
      <c r="W150">
        <v>13</v>
      </c>
      <c r="X150">
        <v>0</v>
      </c>
      <c r="Y150">
        <v>0</v>
      </c>
      <c r="Z150" t="b">
        <v>0</v>
      </c>
      <c r="AA150" t="b">
        <v>1</v>
      </c>
      <c r="AB150">
        <v>8</v>
      </c>
      <c r="AJ150" t="s">
        <v>268</v>
      </c>
      <c r="AK150">
        <v>0</v>
      </c>
      <c r="AL150">
        <v>12</v>
      </c>
      <c r="AM150">
        <v>0</v>
      </c>
      <c r="AN150">
        <v>38</v>
      </c>
      <c r="AO150">
        <v>0</v>
      </c>
      <c r="AP150">
        <v>12</v>
      </c>
      <c r="AQ150">
        <v>0</v>
      </c>
      <c r="AR150">
        <v>0</v>
      </c>
      <c r="AS150">
        <v>38</v>
      </c>
      <c r="AT150" t="b">
        <v>0</v>
      </c>
      <c r="AU150">
        <v>2</v>
      </c>
      <c r="AV150">
        <v>2</v>
      </c>
      <c r="AW150">
        <v>0</v>
      </c>
      <c r="AX150" t="b">
        <v>0</v>
      </c>
      <c r="AY150" t="b">
        <v>0</v>
      </c>
      <c r="AZ150" t="b">
        <v>1</v>
      </c>
      <c r="BA150" t="b">
        <v>0</v>
      </c>
      <c r="BB150" t="s">
        <v>268</v>
      </c>
      <c r="BC150" t="s">
        <v>268</v>
      </c>
      <c r="BD150" t="s">
        <v>268</v>
      </c>
      <c r="BE150" t="s">
        <v>1307</v>
      </c>
      <c r="BF150" t="s">
        <v>1308</v>
      </c>
      <c r="BG150" t="s">
        <v>1309</v>
      </c>
      <c r="BH150" t="s">
        <v>1310</v>
      </c>
      <c r="BI150" t="s">
        <v>1322</v>
      </c>
      <c r="BJ150" t="b">
        <v>0</v>
      </c>
      <c r="BK150" t="b">
        <v>1</v>
      </c>
      <c r="BL150" t="b">
        <v>0</v>
      </c>
      <c r="BM150" t="b">
        <v>0</v>
      </c>
      <c r="BN150" t="b">
        <v>0</v>
      </c>
      <c r="BO150" t="b">
        <v>0</v>
      </c>
      <c r="BP150">
        <v>1</v>
      </c>
      <c r="BQ150">
        <v>14</v>
      </c>
      <c r="BR150">
        <v>0</v>
      </c>
      <c r="BS150">
        <v>0</v>
      </c>
      <c r="BT150" t="b">
        <v>1</v>
      </c>
      <c r="BU150">
        <v>0</v>
      </c>
      <c r="BV150">
        <v>6</v>
      </c>
      <c r="BW150">
        <v>2550</v>
      </c>
      <c r="BX150">
        <v>0</v>
      </c>
      <c r="BY150" t="s">
        <v>268</v>
      </c>
      <c r="BZ150" t="s">
        <v>268</v>
      </c>
      <c r="CA150" t="s">
        <v>268</v>
      </c>
      <c r="CB150" t="s">
        <v>271</v>
      </c>
      <c r="CC150" t="s">
        <v>1319</v>
      </c>
      <c r="CD150" t="s">
        <v>1313</v>
      </c>
      <c r="CE150" t="s">
        <v>1356</v>
      </c>
      <c r="CF150" t="s">
        <v>1315</v>
      </c>
      <c r="CG150" t="str">
        <f t="shared" si="10"/>
        <v/>
      </c>
      <c r="CH150" t="str">
        <f t="shared" si="11"/>
        <v/>
      </c>
      <c r="CI150" t="str">
        <f t="shared" si="12"/>
        <v/>
      </c>
      <c r="CJ150" t="str">
        <f t="shared" si="13"/>
        <v/>
      </c>
      <c r="CK150" t="str">
        <f t="shared" si="14"/>
        <v/>
      </c>
    </row>
    <row r="151" spans="1:89">
      <c r="A151">
        <v>72005</v>
      </c>
      <c r="B151" t="s">
        <v>1302</v>
      </c>
      <c r="C151">
        <v>91.269523620605497</v>
      </c>
      <c r="D151" t="s">
        <v>1303</v>
      </c>
      <c r="E151">
        <v>1988</v>
      </c>
      <c r="F151" t="s">
        <v>1369</v>
      </c>
      <c r="G151" t="s">
        <v>167</v>
      </c>
      <c r="H151">
        <v>98148</v>
      </c>
      <c r="I151" t="s">
        <v>1321</v>
      </c>
      <c r="K151" t="s">
        <v>1306</v>
      </c>
      <c r="L151">
        <v>12</v>
      </c>
      <c r="M151">
        <v>3</v>
      </c>
      <c r="N151">
        <v>0</v>
      </c>
      <c r="O151">
        <v>3</v>
      </c>
      <c r="P151">
        <v>0</v>
      </c>
      <c r="Q151">
        <v>13860</v>
      </c>
      <c r="R151">
        <v>13860</v>
      </c>
      <c r="S151">
        <v>0</v>
      </c>
      <c r="T151">
        <v>0</v>
      </c>
      <c r="U151">
        <v>6</v>
      </c>
      <c r="V151">
        <v>6</v>
      </c>
      <c r="W151">
        <v>0</v>
      </c>
      <c r="X151">
        <v>0</v>
      </c>
      <c r="Y151">
        <v>0</v>
      </c>
      <c r="Z151" t="b">
        <v>0</v>
      </c>
      <c r="AA151" t="b">
        <v>0</v>
      </c>
      <c r="AB151">
        <v>8</v>
      </c>
      <c r="AD151">
        <v>134033.125</v>
      </c>
      <c r="AE151">
        <v>134033.125</v>
      </c>
      <c r="AI151">
        <v>457321.03125</v>
      </c>
      <c r="AJ151" t="s">
        <v>268</v>
      </c>
      <c r="AK151">
        <v>0</v>
      </c>
      <c r="AL151">
        <v>0</v>
      </c>
      <c r="AM151">
        <v>0</v>
      </c>
      <c r="AN151">
        <v>42</v>
      </c>
      <c r="AO151">
        <v>0</v>
      </c>
      <c r="AP151">
        <v>58</v>
      </c>
      <c r="AQ151">
        <v>0</v>
      </c>
      <c r="AR151">
        <v>0</v>
      </c>
      <c r="AS151">
        <v>0</v>
      </c>
      <c r="AT151" t="b">
        <v>1</v>
      </c>
      <c r="AU151">
        <v>0</v>
      </c>
      <c r="AV151">
        <v>0</v>
      </c>
      <c r="AW151">
        <v>0</v>
      </c>
      <c r="AX151" t="b">
        <v>0</v>
      </c>
      <c r="AY151" t="b">
        <v>0</v>
      </c>
      <c r="AZ151" t="b">
        <v>0</v>
      </c>
      <c r="BA151" t="b">
        <v>0</v>
      </c>
      <c r="BB151" t="s">
        <v>268</v>
      </c>
      <c r="BC151" t="s">
        <v>268</v>
      </c>
      <c r="BD151" t="s">
        <v>268</v>
      </c>
      <c r="BE151" t="s">
        <v>1307</v>
      </c>
      <c r="BF151" t="s">
        <v>1308</v>
      </c>
      <c r="BG151" t="s">
        <v>1309</v>
      </c>
      <c r="BH151" t="s">
        <v>1310</v>
      </c>
      <c r="BI151" t="s">
        <v>1311</v>
      </c>
      <c r="BJ151" t="b">
        <v>0</v>
      </c>
      <c r="BK151" t="b">
        <v>1</v>
      </c>
      <c r="BL151" t="b">
        <v>0</v>
      </c>
      <c r="BM151" t="b">
        <v>0</v>
      </c>
      <c r="BN151" t="b">
        <v>0</v>
      </c>
      <c r="BO151" t="b">
        <v>0</v>
      </c>
      <c r="BP151">
        <v>2</v>
      </c>
      <c r="BQ151">
        <v>13</v>
      </c>
      <c r="BR151">
        <v>0</v>
      </c>
      <c r="BS151">
        <v>0</v>
      </c>
      <c r="BT151" t="b">
        <v>1</v>
      </c>
      <c r="BU151">
        <v>5</v>
      </c>
      <c r="BV151">
        <v>12</v>
      </c>
      <c r="BW151">
        <v>5100</v>
      </c>
      <c r="BX151">
        <v>0</v>
      </c>
      <c r="BY151" t="s">
        <v>268</v>
      </c>
      <c r="BZ151" t="s">
        <v>268</v>
      </c>
      <c r="CA151" t="s">
        <v>268</v>
      </c>
      <c r="CB151" t="s">
        <v>271</v>
      </c>
      <c r="CC151" t="s">
        <v>1319</v>
      </c>
      <c r="CD151" t="s">
        <v>1313</v>
      </c>
      <c r="CE151" t="s">
        <v>1314</v>
      </c>
      <c r="CF151" t="s">
        <v>1315</v>
      </c>
      <c r="CG151">
        <f t="shared" si="10"/>
        <v>91.269523620605497</v>
      </c>
      <c r="CH151">
        <f t="shared" si="11"/>
        <v>13860</v>
      </c>
      <c r="CI151">
        <f t="shared" si="12"/>
        <v>3</v>
      </c>
      <c r="CJ151">
        <f t="shared" si="13"/>
        <v>1264995.5973815923</v>
      </c>
      <c r="CK151">
        <f t="shared" si="14"/>
        <v>273.80857086181652</v>
      </c>
    </row>
    <row r="152" spans="1:89">
      <c r="A152">
        <v>72006</v>
      </c>
      <c r="B152" t="s">
        <v>1302</v>
      </c>
      <c r="C152">
        <v>91.269523620605497</v>
      </c>
      <c r="D152" t="s">
        <v>1340</v>
      </c>
      <c r="E152">
        <v>1993</v>
      </c>
      <c r="F152" t="s">
        <v>1320</v>
      </c>
      <c r="G152" t="s">
        <v>167</v>
      </c>
      <c r="H152">
        <v>98106</v>
      </c>
      <c r="I152" t="s">
        <v>1321</v>
      </c>
      <c r="K152" t="s">
        <v>1306</v>
      </c>
      <c r="L152">
        <v>12</v>
      </c>
      <c r="M152">
        <v>3</v>
      </c>
      <c r="N152">
        <v>0</v>
      </c>
      <c r="O152">
        <v>3</v>
      </c>
      <c r="P152">
        <v>0</v>
      </c>
      <c r="Q152">
        <v>10420</v>
      </c>
      <c r="R152">
        <v>10420</v>
      </c>
      <c r="S152">
        <v>820</v>
      </c>
      <c r="T152">
        <v>0</v>
      </c>
      <c r="U152">
        <v>0</v>
      </c>
      <c r="V152">
        <v>6</v>
      </c>
      <c r="W152">
        <v>6</v>
      </c>
      <c r="X152">
        <v>0</v>
      </c>
      <c r="Y152">
        <v>0</v>
      </c>
      <c r="Z152" t="b">
        <v>0</v>
      </c>
      <c r="AA152" t="b">
        <v>1</v>
      </c>
      <c r="AB152">
        <v>7.6199998855590803</v>
      </c>
      <c r="AC152">
        <v>39473.828125</v>
      </c>
      <c r="AD152">
        <v>85898.59375</v>
      </c>
      <c r="AE152">
        <v>125372.421875</v>
      </c>
      <c r="AI152">
        <v>427770.71875</v>
      </c>
      <c r="AJ152" t="s">
        <v>268</v>
      </c>
      <c r="AK152">
        <v>0</v>
      </c>
      <c r="AL152">
        <v>37</v>
      </c>
      <c r="AM152">
        <v>0</v>
      </c>
      <c r="AN152">
        <v>0</v>
      </c>
      <c r="AO152">
        <v>0</v>
      </c>
      <c r="AP152">
        <v>0</v>
      </c>
      <c r="AQ152">
        <v>0</v>
      </c>
      <c r="AR152">
        <v>0</v>
      </c>
      <c r="AS152">
        <v>63</v>
      </c>
      <c r="AT152" t="b">
        <v>1</v>
      </c>
      <c r="AU152">
        <v>0</v>
      </c>
      <c r="AV152">
        <v>0</v>
      </c>
      <c r="AW152">
        <v>0</v>
      </c>
      <c r="AX152" t="b">
        <v>0</v>
      </c>
      <c r="AY152" t="b">
        <v>0</v>
      </c>
      <c r="AZ152" t="b">
        <v>0</v>
      </c>
      <c r="BA152" t="b">
        <v>0</v>
      </c>
      <c r="BB152" t="s">
        <v>268</v>
      </c>
      <c r="BC152" t="s">
        <v>268</v>
      </c>
      <c r="BD152" t="s">
        <v>268</v>
      </c>
      <c r="BE152" t="s">
        <v>1307</v>
      </c>
      <c r="BF152" t="s">
        <v>1308</v>
      </c>
      <c r="BG152" t="s">
        <v>1309</v>
      </c>
      <c r="BH152" t="s">
        <v>1310</v>
      </c>
      <c r="BI152" t="s">
        <v>1311</v>
      </c>
      <c r="BJ152" t="b">
        <v>0</v>
      </c>
      <c r="BK152" t="b">
        <v>1</v>
      </c>
      <c r="BL152" t="b">
        <v>0</v>
      </c>
      <c r="BM152" t="b">
        <v>0</v>
      </c>
      <c r="BN152" t="b">
        <v>0</v>
      </c>
      <c r="BO152" t="b">
        <v>0</v>
      </c>
      <c r="BP152">
        <v>2</v>
      </c>
      <c r="BQ152">
        <v>16</v>
      </c>
      <c r="BR152">
        <v>0</v>
      </c>
      <c r="BS152">
        <v>0</v>
      </c>
      <c r="BT152" t="b">
        <v>1</v>
      </c>
      <c r="BU152">
        <v>0</v>
      </c>
      <c r="BV152">
        <v>13</v>
      </c>
      <c r="BW152">
        <v>3970</v>
      </c>
      <c r="BX152">
        <v>1</v>
      </c>
      <c r="BY152" t="s">
        <v>271</v>
      </c>
      <c r="BZ152" t="s">
        <v>268</v>
      </c>
      <c r="CA152" t="s">
        <v>271</v>
      </c>
      <c r="CB152" t="s">
        <v>271</v>
      </c>
      <c r="CC152" t="s">
        <v>1312</v>
      </c>
      <c r="CD152" t="s">
        <v>1313</v>
      </c>
      <c r="CE152" t="s">
        <v>1314</v>
      </c>
      <c r="CF152" t="s">
        <v>1315</v>
      </c>
      <c r="CG152">
        <f t="shared" si="10"/>
        <v>91.269523620605497</v>
      </c>
      <c r="CH152">
        <f t="shared" si="11"/>
        <v>10420</v>
      </c>
      <c r="CI152">
        <f t="shared" si="12"/>
        <v>3</v>
      </c>
      <c r="CJ152">
        <f t="shared" si="13"/>
        <v>951028.43612670933</v>
      </c>
      <c r="CK152">
        <f t="shared" si="14"/>
        <v>273.80857086181652</v>
      </c>
    </row>
    <row r="153" spans="1:89">
      <c r="A153">
        <v>72007</v>
      </c>
      <c r="B153" t="s">
        <v>1302</v>
      </c>
      <c r="C153">
        <v>91.269523620605497</v>
      </c>
      <c r="D153" t="s">
        <v>1324</v>
      </c>
      <c r="E153">
        <v>1970</v>
      </c>
      <c r="F153" t="s">
        <v>1320</v>
      </c>
      <c r="G153" t="s">
        <v>167</v>
      </c>
      <c r="H153">
        <v>98188</v>
      </c>
      <c r="I153" t="s">
        <v>1321</v>
      </c>
      <c r="J153" t="s">
        <v>1317</v>
      </c>
      <c r="K153" t="s">
        <v>1306</v>
      </c>
      <c r="L153">
        <v>12</v>
      </c>
      <c r="M153">
        <v>2</v>
      </c>
      <c r="N153">
        <v>0</v>
      </c>
      <c r="O153">
        <v>2</v>
      </c>
      <c r="P153">
        <v>0</v>
      </c>
      <c r="Q153">
        <v>9672</v>
      </c>
      <c r="R153">
        <v>9672</v>
      </c>
      <c r="S153">
        <v>0</v>
      </c>
      <c r="T153">
        <v>0</v>
      </c>
      <c r="U153">
        <v>0</v>
      </c>
      <c r="V153">
        <v>12</v>
      </c>
      <c r="W153">
        <v>0</v>
      </c>
      <c r="X153">
        <v>0</v>
      </c>
      <c r="Y153">
        <v>8</v>
      </c>
      <c r="Z153" t="b">
        <v>0</v>
      </c>
      <c r="AA153" t="b">
        <v>0</v>
      </c>
      <c r="AB153">
        <v>7.75</v>
      </c>
      <c r="AC153">
        <v>126881.5390625</v>
      </c>
      <c r="AD153">
        <v>93031.6796875</v>
      </c>
      <c r="AE153">
        <v>219913.21875</v>
      </c>
      <c r="AH153">
        <v>2574.89526367188</v>
      </c>
      <c r="AI153">
        <v>1007833.4375</v>
      </c>
      <c r="AJ153" t="s">
        <v>268</v>
      </c>
      <c r="AK153">
        <v>0</v>
      </c>
      <c r="AL153">
        <v>56</v>
      </c>
      <c r="AM153">
        <v>0</v>
      </c>
      <c r="AN153">
        <v>0</v>
      </c>
      <c r="AO153">
        <v>0</v>
      </c>
      <c r="AP153">
        <v>0</v>
      </c>
      <c r="AQ153">
        <v>0</v>
      </c>
      <c r="AR153">
        <v>0</v>
      </c>
      <c r="AS153">
        <v>44</v>
      </c>
      <c r="AT153" t="b">
        <v>1</v>
      </c>
      <c r="AU153">
        <v>6</v>
      </c>
      <c r="AV153">
        <v>6</v>
      </c>
      <c r="AW153">
        <v>0</v>
      </c>
      <c r="AX153" t="b">
        <v>0</v>
      </c>
      <c r="AY153" t="b">
        <v>0</v>
      </c>
      <c r="AZ153" t="b">
        <v>0</v>
      </c>
      <c r="BA153" t="b">
        <v>0</v>
      </c>
      <c r="BB153" t="s">
        <v>268</v>
      </c>
      <c r="BC153" t="s">
        <v>268</v>
      </c>
      <c r="BD153" t="s">
        <v>271</v>
      </c>
      <c r="BE153" t="s">
        <v>1307</v>
      </c>
      <c r="BF153" t="s">
        <v>1308</v>
      </c>
      <c r="BG153" t="s">
        <v>1309</v>
      </c>
      <c r="BH153" t="s">
        <v>1310</v>
      </c>
      <c r="BI153" t="s">
        <v>1311</v>
      </c>
      <c r="BJ153" t="b">
        <v>1</v>
      </c>
      <c r="BK153" t="b">
        <v>1</v>
      </c>
      <c r="BL153" t="b">
        <v>1</v>
      </c>
      <c r="BM153" t="b">
        <v>0</v>
      </c>
      <c r="BN153" t="b">
        <v>0</v>
      </c>
      <c r="BO153" t="b">
        <v>0</v>
      </c>
      <c r="BP153">
        <v>1</v>
      </c>
      <c r="BQ153">
        <v>14</v>
      </c>
      <c r="BR153">
        <v>1</v>
      </c>
      <c r="BS153">
        <v>1</v>
      </c>
      <c r="BT153" t="b">
        <v>1</v>
      </c>
      <c r="BU153">
        <v>0</v>
      </c>
      <c r="BV153">
        <v>20</v>
      </c>
      <c r="BW153">
        <v>8500</v>
      </c>
      <c r="BX153">
        <v>0</v>
      </c>
      <c r="BY153" t="s">
        <v>268</v>
      </c>
      <c r="BZ153" t="s">
        <v>268</v>
      </c>
      <c r="CA153" t="s">
        <v>268</v>
      </c>
      <c r="CB153" t="s">
        <v>271</v>
      </c>
      <c r="CC153" t="s">
        <v>1319</v>
      </c>
      <c r="CD153" t="s">
        <v>1313</v>
      </c>
      <c r="CE153" t="s">
        <v>1327</v>
      </c>
      <c r="CF153" t="s">
        <v>1315</v>
      </c>
      <c r="CG153">
        <f t="shared" si="10"/>
        <v>91.269523620605497</v>
      </c>
      <c r="CH153">
        <f t="shared" si="11"/>
        <v>9672</v>
      </c>
      <c r="CI153">
        <f t="shared" si="12"/>
        <v>2</v>
      </c>
      <c r="CJ153">
        <f t="shared" si="13"/>
        <v>882758.83245849633</v>
      </c>
      <c r="CK153">
        <f t="shared" si="14"/>
        <v>182.53904724121099</v>
      </c>
    </row>
    <row r="154" spans="1:89">
      <c r="A154">
        <v>72008</v>
      </c>
      <c r="B154" t="s">
        <v>1302</v>
      </c>
      <c r="C154">
        <v>99.566741943359403</v>
      </c>
      <c r="D154" t="s">
        <v>1324</v>
      </c>
      <c r="E154">
        <v>1966</v>
      </c>
      <c r="F154" t="s">
        <v>1320</v>
      </c>
      <c r="G154" t="s">
        <v>167</v>
      </c>
      <c r="H154">
        <v>98103</v>
      </c>
      <c r="I154" t="s">
        <v>1321</v>
      </c>
      <c r="J154" t="s">
        <v>1317</v>
      </c>
      <c r="K154" t="s">
        <v>1306</v>
      </c>
      <c r="L154">
        <v>11</v>
      </c>
      <c r="M154">
        <v>3</v>
      </c>
      <c r="N154">
        <v>0</v>
      </c>
      <c r="O154">
        <v>2</v>
      </c>
      <c r="P154">
        <v>0</v>
      </c>
      <c r="Q154">
        <v>10890</v>
      </c>
      <c r="R154">
        <v>10890</v>
      </c>
      <c r="S154">
        <v>794</v>
      </c>
      <c r="T154">
        <v>0</v>
      </c>
      <c r="U154">
        <v>0</v>
      </c>
      <c r="V154">
        <v>7</v>
      </c>
      <c r="W154">
        <v>4</v>
      </c>
      <c r="X154">
        <v>0</v>
      </c>
      <c r="Y154">
        <v>0</v>
      </c>
      <c r="Z154" t="b">
        <v>0</v>
      </c>
      <c r="AA154" t="b">
        <v>1</v>
      </c>
      <c r="AB154">
        <v>7.75</v>
      </c>
      <c r="AC154">
        <v>8503.2822265625</v>
      </c>
      <c r="AD154">
        <v>79551</v>
      </c>
      <c r="AE154">
        <v>88054.28125</v>
      </c>
      <c r="AH154">
        <v>315.8076171875</v>
      </c>
      <c r="AI154">
        <v>332021.96875</v>
      </c>
      <c r="AJ154" t="s">
        <v>268</v>
      </c>
      <c r="AK154">
        <v>0</v>
      </c>
      <c r="AL154">
        <v>38</v>
      </c>
      <c r="AM154">
        <v>0</v>
      </c>
      <c r="AN154">
        <v>20</v>
      </c>
      <c r="AO154">
        <v>0</v>
      </c>
      <c r="AP154">
        <v>18</v>
      </c>
      <c r="AQ154">
        <v>0</v>
      </c>
      <c r="AR154">
        <v>0</v>
      </c>
      <c r="AS154">
        <v>24</v>
      </c>
      <c r="AT154" t="b">
        <v>1</v>
      </c>
      <c r="AU154">
        <v>1</v>
      </c>
      <c r="AV154">
        <v>1</v>
      </c>
      <c r="AW154">
        <v>1</v>
      </c>
      <c r="AX154" t="b">
        <v>0</v>
      </c>
      <c r="AY154" t="b">
        <v>0</v>
      </c>
      <c r="AZ154" t="b">
        <v>0</v>
      </c>
      <c r="BA154" t="b">
        <v>0</v>
      </c>
      <c r="BB154" t="s">
        <v>268</v>
      </c>
      <c r="BC154" t="s">
        <v>268</v>
      </c>
      <c r="BD154" t="s">
        <v>268</v>
      </c>
      <c r="BE154" t="s">
        <v>1307</v>
      </c>
      <c r="BF154" t="s">
        <v>1308</v>
      </c>
      <c r="BG154" t="s">
        <v>1309</v>
      </c>
      <c r="BH154" t="s">
        <v>1336</v>
      </c>
      <c r="BI154" t="s">
        <v>1322</v>
      </c>
      <c r="BJ154" t="b">
        <v>1</v>
      </c>
      <c r="BK154" t="b">
        <v>1</v>
      </c>
      <c r="BL154" t="b">
        <v>1</v>
      </c>
      <c r="BM154" t="b">
        <v>0</v>
      </c>
      <c r="BN154" t="b">
        <v>0</v>
      </c>
      <c r="BO154" t="b">
        <v>0</v>
      </c>
      <c r="BP154">
        <v>1</v>
      </c>
      <c r="BQ154">
        <v>12</v>
      </c>
      <c r="BR154">
        <v>1</v>
      </c>
      <c r="BS154">
        <v>1</v>
      </c>
      <c r="BT154" t="b">
        <v>1</v>
      </c>
      <c r="BU154">
        <v>0</v>
      </c>
      <c r="BV154">
        <v>9</v>
      </c>
      <c r="BW154">
        <v>3353</v>
      </c>
      <c r="BX154">
        <v>1</v>
      </c>
      <c r="BY154" t="s">
        <v>271</v>
      </c>
      <c r="BZ154" t="s">
        <v>268</v>
      </c>
      <c r="CA154" t="s">
        <v>271</v>
      </c>
      <c r="CB154" t="s">
        <v>271</v>
      </c>
      <c r="CC154" t="s">
        <v>1312</v>
      </c>
      <c r="CD154" t="s">
        <v>1313</v>
      </c>
      <c r="CE154" t="s">
        <v>1314</v>
      </c>
      <c r="CF154" t="s">
        <v>1315</v>
      </c>
      <c r="CG154">
        <f t="shared" si="10"/>
        <v>99.566741943359403</v>
      </c>
      <c r="CH154">
        <f t="shared" si="11"/>
        <v>10890</v>
      </c>
      <c r="CI154">
        <f t="shared" si="12"/>
        <v>3</v>
      </c>
      <c r="CJ154">
        <f t="shared" si="13"/>
        <v>1084281.8197631838</v>
      </c>
      <c r="CK154">
        <f t="shared" si="14"/>
        <v>298.70022583007824</v>
      </c>
    </row>
    <row r="155" spans="1:89">
      <c r="A155">
        <v>72009</v>
      </c>
      <c r="B155" t="s">
        <v>1302</v>
      </c>
      <c r="C155">
        <v>91.269523620605497</v>
      </c>
      <c r="D155" t="s">
        <v>1324</v>
      </c>
      <c r="E155">
        <v>1958</v>
      </c>
      <c r="F155" t="s">
        <v>1320</v>
      </c>
      <c r="G155" t="s">
        <v>167</v>
      </c>
      <c r="H155">
        <v>98102</v>
      </c>
      <c r="I155" t="s">
        <v>1321</v>
      </c>
      <c r="J155" t="s">
        <v>1317</v>
      </c>
      <c r="K155" t="s">
        <v>1306</v>
      </c>
      <c r="L155">
        <v>12</v>
      </c>
      <c r="M155">
        <v>3</v>
      </c>
      <c r="N155">
        <v>0</v>
      </c>
      <c r="O155">
        <v>3</v>
      </c>
      <c r="P155">
        <v>0</v>
      </c>
      <c r="Q155">
        <v>9770</v>
      </c>
      <c r="R155">
        <v>9770</v>
      </c>
      <c r="S155">
        <v>1984</v>
      </c>
      <c r="T155">
        <v>0</v>
      </c>
      <c r="U155">
        <v>0</v>
      </c>
      <c r="V155">
        <v>3</v>
      </c>
      <c r="W155">
        <v>9</v>
      </c>
      <c r="X155">
        <v>0</v>
      </c>
      <c r="Y155">
        <v>0</v>
      </c>
      <c r="Z155" t="b">
        <v>0</v>
      </c>
      <c r="AA155" t="b">
        <v>1</v>
      </c>
      <c r="AB155">
        <v>8</v>
      </c>
      <c r="AC155">
        <v>8413.892578125</v>
      </c>
      <c r="AD155">
        <v>52239.5078125</v>
      </c>
      <c r="AE155">
        <v>60653.3984375</v>
      </c>
      <c r="AH155">
        <v>2661.70825195313</v>
      </c>
      <c r="AI155">
        <v>473120.21875</v>
      </c>
      <c r="AJ155" t="s">
        <v>268</v>
      </c>
      <c r="AK155">
        <v>0</v>
      </c>
      <c r="AL155">
        <v>45</v>
      </c>
      <c r="AM155">
        <v>0</v>
      </c>
      <c r="AN155">
        <v>12</v>
      </c>
      <c r="AO155">
        <v>0</v>
      </c>
      <c r="AP155">
        <v>25</v>
      </c>
      <c r="AQ155">
        <v>0</v>
      </c>
      <c r="AR155">
        <v>0</v>
      </c>
      <c r="AS155">
        <v>18</v>
      </c>
      <c r="AT155" t="b">
        <v>0</v>
      </c>
      <c r="AU155">
        <v>1</v>
      </c>
      <c r="AV155">
        <v>1</v>
      </c>
      <c r="AW155">
        <v>0</v>
      </c>
      <c r="AX155" t="b">
        <v>1</v>
      </c>
      <c r="AY155" t="b">
        <v>0</v>
      </c>
      <c r="AZ155" t="b">
        <v>0</v>
      </c>
      <c r="BA155" t="b">
        <v>0</v>
      </c>
      <c r="BB155" t="s">
        <v>268</v>
      </c>
      <c r="BC155" t="s">
        <v>268</v>
      </c>
      <c r="BD155" t="s">
        <v>268</v>
      </c>
      <c r="BE155" t="s">
        <v>1345</v>
      </c>
      <c r="BF155" t="s">
        <v>1342</v>
      </c>
      <c r="BG155" t="s">
        <v>1346</v>
      </c>
      <c r="BH155" t="s">
        <v>1310</v>
      </c>
      <c r="BI155" t="s">
        <v>1322</v>
      </c>
      <c r="BJ155" t="b">
        <v>1</v>
      </c>
      <c r="BK155" t="b">
        <v>1</v>
      </c>
      <c r="BL155" t="b">
        <v>1</v>
      </c>
      <c r="BM155" t="b">
        <v>0</v>
      </c>
      <c r="BN155" t="b">
        <v>0</v>
      </c>
      <c r="BO155" t="b">
        <v>0</v>
      </c>
      <c r="BP155">
        <v>1</v>
      </c>
      <c r="BQ155">
        <v>14</v>
      </c>
      <c r="BR155">
        <v>1</v>
      </c>
      <c r="BS155">
        <v>1</v>
      </c>
      <c r="BT155" t="b">
        <v>1</v>
      </c>
      <c r="BU155">
        <v>0</v>
      </c>
      <c r="BV155">
        <v>3</v>
      </c>
      <c r="BW155">
        <v>785</v>
      </c>
      <c r="BX155">
        <v>1</v>
      </c>
      <c r="BY155" t="s">
        <v>268</v>
      </c>
      <c r="BZ155" t="s">
        <v>271</v>
      </c>
      <c r="CA155" t="s">
        <v>268</v>
      </c>
      <c r="CB155" t="s">
        <v>271</v>
      </c>
      <c r="CC155" t="s">
        <v>1312</v>
      </c>
      <c r="CD155" t="s">
        <v>1313</v>
      </c>
      <c r="CE155" t="s">
        <v>1357</v>
      </c>
      <c r="CF155" t="s">
        <v>1315</v>
      </c>
      <c r="CG155" t="str">
        <f t="shared" si="10"/>
        <v/>
      </c>
      <c r="CH155" t="str">
        <f t="shared" si="11"/>
        <v/>
      </c>
      <c r="CI155" t="str">
        <f t="shared" si="12"/>
        <v/>
      </c>
      <c r="CJ155" t="str">
        <f t="shared" si="13"/>
        <v/>
      </c>
      <c r="CK155" t="str">
        <f t="shared" si="14"/>
        <v/>
      </c>
    </row>
    <row r="156" spans="1:89">
      <c r="A156">
        <v>72010</v>
      </c>
      <c r="B156" t="s">
        <v>1331</v>
      </c>
      <c r="C156">
        <v>91.269523620605497</v>
      </c>
      <c r="D156" t="s">
        <v>1324</v>
      </c>
      <c r="E156">
        <v>1958</v>
      </c>
      <c r="F156" t="s">
        <v>1320</v>
      </c>
      <c r="G156" t="s">
        <v>167</v>
      </c>
      <c r="H156">
        <v>98126</v>
      </c>
      <c r="I156" t="s">
        <v>1321</v>
      </c>
      <c r="K156" t="s">
        <v>1306</v>
      </c>
      <c r="L156">
        <v>12</v>
      </c>
      <c r="M156">
        <v>4</v>
      </c>
      <c r="N156">
        <v>0</v>
      </c>
      <c r="O156">
        <v>4</v>
      </c>
      <c r="P156">
        <v>0</v>
      </c>
      <c r="Q156">
        <v>10115</v>
      </c>
      <c r="R156">
        <v>10115</v>
      </c>
      <c r="S156">
        <v>650</v>
      </c>
      <c r="T156">
        <v>0</v>
      </c>
      <c r="U156">
        <v>0</v>
      </c>
      <c r="V156">
        <v>7</v>
      </c>
      <c r="W156">
        <v>5</v>
      </c>
      <c r="X156">
        <v>0</v>
      </c>
      <c r="Y156">
        <v>0</v>
      </c>
      <c r="Z156" t="b">
        <v>0</v>
      </c>
      <c r="AA156" t="b">
        <v>1</v>
      </c>
      <c r="AB156">
        <v>8</v>
      </c>
      <c r="AC156">
        <v>13852.595703125</v>
      </c>
      <c r="AD156">
        <v>118037.4453125</v>
      </c>
      <c r="AE156">
        <v>131890.046875</v>
      </c>
      <c r="AI156">
        <v>450008.84375</v>
      </c>
      <c r="AJ156" t="s">
        <v>268</v>
      </c>
      <c r="AK156">
        <v>0</v>
      </c>
      <c r="AL156">
        <v>31</v>
      </c>
      <c r="AM156">
        <v>0</v>
      </c>
      <c r="AN156">
        <v>41</v>
      </c>
      <c r="AO156">
        <v>4</v>
      </c>
      <c r="AP156">
        <v>11</v>
      </c>
      <c r="AQ156">
        <v>12</v>
      </c>
      <c r="AR156">
        <v>1</v>
      </c>
      <c r="AS156">
        <v>0</v>
      </c>
      <c r="AT156" t="b">
        <v>0</v>
      </c>
      <c r="AU156">
        <v>2</v>
      </c>
      <c r="AV156">
        <v>2</v>
      </c>
      <c r="AW156">
        <v>0</v>
      </c>
      <c r="AX156" t="b">
        <v>0</v>
      </c>
      <c r="AY156" t="b">
        <v>0</v>
      </c>
      <c r="AZ156" t="b">
        <v>1</v>
      </c>
      <c r="BA156" t="b">
        <v>0</v>
      </c>
      <c r="BB156" t="s">
        <v>268</v>
      </c>
      <c r="BC156" t="s">
        <v>268</v>
      </c>
      <c r="BD156" t="s">
        <v>268</v>
      </c>
      <c r="BE156" t="s">
        <v>1307</v>
      </c>
      <c r="BF156" t="s">
        <v>1308</v>
      </c>
      <c r="BG156" t="s">
        <v>1309</v>
      </c>
      <c r="BH156" t="s">
        <v>1310</v>
      </c>
      <c r="BI156" t="s">
        <v>1322</v>
      </c>
      <c r="BJ156" t="b">
        <v>0</v>
      </c>
      <c r="BK156" t="b">
        <v>1</v>
      </c>
      <c r="BL156" t="b">
        <v>0</v>
      </c>
      <c r="BM156" t="b">
        <v>0</v>
      </c>
      <c r="BN156" t="b">
        <v>0</v>
      </c>
      <c r="BO156" t="b">
        <v>0</v>
      </c>
      <c r="BP156">
        <v>1</v>
      </c>
      <c r="BQ156">
        <v>15</v>
      </c>
      <c r="BR156">
        <v>0</v>
      </c>
      <c r="BS156">
        <v>0</v>
      </c>
      <c r="BT156" t="b">
        <v>1</v>
      </c>
      <c r="BU156">
        <v>0</v>
      </c>
      <c r="BV156">
        <v>6</v>
      </c>
      <c r="BW156">
        <v>2550</v>
      </c>
      <c r="BX156">
        <v>0</v>
      </c>
      <c r="BY156" t="s">
        <v>268</v>
      </c>
      <c r="BZ156" t="s">
        <v>268</v>
      </c>
      <c r="CA156" t="s">
        <v>268</v>
      </c>
      <c r="CB156" t="s">
        <v>271</v>
      </c>
      <c r="CC156" t="s">
        <v>1319</v>
      </c>
      <c r="CD156" t="s">
        <v>1313</v>
      </c>
      <c r="CE156" t="s">
        <v>1330</v>
      </c>
      <c r="CF156" t="s">
        <v>1315</v>
      </c>
      <c r="CG156" t="str">
        <f t="shared" si="10"/>
        <v/>
      </c>
      <c r="CH156" t="str">
        <f t="shared" si="11"/>
        <v/>
      </c>
      <c r="CI156" t="str">
        <f t="shared" si="12"/>
        <v/>
      </c>
      <c r="CJ156" t="str">
        <f t="shared" si="13"/>
        <v/>
      </c>
      <c r="CK156" t="str">
        <f t="shared" si="14"/>
        <v/>
      </c>
    </row>
    <row r="157" spans="1:89">
      <c r="A157">
        <v>73001</v>
      </c>
      <c r="B157" t="s">
        <v>1331</v>
      </c>
      <c r="C157">
        <v>60.846343994140597</v>
      </c>
      <c r="D157" t="s">
        <v>1324</v>
      </c>
      <c r="E157">
        <v>1967</v>
      </c>
      <c r="F157" t="s">
        <v>1320</v>
      </c>
      <c r="G157" t="s">
        <v>167</v>
      </c>
      <c r="H157">
        <v>98177</v>
      </c>
      <c r="I157" t="s">
        <v>1321</v>
      </c>
      <c r="K157" t="s">
        <v>1306</v>
      </c>
      <c r="L157">
        <v>18</v>
      </c>
      <c r="M157">
        <v>4</v>
      </c>
      <c r="N157">
        <v>0</v>
      </c>
      <c r="O157">
        <v>4</v>
      </c>
      <c r="P157">
        <v>0</v>
      </c>
      <c r="Q157">
        <v>14637</v>
      </c>
      <c r="R157">
        <v>14637</v>
      </c>
      <c r="S157">
        <v>519</v>
      </c>
      <c r="T157">
        <v>0</v>
      </c>
      <c r="U157">
        <v>1</v>
      </c>
      <c r="V157">
        <v>13</v>
      </c>
      <c r="W157">
        <v>4</v>
      </c>
      <c r="X157">
        <v>0</v>
      </c>
      <c r="Y157">
        <v>2.2000000476837198</v>
      </c>
      <c r="Z157" t="b">
        <v>0</v>
      </c>
      <c r="AA157" t="b">
        <v>1</v>
      </c>
      <c r="AB157">
        <v>9</v>
      </c>
      <c r="AC157">
        <v>20348.470703125</v>
      </c>
      <c r="AD157">
        <v>169830.46875</v>
      </c>
      <c r="AE157">
        <v>190178.9375</v>
      </c>
      <c r="AI157">
        <v>648890.5625</v>
      </c>
      <c r="AJ157" t="s">
        <v>268</v>
      </c>
      <c r="AL157">
        <v>12</v>
      </c>
      <c r="AM157">
        <v>0</v>
      </c>
      <c r="AN157">
        <v>30</v>
      </c>
      <c r="AO157">
        <v>0</v>
      </c>
      <c r="AP157">
        <v>25</v>
      </c>
      <c r="AQ157">
        <v>0</v>
      </c>
      <c r="AR157">
        <v>0</v>
      </c>
      <c r="AS157">
        <v>33</v>
      </c>
      <c r="AT157" t="b">
        <v>1</v>
      </c>
      <c r="AU157">
        <v>3</v>
      </c>
      <c r="AV157">
        <v>3</v>
      </c>
      <c r="AW157">
        <v>0</v>
      </c>
      <c r="AX157" t="b">
        <v>0</v>
      </c>
      <c r="AY157" t="b">
        <v>0</v>
      </c>
      <c r="AZ157" t="b">
        <v>0</v>
      </c>
      <c r="BA157" t="b">
        <v>0</v>
      </c>
      <c r="BB157" t="s">
        <v>268</v>
      </c>
      <c r="BC157" t="s">
        <v>268</v>
      </c>
      <c r="BD157" t="s">
        <v>271</v>
      </c>
      <c r="BE157" t="s">
        <v>1307</v>
      </c>
      <c r="BF157" t="s">
        <v>1308</v>
      </c>
      <c r="BG157" t="s">
        <v>1309</v>
      </c>
      <c r="BH157" t="s">
        <v>1310</v>
      </c>
      <c r="BI157" t="s">
        <v>1322</v>
      </c>
      <c r="BJ157" t="b">
        <v>0</v>
      </c>
      <c r="BK157" t="b">
        <v>1</v>
      </c>
      <c r="BL157" t="b">
        <v>0</v>
      </c>
      <c r="BM157" t="b">
        <v>0</v>
      </c>
      <c r="BN157" t="b">
        <v>0</v>
      </c>
      <c r="BO157" t="b">
        <v>0</v>
      </c>
      <c r="BP157">
        <v>7</v>
      </c>
      <c r="BQ157">
        <v>20</v>
      </c>
      <c r="BR157">
        <v>0</v>
      </c>
      <c r="BS157">
        <v>0</v>
      </c>
      <c r="BT157" t="b">
        <v>1</v>
      </c>
      <c r="BV157">
        <v>23</v>
      </c>
      <c r="BW157">
        <v>6921</v>
      </c>
      <c r="BX157">
        <v>0</v>
      </c>
      <c r="BY157" t="s">
        <v>268</v>
      </c>
      <c r="BZ157" t="s">
        <v>268</v>
      </c>
      <c r="CA157" t="s">
        <v>271</v>
      </c>
      <c r="CB157" t="s">
        <v>271</v>
      </c>
      <c r="CC157" t="s">
        <v>1319</v>
      </c>
      <c r="CD157" t="s">
        <v>1313</v>
      </c>
      <c r="CE157" t="s">
        <v>1327</v>
      </c>
      <c r="CF157" t="s">
        <v>1315</v>
      </c>
      <c r="CG157" t="str">
        <f t="shared" si="10"/>
        <v/>
      </c>
      <c r="CH157" t="str">
        <f t="shared" si="11"/>
        <v/>
      </c>
      <c r="CI157" t="str">
        <f t="shared" si="12"/>
        <v/>
      </c>
      <c r="CJ157" t="str">
        <f t="shared" si="13"/>
        <v/>
      </c>
      <c r="CK157" t="str">
        <f t="shared" si="14"/>
        <v/>
      </c>
    </row>
    <row r="158" spans="1:89">
      <c r="A158">
        <v>73002</v>
      </c>
      <c r="B158" t="s">
        <v>1331</v>
      </c>
      <c r="C158">
        <v>49.783370971679702</v>
      </c>
      <c r="D158" t="s">
        <v>1324</v>
      </c>
      <c r="E158">
        <v>1960</v>
      </c>
      <c r="F158" t="s">
        <v>1320</v>
      </c>
      <c r="G158" t="s">
        <v>167</v>
      </c>
      <c r="H158">
        <v>98178</v>
      </c>
      <c r="I158" t="s">
        <v>1321</v>
      </c>
      <c r="K158" t="s">
        <v>1306</v>
      </c>
      <c r="L158">
        <v>22</v>
      </c>
      <c r="M158">
        <v>4</v>
      </c>
      <c r="N158">
        <v>0.5</v>
      </c>
      <c r="O158">
        <v>4</v>
      </c>
      <c r="P158">
        <v>0</v>
      </c>
      <c r="Q158">
        <v>18620</v>
      </c>
      <c r="R158">
        <v>16796</v>
      </c>
      <c r="S158">
        <v>2087</v>
      </c>
      <c r="T158">
        <v>0</v>
      </c>
      <c r="U158">
        <v>0</v>
      </c>
      <c r="V158">
        <v>6</v>
      </c>
      <c r="W158">
        <v>16</v>
      </c>
      <c r="X158">
        <v>0</v>
      </c>
      <c r="Y158">
        <v>5</v>
      </c>
      <c r="Z158" t="b">
        <v>1</v>
      </c>
      <c r="AA158" t="b">
        <v>1</v>
      </c>
      <c r="AB158">
        <v>8</v>
      </c>
      <c r="AC158">
        <v>14749.3642578125</v>
      </c>
      <c r="AD158">
        <v>146786.265625</v>
      </c>
      <c r="AE158">
        <v>161535.625</v>
      </c>
      <c r="AI158">
        <v>551159.5625</v>
      </c>
      <c r="AJ158" t="s">
        <v>268</v>
      </c>
      <c r="AK158">
        <v>1824</v>
      </c>
      <c r="AL158">
        <v>48</v>
      </c>
      <c r="AM158">
        <v>0</v>
      </c>
      <c r="AN158">
        <v>32</v>
      </c>
      <c r="AO158">
        <v>0</v>
      </c>
      <c r="AP158">
        <v>0</v>
      </c>
      <c r="AQ158">
        <v>0</v>
      </c>
      <c r="AR158">
        <v>0</v>
      </c>
      <c r="AS158">
        <v>20</v>
      </c>
      <c r="AT158" t="b">
        <v>1</v>
      </c>
      <c r="AU158">
        <v>2</v>
      </c>
      <c r="AV158">
        <v>2</v>
      </c>
      <c r="AW158">
        <v>0</v>
      </c>
      <c r="AX158" t="b">
        <v>0</v>
      </c>
      <c r="AY158" t="b">
        <v>0</v>
      </c>
      <c r="AZ158" t="b">
        <v>0</v>
      </c>
      <c r="BA158" t="b">
        <v>0</v>
      </c>
      <c r="BB158" t="s">
        <v>268</v>
      </c>
      <c r="BC158" t="s">
        <v>268</v>
      </c>
      <c r="BD158" t="s">
        <v>268</v>
      </c>
      <c r="BE158" t="s">
        <v>1307</v>
      </c>
      <c r="BF158" t="s">
        <v>1308</v>
      </c>
      <c r="BG158" t="s">
        <v>1309</v>
      </c>
      <c r="BH158" t="s">
        <v>1310</v>
      </c>
      <c r="BI158" t="s">
        <v>1322</v>
      </c>
      <c r="BJ158" t="b">
        <v>0</v>
      </c>
      <c r="BK158" t="b">
        <v>1</v>
      </c>
      <c r="BL158" t="b">
        <v>0</v>
      </c>
      <c r="BM158" t="b">
        <v>0</v>
      </c>
      <c r="BN158" t="b">
        <v>0</v>
      </c>
      <c r="BO158" t="b">
        <v>0</v>
      </c>
      <c r="BP158">
        <v>1</v>
      </c>
      <c r="BQ158">
        <v>28</v>
      </c>
      <c r="BR158">
        <v>0</v>
      </c>
      <c r="BS158">
        <v>0</v>
      </c>
      <c r="BT158" t="b">
        <v>1</v>
      </c>
      <c r="BV158">
        <v>34</v>
      </c>
      <c r="BW158">
        <v>14450</v>
      </c>
      <c r="BX158">
        <v>0</v>
      </c>
      <c r="BY158" t="s">
        <v>268</v>
      </c>
      <c r="BZ158" t="s">
        <v>268</v>
      </c>
      <c r="CA158" t="s">
        <v>268</v>
      </c>
      <c r="CB158" t="s">
        <v>271</v>
      </c>
      <c r="CC158" t="s">
        <v>1319</v>
      </c>
      <c r="CD158" t="s">
        <v>1313</v>
      </c>
      <c r="CE158" t="s">
        <v>1330</v>
      </c>
      <c r="CF158" t="s">
        <v>1315</v>
      </c>
      <c r="CG158" t="str">
        <f t="shared" si="10"/>
        <v/>
      </c>
      <c r="CH158" t="str">
        <f t="shared" si="11"/>
        <v/>
      </c>
      <c r="CI158" t="str">
        <f t="shared" si="12"/>
        <v/>
      </c>
      <c r="CJ158" t="str">
        <f t="shared" si="13"/>
        <v/>
      </c>
      <c r="CK158" t="str">
        <f t="shared" si="14"/>
        <v/>
      </c>
    </row>
    <row r="159" spans="1:89">
      <c r="A159">
        <v>73003</v>
      </c>
      <c r="B159" t="s">
        <v>1302</v>
      </c>
      <c r="C159">
        <v>60.846343994140597</v>
      </c>
      <c r="D159" t="s">
        <v>1303</v>
      </c>
      <c r="E159">
        <v>1989</v>
      </c>
      <c r="F159" t="s">
        <v>1320</v>
      </c>
      <c r="G159" t="s">
        <v>167</v>
      </c>
      <c r="H159">
        <v>98146</v>
      </c>
      <c r="I159" t="s">
        <v>1321</v>
      </c>
      <c r="J159" t="s">
        <v>1317</v>
      </c>
      <c r="K159" t="s">
        <v>1306</v>
      </c>
      <c r="L159">
        <v>18</v>
      </c>
      <c r="M159">
        <v>3</v>
      </c>
      <c r="N159">
        <v>0</v>
      </c>
      <c r="O159">
        <v>3</v>
      </c>
      <c r="P159">
        <v>0</v>
      </c>
      <c r="Q159">
        <v>15390</v>
      </c>
      <c r="R159">
        <v>15390</v>
      </c>
      <c r="S159">
        <v>0</v>
      </c>
      <c r="T159">
        <v>0</v>
      </c>
      <c r="U159">
        <v>0</v>
      </c>
      <c r="V159">
        <v>12</v>
      </c>
      <c r="W159">
        <v>6</v>
      </c>
      <c r="X159">
        <v>0</v>
      </c>
      <c r="Y159">
        <v>0</v>
      </c>
      <c r="Z159" t="b">
        <v>0</v>
      </c>
      <c r="AA159" t="b">
        <v>0</v>
      </c>
      <c r="AB159">
        <v>8</v>
      </c>
      <c r="AC159">
        <v>1.2211445569992101</v>
      </c>
      <c r="AD159">
        <v>158106.859375</v>
      </c>
      <c r="AE159">
        <v>158108.078125</v>
      </c>
      <c r="AI159">
        <v>539464.75</v>
      </c>
      <c r="AJ159" t="s">
        <v>268</v>
      </c>
      <c r="AK159">
        <v>0</v>
      </c>
      <c r="AL159">
        <v>30</v>
      </c>
      <c r="AM159">
        <v>0</v>
      </c>
      <c r="AN159">
        <v>3</v>
      </c>
      <c r="AO159">
        <v>0</v>
      </c>
      <c r="AP159">
        <v>3</v>
      </c>
      <c r="AQ159">
        <v>0</v>
      </c>
      <c r="AR159">
        <v>0</v>
      </c>
      <c r="AS159">
        <v>64</v>
      </c>
      <c r="AT159" t="b">
        <v>1</v>
      </c>
      <c r="AU159">
        <v>0</v>
      </c>
      <c r="AV159">
        <v>0</v>
      </c>
      <c r="AW159">
        <v>0</v>
      </c>
      <c r="AX159" t="b">
        <v>0</v>
      </c>
      <c r="AY159" t="b">
        <v>0</v>
      </c>
      <c r="AZ159" t="b">
        <v>0</v>
      </c>
      <c r="BA159" t="b">
        <v>0</v>
      </c>
      <c r="BB159" t="s">
        <v>268</v>
      </c>
      <c r="BC159" t="s">
        <v>268</v>
      </c>
      <c r="BD159" t="s">
        <v>268</v>
      </c>
      <c r="BE159" t="s">
        <v>1307</v>
      </c>
      <c r="BF159" t="s">
        <v>1308</v>
      </c>
      <c r="BG159" t="s">
        <v>1309</v>
      </c>
      <c r="BH159" t="s">
        <v>1310</v>
      </c>
      <c r="BI159" t="s">
        <v>1311</v>
      </c>
      <c r="BJ159" t="b">
        <v>0</v>
      </c>
      <c r="BK159" t="b">
        <v>1</v>
      </c>
      <c r="BL159" t="b">
        <v>0</v>
      </c>
      <c r="BM159" t="b">
        <v>0</v>
      </c>
      <c r="BN159" t="b">
        <v>0</v>
      </c>
      <c r="BO159" t="b">
        <v>0</v>
      </c>
      <c r="BP159">
        <v>1</v>
      </c>
      <c r="BQ159">
        <v>19</v>
      </c>
      <c r="BR159">
        <v>0</v>
      </c>
      <c r="BS159">
        <v>0</v>
      </c>
      <c r="BT159" t="b">
        <v>1</v>
      </c>
      <c r="BU159">
        <v>0</v>
      </c>
      <c r="BV159">
        <v>24</v>
      </c>
      <c r="BW159">
        <v>17175</v>
      </c>
      <c r="BX159">
        <v>1</v>
      </c>
      <c r="BY159" t="s">
        <v>271</v>
      </c>
      <c r="BZ159" t="s">
        <v>268</v>
      </c>
      <c r="CA159" t="s">
        <v>271</v>
      </c>
      <c r="CB159" t="s">
        <v>271</v>
      </c>
      <c r="CC159" t="s">
        <v>1312</v>
      </c>
      <c r="CD159" t="s">
        <v>1313</v>
      </c>
      <c r="CE159" t="s">
        <v>1314</v>
      </c>
      <c r="CF159" t="s">
        <v>1315</v>
      </c>
      <c r="CG159">
        <f t="shared" si="10"/>
        <v>60.846343994140597</v>
      </c>
      <c r="CH159">
        <f t="shared" si="11"/>
        <v>15390</v>
      </c>
      <c r="CI159">
        <f t="shared" si="12"/>
        <v>3</v>
      </c>
      <c r="CJ159">
        <f t="shared" si="13"/>
        <v>936425.23406982375</v>
      </c>
      <c r="CK159">
        <f t="shared" si="14"/>
        <v>182.53903198242179</v>
      </c>
    </row>
    <row r="160" spans="1:89">
      <c r="A160">
        <v>73004</v>
      </c>
      <c r="B160" t="s">
        <v>1302</v>
      </c>
      <c r="C160">
        <v>57.643905639648402</v>
      </c>
      <c r="D160" t="s">
        <v>1324</v>
      </c>
      <c r="E160">
        <v>1964</v>
      </c>
      <c r="F160" t="s">
        <v>1441</v>
      </c>
      <c r="G160" t="s">
        <v>167</v>
      </c>
      <c r="H160">
        <v>98168</v>
      </c>
      <c r="I160" t="s">
        <v>1321</v>
      </c>
      <c r="K160" t="s">
        <v>1306</v>
      </c>
      <c r="L160">
        <v>19</v>
      </c>
      <c r="M160">
        <v>2</v>
      </c>
      <c r="N160">
        <v>0</v>
      </c>
      <c r="O160">
        <v>2</v>
      </c>
      <c r="P160">
        <v>0</v>
      </c>
      <c r="Q160">
        <v>12834</v>
      </c>
      <c r="R160">
        <v>12834</v>
      </c>
      <c r="S160">
        <v>484</v>
      </c>
      <c r="T160">
        <v>0</v>
      </c>
      <c r="U160">
        <v>0</v>
      </c>
      <c r="V160">
        <v>6</v>
      </c>
      <c r="W160">
        <v>13</v>
      </c>
      <c r="X160">
        <v>0</v>
      </c>
      <c r="Y160">
        <v>0</v>
      </c>
      <c r="Z160" t="b">
        <v>0</v>
      </c>
      <c r="AA160" t="b">
        <v>1</v>
      </c>
      <c r="AB160">
        <v>8</v>
      </c>
      <c r="AC160">
        <v>32952.2265625</v>
      </c>
      <c r="AD160">
        <v>125035.0546875</v>
      </c>
      <c r="AE160">
        <v>157987.28125</v>
      </c>
      <c r="AI160">
        <v>539052.625</v>
      </c>
      <c r="AJ160" t="s">
        <v>268</v>
      </c>
      <c r="AK160">
        <v>0</v>
      </c>
      <c r="AL160">
        <v>0</v>
      </c>
      <c r="AM160">
        <v>0</v>
      </c>
      <c r="AN160">
        <v>76</v>
      </c>
      <c r="AO160">
        <v>0</v>
      </c>
      <c r="AP160">
        <v>24</v>
      </c>
      <c r="AQ160">
        <v>0</v>
      </c>
      <c r="AR160">
        <v>0</v>
      </c>
      <c r="AS160">
        <v>0</v>
      </c>
      <c r="AT160" t="b">
        <v>0</v>
      </c>
      <c r="AU160">
        <v>4</v>
      </c>
      <c r="AV160">
        <v>4</v>
      </c>
      <c r="AW160">
        <v>0</v>
      </c>
      <c r="AX160" t="b">
        <v>0</v>
      </c>
      <c r="AY160" t="b">
        <v>0</v>
      </c>
      <c r="AZ160" t="b">
        <v>1</v>
      </c>
      <c r="BA160" t="b">
        <v>0</v>
      </c>
      <c r="BB160" t="s">
        <v>268</v>
      </c>
      <c r="BC160" t="s">
        <v>268</v>
      </c>
      <c r="BD160" t="s">
        <v>268</v>
      </c>
      <c r="BE160" t="s">
        <v>1307</v>
      </c>
      <c r="BF160" t="s">
        <v>1308</v>
      </c>
      <c r="BG160" t="s">
        <v>1309</v>
      </c>
      <c r="BH160" t="s">
        <v>1310</v>
      </c>
      <c r="BI160" t="s">
        <v>1322</v>
      </c>
      <c r="BJ160" t="b">
        <v>0</v>
      </c>
      <c r="BK160" t="b">
        <v>1</v>
      </c>
      <c r="BL160" t="b">
        <v>0</v>
      </c>
      <c r="BM160" t="b">
        <v>0</v>
      </c>
      <c r="BN160" t="b">
        <v>0</v>
      </c>
      <c r="BO160" t="b">
        <v>0</v>
      </c>
      <c r="BP160">
        <v>1</v>
      </c>
      <c r="BQ160">
        <v>21</v>
      </c>
      <c r="BR160">
        <v>0</v>
      </c>
      <c r="BS160">
        <v>0</v>
      </c>
      <c r="BT160" t="b">
        <v>1</v>
      </c>
      <c r="BU160">
        <v>0</v>
      </c>
      <c r="BV160">
        <v>20</v>
      </c>
      <c r="BW160">
        <v>8500</v>
      </c>
      <c r="BX160">
        <v>0</v>
      </c>
      <c r="BY160" t="s">
        <v>268</v>
      </c>
      <c r="BZ160" t="s">
        <v>268</v>
      </c>
      <c r="CA160" t="s">
        <v>268</v>
      </c>
      <c r="CB160" t="s">
        <v>271</v>
      </c>
      <c r="CC160" t="s">
        <v>1312</v>
      </c>
      <c r="CD160" t="s">
        <v>1313</v>
      </c>
      <c r="CE160" t="s">
        <v>1314</v>
      </c>
      <c r="CF160" t="s">
        <v>1315</v>
      </c>
      <c r="CG160">
        <f t="shared" si="10"/>
        <v>57.643905639648402</v>
      </c>
      <c r="CH160">
        <f t="shared" si="11"/>
        <v>12834</v>
      </c>
      <c r="CI160">
        <f t="shared" si="12"/>
        <v>2</v>
      </c>
      <c r="CJ160">
        <f t="shared" si="13"/>
        <v>739801.88497924758</v>
      </c>
      <c r="CK160">
        <f t="shared" si="14"/>
        <v>115.2878112792968</v>
      </c>
    </row>
    <row r="161" spans="1:89">
      <c r="A161">
        <v>73005</v>
      </c>
      <c r="B161" t="s">
        <v>1302</v>
      </c>
      <c r="C161">
        <v>54.761714935302699</v>
      </c>
      <c r="D161" t="s">
        <v>1303</v>
      </c>
      <c r="E161">
        <v>1982</v>
      </c>
      <c r="F161" t="s">
        <v>1320</v>
      </c>
      <c r="G161" t="s">
        <v>167</v>
      </c>
      <c r="H161">
        <v>98125</v>
      </c>
      <c r="I161" t="s">
        <v>1321</v>
      </c>
      <c r="K161" t="s">
        <v>1306</v>
      </c>
      <c r="L161">
        <v>20</v>
      </c>
      <c r="M161">
        <v>3</v>
      </c>
      <c r="N161">
        <v>0</v>
      </c>
      <c r="O161">
        <v>3</v>
      </c>
      <c r="P161">
        <v>0</v>
      </c>
      <c r="Q161">
        <v>20844</v>
      </c>
      <c r="R161">
        <v>20844</v>
      </c>
      <c r="S161">
        <v>2494</v>
      </c>
      <c r="T161">
        <v>0</v>
      </c>
      <c r="U161">
        <v>0</v>
      </c>
      <c r="V161">
        <v>11</v>
      </c>
      <c r="W161">
        <v>9</v>
      </c>
      <c r="X161">
        <v>0</v>
      </c>
      <c r="Y161">
        <v>5</v>
      </c>
      <c r="Z161" t="b">
        <v>0</v>
      </c>
      <c r="AA161" t="b">
        <v>1</v>
      </c>
      <c r="AB161">
        <v>8</v>
      </c>
      <c r="AC161">
        <v>115146.359375</v>
      </c>
      <c r="AD161">
        <v>130797.4765625</v>
      </c>
      <c r="AE161">
        <v>245943.84375</v>
      </c>
      <c r="AI161">
        <v>839160.375</v>
      </c>
      <c r="AJ161" t="s">
        <v>268</v>
      </c>
      <c r="AK161">
        <v>0</v>
      </c>
      <c r="AL161">
        <v>4</v>
      </c>
      <c r="AM161">
        <v>0</v>
      </c>
      <c r="AN161">
        <v>36</v>
      </c>
      <c r="AO161">
        <v>0</v>
      </c>
      <c r="AP161">
        <v>43</v>
      </c>
      <c r="AQ161">
        <v>0</v>
      </c>
      <c r="AR161">
        <v>0</v>
      </c>
      <c r="AS161">
        <v>17</v>
      </c>
      <c r="AT161" t="b">
        <v>1</v>
      </c>
      <c r="AU161">
        <v>0</v>
      </c>
      <c r="AV161">
        <v>0</v>
      </c>
      <c r="AW161">
        <v>0</v>
      </c>
      <c r="AX161" t="b">
        <v>0</v>
      </c>
      <c r="AY161" t="b">
        <v>0</v>
      </c>
      <c r="AZ161" t="b">
        <v>0</v>
      </c>
      <c r="BA161" t="b">
        <v>0</v>
      </c>
      <c r="BB161" t="s">
        <v>268</v>
      </c>
      <c r="BC161" t="s">
        <v>268</v>
      </c>
      <c r="BD161" t="s">
        <v>268</v>
      </c>
      <c r="BE161" t="s">
        <v>1307</v>
      </c>
      <c r="BF161" t="s">
        <v>1308</v>
      </c>
      <c r="BG161" t="s">
        <v>1309</v>
      </c>
      <c r="BH161" t="s">
        <v>1310</v>
      </c>
      <c r="BI161" t="s">
        <v>1311</v>
      </c>
      <c r="BJ161" t="b">
        <v>0</v>
      </c>
      <c r="BK161" t="b">
        <v>1</v>
      </c>
      <c r="BL161" t="b">
        <v>0</v>
      </c>
      <c r="BM161" t="b">
        <v>0</v>
      </c>
      <c r="BN161" t="b">
        <v>0</v>
      </c>
      <c r="BO161" t="b">
        <v>0</v>
      </c>
      <c r="BP161">
        <v>1</v>
      </c>
      <c r="BQ161">
        <v>21</v>
      </c>
      <c r="BR161">
        <v>0</v>
      </c>
      <c r="BS161">
        <v>0</v>
      </c>
      <c r="BT161" t="b">
        <v>1</v>
      </c>
      <c r="BU161">
        <v>0</v>
      </c>
      <c r="BV161">
        <v>20</v>
      </c>
      <c r="BW161">
        <v>5850</v>
      </c>
      <c r="BX161">
        <v>1</v>
      </c>
      <c r="BY161" t="s">
        <v>268</v>
      </c>
      <c r="BZ161" t="s">
        <v>271</v>
      </c>
      <c r="CA161" t="s">
        <v>268</v>
      </c>
      <c r="CB161" t="s">
        <v>271</v>
      </c>
      <c r="CC161" t="s">
        <v>1312</v>
      </c>
      <c r="CD161" t="s">
        <v>1313</v>
      </c>
      <c r="CE161" t="s">
        <v>1314</v>
      </c>
      <c r="CF161" t="s">
        <v>1315</v>
      </c>
      <c r="CG161">
        <f t="shared" si="10"/>
        <v>54.761714935302699</v>
      </c>
      <c r="CH161">
        <f t="shared" si="11"/>
        <v>20844</v>
      </c>
      <c r="CI161">
        <f t="shared" si="12"/>
        <v>3</v>
      </c>
      <c r="CJ161">
        <f t="shared" si="13"/>
        <v>1141453.1861114495</v>
      </c>
      <c r="CK161">
        <f t="shared" si="14"/>
        <v>164.28514480590809</v>
      </c>
    </row>
    <row r="162" spans="1:89">
      <c r="A162">
        <v>73006</v>
      </c>
      <c r="B162" t="s">
        <v>1302</v>
      </c>
      <c r="C162">
        <v>73.015617370605497</v>
      </c>
      <c r="D162" t="s">
        <v>1324</v>
      </c>
      <c r="E162">
        <v>1962</v>
      </c>
      <c r="F162" t="s">
        <v>1320</v>
      </c>
      <c r="G162" t="s">
        <v>167</v>
      </c>
      <c r="H162">
        <v>98125</v>
      </c>
      <c r="I162" t="s">
        <v>1321</v>
      </c>
      <c r="K162" t="s">
        <v>1306</v>
      </c>
      <c r="L162">
        <v>15</v>
      </c>
      <c r="M162">
        <v>2</v>
      </c>
      <c r="N162">
        <v>0</v>
      </c>
      <c r="O162">
        <v>2</v>
      </c>
      <c r="P162">
        <v>1</v>
      </c>
      <c r="Q162">
        <v>11800</v>
      </c>
      <c r="R162">
        <v>11800</v>
      </c>
      <c r="S162">
        <v>550</v>
      </c>
      <c r="T162">
        <v>0</v>
      </c>
      <c r="U162">
        <v>0</v>
      </c>
      <c r="V162">
        <v>8</v>
      </c>
      <c r="W162">
        <v>7</v>
      </c>
      <c r="X162">
        <v>0</v>
      </c>
      <c r="Y162">
        <v>0</v>
      </c>
      <c r="Z162" t="b">
        <v>0</v>
      </c>
      <c r="AA162" t="b">
        <v>1</v>
      </c>
      <c r="AB162">
        <v>8</v>
      </c>
      <c r="AC162">
        <v>11260.216796875</v>
      </c>
      <c r="AD162">
        <v>129995.90625</v>
      </c>
      <c r="AE162">
        <v>141256.125</v>
      </c>
      <c r="AI162">
        <v>481965.90625</v>
      </c>
      <c r="AJ162" t="s">
        <v>268</v>
      </c>
      <c r="AK162">
        <v>0</v>
      </c>
      <c r="AL162">
        <v>27</v>
      </c>
      <c r="AM162">
        <v>0</v>
      </c>
      <c r="AN162">
        <v>27</v>
      </c>
      <c r="AO162">
        <v>0</v>
      </c>
      <c r="AP162">
        <v>27</v>
      </c>
      <c r="AQ162">
        <v>0</v>
      </c>
      <c r="AR162">
        <v>0</v>
      </c>
      <c r="AS162">
        <v>19</v>
      </c>
      <c r="AT162" t="b">
        <v>0</v>
      </c>
      <c r="AU162">
        <v>2</v>
      </c>
      <c r="AV162">
        <v>2</v>
      </c>
      <c r="AW162">
        <v>0</v>
      </c>
      <c r="AX162" t="b">
        <v>0</v>
      </c>
      <c r="AY162" t="b">
        <v>0</v>
      </c>
      <c r="AZ162" t="b">
        <v>1</v>
      </c>
      <c r="BA162" t="b">
        <v>0</v>
      </c>
      <c r="BB162" t="s">
        <v>268</v>
      </c>
      <c r="BC162" t="s">
        <v>268</v>
      </c>
      <c r="BD162" t="s">
        <v>268</v>
      </c>
      <c r="BE162" t="s">
        <v>1307</v>
      </c>
      <c r="BF162" t="s">
        <v>1308</v>
      </c>
      <c r="BG162" t="s">
        <v>1309</v>
      </c>
      <c r="BH162" t="s">
        <v>1310</v>
      </c>
      <c r="BI162" t="s">
        <v>1322</v>
      </c>
      <c r="BJ162" t="b">
        <v>0</v>
      </c>
      <c r="BK162" t="b">
        <v>1</v>
      </c>
      <c r="BL162" t="b">
        <v>0</v>
      </c>
      <c r="BM162" t="b">
        <v>0</v>
      </c>
      <c r="BN162" t="b">
        <v>0</v>
      </c>
      <c r="BO162" t="b">
        <v>0</v>
      </c>
      <c r="BP162">
        <v>1</v>
      </c>
      <c r="BQ162">
        <v>17</v>
      </c>
      <c r="BR162">
        <v>0</v>
      </c>
      <c r="BS162">
        <v>0</v>
      </c>
      <c r="BT162" t="b">
        <v>1</v>
      </c>
      <c r="BV162">
        <v>16</v>
      </c>
      <c r="BW162">
        <v>6800</v>
      </c>
      <c r="BX162">
        <v>0</v>
      </c>
      <c r="BY162" t="s">
        <v>268</v>
      </c>
      <c r="BZ162" t="s">
        <v>268</v>
      </c>
      <c r="CA162" t="s">
        <v>268</v>
      </c>
      <c r="CB162" t="s">
        <v>271</v>
      </c>
      <c r="CC162" t="s">
        <v>1319</v>
      </c>
      <c r="CD162" t="s">
        <v>1313</v>
      </c>
      <c r="CE162" t="s">
        <v>1327</v>
      </c>
      <c r="CF162" t="s">
        <v>1315</v>
      </c>
      <c r="CG162">
        <f t="shared" si="10"/>
        <v>73.015617370605497</v>
      </c>
      <c r="CH162">
        <f t="shared" si="11"/>
        <v>11800</v>
      </c>
      <c r="CI162">
        <f t="shared" si="12"/>
        <v>2</v>
      </c>
      <c r="CJ162">
        <f t="shared" si="13"/>
        <v>861584.28497314488</v>
      </c>
      <c r="CK162">
        <f t="shared" si="14"/>
        <v>146.03123474121099</v>
      </c>
    </row>
    <row r="163" spans="1:89">
      <c r="A163">
        <v>73007</v>
      </c>
      <c r="B163" t="s">
        <v>1302</v>
      </c>
      <c r="C163">
        <v>64.425544738769503</v>
      </c>
      <c r="D163" t="s">
        <v>1324</v>
      </c>
      <c r="E163">
        <v>1968</v>
      </c>
      <c r="F163" t="s">
        <v>1320</v>
      </c>
      <c r="G163" t="s">
        <v>167</v>
      </c>
      <c r="H163">
        <v>98118</v>
      </c>
      <c r="I163" t="s">
        <v>1321</v>
      </c>
      <c r="K163" t="s">
        <v>1306</v>
      </c>
      <c r="L163">
        <v>17</v>
      </c>
      <c r="M163">
        <v>3</v>
      </c>
      <c r="N163">
        <v>0</v>
      </c>
      <c r="O163">
        <v>3</v>
      </c>
      <c r="P163">
        <v>0</v>
      </c>
      <c r="Q163">
        <v>10522</v>
      </c>
      <c r="R163">
        <v>10522</v>
      </c>
      <c r="S163">
        <v>0</v>
      </c>
      <c r="T163">
        <v>0</v>
      </c>
      <c r="U163">
        <v>0</v>
      </c>
      <c r="V163">
        <v>2</v>
      </c>
      <c r="W163">
        <v>15</v>
      </c>
      <c r="X163">
        <v>0</v>
      </c>
      <c r="Y163">
        <v>0</v>
      </c>
      <c r="Z163" t="b">
        <v>0</v>
      </c>
      <c r="AA163" t="b">
        <v>0</v>
      </c>
      <c r="AB163">
        <v>8</v>
      </c>
      <c r="AC163">
        <v>5331.86181640625</v>
      </c>
      <c r="AD163">
        <v>102739.328125</v>
      </c>
      <c r="AE163">
        <v>108071.1875</v>
      </c>
      <c r="AI163">
        <v>368738.90625</v>
      </c>
      <c r="AJ163" t="s">
        <v>268</v>
      </c>
      <c r="AK163">
        <v>0</v>
      </c>
      <c r="AL163">
        <v>14</v>
      </c>
      <c r="AM163">
        <v>0</v>
      </c>
      <c r="AN163">
        <v>10</v>
      </c>
      <c r="AO163">
        <v>0</v>
      </c>
      <c r="AP163">
        <v>65</v>
      </c>
      <c r="AQ163">
        <v>0</v>
      </c>
      <c r="AR163">
        <v>0</v>
      </c>
      <c r="AS163">
        <v>11</v>
      </c>
      <c r="AT163" t="b">
        <v>1</v>
      </c>
      <c r="AU163">
        <v>0</v>
      </c>
      <c r="AV163">
        <v>0</v>
      </c>
      <c r="AW163">
        <v>0</v>
      </c>
      <c r="AX163" t="b">
        <v>0</v>
      </c>
      <c r="AY163" t="b">
        <v>0</v>
      </c>
      <c r="AZ163" t="b">
        <v>0</v>
      </c>
      <c r="BA163" t="b">
        <v>0</v>
      </c>
      <c r="BB163" t="s">
        <v>268</v>
      </c>
      <c r="BC163" t="s">
        <v>268</v>
      </c>
      <c r="BD163" t="s">
        <v>268</v>
      </c>
      <c r="BE163" t="s">
        <v>1307</v>
      </c>
      <c r="BF163" t="s">
        <v>1308</v>
      </c>
      <c r="BG163" t="s">
        <v>1309</v>
      </c>
      <c r="BH163" t="s">
        <v>1310</v>
      </c>
      <c r="BI163" t="s">
        <v>1311</v>
      </c>
      <c r="BJ163" t="b">
        <v>0</v>
      </c>
      <c r="BK163" t="b">
        <v>1</v>
      </c>
      <c r="BL163" t="b">
        <v>0</v>
      </c>
      <c r="BM163" t="b">
        <v>0</v>
      </c>
      <c r="BN163" t="b">
        <v>0</v>
      </c>
      <c r="BO163" t="b">
        <v>0</v>
      </c>
      <c r="BP163">
        <v>1</v>
      </c>
      <c r="BQ163">
        <v>18</v>
      </c>
      <c r="BR163">
        <v>0</v>
      </c>
      <c r="BS163">
        <v>0</v>
      </c>
      <c r="BT163" t="b">
        <v>1</v>
      </c>
      <c r="BU163">
        <v>0</v>
      </c>
      <c r="BV163">
        <v>20</v>
      </c>
      <c r="BW163">
        <v>8178</v>
      </c>
      <c r="BX163">
        <v>0</v>
      </c>
      <c r="BY163" t="s">
        <v>268</v>
      </c>
      <c r="BZ163" t="s">
        <v>268</v>
      </c>
      <c r="CA163" t="s">
        <v>271</v>
      </c>
      <c r="CB163" t="s">
        <v>271</v>
      </c>
      <c r="CC163" t="s">
        <v>1312</v>
      </c>
      <c r="CD163" t="s">
        <v>1313</v>
      </c>
      <c r="CE163" t="s">
        <v>1314</v>
      </c>
      <c r="CF163" t="s">
        <v>1315</v>
      </c>
      <c r="CG163">
        <f t="shared" si="10"/>
        <v>64.425544738769503</v>
      </c>
      <c r="CH163">
        <f t="shared" si="11"/>
        <v>10522</v>
      </c>
      <c r="CI163">
        <f t="shared" si="12"/>
        <v>3</v>
      </c>
      <c r="CJ163">
        <f t="shared" si="13"/>
        <v>677885.58174133266</v>
      </c>
      <c r="CK163">
        <f t="shared" si="14"/>
        <v>193.27663421630851</v>
      </c>
    </row>
    <row r="164" spans="1:89">
      <c r="A164">
        <v>73008</v>
      </c>
      <c r="B164" t="s">
        <v>1302</v>
      </c>
      <c r="C164">
        <v>52.154014587402301</v>
      </c>
      <c r="D164" t="s">
        <v>1324</v>
      </c>
      <c r="E164">
        <v>1958</v>
      </c>
      <c r="F164" t="s">
        <v>1320</v>
      </c>
      <c r="G164" t="s">
        <v>167</v>
      </c>
      <c r="H164">
        <v>98105</v>
      </c>
      <c r="I164" t="s">
        <v>1321</v>
      </c>
      <c r="K164" t="s">
        <v>1306</v>
      </c>
      <c r="L164">
        <v>21</v>
      </c>
      <c r="M164">
        <v>4</v>
      </c>
      <c r="N164">
        <v>0</v>
      </c>
      <c r="O164">
        <v>3</v>
      </c>
      <c r="P164">
        <v>0</v>
      </c>
      <c r="Q164">
        <v>10440</v>
      </c>
      <c r="R164">
        <v>10440</v>
      </c>
      <c r="S164">
        <v>378</v>
      </c>
      <c r="T164">
        <v>0</v>
      </c>
      <c r="U164">
        <v>0</v>
      </c>
      <c r="V164">
        <v>0</v>
      </c>
      <c r="W164">
        <v>21</v>
      </c>
      <c r="X164">
        <v>0</v>
      </c>
      <c r="Y164">
        <v>0</v>
      </c>
      <c r="Z164" t="b">
        <v>0</v>
      </c>
      <c r="AA164" t="b">
        <v>1</v>
      </c>
      <c r="AB164">
        <v>8</v>
      </c>
      <c r="AC164">
        <v>10996.69921875</v>
      </c>
      <c r="AD164">
        <v>94040.2578125</v>
      </c>
      <c r="AE164">
        <v>105036.953125</v>
      </c>
      <c r="AI164">
        <v>358386.09375</v>
      </c>
      <c r="AJ164" t="s">
        <v>268</v>
      </c>
      <c r="AK164">
        <v>0</v>
      </c>
      <c r="AL164">
        <v>9</v>
      </c>
      <c r="AM164">
        <v>0</v>
      </c>
      <c r="AN164">
        <v>46</v>
      </c>
      <c r="AO164">
        <v>0</v>
      </c>
      <c r="AP164">
        <v>34</v>
      </c>
      <c r="AQ164">
        <v>0</v>
      </c>
      <c r="AR164">
        <v>0</v>
      </c>
      <c r="AS164">
        <v>11</v>
      </c>
      <c r="AT164" t="b">
        <v>0</v>
      </c>
      <c r="AU164">
        <v>2</v>
      </c>
      <c r="AV164">
        <v>2</v>
      </c>
      <c r="AW164">
        <v>0</v>
      </c>
      <c r="AX164" t="b">
        <v>0</v>
      </c>
      <c r="AY164" t="b">
        <v>0</v>
      </c>
      <c r="AZ164" t="b">
        <v>0</v>
      </c>
      <c r="BA164" t="b">
        <v>0</v>
      </c>
      <c r="BB164" t="s">
        <v>268</v>
      </c>
      <c r="BC164" t="s">
        <v>268</v>
      </c>
      <c r="BD164" t="s">
        <v>268</v>
      </c>
      <c r="BE164" t="s">
        <v>1307</v>
      </c>
      <c r="BF164" t="s">
        <v>1308</v>
      </c>
      <c r="BG164" t="s">
        <v>1309</v>
      </c>
      <c r="BH164" t="s">
        <v>1310</v>
      </c>
      <c r="BI164" t="s">
        <v>1322</v>
      </c>
      <c r="BJ164" t="b">
        <v>0</v>
      </c>
      <c r="BK164" t="b">
        <v>1</v>
      </c>
      <c r="BL164" t="b">
        <v>0</v>
      </c>
      <c r="BM164" t="b">
        <v>0</v>
      </c>
      <c r="BN164" t="b">
        <v>0</v>
      </c>
      <c r="BO164" t="b">
        <v>0</v>
      </c>
      <c r="BP164">
        <v>1</v>
      </c>
      <c r="BQ164">
        <v>23</v>
      </c>
      <c r="BR164">
        <v>0</v>
      </c>
      <c r="BS164">
        <v>0</v>
      </c>
      <c r="BT164" t="b">
        <v>0</v>
      </c>
      <c r="BV164">
        <v>0</v>
      </c>
      <c r="BW164">
        <v>0</v>
      </c>
      <c r="BX164">
        <v>0</v>
      </c>
      <c r="BY164" t="s">
        <v>268</v>
      </c>
      <c r="BZ164" t="s">
        <v>268</v>
      </c>
      <c r="CA164" t="s">
        <v>268</v>
      </c>
      <c r="CB164" t="s">
        <v>268</v>
      </c>
      <c r="CC164" t="s">
        <v>1312</v>
      </c>
      <c r="CD164" t="s">
        <v>1313</v>
      </c>
      <c r="CE164" t="s">
        <v>1357</v>
      </c>
      <c r="CF164" t="s">
        <v>1315</v>
      </c>
      <c r="CG164">
        <f t="shared" si="10"/>
        <v>52.154014587402301</v>
      </c>
      <c r="CH164">
        <f t="shared" si="11"/>
        <v>10440</v>
      </c>
      <c r="CI164">
        <f t="shared" si="12"/>
        <v>4</v>
      </c>
      <c r="CJ164">
        <f t="shared" si="13"/>
        <v>544487.91229248</v>
      </c>
      <c r="CK164">
        <f t="shared" si="14"/>
        <v>208.6160583496092</v>
      </c>
    </row>
    <row r="165" spans="1:89">
      <c r="A165">
        <v>73009</v>
      </c>
      <c r="B165" t="s">
        <v>1331</v>
      </c>
      <c r="C165">
        <v>60.846343994140597</v>
      </c>
      <c r="D165" t="s">
        <v>1324</v>
      </c>
      <c r="E165">
        <v>1969</v>
      </c>
      <c r="F165" t="s">
        <v>1320</v>
      </c>
      <c r="G165" t="s">
        <v>167</v>
      </c>
      <c r="H165">
        <v>98144</v>
      </c>
      <c r="I165" t="s">
        <v>1321</v>
      </c>
      <c r="K165" t="s">
        <v>1306</v>
      </c>
      <c r="L165">
        <v>18</v>
      </c>
      <c r="M165">
        <v>3</v>
      </c>
      <c r="N165">
        <v>1</v>
      </c>
      <c r="O165">
        <v>4</v>
      </c>
      <c r="P165">
        <v>0</v>
      </c>
      <c r="Q165">
        <v>14616</v>
      </c>
      <c r="R165">
        <v>10962</v>
      </c>
      <c r="S165">
        <v>70</v>
      </c>
      <c r="T165">
        <v>0</v>
      </c>
      <c r="U165">
        <v>6</v>
      </c>
      <c r="V165">
        <v>6</v>
      </c>
      <c r="W165">
        <v>6</v>
      </c>
      <c r="X165">
        <v>0</v>
      </c>
      <c r="Y165">
        <v>0</v>
      </c>
      <c r="Z165" t="b">
        <v>1</v>
      </c>
      <c r="AA165" t="b">
        <v>1</v>
      </c>
      <c r="AB165">
        <v>8</v>
      </c>
      <c r="AC165">
        <v>10379.984375</v>
      </c>
      <c r="AD165">
        <v>131040.1328125</v>
      </c>
      <c r="AE165">
        <v>141420.125</v>
      </c>
      <c r="AI165">
        <v>482525.46875</v>
      </c>
      <c r="AJ165" t="s">
        <v>268</v>
      </c>
      <c r="AK165">
        <v>3006</v>
      </c>
      <c r="AL165">
        <v>10</v>
      </c>
      <c r="AM165">
        <v>0</v>
      </c>
      <c r="AN165">
        <v>7</v>
      </c>
      <c r="AO165">
        <v>0</v>
      </c>
      <c r="AP165">
        <v>17</v>
      </c>
      <c r="AQ165">
        <v>0</v>
      </c>
      <c r="AR165">
        <v>0</v>
      </c>
      <c r="AS165">
        <v>66</v>
      </c>
      <c r="AT165" t="b">
        <v>1</v>
      </c>
      <c r="AU165">
        <v>2</v>
      </c>
      <c r="AV165">
        <v>2</v>
      </c>
      <c r="AW165">
        <v>0</v>
      </c>
      <c r="AX165" t="b">
        <v>0</v>
      </c>
      <c r="AY165" t="b">
        <v>0</v>
      </c>
      <c r="AZ165" t="b">
        <v>0</v>
      </c>
      <c r="BA165" t="b">
        <v>0</v>
      </c>
      <c r="BB165" t="s">
        <v>268</v>
      </c>
      <c r="BC165" t="s">
        <v>268</v>
      </c>
      <c r="BD165" t="s">
        <v>268</v>
      </c>
      <c r="BE165" t="s">
        <v>1307</v>
      </c>
      <c r="BF165" t="s">
        <v>1308</v>
      </c>
      <c r="BG165" t="s">
        <v>1309</v>
      </c>
      <c r="BH165" t="s">
        <v>1336</v>
      </c>
      <c r="BI165" t="s">
        <v>1322</v>
      </c>
      <c r="BJ165" t="b">
        <v>0</v>
      </c>
      <c r="BK165" t="b">
        <v>1</v>
      </c>
      <c r="BL165" t="b">
        <v>0</v>
      </c>
      <c r="BM165" t="b">
        <v>0</v>
      </c>
      <c r="BN165" t="b">
        <v>0</v>
      </c>
      <c r="BO165" t="b">
        <v>0</v>
      </c>
      <c r="BP165">
        <v>1</v>
      </c>
      <c r="BQ165">
        <v>20</v>
      </c>
      <c r="BR165">
        <v>0</v>
      </c>
      <c r="BS165">
        <v>0</v>
      </c>
      <c r="BT165" t="b">
        <v>1</v>
      </c>
      <c r="BV165">
        <v>18</v>
      </c>
      <c r="BW165">
        <v>7650</v>
      </c>
      <c r="BX165">
        <v>0</v>
      </c>
      <c r="BY165" t="s">
        <v>268</v>
      </c>
      <c r="BZ165" t="s">
        <v>268</v>
      </c>
      <c r="CA165" t="s">
        <v>268</v>
      </c>
      <c r="CB165" t="s">
        <v>271</v>
      </c>
      <c r="CC165" t="s">
        <v>1312</v>
      </c>
      <c r="CD165" t="s">
        <v>1313</v>
      </c>
      <c r="CE165" t="s">
        <v>1314</v>
      </c>
      <c r="CF165" t="s">
        <v>1315</v>
      </c>
      <c r="CG165" t="str">
        <f t="shared" si="10"/>
        <v/>
      </c>
      <c r="CH165" t="str">
        <f t="shared" si="11"/>
        <v/>
      </c>
      <c r="CI165" t="str">
        <f t="shared" si="12"/>
        <v/>
      </c>
      <c r="CJ165" t="str">
        <f t="shared" si="13"/>
        <v/>
      </c>
      <c r="CK165" t="str">
        <f t="shared" si="14"/>
        <v/>
      </c>
    </row>
    <row r="166" spans="1:89">
      <c r="A166">
        <v>73010</v>
      </c>
      <c r="B166" t="s">
        <v>1302</v>
      </c>
      <c r="C166">
        <v>52.154014587402301</v>
      </c>
      <c r="D166" t="s">
        <v>1354</v>
      </c>
      <c r="E166">
        <v>1926</v>
      </c>
      <c r="F166" t="s">
        <v>1320</v>
      </c>
      <c r="G166" t="s">
        <v>167</v>
      </c>
      <c r="H166">
        <v>98103</v>
      </c>
      <c r="I166" t="s">
        <v>1321</v>
      </c>
      <c r="J166" t="s">
        <v>1317</v>
      </c>
      <c r="K166" t="s">
        <v>1306</v>
      </c>
      <c r="L166">
        <v>21</v>
      </c>
      <c r="M166">
        <v>4</v>
      </c>
      <c r="N166">
        <v>0</v>
      </c>
      <c r="O166">
        <v>3</v>
      </c>
      <c r="P166">
        <v>1</v>
      </c>
      <c r="Q166">
        <v>18160</v>
      </c>
      <c r="R166">
        <v>18160</v>
      </c>
      <c r="S166">
        <v>3427</v>
      </c>
      <c r="T166">
        <v>0</v>
      </c>
      <c r="U166">
        <v>0</v>
      </c>
      <c r="V166">
        <v>0</v>
      </c>
      <c r="W166">
        <v>7</v>
      </c>
      <c r="X166">
        <v>14</v>
      </c>
      <c r="Y166">
        <v>0</v>
      </c>
      <c r="Z166" t="b">
        <v>0</v>
      </c>
      <c r="AA166" t="b">
        <v>1</v>
      </c>
      <c r="AB166">
        <v>8.5</v>
      </c>
      <c r="AC166">
        <v>13635.607421875</v>
      </c>
      <c r="AD166">
        <v>31745.435546875</v>
      </c>
      <c r="AE166">
        <v>45381.04296875</v>
      </c>
      <c r="AH166">
        <v>7881.14599609375</v>
      </c>
      <c r="AI166">
        <v>942954.6875</v>
      </c>
      <c r="AJ166" t="s">
        <v>268</v>
      </c>
      <c r="AL166">
        <v>30</v>
      </c>
      <c r="AM166">
        <v>0</v>
      </c>
      <c r="AN166">
        <v>13</v>
      </c>
      <c r="AO166">
        <v>0</v>
      </c>
      <c r="AP166">
        <v>15</v>
      </c>
      <c r="AQ166">
        <v>0</v>
      </c>
      <c r="AR166">
        <v>0</v>
      </c>
      <c r="AS166">
        <v>42</v>
      </c>
      <c r="AT166" t="b">
        <v>0</v>
      </c>
      <c r="AU166">
        <v>2</v>
      </c>
      <c r="AV166">
        <v>2</v>
      </c>
      <c r="AW166">
        <v>0</v>
      </c>
      <c r="AX166" t="b">
        <v>1</v>
      </c>
      <c r="AY166" t="b">
        <v>0</v>
      </c>
      <c r="AZ166" t="b">
        <v>0</v>
      </c>
      <c r="BA166" t="b">
        <v>0</v>
      </c>
      <c r="BB166" t="s">
        <v>268</v>
      </c>
      <c r="BC166" t="s">
        <v>268</v>
      </c>
      <c r="BD166" t="s">
        <v>268</v>
      </c>
      <c r="BE166" t="s">
        <v>1345</v>
      </c>
      <c r="BF166" t="s">
        <v>1342</v>
      </c>
      <c r="BG166" t="s">
        <v>1346</v>
      </c>
      <c r="BH166" t="s">
        <v>1310</v>
      </c>
      <c r="BI166" t="s">
        <v>1344</v>
      </c>
      <c r="BJ166" t="b">
        <v>1</v>
      </c>
      <c r="BK166" t="b">
        <v>1</v>
      </c>
      <c r="BL166" t="b">
        <v>1</v>
      </c>
      <c r="BM166" t="b">
        <v>0</v>
      </c>
      <c r="BN166" t="b">
        <v>0</v>
      </c>
      <c r="BO166" t="b">
        <v>0</v>
      </c>
      <c r="BP166">
        <v>1</v>
      </c>
      <c r="BQ166">
        <v>23</v>
      </c>
      <c r="BR166">
        <v>1</v>
      </c>
      <c r="BS166">
        <v>1</v>
      </c>
      <c r="BT166" t="b">
        <v>1</v>
      </c>
      <c r="BU166">
        <v>0</v>
      </c>
      <c r="BV166">
        <v>6</v>
      </c>
      <c r="BW166">
        <v>1155</v>
      </c>
      <c r="BX166">
        <v>1</v>
      </c>
      <c r="BY166" t="s">
        <v>271</v>
      </c>
      <c r="BZ166" t="s">
        <v>268</v>
      </c>
      <c r="CA166" t="s">
        <v>268</v>
      </c>
      <c r="CB166" t="s">
        <v>268</v>
      </c>
      <c r="CC166" t="s">
        <v>1312</v>
      </c>
      <c r="CD166" t="s">
        <v>1313</v>
      </c>
      <c r="CE166" t="s">
        <v>1314</v>
      </c>
      <c r="CF166" t="s">
        <v>1315</v>
      </c>
      <c r="CG166" t="str">
        <f t="shared" si="10"/>
        <v/>
      </c>
      <c r="CH166" t="str">
        <f t="shared" si="11"/>
        <v/>
      </c>
      <c r="CI166" t="str">
        <f t="shared" si="12"/>
        <v/>
      </c>
      <c r="CJ166" t="str">
        <f t="shared" si="13"/>
        <v/>
      </c>
      <c r="CK166" t="str">
        <f t="shared" si="14"/>
        <v/>
      </c>
    </row>
    <row r="167" spans="1:89">
      <c r="A167">
        <v>74001</v>
      </c>
      <c r="B167" t="s">
        <v>1331</v>
      </c>
      <c r="C167">
        <v>34.226070404052699</v>
      </c>
      <c r="D167" t="s">
        <v>1354</v>
      </c>
      <c r="E167">
        <v>1904</v>
      </c>
      <c r="F167" t="s">
        <v>1320</v>
      </c>
      <c r="G167" t="s">
        <v>167</v>
      </c>
      <c r="H167">
        <v>98104</v>
      </c>
      <c r="I167" t="s">
        <v>1321</v>
      </c>
      <c r="J167" t="s">
        <v>1317</v>
      </c>
      <c r="K167" t="s">
        <v>1306</v>
      </c>
      <c r="L167">
        <v>32</v>
      </c>
      <c r="M167">
        <v>4</v>
      </c>
      <c r="N167">
        <v>0</v>
      </c>
      <c r="O167">
        <v>4</v>
      </c>
      <c r="P167">
        <v>1</v>
      </c>
      <c r="Q167">
        <v>43436</v>
      </c>
      <c r="R167">
        <v>43436</v>
      </c>
      <c r="S167">
        <v>7468</v>
      </c>
      <c r="T167">
        <v>0</v>
      </c>
      <c r="U167">
        <v>0</v>
      </c>
      <c r="V167">
        <v>18</v>
      </c>
      <c r="W167">
        <v>13</v>
      </c>
      <c r="X167">
        <v>1</v>
      </c>
      <c r="Y167">
        <v>0</v>
      </c>
      <c r="Z167" t="b">
        <v>0</v>
      </c>
      <c r="AA167" t="b">
        <v>1</v>
      </c>
      <c r="AB167">
        <v>9.25</v>
      </c>
      <c r="AC167">
        <v>20173.375</v>
      </c>
      <c r="AD167">
        <v>322232.53125</v>
      </c>
      <c r="AE167">
        <v>342405.90625</v>
      </c>
      <c r="AJ167" t="s">
        <v>268</v>
      </c>
      <c r="AK167">
        <v>0</v>
      </c>
      <c r="AL167">
        <v>31</v>
      </c>
      <c r="AM167">
        <v>0</v>
      </c>
      <c r="AN167">
        <v>22</v>
      </c>
      <c r="AO167">
        <v>0</v>
      </c>
      <c r="AP167">
        <v>18</v>
      </c>
      <c r="AQ167">
        <v>0</v>
      </c>
      <c r="AR167">
        <v>0</v>
      </c>
      <c r="AS167">
        <v>29</v>
      </c>
      <c r="AT167" t="b">
        <v>0</v>
      </c>
      <c r="AU167">
        <v>4</v>
      </c>
      <c r="AV167">
        <v>4</v>
      </c>
      <c r="AW167">
        <v>0</v>
      </c>
      <c r="AX167" t="b">
        <v>0</v>
      </c>
      <c r="AY167" t="b">
        <v>0</v>
      </c>
      <c r="AZ167" t="b">
        <v>0</v>
      </c>
      <c r="BA167" t="b">
        <v>0</v>
      </c>
      <c r="BB167" t="s">
        <v>268</v>
      </c>
      <c r="BC167" t="s">
        <v>268</v>
      </c>
      <c r="BD167" t="s">
        <v>268</v>
      </c>
      <c r="BE167" t="s">
        <v>1307</v>
      </c>
      <c r="BF167" t="s">
        <v>1308</v>
      </c>
      <c r="BG167" t="s">
        <v>1309</v>
      </c>
      <c r="BH167" t="s">
        <v>1310</v>
      </c>
      <c r="BI167" t="s">
        <v>1322</v>
      </c>
      <c r="BJ167" t="b">
        <v>1</v>
      </c>
      <c r="BK167" t="b">
        <v>1</v>
      </c>
      <c r="BL167" t="b">
        <v>1</v>
      </c>
      <c r="BM167" t="b">
        <v>0</v>
      </c>
      <c r="BN167" t="b">
        <v>0</v>
      </c>
      <c r="BO167" t="b">
        <v>0</v>
      </c>
      <c r="BP167">
        <v>1</v>
      </c>
      <c r="BQ167">
        <v>33</v>
      </c>
      <c r="BR167">
        <v>2</v>
      </c>
      <c r="BS167">
        <v>32</v>
      </c>
      <c r="BT167" t="b">
        <v>0</v>
      </c>
      <c r="BV167">
        <v>0</v>
      </c>
      <c r="BW167">
        <v>0</v>
      </c>
      <c r="BX167">
        <v>0</v>
      </c>
      <c r="BY167" t="s">
        <v>268</v>
      </c>
      <c r="BZ167" t="s">
        <v>268</v>
      </c>
      <c r="CA167" t="s">
        <v>268</v>
      </c>
      <c r="CB167" t="s">
        <v>268</v>
      </c>
      <c r="CC167" t="s">
        <v>1312</v>
      </c>
      <c r="CD167" t="s">
        <v>1313</v>
      </c>
      <c r="CE167" t="s">
        <v>1314</v>
      </c>
      <c r="CF167" t="s">
        <v>1315</v>
      </c>
      <c r="CG167" t="str">
        <f t="shared" si="10"/>
        <v/>
      </c>
      <c r="CH167" t="str">
        <f t="shared" si="11"/>
        <v/>
      </c>
      <c r="CI167" t="str">
        <f t="shared" si="12"/>
        <v/>
      </c>
      <c r="CJ167" t="str">
        <f t="shared" si="13"/>
        <v/>
      </c>
      <c r="CK167" t="str">
        <f t="shared" si="14"/>
        <v/>
      </c>
    </row>
    <row r="168" spans="1:89">
      <c r="A168">
        <v>74002</v>
      </c>
      <c r="B168" t="s">
        <v>1331</v>
      </c>
      <c r="C168">
        <v>43.809371948242202</v>
      </c>
      <c r="D168" t="s">
        <v>1338</v>
      </c>
      <c r="E168">
        <v>2001</v>
      </c>
      <c r="F168" t="s">
        <v>1320</v>
      </c>
      <c r="G168" t="s">
        <v>167</v>
      </c>
      <c r="H168">
        <v>98109</v>
      </c>
      <c r="I168" t="s">
        <v>1321</v>
      </c>
      <c r="J168" t="s">
        <v>1317</v>
      </c>
      <c r="K168" t="s">
        <v>1306</v>
      </c>
      <c r="L168">
        <v>25</v>
      </c>
      <c r="M168">
        <v>5</v>
      </c>
      <c r="N168">
        <v>1</v>
      </c>
      <c r="O168">
        <v>6</v>
      </c>
      <c r="P168">
        <v>0</v>
      </c>
      <c r="Q168">
        <v>25025</v>
      </c>
      <c r="R168">
        <v>24116</v>
      </c>
      <c r="S168">
        <v>3017</v>
      </c>
      <c r="T168">
        <v>0</v>
      </c>
      <c r="U168">
        <v>0</v>
      </c>
      <c r="V168">
        <v>10</v>
      </c>
      <c r="W168">
        <v>10</v>
      </c>
      <c r="X168">
        <v>5</v>
      </c>
      <c r="Y168">
        <v>0</v>
      </c>
      <c r="Z168" t="b">
        <v>1</v>
      </c>
      <c r="AA168" t="b">
        <v>1</v>
      </c>
      <c r="AB168">
        <v>9</v>
      </c>
      <c r="AC168">
        <v>82932.671875</v>
      </c>
      <c r="AD168">
        <v>158345.265625</v>
      </c>
      <c r="AE168">
        <v>241277.9375</v>
      </c>
      <c r="AJ168" t="s">
        <v>268</v>
      </c>
      <c r="AK168">
        <v>909</v>
      </c>
      <c r="AL168">
        <v>10</v>
      </c>
      <c r="AM168">
        <v>0</v>
      </c>
      <c r="AN168">
        <v>18</v>
      </c>
      <c r="AO168">
        <v>0</v>
      </c>
      <c r="AP168">
        <v>58</v>
      </c>
      <c r="AQ168">
        <v>0</v>
      </c>
      <c r="AR168">
        <v>0</v>
      </c>
      <c r="AS168">
        <v>14</v>
      </c>
      <c r="AT168" t="b">
        <v>1</v>
      </c>
      <c r="AU168">
        <v>0</v>
      </c>
      <c r="AV168">
        <v>0</v>
      </c>
      <c r="AW168">
        <v>1</v>
      </c>
      <c r="AX168" t="b">
        <v>0</v>
      </c>
      <c r="AY168" t="b">
        <v>0</v>
      </c>
      <c r="AZ168" t="b">
        <v>1</v>
      </c>
      <c r="BA168" t="b">
        <v>0</v>
      </c>
      <c r="BB168" t="s">
        <v>268</v>
      </c>
      <c r="BC168" t="s">
        <v>271</v>
      </c>
      <c r="BD168" t="s">
        <v>268</v>
      </c>
      <c r="BE168" t="s">
        <v>1307</v>
      </c>
      <c r="BF168" t="s">
        <v>1308</v>
      </c>
      <c r="BG168" t="s">
        <v>1309</v>
      </c>
      <c r="BH168" t="s">
        <v>1310</v>
      </c>
      <c r="BI168" t="s">
        <v>1311</v>
      </c>
      <c r="BJ168" t="b">
        <v>1</v>
      </c>
      <c r="BK168" t="b">
        <v>1</v>
      </c>
      <c r="BL168" t="b">
        <v>1</v>
      </c>
      <c r="BM168" t="b">
        <v>0</v>
      </c>
      <c r="BN168" t="b">
        <v>0</v>
      </c>
      <c r="BO168" t="b">
        <v>0</v>
      </c>
      <c r="BP168">
        <v>1</v>
      </c>
      <c r="BQ168">
        <v>27</v>
      </c>
      <c r="BR168">
        <v>1</v>
      </c>
      <c r="BS168">
        <v>11</v>
      </c>
      <c r="BT168" t="b">
        <v>1</v>
      </c>
      <c r="BU168">
        <v>0</v>
      </c>
      <c r="BV168">
        <v>38</v>
      </c>
      <c r="BW168">
        <v>10266</v>
      </c>
      <c r="BX168">
        <v>3</v>
      </c>
      <c r="BY168" t="s">
        <v>271</v>
      </c>
      <c r="BZ168" t="s">
        <v>268</v>
      </c>
      <c r="CA168" t="s">
        <v>268</v>
      </c>
      <c r="CB168" t="s">
        <v>268</v>
      </c>
      <c r="CC168" t="s">
        <v>1312</v>
      </c>
      <c r="CD168" t="s">
        <v>1313</v>
      </c>
      <c r="CE168" t="s">
        <v>1333</v>
      </c>
      <c r="CF168" t="s">
        <v>1315</v>
      </c>
      <c r="CG168" t="str">
        <f t="shared" si="10"/>
        <v/>
      </c>
      <c r="CH168" t="str">
        <f t="shared" si="11"/>
        <v/>
      </c>
      <c r="CI168" t="str">
        <f t="shared" si="12"/>
        <v/>
      </c>
      <c r="CJ168" t="str">
        <f t="shared" si="13"/>
        <v/>
      </c>
      <c r="CK168" t="str">
        <f t="shared" si="14"/>
        <v/>
      </c>
    </row>
    <row r="169" spans="1:89">
      <c r="A169">
        <v>74003</v>
      </c>
      <c r="B169" t="s">
        <v>1302</v>
      </c>
      <c r="C169">
        <v>36.507808685302699</v>
      </c>
      <c r="D169" t="s">
        <v>1303</v>
      </c>
      <c r="E169">
        <v>1987</v>
      </c>
      <c r="F169" t="s">
        <v>1442</v>
      </c>
      <c r="G169" t="s">
        <v>167</v>
      </c>
      <c r="H169">
        <v>98177</v>
      </c>
      <c r="I169" t="s">
        <v>1321</v>
      </c>
      <c r="J169" t="s">
        <v>1317</v>
      </c>
      <c r="K169" t="s">
        <v>1306</v>
      </c>
      <c r="L169">
        <v>30</v>
      </c>
      <c r="M169">
        <v>3</v>
      </c>
      <c r="N169">
        <v>0</v>
      </c>
      <c r="O169">
        <v>3</v>
      </c>
      <c r="P169">
        <v>0</v>
      </c>
      <c r="Q169">
        <v>34606</v>
      </c>
      <c r="R169">
        <v>34606</v>
      </c>
      <c r="S169">
        <v>3780</v>
      </c>
      <c r="T169">
        <v>0</v>
      </c>
      <c r="U169">
        <v>0</v>
      </c>
      <c r="X169">
        <v>0</v>
      </c>
      <c r="Y169">
        <v>0</v>
      </c>
      <c r="Z169" t="b">
        <v>0</v>
      </c>
      <c r="AA169" t="b">
        <v>1</v>
      </c>
      <c r="AB169">
        <v>7.8000001907348597</v>
      </c>
      <c r="AC169">
        <v>49625.25</v>
      </c>
      <c r="AD169">
        <v>244053.234375</v>
      </c>
      <c r="AE169">
        <v>293678.5</v>
      </c>
      <c r="AH169">
        <v>1066.80297851563</v>
      </c>
      <c r="AI169">
        <v>1108711.375</v>
      </c>
      <c r="AJ169" t="s">
        <v>268</v>
      </c>
      <c r="AK169">
        <v>0</v>
      </c>
      <c r="AL169">
        <v>18</v>
      </c>
      <c r="AM169">
        <v>0</v>
      </c>
      <c r="AN169">
        <v>27</v>
      </c>
      <c r="AO169">
        <v>0</v>
      </c>
      <c r="AP169">
        <v>25</v>
      </c>
      <c r="AQ169">
        <v>0</v>
      </c>
      <c r="AR169">
        <v>0</v>
      </c>
      <c r="AS169">
        <v>30</v>
      </c>
      <c r="AT169" t="b">
        <v>1</v>
      </c>
      <c r="AU169">
        <v>6</v>
      </c>
      <c r="AV169">
        <v>6</v>
      </c>
      <c r="AW169">
        <v>1</v>
      </c>
      <c r="AX169" t="b">
        <v>0</v>
      </c>
      <c r="AY169" t="b">
        <v>0</v>
      </c>
      <c r="AZ169" t="b">
        <v>1</v>
      </c>
      <c r="BA169" t="b">
        <v>0</v>
      </c>
      <c r="BB169" t="s">
        <v>268</v>
      </c>
      <c r="BC169" t="s">
        <v>268</v>
      </c>
      <c r="BD169" t="s">
        <v>268</v>
      </c>
      <c r="BE169" t="s">
        <v>1307</v>
      </c>
      <c r="BF169" t="s">
        <v>1308</v>
      </c>
      <c r="BG169" t="s">
        <v>1309</v>
      </c>
      <c r="BH169" t="s">
        <v>1310</v>
      </c>
      <c r="BI169" t="s">
        <v>1322</v>
      </c>
      <c r="BJ169" t="b">
        <v>1</v>
      </c>
      <c r="BK169" t="b">
        <v>1</v>
      </c>
      <c r="BL169" t="b">
        <v>1</v>
      </c>
      <c r="BM169" t="b">
        <v>0</v>
      </c>
      <c r="BN169" t="b">
        <v>0</v>
      </c>
      <c r="BO169" t="b">
        <v>0</v>
      </c>
      <c r="BP169">
        <v>1</v>
      </c>
      <c r="BQ169">
        <v>36</v>
      </c>
      <c r="BR169">
        <v>1</v>
      </c>
      <c r="BS169">
        <v>1</v>
      </c>
      <c r="BT169" t="b">
        <v>1</v>
      </c>
      <c r="BU169">
        <v>0</v>
      </c>
      <c r="BV169">
        <v>10</v>
      </c>
      <c r="BW169">
        <v>3910</v>
      </c>
      <c r="BX169">
        <v>1</v>
      </c>
      <c r="BY169" t="s">
        <v>268</v>
      </c>
      <c r="BZ169" t="s">
        <v>271</v>
      </c>
      <c r="CA169" t="s">
        <v>268</v>
      </c>
      <c r="CB169" t="s">
        <v>271</v>
      </c>
      <c r="CC169" t="s">
        <v>1312</v>
      </c>
      <c r="CD169" t="s">
        <v>1313</v>
      </c>
      <c r="CE169" t="s">
        <v>1314</v>
      </c>
      <c r="CF169" t="s">
        <v>1315</v>
      </c>
      <c r="CG169">
        <f t="shared" si="10"/>
        <v>36.507808685302699</v>
      </c>
      <c r="CH169">
        <f t="shared" si="11"/>
        <v>34606</v>
      </c>
      <c r="CI169">
        <f t="shared" si="12"/>
        <v>3</v>
      </c>
      <c r="CJ169">
        <f t="shared" si="13"/>
        <v>1263389.2273635853</v>
      </c>
      <c r="CK169">
        <f t="shared" si="14"/>
        <v>109.52342605590809</v>
      </c>
    </row>
    <row r="170" spans="1:89">
      <c r="A170">
        <v>74004</v>
      </c>
      <c r="B170" t="s">
        <v>1302</v>
      </c>
      <c r="C170">
        <v>45.634761810302699</v>
      </c>
      <c r="D170" t="s">
        <v>1303</v>
      </c>
      <c r="E170">
        <v>1986</v>
      </c>
      <c r="F170" t="s">
        <v>1320</v>
      </c>
      <c r="G170" t="s">
        <v>167</v>
      </c>
      <c r="H170">
        <v>98125</v>
      </c>
      <c r="I170" t="s">
        <v>1321</v>
      </c>
      <c r="K170" t="s">
        <v>1306</v>
      </c>
      <c r="L170">
        <v>24</v>
      </c>
      <c r="M170">
        <v>3</v>
      </c>
      <c r="N170">
        <v>0</v>
      </c>
      <c r="O170">
        <v>3</v>
      </c>
      <c r="P170">
        <v>1</v>
      </c>
      <c r="Q170">
        <v>16755</v>
      </c>
      <c r="R170">
        <v>16755</v>
      </c>
      <c r="S170">
        <v>1840</v>
      </c>
      <c r="T170">
        <v>0</v>
      </c>
      <c r="U170">
        <v>0</v>
      </c>
      <c r="V170">
        <v>0</v>
      </c>
      <c r="W170">
        <v>24</v>
      </c>
      <c r="X170">
        <v>0</v>
      </c>
      <c r="Y170">
        <v>8</v>
      </c>
      <c r="Z170" t="b">
        <v>0</v>
      </c>
      <c r="AA170" t="b">
        <v>1</v>
      </c>
      <c r="AB170">
        <v>7.6999998092651403</v>
      </c>
      <c r="AC170">
        <v>21182.236328125</v>
      </c>
      <c r="AD170">
        <v>132249.71875</v>
      </c>
      <c r="AE170">
        <v>153431.953125</v>
      </c>
      <c r="AI170">
        <v>523509.8125</v>
      </c>
      <c r="AJ170" t="s">
        <v>271</v>
      </c>
      <c r="AK170">
        <v>0</v>
      </c>
      <c r="AL170">
        <v>44</v>
      </c>
      <c r="AM170">
        <v>0</v>
      </c>
      <c r="AN170">
        <v>1</v>
      </c>
      <c r="AO170">
        <v>0</v>
      </c>
      <c r="AP170">
        <v>14</v>
      </c>
      <c r="AQ170">
        <v>0</v>
      </c>
      <c r="AR170">
        <v>0</v>
      </c>
      <c r="AS170">
        <v>41</v>
      </c>
      <c r="AT170" t="b">
        <v>1</v>
      </c>
      <c r="AU170">
        <v>3</v>
      </c>
      <c r="AV170">
        <v>3</v>
      </c>
      <c r="AW170">
        <v>0</v>
      </c>
      <c r="AX170" t="b">
        <v>0</v>
      </c>
      <c r="AY170" t="b">
        <v>0</v>
      </c>
      <c r="AZ170" t="b">
        <v>0</v>
      </c>
      <c r="BA170" t="b">
        <v>0</v>
      </c>
      <c r="BB170" t="s">
        <v>268</v>
      </c>
      <c r="BC170" t="s">
        <v>271</v>
      </c>
      <c r="BD170" t="s">
        <v>268</v>
      </c>
      <c r="BE170" t="s">
        <v>1307</v>
      </c>
      <c r="BF170" t="s">
        <v>1308</v>
      </c>
      <c r="BG170" t="s">
        <v>1309</v>
      </c>
      <c r="BH170" t="s">
        <v>1336</v>
      </c>
      <c r="BI170" t="s">
        <v>1322</v>
      </c>
      <c r="BJ170" t="b">
        <v>0</v>
      </c>
      <c r="BK170" t="b">
        <v>1</v>
      </c>
      <c r="BL170" t="b">
        <v>0</v>
      </c>
      <c r="BM170" t="b">
        <v>0</v>
      </c>
      <c r="BN170" t="b">
        <v>0</v>
      </c>
      <c r="BO170" t="b">
        <v>0</v>
      </c>
      <c r="BP170">
        <v>3</v>
      </c>
      <c r="BQ170">
        <v>25</v>
      </c>
      <c r="BR170">
        <v>0</v>
      </c>
      <c r="BS170">
        <v>0</v>
      </c>
      <c r="BT170" t="b">
        <v>1</v>
      </c>
      <c r="BU170">
        <v>0</v>
      </c>
      <c r="BV170">
        <v>23</v>
      </c>
      <c r="BW170">
        <v>5870</v>
      </c>
      <c r="BX170">
        <v>1</v>
      </c>
      <c r="BY170" t="s">
        <v>271</v>
      </c>
      <c r="BZ170" t="s">
        <v>268</v>
      </c>
      <c r="CA170" t="s">
        <v>268</v>
      </c>
      <c r="CB170" t="s">
        <v>268</v>
      </c>
      <c r="CC170" t="s">
        <v>1312</v>
      </c>
      <c r="CD170" t="s">
        <v>1313</v>
      </c>
      <c r="CE170" t="s">
        <v>1333</v>
      </c>
      <c r="CF170" t="s">
        <v>1315</v>
      </c>
      <c r="CG170">
        <f t="shared" si="10"/>
        <v>45.634761810302699</v>
      </c>
      <c r="CH170">
        <f t="shared" si="11"/>
        <v>16755</v>
      </c>
      <c r="CI170">
        <f t="shared" si="12"/>
        <v>3</v>
      </c>
      <c r="CJ170">
        <f t="shared" si="13"/>
        <v>764610.43413162173</v>
      </c>
      <c r="CK170">
        <f t="shared" si="14"/>
        <v>136.90428543090809</v>
      </c>
    </row>
    <row r="171" spans="1:89">
      <c r="A171">
        <v>74005</v>
      </c>
      <c r="B171" t="s">
        <v>1302</v>
      </c>
      <c r="C171">
        <v>40.564231872558601</v>
      </c>
      <c r="D171" t="s">
        <v>1324</v>
      </c>
      <c r="E171">
        <v>1963</v>
      </c>
      <c r="F171" t="s">
        <v>1442</v>
      </c>
      <c r="G171" t="s">
        <v>167</v>
      </c>
      <c r="H171">
        <v>98155</v>
      </c>
      <c r="I171" t="s">
        <v>1321</v>
      </c>
      <c r="J171" t="s">
        <v>1317</v>
      </c>
      <c r="K171" t="s">
        <v>1306</v>
      </c>
      <c r="L171">
        <v>27</v>
      </c>
      <c r="M171">
        <v>3</v>
      </c>
      <c r="N171">
        <v>0</v>
      </c>
      <c r="O171">
        <v>3</v>
      </c>
      <c r="P171">
        <v>0</v>
      </c>
      <c r="Q171">
        <v>33800</v>
      </c>
      <c r="R171">
        <v>33800</v>
      </c>
      <c r="S171">
        <v>313</v>
      </c>
      <c r="T171">
        <v>0</v>
      </c>
      <c r="U171">
        <v>0</v>
      </c>
      <c r="V171">
        <v>22</v>
      </c>
      <c r="W171">
        <v>5</v>
      </c>
      <c r="X171">
        <v>0</v>
      </c>
      <c r="Y171">
        <v>0</v>
      </c>
      <c r="Z171" t="b">
        <v>0</v>
      </c>
      <c r="AA171" t="b">
        <v>1</v>
      </c>
      <c r="AB171">
        <v>7.75</v>
      </c>
      <c r="AD171">
        <v>216793.84375</v>
      </c>
      <c r="AE171">
        <v>216793.84375</v>
      </c>
      <c r="AH171">
        <v>45.126453399658203</v>
      </c>
      <c r="AI171">
        <v>744213.25</v>
      </c>
      <c r="AJ171" t="s">
        <v>268</v>
      </c>
      <c r="AK171">
        <v>0</v>
      </c>
      <c r="AL171">
        <v>3</v>
      </c>
      <c r="AM171">
        <v>58</v>
      </c>
      <c r="AN171">
        <v>8</v>
      </c>
      <c r="AO171">
        <v>0</v>
      </c>
      <c r="AP171">
        <v>0</v>
      </c>
      <c r="AQ171">
        <v>0</v>
      </c>
      <c r="AR171">
        <v>31</v>
      </c>
      <c r="AS171">
        <v>0</v>
      </c>
      <c r="AT171" t="b">
        <v>1</v>
      </c>
      <c r="AU171">
        <v>4</v>
      </c>
      <c r="AV171">
        <v>5</v>
      </c>
      <c r="AW171">
        <v>0</v>
      </c>
      <c r="AX171" t="b">
        <v>0</v>
      </c>
      <c r="AY171" t="b">
        <v>0</v>
      </c>
      <c r="AZ171" t="b">
        <v>1</v>
      </c>
      <c r="BA171" t="b">
        <v>0</v>
      </c>
      <c r="BB171" t="s">
        <v>268</v>
      </c>
      <c r="BC171" t="s">
        <v>268</v>
      </c>
      <c r="BD171" t="s">
        <v>268</v>
      </c>
      <c r="BE171" t="s">
        <v>1307</v>
      </c>
      <c r="BF171" t="s">
        <v>1308</v>
      </c>
      <c r="BG171" t="s">
        <v>1309</v>
      </c>
      <c r="BH171" t="s">
        <v>1310</v>
      </c>
      <c r="BI171" t="s">
        <v>1322</v>
      </c>
      <c r="BJ171" t="b">
        <v>1</v>
      </c>
      <c r="BK171" t="b">
        <v>1</v>
      </c>
      <c r="BL171" t="b">
        <v>1</v>
      </c>
      <c r="BM171" t="b">
        <v>0</v>
      </c>
      <c r="BN171" t="b">
        <v>0</v>
      </c>
      <c r="BO171" t="b">
        <v>0</v>
      </c>
      <c r="BP171">
        <v>1</v>
      </c>
      <c r="BQ171">
        <v>28</v>
      </c>
      <c r="BR171">
        <v>1</v>
      </c>
      <c r="BS171">
        <v>1</v>
      </c>
      <c r="BT171" t="b">
        <v>1</v>
      </c>
      <c r="BU171">
        <v>0</v>
      </c>
      <c r="BV171">
        <v>43</v>
      </c>
      <c r="BW171">
        <v>18275</v>
      </c>
      <c r="BX171">
        <v>0</v>
      </c>
      <c r="BY171" t="s">
        <v>268</v>
      </c>
      <c r="BZ171" t="s">
        <v>268</v>
      </c>
      <c r="CA171" t="s">
        <v>268</v>
      </c>
      <c r="CB171" t="s">
        <v>271</v>
      </c>
      <c r="CC171" t="s">
        <v>1312</v>
      </c>
      <c r="CD171" t="s">
        <v>1313</v>
      </c>
      <c r="CE171" t="s">
        <v>1330</v>
      </c>
      <c r="CF171" t="s">
        <v>1315</v>
      </c>
      <c r="CG171">
        <f t="shared" si="10"/>
        <v>40.564231872558601</v>
      </c>
      <c r="CH171">
        <f t="shared" si="11"/>
        <v>33800</v>
      </c>
      <c r="CI171">
        <f t="shared" si="12"/>
        <v>3</v>
      </c>
      <c r="CJ171">
        <f t="shared" si="13"/>
        <v>1371071.0372924807</v>
      </c>
      <c r="CK171">
        <f t="shared" si="14"/>
        <v>121.69269561767581</v>
      </c>
    </row>
    <row r="172" spans="1:89">
      <c r="A172">
        <v>74006</v>
      </c>
      <c r="B172" t="s">
        <v>1302</v>
      </c>
      <c r="C172">
        <v>47.6188774108887</v>
      </c>
      <c r="D172" t="s">
        <v>1324</v>
      </c>
      <c r="E172">
        <v>1968</v>
      </c>
      <c r="F172" t="s">
        <v>1369</v>
      </c>
      <c r="G172" t="s">
        <v>167</v>
      </c>
      <c r="H172">
        <v>98148</v>
      </c>
      <c r="I172" t="s">
        <v>1321</v>
      </c>
      <c r="K172" t="s">
        <v>1306</v>
      </c>
      <c r="L172">
        <v>23</v>
      </c>
      <c r="M172">
        <v>2</v>
      </c>
      <c r="N172">
        <v>0</v>
      </c>
      <c r="O172">
        <v>2</v>
      </c>
      <c r="P172">
        <v>0</v>
      </c>
      <c r="Q172">
        <v>14292</v>
      </c>
      <c r="R172">
        <v>14292</v>
      </c>
      <c r="S172">
        <v>575</v>
      </c>
      <c r="T172">
        <v>0</v>
      </c>
      <c r="U172">
        <v>0</v>
      </c>
      <c r="V172">
        <v>12</v>
      </c>
      <c r="W172">
        <v>11</v>
      </c>
      <c r="X172">
        <v>0</v>
      </c>
      <c r="Y172">
        <v>17</v>
      </c>
      <c r="Z172" t="b">
        <v>0</v>
      </c>
      <c r="AA172" t="b">
        <v>1</v>
      </c>
      <c r="AB172">
        <v>8</v>
      </c>
      <c r="AC172">
        <v>42276.8828125</v>
      </c>
      <c r="AD172">
        <v>159902.71875</v>
      </c>
      <c r="AE172">
        <v>202179.59375</v>
      </c>
      <c r="AI172">
        <v>689836.75</v>
      </c>
      <c r="AJ172" t="s">
        <v>268</v>
      </c>
      <c r="AK172">
        <v>0</v>
      </c>
      <c r="AL172">
        <v>64</v>
      </c>
      <c r="AM172">
        <v>0</v>
      </c>
      <c r="AN172">
        <v>0</v>
      </c>
      <c r="AO172">
        <v>0</v>
      </c>
      <c r="AP172">
        <v>0</v>
      </c>
      <c r="AQ172">
        <v>0</v>
      </c>
      <c r="AR172">
        <v>0</v>
      </c>
      <c r="AS172">
        <v>36</v>
      </c>
      <c r="AT172" t="b">
        <v>1</v>
      </c>
      <c r="AU172">
        <v>5</v>
      </c>
      <c r="AV172">
        <v>4</v>
      </c>
      <c r="AW172">
        <v>0</v>
      </c>
      <c r="AX172" t="b">
        <v>0</v>
      </c>
      <c r="AY172" t="b">
        <v>0</v>
      </c>
      <c r="AZ172" t="b">
        <v>0</v>
      </c>
      <c r="BA172" t="b">
        <v>0</v>
      </c>
      <c r="BB172" t="s">
        <v>268</v>
      </c>
      <c r="BC172" t="s">
        <v>268</v>
      </c>
      <c r="BD172" t="s">
        <v>268</v>
      </c>
      <c r="BE172" t="s">
        <v>1307</v>
      </c>
      <c r="BF172" t="s">
        <v>1308</v>
      </c>
      <c r="BG172" t="s">
        <v>1309</v>
      </c>
      <c r="BH172" t="s">
        <v>1310</v>
      </c>
      <c r="BI172" t="s">
        <v>1322</v>
      </c>
      <c r="BJ172" t="b">
        <v>0</v>
      </c>
      <c r="BK172" t="b">
        <v>1</v>
      </c>
      <c r="BL172" t="b">
        <v>0</v>
      </c>
      <c r="BM172" t="b">
        <v>0</v>
      </c>
      <c r="BN172" t="b">
        <v>0</v>
      </c>
      <c r="BO172" t="b">
        <v>0</v>
      </c>
      <c r="BP172">
        <v>1</v>
      </c>
      <c r="BQ172">
        <v>24</v>
      </c>
      <c r="BR172">
        <v>0</v>
      </c>
      <c r="BS172">
        <v>0</v>
      </c>
      <c r="BT172" t="b">
        <v>1</v>
      </c>
      <c r="BU172">
        <v>0</v>
      </c>
      <c r="BV172">
        <v>41</v>
      </c>
      <c r="BW172">
        <v>17425</v>
      </c>
      <c r="BX172">
        <v>0</v>
      </c>
      <c r="BY172" t="s">
        <v>268</v>
      </c>
      <c r="BZ172" t="s">
        <v>268</v>
      </c>
      <c r="CA172" t="s">
        <v>268</v>
      </c>
      <c r="CB172" t="s">
        <v>271</v>
      </c>
      <c r="CC172" t="s">
        <v>1319</v>
      </c>
      <c r="CD172" t="s">
        <v>1313</v>
      </c>
      <c r="CE172" t="s">
        <v>1327</v>
      </c>
      <c r="CF172" t="s">
        <v>1315</v>
      </c>
      <c r="CG172">
        <f t="shared" si="10"/>
        <v>47.6188774108887</v>
      </c>
      <c r="CH172">
        <f t="shared" si="11"/>
        <v>14292</v>
      </c>
      <c r="CI172">
        <f t="shared" si="12"/>
        <v>2</v>
      </c>
      <c r="CJ172">
        <f t="shared" si="13"/>
        <v>680568.99595642125</v>
      </c>
      <c r="CK172">
        <f t="shared" si="14"/>
        <v>95.237754821777401</v>
      </c>
    </row>
    <row r="173" spans="1:89">
      <c r="A173">
        <v>74007</v>
      </c>
      <c r="B173" t="s">
        <v>1331</v>
      </c>
      <c r="C173">
        <v>45.634761810302699</v>
      </c>
      <c r="D173" t="s">
        <v>1334</v>
      </c>
      <c r="E173">
        <v>1979</v>
      </c>
      <c r="F173" t="s">
        <v>1320</v>
      </c>
      <c r="G173" t="s">
        <v>167</v>
      </c>
      <c r="H173">
        <v>98168</v>
      </c>
      <c r="I173" t="s">
        <v>1321</v>
      </c>
      <c r="J173" t="s">
        <v>1317</v>
      </c>
      <c r="K173" t="s">
        <v>1306</v>
      </c>
      <c r="L173">
        <v>24</v>
      </c>
      <c r="M173">
        <v>4</v>
      </c>
      <c r="N173">
        <v>0</v>
      </c>
      <c r="O173">
        <v>4</v>
      </c>
      <c r="P173">
        <v>1</v>
      </c>
      <c r="Q173">
        <v>38787</v>
      </c>
      <c r="R173">
        <v>38787</v>
      </c>
      <c r="S173">
        <v>1347</v>
      </c>
      <c r="T173">
        <v>0</v>
      </c>
      <c r="U173">
        <v>0</v>
      </c>
      <c r="V173">
        <v>24</v>
      </c>
      <c r="W173">
        <v>0</v>
      </c>
      <c r="X173">
        <v>0</v>
      </c>
      <c r="Y173">
        <v>0</v>
      </c>
      <c r="Z173" t="b">
        <v>0</v>
      </c>
      <c r="AA173" t="b">
        <v>1</v>
      </c>
      <c r="AB173">
        <v>8</v>
      </c>
      <c r="AC173">
        <v>10542.453125</v>
      </c>
      <c r="AD173">
        <v>179524.8125</v>
      </c>
      <c r="AE173">
        <v>190067.265625</v>
      </c>
      <c r="AH173">
        <v>3842.505859375</v>
      </c>
      <c r="AI173">
        <v>1032760.125</v>
      </c>
      <c r="AJ173" t="s">
        <v>268</v>
      </c>
      <c r="AK173">
        <v>0</v>
      </c>
      <c r="AL173">
        <v>67</v>
      </c>
      <c r="AM173">
        <v>0</v>
      </c>
      <c r="AN173">
        <v>9</v>
      </c>
      <c r="AO173">
        <v>0</v>
      </c>
      <c r="AP173">
        <v>6</v>
      </c>
      <c r="AQ173">
        <v>0</v>
      </c>
      <c r="AR173">
        <v>0</v>
      </c>
      <c r="AS173">
        <v>18</v>
      </c>
      <c r="AT173" t="b">
        <v>1</v>
      </c>
      <c r="AU173">
        <v>0</v>
      </c>
      <c r="AV173">
        <v>0</v>
      </c>
      <c r="AW173">
        <v>1</v>
      </c>
      <c r="AX173" t="b">
        <v>0</v>
      </c>
      <c r="AY173" t="b">
        <v>0</v>
      </c>
      <c r="AZ173" t="b">
        <v>0</v>
      </c>
      <c r="BA173" t="b">
        <v>0</v>
      </c>
      <c r="BB173" t="s">
        <v>268</v>
      </c>
      <c r="BC173" t="s">
        <v>268</v>
      </c>
      <c r="BD173" t="s">
        <v>271</v>
      </c>
      <c r="BE173" t="s">
        <v>1432</v>
      </c>
      <c r="BF173" t="s">
        <v>1308</v>
      </c>
      <c r="BG173" t="s">
        <v>1309</v>
      </c>
      <c r="BH173" t="s">
        <v>1343</v>
      </c>
      <c r="BI173" t="s">
        <v>1311</v>
      </c>
      <c r="BJ173" t="b">
        <v>1</v>
      </c>
      <c r="BK173" t="b">
        <v>1</v>
      </c>
      <c r="BL173" t="b">
        <v>1</v>
      </c>
      <c r="BM173" t="b">
        <v>0</v>
      </c>
      <c r="BN173" t="b">
        <v>0</v>
      </c>
      <c r="BO173" t="b">
        <v>0</v>
      </c>
      <c r="BP173">
        <v>1</v>
      </c>
      <c r="BQ173">
        <v>25</v>
      </c>
      <c r="BR173">
        <v>1</v>
      </c>
      <c r="BS173">
        <v>1</v>
      </c>
      <c r="BT173" t="b">
        <v>1</v>
      </c>
      <c r="BU173">
        <v>0</v>
      </c>
      <c r="BV173">
        <v>44</v>
      </c>
      <c r="BW173">
        <v>14150</v>
      </c>
      <c r="BX173">
        <v>0</v>
      </c>
      <c r="BY173" t="s">
        <v>268</v>
      </c>
      <c r="BZ173" t="s">
        <v>268</v>
      </c>
      <c r="CA173" t="s">
        <v>271</v>
      </c>
      <c r="CB173" t="s">
        <v>271</v>
      </c>
      <c r="CC173" t="s">
        <v>1319</v>
      </c>
      <c r="CD173" t="s">
        <v>1313</v>
      </c>
      <c r="CE173" t="s">
        <v>1357</v>
      </c>
      <c r="CF173" t="s">
        <v>1315</v>
      </c>
      <c r="CG173" t="str">
        <f t="shared" si="10"/>
        <v/>
      </c>
      <c r="CH173" t="str">
        <f t="shared" si="11"/>
        <v/>
      </c>
      <c r="CI173" t="str">
        <f t="shared" si="12"/>
        <v/>
      </c>
      <c r="CJ173" t="str">
        <f t="shared" si="13"/>
        <v/>
      </c>
      <c r="CK173" t="str">
        <f t="shared" si="14"/>
        <v/>
      </c>
    </row>
    <row r="174" spans="1:89">
      <c r="A174">
        <v>74008</v>
      </c>
      <c r="B174" t="s">
        <v>1331</v>
      </c>
      <c r="C174">
        <v>33.188915252685497</v>
      </c>
      <c r="D174" t="s">
        <v>1340</v>
      </c>
      <c r="E174">
        <v>1992</v>
      </c>
      <c r="F174" t="s">
        <v>1320</v>
      </c>
      <c r="G174" t="s">
        <v>167</v>
      </c>
      <c r="H174">
        <v>98102</v>
      </c>
      <c r="I174" t="s">
        <v>1321</v>
      </c>
      <c r="K174" t="s">
        <v>1306</v>
      </c>
      <c r="L174">
        <v>33</v>
      </c>
      <c r="M174">
        <v>2.5</v>
      </c>
      <c r="N174">
        <v>1.5</v>
      </c>
      <c r="O174">
        <v>4</v>
      </c>
      <c r="P174">
        <v>0</v>
      </c>
      <c r="Q174">
        <v>28804</v>
      </c>
      <c r="R174">
        <v>25504</v>
      </c>
      <c r="S174">
        <v>3558</v>
      </c>
      <c r="T174">
        <v>0</v>
      </c>
      <c r="U174">
        <v>0</v>
      </c>
      <c r="V174">
        <v>5</v>
      </c>
      <c r="W174">
        <v>14</v>
      </c>
      <c r="X174">
        <v>14</v>
      </c>
      <c r="Y174">
        <v>0</v>
      </c>
      <c r="Z174" t="b">
        <v>1</v>
      </c>
      <c r="AA174" t="b">
        <v>1</v>
      </c>
      <c r="AB174">
        <v>8</v>
      </c>
      <c r="AC174">
        <v>41982.5</v>
      </c>
      <c r="AD174">
        <v>169382</v>
      </c>
      <c r="AE174">
        <v>211364.5</v>
      </c>
      <c r="AI174">
        <v>721175.6875</v>
      </c>
      <c r="AJ174" t="s">
        <v>271</v>
      </c>
      <c r="AK174">
        <v>3300</v>
      </c>
      <c r="AL174">
        <v>25</v>
      </c>
      <c r="AM174">
        <v>0</v>
      </c>
      <c r="AN174">
        <v>15</v>
      </c>
      <c r="AO174">
        <v>0</v>
      </c>
      <c r="AP174">
        <v>12</v>
      </c>
      <c r="AQ174">
        <v>0</v>
      </c>
      <c r="AR174">
        <v>0</v>
      </c>
      <c r="AS174">
        <v>48</v>
      </c>
      <c r="AT174" t="b">
        <v>1</v>
      </c>
      <c r="AU174">
        <v>0</v>
      </c>
      <c r="AV174">
        <v>0</v>
      </c>
      <c r="AW174">
        <v>1</v>
      </c>
      <c r="AX174" t="b">
        <v>0</v>
      </c>
      <c r="AY174" t="b">
        <v>0</v>
      </c>
      <c r="AZ174" t="b">
        <v>0</v>
      </c>
      <c r="BA174" t="b">
        <v>0</v>
      </c>
      <c r="BB174" t="s">
        <v>268</v>
      </c>
      <c r="BC174" t="s">
        <v>271</v>
      </c>
      <c r="BD174" t="s">
        <v>268</v>
      </c>
      <c r="BE174" t="s">
        <v>1307</v>
      </c>
      <c r="BF174" t="s">
        <v>1308</v>
      </c>
      <c r="BG174" t="s">
        <v>1309</v>
      </c>
      <c r="BH174" t="s">
        <v>1310</v>
      </c>
      <c r="BI174" t="s">
        <v>1311</v>
      </c>
      <c r="BJ174" t="b">
        <v>0</v>
      </c>
      <c r="BK174" t="b">
        <v>1</v>
      </c>
      <c r="BL174" t="b">
        <v>0</v>
      </c>
      <c r="BM174" t="b">
        <v>0</v>
      </c>
      <c r="BN174" t="b">
        <v>0</v>
      </c>
      <c r="BO174" t="b">
        <v>0</v>
      </c>
      <c r="BP174">
        <v>1</v>
      </c>
      <c r="BQ174">
        <v>37</v>
      </c>
      <c r="BR174">
        <v>0</v>
      </c>
      <c r="BS174">
        <v>0</v>
      </c>
      <c r="BT174" t="b">
        <v>1</v>
      </c>
      <c r="BU174">
        <v>0</v>
      </c>
      <c r="BV174">
        <v>33</v>
      </c>
      <c r="BW174">
        <v>8297</v>
      </c>
      <c r="BX174">
        <v>2</v>
      </c>
      <c r="BY174" t="s">
        <v>271</v>
      </c>
      <c r="BZ174" t="s">
        <v>268</v>
      </c>
      <c r="CA174" t="s">
        <v>268</v>
      </c>
      <c r="CB174" t="s">
        <v>271</v>
      </c>
      <c r="CC174" t="s">
        <v>1312</v>
      </c>
      <c r="CD174" t="s">
        <v>1313</v>
      </c>
      <c r="CE174" t="s">
        <v>1333</v>
      </c>
      <c r="CF174" t="s">
        <v>1315</v>
      </c>
      <c r="CG174" t="str">
        <f t="shared" si="10"/>
        <v/>
      </c>
      <c r="CH174" t="str">
        <f t="shared" si="11"/>
        <v/>
      </c>
      <c r="CI174" t="str">
        <f t="shared" si="12"/>
        <v/>
      </c>
      <c r="CJ174" t="str">
        <f t="shared" si="13"/>
        <v/>
      </c>
      <c r="CK174" t="str">
        <f t="shared" si="14"/>
        <v/>
      </c>
    </row>
    <row r="175" spans="1:89">
      <c r="A175">
        <v>74009</v>
      </c>
      <c r="B175" t="s">
        <v>1331</v>
      </c>
      <c r="C175">
        <v>34.226070404052699</v>
      </c>
      <c r="D175" t="s">
        <v>1303</v>
      </c>
      <c r="E175">
        <v>1985</v>
      </c>
      <c r="F175" t="s">
        <v>1320</v>
      </c>
      <c r="G175" t="s">
        <v>167</v>
      </c>
      <c r="H175">
        <v>98107</v>
      </c>
      <c r="I175" t="s">
        <v>1321</v>
      </c>
      <c r="K175" t="s">
        <v>1306</v>
      </c>
      <c r="L175">
        <v>32</v>
      </c>
      <c r="M175">
        <v>4</v>
      </c>
      <c r="N175">
        <v>0</v>
      </c>
      <c r="O175">
        <v>4</v>
      </c>
      <c r="P175">
        <v>0</v>
      </c>
      <c r="Q175">
        <v>33178</v>
      </c>
      <c r="R175">
        <v>33178</v>
      </c>
      <c r="S175">
        <v>2682</v>
      </c>
      <c r="T175">
        <v>0</v>
      </c>
      <c r="U175">
        <v>0</v>
      </c>
      <c r="V175">
        <v>23</v>
      </c>
      <c r="W175">
        <v>8</v>
      </c>
      <c r="X175">
        <v>1</v>
      </c>
      <c r="Y175">
        <v>0</v>
      </c>
      <c r="Z175" t="b">
        <v>0</v>
      </c>
      <c r="AA175" t="b">
        <v>1</v>
      </c>
      <c r="AB175">
        <v>8</v>
      </c>
      <c r="AC175">
        <v>38675.58984375</v>
      </c>
      <c r="AD175">
        <v>305762.6875</v>
      </c>
      <c r="AE175">
        <v>344438.28125</v>
      </c>
      <c r="AI175">
        <v>1175223.375</v>
      </c>
      <c r="AJ175" t="s">
        <v>268</v>
      </c>
      <c r="AK175">
        <v>0</v>
      </c>
      <c r="AL175">
        <v>2</v>
      </c>
      <c r="AM175">
        <v>0</v>
      </c>
      <c r="AN175">
        <v>31</v>
      </c>
      <c r="AO175">
        <v>0</v>
      </c>
      <c r="AP175">
        <v>0</v>
      </c>
      <c r="AQ175">
        <v>0</v>
      </c>
      <c r="AR175">
        <v>45</v>
      </c>
      <c r="AS175">
        <v>22</v>
      </c>
      <c r="AT175" t="b">
        <v>1</v>
      </c>
      <c r="AU175">
        <v>0</v>
      </c>
      <c r="AV175">
        <v>0</v>
      </c>
      <c r="AW175">
        <v>1</v>
      </c>
      <c r="AX175" t="b">
        <v>0</v>
      </c>
      <c r="AY175" t="b">
        <v>0</v>
      </c>
      <c r="AZ175" t="b">
        <v>0</v>
      </c>
      <c r="BA175" t="b">
        <v>0</v>
      </c>
      <c r="BB175" t="s">
        <v>268</v>
      </c>
      <c r="BC175" t="s">
        <v>268</v>
      </c>
      <c r="BD175" t="s">
        <v>268</v>
      </c>
      <c r="BE175" t="s">
        <v>1307</v>
      </c>
      <c r="BF175" t="s">
        <v>1308</v>
      </c>
      <c r="BG175" t="s">
        <v>1309</v>
      </c>
      <c r="BH175" t="s">
        <v>1310</v>
      </c>
      <c r="BI175" t="s">
        <v>1311</v>
      </c>
      <c r="BJ175" t="b">
        <v>0</v>
      </c>
      <c r="BK175" t="b">
        <v>1</v>
      </c>
      <c r="BL175" t="b">
        <v>0</v>
      </c>
      <c r="BM175" t="b">
        <v>0</v>
      </c>
      <c r="BN175" t="b">
        <v>0</v>
      </c>
      <c r="BO175" t="b">
        <v>0</v>
      </c>
      <c r="BP175">
        <v>1</v>
      </c>
      <c r="BQ175">
        <v>34</v>
      </c>
      <c r="BR175">
        <v>0</v>
      </c>
      <c r="BS175">
        <v>0</v>
      </c>
      <c r="BT175" t="b">
        <v>1</v>
      </c>
      <c r="BU175">
        <v>0</v>
      </c>
      <c r="BV175">
        <v>33</v>
      </c>
      <c r="BW175">
        <v>8180</v>
      </c>
      <c r="BX175">
        <v>1</v>
      </c>
      <c r="BY175" t="s">
        <v>271</v>
      </c>
      <c r="BZ175" t="s">
        <v>268</v>
      </c>
      <c r="CA175" t="s">
        <v>268</v>
      </c>
      <c r="CB175" t="s">
        <v>268</v>
      </c>
      <c r="CC175" t="s">
        <v>1312</v>
      </c>
      <c r="CD175" t="s">
        <v>1313</v>
      </c>
      <c r="CE175" t="s">
        <v>1333</v>
      </c>
      <c r="CF175" t="s">
        <v>1315</v>
      </c>
      <c r="CG175" t="str">
        <f t="shared" si="10"/>
        <v/>
      </c>
      <c r="CH175" t="str">
        <f t="shared" si="11"/>
        <v/>
      </c>
      <c r="CI175" t="str">
        <f t="shared" si="12"/>
        <v/>
      </c>
      <c r="CJ175" t="str">
        <f t="shared" si="13"/>
        <v/>
      </c>
      <c r="CK175" t="str">
        <f t="shared" si="14"/>
        <v/>
      </c>
    </row>
    <row r="176" spans="1:89">
      <c r="A176">
        <v>74010</v>
      </c>
      <c r="B176" t="s">
        <v>1331</v>
      </c>
      <c r="C176">
        <v>31.292406082153299</v>
      </c>
      <c r="D176" t="s">
        <v>1303</v>
      </c>
      <c r="E176">
        <v>1989</v>
      </c>
      <c r="F176" t="s">
        <v>1320</v>
      </c>
      <c r="G176" t="s">
        <v>167</v>
      </c>
      <c r="H176">
        <v>98106</v>
      </c>
      <c r="I176" t="s">
        <v>1321</v>
      </c>
      <c r="K176" t="s">
        <v>1306</v>
      </c>
      <c r="L176">
        <v>35</v>
      </c>
      <c r="M176">
        <v>4</v>
      </c>
      <c r="N176">
        <v>0</v>
      </c>
      <c r="O176">
        <v>4</v>
      </c>
      <c r="P176">
        <v>0</v>
      </c>
      <c r="Q176">
        <v>34272</v>
      </c>
      <c r="R176">
        <v>34272</v>
      </c>
      <c r="S176">
        <v>4686</v>
      </c>
      <c r="T176">
        <v>0</v>
      </c>
      <c r="U176">
        <v>0</v>
      </c>
      <c r="V176">
        <v>16</v>
      </c>
      <c r="W176">
        <v>19</v>
      </c>
      <c r="X176">
        <v>0</v>
      </c>
      <c r="Y176">
        <v>2</v>
      </c>
      <c r="Z176" t="b">
        <v>0</v>
      </c>
      <c r="AA176" t="b">
        <v>1</v>
      </c>
      <c r="AB176">
        <v>8</v>
      </c>
      <c r="AC176">
        <v>146872.09375</v>
      </c>
      <c r="AD176">
        <v>226888.625</v>
      </c>
      <c r="AE176">
        <v>373760.71875</v>
      </c>
      <c r="AI176">
        <v>1275271.625</v>
      </c>
      <c r="AJ176" t="s">
        <v>268</v>
      </c>
      <c r="AK176">
        <v>0</v>
      </c>
      <c r="AL176">
        <v>13</v>
      </c>
      <c r="AM176">
        <v>0</v>
      </c>
      <c r="AN176">
        <v>42</v>
      </c>
      <c r="AO176">
        <v>0</v>
      </c>
      <c r="AP176">
        <v>33</v>
      </c>
      <c r="AQ176">
        <v>0</v>
      </c>
      <c r="AR176">
        <v>0</v>
      </c>
      <c r="AS176">
        <v>12</v>
      </c>
      <c r="AT176" t="b">
        <v>1</v>
      </c>
      <c r="AU176">
        <v>4</v>
      </c>
      <c r="AV176">
        <v>4</v>
      </c>
      <c r="AW176">
        <v>1</v>
      </c>
      <c r="AX176" t="b">
        <v>0</v>
      </c>
      <c r="AY176" t="b">
        <v>0</v>
      </c>
      <c r="AZ176" t="b">
        <v>0</v>
      </c>
      <c r="BA176" t="b">
        <v>0</v>
      </c>
      <c r="BB176" t="s">
        <v>268</v>
      </c>
      <c r="BC176" t="s">
        <v>268</v>
      </c>
      <c r="BD176" t="s">
        <v>268</v>
      </c>
      <c r="BE176" t="s">
        <v>1307</v>
      </c>
      <c r="BF176" t="s">
        <v>1308</v>
      </c>
      <c r="BG176" t="s">
        <v>1309</v>
      </c>
      <c r="BH176" t="s">
        <v>1310</v>
      </c>
      <c r="BI176" t="s">
        <v>1322</v>
      </c>
      <c r="BJ176" t="b">
        <v>0</v>
      </c>
      <c r="BK176" t="b">
        <v>1</v>
      </c>
      <c r="BL176" t="b">
        <v>0</v>
      </c>
      <c r="BM176" t="b">
        <v>0</v>
      </c>
      <c r="BN176" t="b">
        <v>0</v>
      </c>
      <c r="BO176" t="b">
        <v>0</v>
      </c>
      <c r="BP176">
        <v>3</v>
      </c>
      <c r="BQ176">
        <v>39</v>
      </c>
      <c r="BR176">
        <v>0</v>
      </c>
      <c r="BS176">
        <v>0</v>
      </c>
      <c r="BT176" t="b">
        <v>1</v>
      </c>
      <c r="BU176">
        <v>0</v>
      </c>
      <c r="BV176">
        <v>36</v>
      </c>
      <c r="BW176">
        <v>15300</v>
      </c>
      <c r="BX176">
        <v>0</v>
      </c>
      <c r="BY176" t="s">
        <v>268</v>
      </c>
      <c r="BZ176" t="s">
        <v>268</v>
      </c>
      <c r="CA176" t="s">
        <v>268</v>
      </c>
      <c r="CB176" t="s">
        <v>271</v>
      </c>
      <c r="CC176" t="s">
        <v>1312</v>
      </c>
      <c r="CD176" t="s">
        <v>1313</v>
      </c>
      <c r="CE176" t="s">
        <v>1314</v>
      </c>
      <c r="CF176" t="s">
        <v>1315</v>
      </c>
      <c r="CG176" t="str">
        <f t="shared" si="10"/>
        <v/>
      </c>
      <c r="CH176" t="str">
        <f t="shared" si="11"/>
        <v/>
      </c>
      <c r="CI176" t="str">
        <f t="shared" si="12"/>
        <v/>
      </c>
      <c r="CJ176" t="str">
        <f t="shared" si="13"/>
        <v/>
      </c>
      <c r="CK176" t="str">
        <f t="shared" si="14"/>
        <v/>
      </c>
    </row>
    <row r="177" spans="1:89">
      <c r="A177">
        <v>74011</v>
      </c>
      <c r="B177" t="s">
        <v>1302</v>
      </c>
      <c r="C177">
        <v>31.292406082153299</v>
      </c>
      <c r="D177" t="s">
        <v>1324</v>
      </c>
      <c r="E177">
        <v>1968</v>
      </c>
      <c r="F177" t="s">
        <v>1320</v>
      </c>
      <c r="G177" t="s">
        <v>167</v>
      </c>
      <c r="H177">
        <v>98118</v>
      </c>
      <c r="I177" t="s">
        <v>1321</v>
      </c>
      <c r="J177" t="s">
        <v>1317</v>
      </c>
      <c r="K177" t="s">
        <v>1306</v>
      </c>
      <c r="L177">
        <v>35</v>
      </c>
      <c r="M177">
        <v>3</v>
      </c>
      <c r="N177">
        <v>0</v>
      </c>
      <c r="O177">
        <v>3</v>
      </c>
      <c r="P177">
        <v>0</v>
      </c>
      <c r="Q177">
        <v>19560</v>
      </c>
      <c r="R177">
        <v>19560</v>
      </c>
      <c r="S177">
        <v>3726</v>
      </c>
      <c r="T177">
        <v>0</v>
      </c>
      <c r="U177">
        <v>0</v>
      </c>
      <c r="V177">
        <v>0</v>
      </c>
      <c r="W177">
        <v>35</v>
      </c>
      <c r="X177">
        <v>0</v>
      </c>
      <c r="Y177">
        <v>2</v>
      </c>
      <c r="Z177" t="b">
        <v>0</v>
      </c>
      <c r="AA177" t="b">
        <v>1</v>
      </c>
      <c r="AB177">
        <v>8</v>
      </c>
      <c r="AC177">
        <v>114777.4296875</v>
      </c>
      <c r="AD177">
        <v>115894.640625</v>
      </c>
      <c r="AE177">
        <v>230672.0625</v>
      </c>
      <c r="AJ177" t="s">
        <v>268</v>
      </c>
      <c r="AK177">
        <v>0</v>
      </c>
      <c r="AL177">
        <v>49</v>
      </c>
      <c r="AM177">
        <v>0</v>
      </c>
      <c r="AN177">
        <v>3</v>
      </c>
      <c r="AO177">
        <v>0</v>
      </c>
      <c r="AP177">
        <v>0</v>
      </c>
      <c r="AQ177">
        <v>0</v>
      </c>
      <c r="AR177">
        <v>0</v>
      </c>
      <c r="AS177">
        <v>48</v>
      </c>
      <c r="AT177" t="b">
        <v>0</v>
      </c>
      <c r="AU177">
        <v>8</v>
      </c>
      <c r="AV177">
        <v>8</v>
      </c>
      <c r="AW177">
        <v>0</v>
      </c>
      <c r="AX177" t="b">
        <v>0</v>
      </c>
      <c r="AY177" t="b">
        <v>0</v>
      </c>
      <c r="AZ177" t="b">
        <v>1</v>
      </c>
      <c r="BA177" t="b">
        <v>0</v>
      </c>
      <c r="BB177" t="s">
        <v>268</v>
      </c>
      <c r="BC177" t="s">
        <v>268</v>
      </c>
      <c r="BD177" t="s">
        <v>268</v>
      </c>
      <c r="BE177" t="s">
        <v>1307</v>
      </c>
      <c r="BF177" t="s">
        <v>1308</v>
      </c>
      <c r="BG177" t="s">
        <v>1309</v>
      </c>
      <c r="BH177" t="s">
        <v>1310</v>
      </c>
      <c r="BI177" t="s">
        <v>1344</v>
      </c>
      <c r="BJ177" t="b">
        <v>1</v>
      </c>
      <c r="BK177" t="b">
        <v>1</v>
      </c>
      <c r="BL177" t="b">
        <v>1</v>
      </c>
      <c r="BM177" t="b">
        <v>0</v>
      </c>
      <c r="BN177" t="b">
        <v>0</v>
      </c>
      <c r="BO177" t="b">
        <v>0</v>
      </c>
      <c r="BP177">
        <v>1</v>
      </c>
      <c r="BQ177">
        <v>36</v>
      </c>
      <c r="BR177">
        <v>1</v>
      </c>
      <c r="BS177">
        <v>1</v>
      </c>
      <c r="BT177" t="b">
        <v>1</v>
      </c>
      <c r="BU177">
        <v>0</v>
      </c>
      <c r="BV177">
        <v>29</v>
      </c>
      <c r="BW177">
        <v>12325</v>
      </c>
      <c r="BX177">
        <v>0</v>
      </c>
      <c r="BY177" t="s">
        <v>268</v>
      </c>
      <c r="BZ177" t="s">
        <v>268</v>
      </c>
      <c r="CA177" t="s">
        <v>268</v>
      </c>
      <c r="CB177" t="s">
        <v>271</v>
      </c>
      <c r="CC177" t="s">
        <v>1312</v>
      </c>
      <c r="CD177" t="s">
        <v>1313</v>
      </c>
      <c r="CE177" t="s">
        <v>1314</v>
      </c>
      <c r="CF177" t="s">
        <v>1315</v>
      </c>
      <c r="CG177">
        <f t="shared" si="10"/>
        <v>31.292406082153299</v>
      </c>
      <c r="CH177">
        <f t="shared" si="11"/>
        <v>19560</v>
      </c>
      <c r="CI177">
        <f t="shared" si="12"/>
        <v>3</v>
      </c>
      <c r="CJ177">
        <f t="shared" si="13"/>
        <v>612079.46296691848</v>
      </c>
      <c r="CK177">
        <f t="shared" si="14"/>
        <v>93.877218246459904</v>
      </c>
    </row>
    <row r="178" spans="1:89">
      <c r="A178">
        <v>74012</v>
      </c>
      <c r="B178" t="s">
        <v>1331</v>
      </c>
      <c r="C178">
        <v>36.507808685302699</v>
      </c>
      <c r="D178" t="s">
        <v>1334</v>
      </c>
      <c r="E178">
        <v>1973</v>
      </c>
      <c r="F178" t="s">
        <v>1320</v>
      </c>
      <c r="G178" t="s">
        <v>167</v>
      </c>
      <c r="H178">
        <v>98199</v>
      </c>
      <c r="I178" t="s">
        <v>1321</v>
      </c>
      <c r="K178" t="s">
        <v>1306</v>
      </c>
      <c r="L178">
        <v>30</v>
      </c>
      <c r="M178">
        <v>4</v>
      </c>
      <c r="N178">
        <v>0</v>
      </c>
      <c r="O178">
        <v>5</v>
      </c>
      <c r="P178">
        <v>0</v>
      </c>
      <c r="Q178">
        <v>37913</v>
      </c>
      <c r="R178">
        <v>37913</v>
      </c>
      <c r="S178">
        <v>5924</v>
      </c>
      <c r="T178">
        <v>0</v>
      </c>
      <c r="U178">
        <v>0</v>
      </c>
      <c r="V178">
        <v>10</v>
      </c>
      <c r="W178">
        <v>20</v>
      </c>
      <c r="X178">
        <v>0</v>
      </c>
      <c r="Y178">
        <v>10</v>
      </c>
      <c r="Z178" t="b">
        <v>0</v>
      </c>
      <c r="AA178" t="b">
        <v>1</v>
      </c>
      <c r="AB178">
        <v>7.75</v>
      </c>
      <c r="AC178">
        <v>27464.712890625</v>
      </c>
      <c r="AD178">
        <v>225884.1875</v>
      </c>
      <c r="AE178">
        <v>253348.90625</v>
      </c>
      <c r="AI178">
        <v>864426.4375</v>
      </c>
      <c r="AJ178" t="s">
        <v>268</v>
      </c>
      <c r="AK178">
        <v>0</v>
      </c>
      <c r="AL178">
        <v>0</v>
      </c>
      <c r="AM178">
        <v>71</v>
      </c>
      <c r="AN178">
        <v>0</v>
      </c>
      <c r="AO178">
        <v>10</v>
      </c>
      <c r="AP178">
        <v>4</v>
      </c>
      <c r="AQ178">
        <v>4</v>
      </c>
      <c r="AR178">
        <v>11</v>
      </c>
      <c r="AS178">
        <v>0</v>
      </c>
      <c r="AT178" t="b">
        <v>1</v>
      </c>
      <c r="AU178">
        <v>4</v>
      </c>
      <c r="AV178">
        <v>4</v>
      </c>
      <c r="AW178">
        <v>1</v>
      </c>
      <c r="AX178" t="b">
        <v>0</v>
      </c>
      <c r="AY178" t="b">
        <v>0</v>
      </c>
      <c r="AZ178" t="b">
        <v>1</v>
      </c>
      <c r="BA178" t="b">
        <v>1</v>
      </c>
      <c r="BB178" t="s">
        <v>268</v>
      </c>
      <c r="BC178" t="s">
        <v>268</v>
      </c>
      <c r="BD178" t="s">
        <v>268</v>
      </c>
      <c r="BE178" t="s">
        <v>1307</v>
      </c>
      <c r="BF178" t="s">
        <v>1308</v>
      </c>
      <c r="BG178" t="s">
        <v>1309</v>
      </c>
      <c r="BH178" t="s">
        <v>1310</v>
      </c>
      <c r="BI178" t="s">
        <v>1322</v>
      </c>
      <c r="BJ178" t="b">
        <v>0</v>
      </c>
      <c r="BK178" t="b">
        <v>1</v>
      </c>
      <c r="BL178" t="b">
        <v>0</v>
      </c>
      <c r="BM178" t="b">
        <v>0</v>
      </c>
      <c r="BN178" t="b">
        <v>0</v>
      </c>
      <c r="BO178" t="b">
        <v>0</v>
      </c>
      <c r="BP178">
        <v>1</v>
      </c>
      <c r="BQ178">
        <v>33</v>
      </c>
      <c r="BR178">
        <v>0</v>
      </c>
      <c r="BS178">
        <v>0</v>
      </c>
      <c r="BT178" t="b">
        <v>1</v>
      </c>
      <c r="BU178">
        <v>0</v>
      </c>
      <c r="BV178">
        <v>29</v>
      </c>
      <c r="BW178">
        <v>10260</v>
      </c>
      <c r="BX178">
        <v>1</v>
      </c>
      <c r="BY178" t="s">
        <v>271</v>
      </c>
      <c r="BZ178" t="s">
        <v>271</v>
      </c>
      <c r="CA178" t="s">
        <v>268</v>
      </c>
      <c r="CB178" t="s">
        <v>271</v>
      </c>
      <c r="CC178" t="s">
        <v>1312</v>
      </c>
      <c r="CD178" t="s">
        <v>1313</v>
      </c>
      <c r="CE178" t="s">
        <v>1323</v>
      </c>
      <c r="CF178" t="s">
        <v>1315</v>
      </c>
      <c r="CG178" t="str">
        <f t="shared" si="10"/>
        <v/>
      </c>
      <c r="CH178" t="str">
        <f t="shared" si="11"/>
        <v/>
      </c>
      <c r="CI178" t="str">
        <f t="shared" si="12"/>
        <v/>
      </c>
      <c r="CJ178" t="str">
        <f t="shared" si="13"/>
        <v/>
      </c>
      <c r="CK178" t="str">
        <f t="shared" si="14"/>
        <v/>
      </c>
    </row>
    <row r="179" spans="1:89">
      <c r="A179">
        <v>74013</v>
      </c>
      <c r="B179" t="s">
        <v>1331</v>
      </c>
      <c r="C179">
        <v>34.226070404052699</v>
      </c>
      <c r="D179" t="s">
        <v>1338</v>
      </c>
      <c r="E179">
        <v>2005</v>
      </c>
      <c r="F179" t="s">
        <v>1320</v>
      </c>
      <c r="G179" t="s">
        <v>167</v>
      </c>
      <c r="H179">
        <v>98115</v>
      </c>
      <c r="I179" t="s">
        <v>1321</v>
      </c>
      <c r="J179" t="s">
        <v>1317</v>
      </c>
      <c r="K179" t="s">
        <v>1306</v>
      </c>
      <c r="L179">
        <v>32</v>
      </c>
      <c r="M179">
        <v>4</v>
      </c>
      <c r="N179">
        <v>1</v>
      </c>
      <c r="O179">
        <v>4</v>
      </c>
      <c r="P179">
        <v>0</v>
      </c>
      <c r="Q179">
        <v>33869</v>
      </c>
      <c r="R179">
        <v>30375</v>
      </c>
      <c r="S179">
        <v>4977</v>
      </c>
      <c r="T179">
        <v>0</v>
      </c>
      <c r="U179">
        <v>0</v>
      </c>
      <c r="V179">
        <v>13</v>
      </c>
      <c r="W179">
        <v>4</v>
      </c>
      <c r="X179">
        <v>15</v>
      </c>
      <c r="Y179">
        <v>5</v>
      </c>
      <c r="Z179" t="b">
        <v>1</v>
      </c>
      <c r="AA179" t="b">
        <v>1</v>
      </c>
      <c r="AB179">
        <v>9</v>
      </c>
      <c r="AC179">
        <v>57681.96484375</v>
      </c>
      <c r="AD179">
        <v>133461.703125</v>
      </c>
      <c r="AE179">
        <v>191143.671875</v>
      </c>
      <c r="AH179">
        <v>6547.6328125</v>
      </c>
      <c r="AI179">
        <v>1306945.5</v>
      </c>
      <c r="AJ179" t="s">
        <v>271</v>
      </c>
      <c r="AK179">
        <v>3494</v>
      </c>
      <c r="AL179">
        <v>11</v>
      </c>
      <c r="AM179">
        <v>0</v>
      </c>
      <c r="AN179">
        <v>30</v>
      </c>
      <c r="AO179">
        <v>0</v>
      </c>
      <c r="AP179">
        <v>33</v>
      </c>
      <c r="AQ179">
        <v>0</v>
      </c>
      <c r="AR179">
        <v>0</v>
      </c>
      <c r="AS179">
        <v>26</v>
      </c>
      <c r="AT179" t="b">
        <v>0</v>
      </c>
      <c r="AU179">
        <v>0</v>
      </c>
      <c r="AV179">
        <v>0</v>
      </c>
      <c r="AW179">
        <v>1</v>
      </c>
      <c r="AX179" t="b">
        <v>0</v>
      </c>
      <c r="AY179" t="b">
        <v>0</v>
      </c>
      <c r="AZ179" t="b">
        <v>1</v>
      </c>
      <c r="BA179" t="b">
        <v>1</v>
      </c>
      <c r="BB179" t="s">
        <v>268</v>
      </c>
      <c r="BC179" t="s">
        <v>271</v>
      </c>
      <c r="BD179" t="s">
        <v>268</v>
      </c>
      <c r="BE179" t="s">
        <v>1307</v>
      </c>
      <c r="BF179" t="s">
        <v>1308</v>
      </c>
      <c r="BG179" t="s">
        <v>1309</v>
      </c>
      <c r="BH179" t="s">
        <v>1310</v>
      </c>
      <c r="BI179" t="s">
        <v>1344</v>
      </c>
      <c r="BJ179" t="b">
        <v>1</v>
      </c>
      <c r="BK179" t="b">
        <v>1</v>
      </c>
      <c r="BL179" t="b">
        <v>1</v>
      </c>
      <c r="BM179" t="b">
        <v>0</v>
      </c>
      <c r="BN179" t="b">
        <v>0</v>
      </c>
      <c r="BO179" t="b">
        <v>0</v>
      </c>
      <c r="BP179">
        <v>1</v>
      </c>
      <c r="BQ179">
        <v>36</v>
      </c>
      <c r="BR179">
        <v>1</v>
      </c>
      <c r="BS179">
        <v>1</v>
      </c>
      <c r="BT179" t="b">
        <v>1</v>
      </c>
      <c r="BU179">
        <v>0</v>
      </c>
      <c r="BV179">
        <v>42</v>
      </c>
      <c r="BW179">
        <v>11503</v>
      </c>
      <c r="BX179">
        <v>1</v>
      </c>
      <c r="BY179" t="s">
        <v>271</v>
      </c>
      <c r="BZ179" t="s">
        <v>268</v>
      </c>
      <c r="CA179" t="s">
        <v>268</v>
      </c>
      <c r="CB179" t="s">
        <v>268</v>
      </c>
      <c r="CC179" t="s">
        <v>1312</v>
      </c>
      <c r="CD179" t="s">
        <v>1313</v>
      </c>
      <c r="CE179" t="s">
        <v>1333</v>
      </c>
      <c r="CF179" t="s">
        <v>1315</v>
      </c>
      <c r="CG179" t="str">
        <f t="shared" si="10"/>
        <v/>
      </c>
      <c r="CH179" t="str">
        <f t="shared" si="11"/>
        <v/>
      </c>
      <c r="CI179" t="str">
        <f t="shared" si="12"/>
        <v/>
      </c>
      <c r="CJ179" t="str">
        <f t="shared" si="13"/>
        <v/>
      </c>
      <c r="CK179" t="str">
        <f t="shared" si="14"/>
        <v/>
      </c>
    </row>
    <row r="180" spans="1:89">
      <c r="A180">
        <v>74014</v>
      </c>
      <c r="B180" t="s">
        <v>1331</v>
      </c>
      <c r="C180">
        <v>42.124393463134801</v>
      </c>
      <c r="D180" t="s">
        <v>1324</v>
      </c>
      <c r="E180">
        <v>1969</v>
      </c>
      <c r="F180" t="s">
        <v>1320</v>
      </c>
      <c r="G180" t="s">
        <v>167</v>
      </c>
      <c r="H180">
        <v>98125</v>
      </c>
      <c r="I180" t="s">
        <v>1321</v>
      </c>
      <c r="K180" t="s">
        <v>1306</v>
      </c>
      <c r="L180">
        <v>26</v>
      </c>
      <c r="M180">
        <v>4</v>
      </c>
      <c r="N180">
        <v>0</v>
      </c>
      <c r="O180">
        <v>4</v>
      </c>
      <c r="P180">
        <v>0</v>
      </c>
      <c r="Q180">
        <v>21915</v>
      </c>
      <c r="R180">
        <v>21915</v>
      </c>
      <c r="S180">
        <v>4341</v>
      </c>
      <c r="T180">
        <v>0</v>
      </c>
      <c r="U180">
        <v>0</v>
      </c>
      <c r="V180">
        <v>7</v>
      </c>
      <c r="W180">
        <v>19</v>
      </c>
      <c r="X180">
        <v>0</v>
      </c>
      <c r="Y180">
        <v>4</v>
      </c>
      <c r="Z180" t="b">
        <v>0</v>
      </c>
      <c r="AA180" t="b">
        <v>1</v>
      </c>
      <c r="AB180">
        <v>7.75</v>
      </c>
      <c r="AC180">
        <v>31930.416015625</v>
      </c>
      <c r="AD180">
        <v>213452.625</v>
      </c>
      <c r="AE180">
        <v>245383.046875</v>
      </c>
      <c r="AI180">
        <v>837246.9375</v>
      </c>
      <c r="AJ180" t="s">
        <v>271</v>
      </c>
      <c r="AK180">
        <v>0</v>
      </c>
      <c r="AL180">
        <v>14</v>
      </c>
      <c r="AM180">
        <v>0</v>
      </c>
      <c r="AN180">
        <v>17</v>
      </c>
      <c r="AO180">
        <v>0</v>
      </c>
      <c r="AP180">
        <v>47</v>
      </c>
      <c r="AQ180">
        <v>0</v>
      </c>
      <c r="AR180">
        <v>0</v>
      </c>
      <c r="AS180">
        <v>22</v>
      </c>
      <c r="AT180" t="b">
        <v>1</v>
      </c>
      <c r="AU180">
        <v>3</v>
      </c>
      <c r="AV180">
        <v>3</v>
      </c>
      <c r="AW180">
        <v>1</v>
      </c>
      <c r="AX180" t="b">
        <v>0</v>
      </c>
      <c r="AY180" t="b">
        <v>0</v>
      </c>
      <c r="AZ180" t="b">
        <v>1</v>
      </c>
      <c r="BA180" t="b">
        <v>0</v>
      </c>
      <c r="BB180" t="s">
        <v>268</v>
      </c>
      <c r="BC180" t="s">
        <v>268</v>
      </c>
      <c r="BD180" t="s">
        <v>268</v>
      </c>
      <c r="BE180" t="s">
        <v>1307</v>
      </c>
      <c r="BF180" t="s">
        <v>1308</v>
      </c>
      <c r="BG180" t="s">
        <v>1309</v>
      </c>
      <c r="BH180" t="s">
        <v>1310</v>
      </c>
      <c r="BI180" t="s">
        <v>1322</v>
      </c>
      <c r="BJ180" t="b">
        <v>0</v>
      </c>
      <c r="BK180" t="b">
        <v>1</v>
      </c>
      <c r="BL180" t="b">
        <v>0</v>
      </c>
      <c r="BM180" t="b">
        <v>0</v>
      </c>
      <c r="BN180" t="b">
        <v>0</v>
      </c>
      <c r="BO180" t="b">
        <v>0</v>
      </c>
      <c r="BP180">
        <v>1</v>
      </c>
      <c r="BQ180">
        <v>29</v>
      </c>
      <c r="BR180">
        <v>0</v>
      </c>
      <c r="BS180">
        <v>0</v>
      </c>
      <c r="BT180" t="b">
        <v>1</v>
      </c>
      <c r="BU180">
        <v>0</v>
      </c>
      <c r="BV180">
        <v>53</v>
      </c>
      <c r="BW180">
        <v>20421</v>
      </c>
      <c r="BX180">
        <v>1</v>
      </c>
      <c r="BY180" t="s">
        <v>271</v>
      </c>
      <c r="BZ180" t="s">
        <v>268</v>
      </c>
      <c r="CA180" t="s">
        <v>271</v>
      </c>
      <c r="CB180" t="s">
        <v>271</v>
      </c>
      <c r="CC180" t="s">
        <v>1312</v>
      </c>
      <c r="CD180" t="s">
        <v>1313</v>
      </c>
      <c r="CE180" t="s">
        <v>1314</v>
      </c>
      <c r="CF180" t="s">
        <v>1315</v>
      </c>
      <c r="CG180" t="str">
        <f t="shared" si="10"/>
        <v/>
      </c>
      <c r="CH180" t="str">
        <f t="shared" si="11"/>
        <v/>
      </c>
      <c r="CI180" t="str">
        <f t="shared" si="12"/>
        <v/>
      </c>
      <c r="CJ180" t="str">
        <f t="shared" si="13"/>
        <v/>
      </c>
      <c r="CK180" t="str">
        <f t="shared" si="14"/>
        <v/>
      </c>
    </row>
    <row r="181" spans="1:89">
      <c r="A181">
        <v>74015</v>
      </c>
      <c r="B181" t="s">
        <v>1302</v>
      </c>
      <c r="C181">
        <v>40.564231872558601</v>
      </c>
      <c r="D181" t="s">
        <v>1303</v>
      </c>
      <c r="E181">
        <v>1985</v>
      </c>
      <c r="F181" t="s">
        <v>1443</v>
      </c>
      <c r="G181" t="s">
        <v>167</v>
      </c>
      <c r="H181">
        <v>98155</v>
      </c>
      <c r="I181" t="s">
        <v>1321</v>
      </c>
      <c r="K181" t="s">
        <v>1306</v>
      </c>
      <c r="L181">
        <v>27</v>
      </c>
      <c r="M181">
        <v>3</v>
      </c>
      <c r="N181">
        <v>0</v>
      </c>
      <c r="O181">
        <v>3</v>
      </c>
      <c r="P181">
        <v>0</v>
      </c>
      <c r="Q181">
        <v>20070</v>
      </c>
      <c r="R181">
        <v>20070</v>
      </c>
      <c r="S181">
        <v>3190</v>
      </c>
      <c r="T181">
        <v>0</v>
      </c>
      <c r="U181">
        <v>0</v>
      </c>
      <c r="V181">
        <v>5</v>
      </c>
      <c r="W181">
        <v>19</v>
      </c>
      <c r="X181">
        <v>3</v>
      </c>
      <c r="Y181">
        <v>6</v>
      </c>
      <c r="Z181" t="b">
        <v>0</v>
      </c>
      <c r="AA181" t="b">
        <v>1</v>
      </c>
      <c r="AB181">
        <v>8</v>
      </c>
      <c r="AC181">
        <v>19577.052734375</v>
      </c>
      <c r="AD181">
        <v>158565.703125</v>
      </c>
      <c r="AE181">
        <v>178142.75</v>
      </c>
      <c r="AI181">
        <v>607823.0625</v>
      </c>
      <c r="AJ181" t="s">
        <v>268</v>
      </c>
      <c r="AK181">
        <v>0</v>
      </c>
      <c r="AL181">
        <v>0</v>
      </c>
      <c r="AM181">
        <v>45</v>
      </c>
      <c r="AN181">
        <v>0</v>
      </c>
      <c r="AO181">
        <v>2</v>
      </c>
      <c r="AP181">
        <v>0</v>
      </c>
      <c r="AQ181">
        <v>0</v>
      </c>
      <c r="AR181">
        <v>51</v>
      </c>
      <c r="AS181">
        <v>0</v>
      </c>
      <c r="AT181" t="b">
        <v>1</v>
      </c>
      <c r="AU181">
        <v>2</v>
      </c>
      <c r="AV181">
        <v>2</v>
      </c>
      <c r="AW181">
        <v>0</v>
      </c>
      <c r="AX181" t="b">
        <v>0</v>
      </c>
      <c r="AY181" t="b">
        <v>0</v>
      </c>
      <c r="AZ181" t="b">
        <v>0</v>
      </c>
      <c r="BA181" t="b">
        <v>0</v>
      </c>
      <c r="BB181" t="s">
        <v>268</v>
      </c>
      <c r="BC181" t="s">
        <v>268</v>
      </c>
      <c r="BD181" t="s">
        <v>268</v>
      </c>
      <c r="BE181" t="s">
        <v>1307</v>
      </c>
      <c r="BF181" t="s">
        <v>1308</v>
      </c>
      <c r="BG181" t="s">
        <v>1309</v>
      </c>
      <c r="BH181" t="s">
        <v>1310</v>
      </c>
      <c r="BI181" t="s">
        <v>1322</v>
      </c>
      <c r="BJ181" t="b">
        <v>0</v>
      </c>
      <c r="BK181" t="b">
        <v>1</v>
      </c>
      <c r="BL181" t="b">
        <v>0</v>
      </c>
      <c r="BM181" t="b">
        <v>0</v>
      </c>
      <c r="BN181" t="b">
        <v>0</v>
      </c>
      <c r="BO181" t="b">
        <v>0</v>
      </c>
      <c r="BP181">
        <v>1</v>
      </c>
      <c r="BQ181">
        <v>28</v>
      </c>
      <c r="BR181">
        <v>0</v>
      </c>
      <c r="BS181">
        <v>0</v>
      </c>
      <c r="BT181" t="b">
        <v>1</v>
      </c>
      <c r="BU181">
        <v>0</v>
      </c>
      <c r="BV181">
        <v>34</v>
      </c>
      <c r="BW181">
        <v>13326</v>
      </c>
      <c r="BX181">
        <v>0</v>
      </c>
      <c r="BY181" t="s">
        <v>268</v>
      </c>
      <c r="BZ181" t="s">
        <v>268</v>
      </c>
      <c r="CA181" t="s">
        <v>271</v>
      </c>
      <c r="CB181" t="s">
        <v>271</v>
      </c>
      <c r="CC181" t="s">
        <v>1319</v>
      </c>
      <c r="CD181" t="s">
        <v>1313</v>
      </c>
      <c r="CE181" t="s">
        <v>198</v>
      </c>
      <c r="CF181" t="s">
        <v>1315</v>
      </c>
      <c r="CG181">
        <f t="shared" si="10"/>
        <v>40.564231872558601</v>
      </c>
      <c r="CH181">
        <f t="shared" si="11"/>
        <v>20070</v>
      </c>
      <c r="CI181">
        <f t="shared" si="12"/>
        <v>3</v>
      </c>
      <c r="CJ181">
        <f t="shared" si="13"/>
        <v>814124.13368225109</v>
      </c>
      <c r="CK181">
        <f t="shared" si="14"/>
        <v>121.69269561767581</v>
      </c>
    </row>
    <row r="182" spans="1:89">
      <c r="A182">
        <v>75001</v>
      </c>
      <c r="B182" t="s">
        <v>1302</v>
      </c>
      <c r="C182">
        <v>28.821952819824201</v>
      </c>
      <c r="D182" t="s">
        <v>1303</v>
      </c>
      <c r="E182">
        <v>1983</v>
      </c>
      <c r="F182" t="s">
        <v>1369</v>
      </c>
      <c r="G182" t="s">
        <v>167</v>
      </c>
      <c r="H182">
        <v>98166</v>
      </c>
      <c r="I182" t="s">
        <v>1321</v>
      </c>
      <c r="K182" t="s">
        <v>1306</v>
      </c>
      <c r="L182">
        <v>38</v>
      </c>
      <c r="M182">
        <v>3</v>
      </c>
      <c r="N182">
        <v>0</v>
      </c>
      <c r="O182">
        <v>3</v>
      </c>
      <c r="P182">
        <v>0</v>
      </c>
      <c r="Q182">
        <v>27300</v>
      </c>
      <c r="R182">
        <v>27300</v>
      </c>
      <c r="S182">
        <v>6367</v>
      </c>
      <c r="T182">
        <v>0</v>
      </c>
      <c r="U182">
        <v>0</v>
      </c>
      <c r="V182">
        <v>0</v>
      </c>
      <c r="W182">
        <v>38</v>
      </c>
      <c r="X182">
        <v>0</v>
      </c>
      <c r="Y182">
        <v>0</v>
      </c>
      <c r="Z182" t="b">
        <v>0</v>
      </c>
      <c r="AA182" t="b">
        <v>1</v>
      </c>
      <c r="AB182">
        <v>8</v>
      </c>
      <c r="AC182">
        <v>77181.2578125</v>
      </c>
      <c r="AD182">
        <v>179359.421875</v>
      </c>
      <c r="AE182">
        <v>256540.6875</v>
      </c>
      <c r="AI182">
        <v>875316.8125</v>
      </c>
      <c r="AK182">
        <v>0</v>
      </c>
      <c r="AL182">
        <v>36</v>
      </c>
      <c r="AM182">
        <v>1</v>
      </c>
      <c r="AN182">
        <v>1</v>
      </c>
      <c r="AO182">
        <v>0</v>
      </c>
      <c r="AP182">
        <v>1</v>
      </c>
      <c r="AQ182">
        <v>1</v>
      </c>
      <c r="AR182">
        <v>0</v>
      </c>
      <c r="AS182">
        <v>60</v>
      </c>
      <c r="AT182" t="b">
        <v>0</v>
      </c>
      <c r="AU182">
        <v>2</v>
      </c>
      <c r="AV182">
        <v>2</v>
      </c>
      <c r="AW182">
        <v>1</v>
      </c>
      <c r="AX182" t="b">
        <v>0</v>
      </c>
      <c r="AY182" t="b">
        <v>0</v>
      </c>
      <c r="AZ182" t="b">
        <v>1</v>
      </c>
      <c r="BA182" t="b">
        <v>0</v>
      </c>
      <c r="BB182" t="s">
        <v>268</v>
      </c>
      <c r="BC182" t="s">
        <v>268</v>
      </c>
      <c r="BD182" t="s">
        <v>268</v>
      </c>
      <c r="BE182" t="s">
        <v>1307</v>
      </c>
      <c r="BF182" t="s">
        <v>1308</v>
      </c>
      <c r="BG182" t="s">
        <v>1309</v>
      </c>
      <c r="BH182" t="s">
        <v>1310</v>
      </c>
      <c r="BI182" t="s">
        <v>1322</v>
      </c>
      <c r="BJ182" t="b">
        <v>0</v>
      </c>
      <c r="BK182" t="b">
        <v>1</v>
      </c>
      <c r="BL182" t="b">
        <v>0</v>
      </c>
      <c r="BM182" t="b">
        <v>0</v>
      </c>
      <c r="BN182" t="b">
        <v>0</v>
      </c>
      <c r="BO182" t="b">
        <v>0</v>
      </c>
      <c r="BP182">
        <v>1</v>
      </c>
      <c r="BQ182">
        <v>39</v>
      </c>
      <c r="BR182">
        <v>0</v>
      </c>
      <c r="BS182">
        <v>0</v>
      </c>
      <c r="BT182" t="b">
        <v>1</v>
      </c>
      <c r="BV182">
        <v>22</v>
      </c>
      <c r="BW182">
        <v>9350</v>
      </c>
      <c r="BX182">
        <v>0</v>
      </c>
      <c r="BY182" t="s">
        <v>268</v>
      </c>
      <c r="BZ182" t="s">
        <v>268</v>
      </c>
      <c r="CA182" t="s">
        <v>268</v>
      </c>
      <c r="CB182" t="s">
        <v>271</v>
      </c>
      <c r="CC182" t="s">
        <v>1312</v>
      </c>
      <c r="CD182" t="s">
        <v>1313</v>
      </c>
      <c r="CE182" t="s">
        <v>1314</v>
      </c>
      <c r="CF182" t="s">
        <v>1315</v>
      </c>
      <c r="CG182">
        <f t="shared" si="10"/>
        <v>28.821952819824201</v>
      </c>
      <c r="CH182">
        <f t="shared" si="11"/>
        <v>27300</v>
      </c>
      <c r="CI182">
        <f t="shared" si="12"/>
        <v>3</v>
      </c>
      <c r="CJ182">
        <f t="shared" si="13"/>
        <v>786839.31198120071</v>
      </c>
      <c r="CK182">
        <f t="shared" si="14"/>
        <v>86.465858459472599</v>
      </c>
    </row>
    <row r="183" spans="1:89">
      <c r="A183">
        <v>75002</v>
      </c>
      <c r="B183" t="s">
        <v>1371</v>
      </c>
      <c r="C183">
        <v>20.2821159362793</v>
      </c>
      <c r="D183" t="s">
        <v>1324</v>
      </c>
      <c r="E183">
        <v>1968</v>
      </c>
      <c r="F183" t="s">
        <v>1320</v>
      </c>
      <c r="G183" t="s">
        <v>167</v>
      </c>
      <c r="H183">
        <v>98105</v>
      </c>
      <c r="I183" t="s">
        <v>1321</v>
      </c>
      <c r="J183" t="s">
        <v>1317</v>
      </c>
      <c r="K183" t="s">
        <v>1306</v>
      </c>
      <c r="L183">
        <v>54</v>
      </c>
      <c r="M183">
        <v>7</v>
      </c>
      <c r="N183">
        <v>0</v>
      </c>
      <c r="O183">
        <v>8</v>
      </c>
      <c r="P183">
        <v>0</v>
      </c>
      <c r="Q183">
        <v>93702</v>
      </c>
      <c r="R183">
        <v>93702</v>
      </c>
      <c r="S183">
        <v>4830</v>
      </c>
      <c r="T183">
        <v>0</v>
      </c>
      <c r="U183">
        <v>14</v>
      </c>
      <c r="V183">
        <v>40</v>
      </c>
      <c r="W183">
        <v>0</v>
      </c>
      <c r="X183">
        <v>0</v>
      </c>
      <c r="Y183">
        <v>1.8500000238418599</v>
      </c>
      <c r="Z183" t="b">
        <v>0</v>
      </c>
      <c r="AA183" t="b">
        <v>1</v>
      </c>
      <c r="AB183">
        <v>8</v>
      </c>
      <c r="AC183">
        <v>162432.0625</v>
      </c>
      <c r="AD183">
        <v>440841.3125</v>
      </c>
      <c r="AE183">
        <v>603273.375</v>
      </c>
      <c r="AJ183" t="s">
        <v>271</v>
      </c>
      <c r="AK183">
        <v>0</v>
      </c>
      <c r="AL183">
        <v>0</v>
      </c>
      <c r="AM183">
        <v>4</v>
      </c>
      <c r="AN183">
        <v>0</v>
      </c>
      <c r="AO183">
        <v>57</v>
      </c>
      <c r="AP183">
        <v>0</v>
      </c>
      <c r="AQ183">
        <v>35</v>
      </c>
      <c r="AR183">
        <v>4</v>
      </c>
      <c r="AS183">
        <v>0</v>
      </c>
      <c r="AT183" t="b">
        <v>1</v>
      </c>
      <c r="AU183">
        <v>5</v>
      </c>
      <c r="AV183">
        <v>5</v>
      </c>
      <c r="AW183">
        <v>2</v>
      </c>
      <c r="AX183" t="b">
        <v>0</v>
      </c>
      <c r="AY183" t="b">
        <v>0</v>
      </c>
      <c r="AZ183" t="b">
        <v>1</v>
      </c>
      <c r="BA183" t="b">
        <v>0</v>
      </c>
      <c r="BB183" t="s">
        <v>268</v>
      </c>
      <c r="BC183" t="s">
        <v>271</v>
      </c>
      <c r="BD183" t="s">
        <v>268</v>
      </c>
      <c r="BE183" t="s">
        <v>1307</v>
      </c>
      <c r="BF183" t="s">
        <v>1308</v>
      </c>
      <c r="BG183" t="s">
        <v>1309</v>
      </c>
      <c r="BH183" t="s">
        <v>1310</v>
      </c>
      <c r="BI183" t="s">
        <v>1344</v>
      </c>
      <c r="BJ183" t="b">
        <v>1</v>
      </c>
      <c r="BK183" t="b">
        <v>1</v>
      </c>
      <c r="BL183" t="b">
        <v>1</v>
      </c>
      <c r="BM183" t="b">
        <v>0</v>
      </c>
      <c r="BN183" t="b">
        <v>0</v>
      </c>
      <c r="BO183" t="b">
        <v>0</v>
      </c>
      <c r="BP183">
        <v>1</v>
      </c>
      <c r="BQ183">
        <v>55</v>
      </c>
      <c r="BR183">
        <v>1</v>
      </c>
      <c r="BS183">
        <v>1</v>
      </c>
      <c r="BT183" t="b">
        <v>1</v>
      </c>
      <c r="BU183">
        <v>0</v>
      </c>
      <c r="BV183">
        <v>105</v>
      </c>
      <c r="BW183">
        <v>36461</v>
      </c>
      <c r="BX183">
        <v>2</v>
      </c>
      <c r="BY183" t="s">
        <v>271</v>
      </c>
      <c r="BZ183" t="s">
        <v>271</v>
      </c>
      <c r="CA183" t="s">
        <v>268</v>
      </c>
      <c r="CB183" t="s">
        <v>271</v>
      </c>
      <c r="CC183" t="s">
        <v>1387</v>
      </c>
      <c r="CD183" t="s">
        <v>1373</v>
      </c>
      <c r="CE183" t="s">
        <v>1323</v>
      </c>
      <c r="CF183" t="s">
        <v>1374</v>
      </c>
      <c r="CG183" t="str">
        <f t="shared" si="10"/>
        <v/>
      </c>
      <c r="CH183" t="str">
        <f t="shared" si="11"/>
        <v/>
      </c>
      <c r="CI183" t="str">
        <f t="shared" si="12"/>
        <v/>
      </c>
      <c r="CJ183" t="str">
        <f t="shared" si="13"/>
        <v/>
      </c>
      <c r="CK183" t="str">
        <f t="shared" si="14"/>
        <v/>
      </c>
    </row>
    <row r="184" spans="1:89">
      <c r="A184">
        <v>75003</v>
      </c>
      <c r="B184" t="s">
        <v>1331</v>
      </c>
      <c r="C184">
        <v>18.883348464965799</v>
      </c>
      <c r="D184" t="s">
        <v>1303</v>
      </c>
      <c r="E184">
        <v>1985</v>
      </c>
      <c r="F184" t="s">
        <v>1442</v>
      </c>
      <c r="G184" t="s">
        <v>167</v>
      </c>
      <c r="H184">
        <v>98133</v>
      </c>
      <c r="I184" t="s">
        <v>1321</v>
      </c>
      <c r="J184" t="s">
        <v>1317</v>
      </c>
      <c r="K184" t="s">
        <v>1306</v>
      </c>
      <c r="L184">
        <v>58</v>
      </c>
      <c r="M184">
        <v>4</v>
      </c>
      <c r="N184">
        <v>0</v>
      </c>
      <c r="O184">
        <v>4</v>
      </c>
      <c r="P184">
        <v>0</v>
      </c>
      <c r="Q184">
        <v>38400</v>
      </c>
      <c r="R184">
        <v>38400</v>
      </c>
      <c r="S184">
        <v>4335</v>
      </c>
      <c r="T184">
        <v>0</v>
      </c>
      <c r="U184">
        <v>0</v>
      </c>
      <c r="V184">
        <v>4</v>
      </c>
      <c r="W184">
        <v>46</v>
      </c>
      <c r="X184">
        <v>8</v>
      </c>
      <c r="Y184">
        <v>1</v>
      </c>
      <c r="Z184" t="b">
        <v>0</v>
      </c>
      <c r="AA184" t="b">
        <v>1</v>
      </c>
      <c r="AB184">
        <v>7.75</v>
      </c>
      <c r="AC184">
        <v>61170.35546875</v>
      </c>
      <c r="AD184">
        <v>285159.34375</v>
      </c>
      <c r="AE184">
        <v>346329.6875</v>
      </c>
      <c r="AJ184" t="s">
        <v>268</v>
      </c>
      <c r="AK184">
        <v>0</v>
      </c>
      <c r="AL184">
        <v>44</v>
      </c>
      <c r="AM184">
        <v>0</v>
      </c>
      <c r="AN184">
        <v>5</v>
      </c>
      <c r="AO184">
        <v>0</v>
      </c>
      <c r="AP184">
        <v>5</v>
      </c>
      <c r="AQ184">
        <v>0</v>
      </c>
      <c r="AR184">
        <v>0</v>
      </c>
      <c r="AS184">
        <v>46</v>
      </c>
      <c r="AT184" t="b">
        <v>1</v>
      </c>
      <c r="AU184">
        <v>6</v>
      </c>
      <c r="AV184">
        <v>6</v>
      </c>
      <c r="AW184">
        <v>0</v>
      </c>
      <c r="AX184" t="b">
        <v>0</v>
      </c>
      <c r="AY184" t="b">
        <v>0</v>
      </c>
      <c r="AZ184" t="b">
        <v>0</v>
      </c>
      <c r="BA184" t="b">
        <v>0</v>
      </c>
      <c r="BB184" t="s">
        <v>268</v>
      </c>
      <c r="BC184" t="s">
        <v>268</v>
      </c>
      <c r="BD184" t="s">
        <v>268</v>
      </c>
      <c r="BE184" t="s">
        <v>1307</v>
      </c>
      <c r="BF184" t="s">
        <v>1308</v>
      </c>
      <c r="BG184" t="s">
        <v>1309</v>
      </c>
      <c r="BH184" t="s">
        <v>1310</v>
      </c>
      <c r="BI184" t="s">
        <v>1322</v>
      </c>
      <c r="BJ184" t="b">
        <v>1</v>
      </c>
      <c r="BK184" t="b">
        <v>1</v>
      </c>
      <c r="BL184" t="b">
        <v>0</v>
      </c>
      <c r="BM184" t="b">
        <v>0</v>
      </c>
      <c r="BN184" t="b">
        <v>0</v>
      </c>
      <c r="BO184" t="b">
        <v>0</v>
      </c>
      <c r="BP184">
        <v>1</v>
      </c>
      <c r="BQ184">
        <v>59</v>
      </c>
      <c r="BR184">
        <v>0</v>
      </c>
      <c r="BS184">
        <v>0</v>
      </c>
      <c r="BT184" t="b">
        <v>1</v>
      </c>
      <c r="BU184">
        <v>0</v>
      </c>
      <c r="BV184">
        <v>62</v>
      </c>
      <c r="BW184">
        <v>25585</v>
      </c>
      <c r="BX184">
        <v>0</v>
      </c>
      <c r="BY184" t="s">
        <v>268</v>
      </c>
      <c r="BZ184" t="s">
        <v>268</v>
      </c>
      <c r="CA184" t="s">
        <v>271</v>
      </c>
      <c r="CB184" t="s">
        <v>271</v>
      </c>
      <c r="CC184" t="s">
        <v>1312</v>
      </c>
      <c r="CD184" t="s">
        <v>1313</v>
      </c>
      <c r="CE184" t="s">
        <v>1314</v>
      </c>
      <c r="CF184" t="s">
        <v>1315</v>
      </c>
      <c r="CG184" t="str">
        <f t="shared" si="10"/>
        <v/>
      </c>
      <c r="CH184" t="str">
        <f t="shared" si="11"/>
        <v/>
      </c>
      <c r="CI184" t="str">
        <f t="shared" si="12"/>
        <v/>
      </c>
      <c r="CJ184" t="str">
        <f t="shared" si="13"/>
        <v/>
      </c>
      <c r="CK184" t="str">
        <f t="shared" si="14"/>
        <v/>
      </c>
    </row>
    <row r="185" spans="1:89">
      <c r="A185">
        <v>75004</v>
      </c>
      <c r="B185" t="s">
        <v>1302</v>
      </c>
      <c r="C185">
        <v>19.557754516601602</v>
      </c>
      <c r="D185" t="s">
        <v>1354</v>
      </c>
      <c r="E185">
        <v>1951</v>
      </c>
      <c r="F185" t="s">
        <v>1320</v>
      </c>
      <c r="G185" t="s">
        <v>167</v>
      </c>
      <c r="H185">
        <v>98107</v>
      </c>
      <c r="I185" t="s">
        <v>1321</v>
      </c>
      <c r="J185" t="s">
        <v>1317</v>
      </c>
      <c r="K185" t="s">
        <v>1306</v>
      </c>
      <c r="L185">
        <v>56</v>
      </c>
      <c r="M185">
        <v>4</v>
      </c>
      <c r="N185">
        <v>0</v>
      </c>
      <c r="O185">
        <v>3</v>
      </c>
      <c r="P185">
        <v>0</v>
      </c>
      <c r="Q185">
        <v>44107</v>
      </c>
      <c r="R185">
        <v>44107</v>
      </c>
      <c r="S185">
        <v>6656</v>
      </c>
      <c r="T185">
        <v>0</v>
      </c>
      <c r="U185">
        <v>0</v>
      </c>
      <c r="V185">
        <v>0</v>
      </c>
      <c r="W185">
        <v>55</v>
      </c>
      <c r="X185">
        <v>1</v>
      </c>
      <c r="Y185">
        <v>5.3000001907348597</v>
      </c>
      <c r="Z185" t="b">
        <v>0</v>
      </c>
      <c r="AA185" t="b">
        <v>1</v>
      </c>
      <c r="AB185">
        <v>8</v>
      </c>
      <c r="AC185">
        <v>40949.5546875</v>
      </c>
      <c r="AD185">
        <v>207987.796875</v>
      </c>
      <c r="AE185">
        <v>248937.34375</v>
      </c>
      <c r="AJ185" t="s">
        <v>268</v>
      </c>
      <c r="AK185">
        <v>0</v>
      </c>
      <c r="AL185">
        <v>27</v>
      </c>
      <c r="AM185">
        <v>2</v>
      </c>
      <c r="AN185">
        <v>24</v>
      </c>
      <c r="AO185">
        <v>0</v>
      </c>
      <c r="AP185">
        <v>24</v>
      </c>
      <c r="AQ185">
        <v>0</v>
      </c>
      <c r="AR185">
        <v>0</v>
      </c>
      <c r="AS185">
        <v>23</v>
      </c>
      <c r="AT185" t="b">
        <v>0</v>
      </c>
      <c r="AU185">
        <v>3</v>
      </c>
      <c r="AV185">
        <v>3</v>
      </c>
      <c r="AW185">
        <v>1</v>
      </c>
      <c r="AX185" t="b">
        <v>0</v>
      </c>
      <c r="AY185" t="b">
        <v>0</v>
      </c>
      <c r="AZ185" t="b">
        <v>0</v>
      </c>
      <c r="BA185" t="b">
        <v>0</v>
      </c>
      <c r="BB185" t="s">
        <v>268</v>
      </c>
      <c r="BC185" t="s">
        <v>268</v>
      </c>
      <c r="BD185" t="s">
        <v>268</v>
      </c>
      <c r="BE185" t="s">
        <v>1307</v>
      </c>
      <c r="BF185" t="s">
        <v>1308</v>
      </c>
      <c r="BG185" t="s">
        <v>1309</v>
      </c>
      <c r="BH185" t="s">
        <v>1310</v>
      </c>
      <c r="BI185" t="s">
        <v>1344</v>
      </c>
      <c r="BJ185" t="b">
        <v>1</v>
      </c>
      <c r="BK185" t="b">
        <v>1</v>
      </c>
      <c r="BL185" t="b">
        <v>1</v>
      </c>
      <c r="BM185" t="b">
        <v>0</v>
      </c>
      <c r="BN185" t="b">
        <v>0</v>
      </c>
      <c r="BO185" t="b">
        <v>0</v>
      </c>
      <c r="BP185">
        <v>1</v>
      </c>
      <c r="BQ185">
        <v>58</v>
      </c>
      <c r="BR185">
        <v>1</v>
      </c>
      <c r="BS185">
        <v>1</v>
      </c>
      <c r="BT185" t="b">
        <v>1</v>
      </c>
      <c r="BU185">
        <v>0</v>
      </c>
      <c r="BV185">
        <v>42</v>
      </c>
      <c r="BW185">
        <v>17850</v>
      </c>
      <c r="BX185">
        <v>0</v>
      </c>
      <c r="BY185" t="s">
        <v>268</v>
      </c>
      <c r="BZ185" t="s">
        <v>268</v>
      </c>
      <c r="CA185" t="s">
        <v>268</v>
      </c>
      <c r="CB185" t="s">
        <v>271</v>
      </c>
      <c r="CC185" t="s">
        <v>1312</v>
      </c>
      <c r="CD185" t="s">
        <v>1313</v>
      </c>
      <c r="CE185" t="s">
        <v>1397</v>
      </c>
      <c r="CF185" t="s">
        <v>1315</v>
      </c>
      <c r="CG185">
        <f t="shared" si="10"/>
        <v>19.557754516601602</v>
      </c>
      <c r="CH185">
        <f t="shared" si="11"/>
        <v>44107</v>
      </c>
      <c r="CI185">
        <f t="shared" si="12"/>
        <v>4</v>
      </c>
      <c r="CJ185">
        <f t="shared" si="13"/>
        <v>862633.87846374686</v>
      </c>
      <c r="CK185">
        <f t="shared" si="14"/>
        <v>78.231018066406406</v>
      </c>
    </row>
    <row r="186" spans="1:89">
      <c r="A186">
        <v>75005</v>
      </c>
      <c r="B186" t="s">
        <v>1331</v>
      </c>
      <c r="C186">
        <v>22.817380905151399</v>
      </c>
      <c r="D186" t="s">
        <v>1303</v>
      </c>
      <c r="E186">
        <v>1985</v>
      </c>
      <c r="F186" t="s">
        <v>1320</v>
      </c>
      <c r="G186" t="s">
        <v>167</v>
      </c>
      <c r="H186">
        <v>98116</v>
      </c>
      <c r="I186" t="s">
        <v>1321</v>
      </c>
      <c r="K186" t="s">
        <v>1306</v>
      </c>
      <c r="L186">
        <v>48</v>
      </c>
      <c r="M186">
        <v>4</v>
      </c>
      <c r="N186">
        <v>0</v>
      </c>
      <c r="O186">
        <v>5</v>
      </c>
      <c r="P186">
        <v>1</v>
      </c>
      <c r="Q186">
        <v>41811</v>
      </c>
      <c r="R186">
        <v>39721</v>
      </c>
      <c r="S186">
        <v>10238</v>
      </c>
      <c r="T186">
        <v>0</v>
      </c>
      <c r="U186">
        <v>0</v>
      </c>
      <c r="V186">
        <v>5</v>
      </c>
      <c r="W186">
        <v>43</v>
      </c>
      <c r="X186">
        <v>0</v>
      </c>
      <c r="Y186">
        <v>0</v>
      </c>
      <c r="Z186" t="b">
        <v>0</v>
      </c>
      <c r="AA186" t="b">
        <v>1</v>
      </c>
      <c r="AB186">
        <v>8</v>
      </c>
      <c r="AC186">
        <v>126216.25</v>
      </c>
      <c r="AD186">
        <v>310248.5</v>
      </c>
      <c r="AE186">
        <v>436464.75</v>
      </c>
      <c r="AI186">
        <v>1489217.75</v>
      </c>
      <c r="AJ186" t="s">
        <v>268</v>
      </c>
      <c r="AK186">
        <v>0</v>
      </c>
      <c r="AL186">
        <v>0</v>
      </c>
      <c r="AM186">
        <v>24</v>
      </c>
      <c r="AN186">
        <v>0</v>
      </c>
      <c r="AO186">
        <v>41</v>
      </c>
      <c r="AP186">
        <v>0</v>
      </c>
      <c r="AQ186">
        <v>18</v>
      </c>
      <c r="AR186">
        <v>17</v>
      </c>
      <c r="AS186">
        <v>0</v>
      </c>
      <c r="AT186" t="b">
        <v>1</v>
      </c>
      <c r="AU186">
        <v>2</v>
      </c>
      <c r="AV186">
        <v>2</v>
      </c>
      <c r="AW186">
        <v>1</v>
      </c>
      <c r="AX186" t="b">
        <v>0</v>
      </c>
      <c r="AY186" t="b">
        <v>0</v>
      </c>
      <c r="AZ186" t="b">
        <v>1</v>
      </c>
      <c r="BA186" t="b">
        <v>1</v>
      </c>
      <c r="BB186" t="s">
        <v>268</v>
      </c>
      <c r="BC186" t="s">
        <v>268</v>
      </c>
      <c r="BD186" t="s">
        <v>268</v>
      </c>
      <c r="BE186" t="s">
        <v>1307</v>
      </c>
      <c r="BF186" t="s">
        <v>1308</v>
      </c>
      <c r="BG186" t="s">
        <v>1309</v>
      </c>
      <c r="BH186" t="s">
        <v>1310</v>
      </c>
      <c r="BI186" t="s">
        <v>1322</v>
      </c>
      <c r="BJ186" t="b">
        <v>0</v>
      </c>
      <c r="BK186" t="b">
        <v>1</v>
      </c>
      <c r="BL186" t="b">
        <v>0</v>
      </c>
      <c r="BM186" t="b">
        <v>0</v>
      </c>
      <c r="BN186" t="b">
        <v>0</v>
      </c>
      <c r="BO186" t="b">
        <v>0</v>
      </c>
      <c r="BP186">
        <v>1</v>
      </c>
      <c r="BQ186">
        <v>50</v>
      </c>
      <c r="BR186">
        <v>0</v>
      </c>
      <c r="BS186">
        <v>0</v>
      </c>
      <c r="BT186" t="b">
        <v>1</v>
      </c>
      <c r="BV186">
        <v>10</v>
      </c>
      <c r="BW186">
        <v>4250</v>
      </c>
      <c r="BX186">
        <v>0</v>
      </c>
      <c r="BY186" t="s">
        <v>268</v>
      </c>
      <c r="BZ186" t="s">
        <v>268</v>
      </c>
      <c r="CA186" t="s">
        <v>268</v>
      </c>
      <c r="CB186" t="s">
        <v>271</v>
      </c>
      <c r="CC186" t="s">
        <v>1319</v>
      </c>
      <c r="CD186" t="s">
        <v>1313</v>
      </c>
      <c r="CE186" t="s">
        <v>1330</v>
      </c>
      <c r="CF186" t="s">
        <v>1315</v>
      </c>
      <c r="CG186" t="str">
        <f t="shared" si="10"/>
        <v/>
      </c>
      <c r="CH186" t="str">
        <f t="shared" si="11"/>
        <v/>
      </c>
      <c r="CI186" t="str">
        <f t="shared" si="12"/>
        <v/>
      </c>
      <c r="CJ186" t="str">
        <f t="shared" si="13"/>
        <v/>
      </c>
      <c r="CK186" t="str">
        <f t="shared" si="14"/>
        <v/>
      </c>
    </row>
    <row r="187" spans="1:89">
      <c r="A187">
        <v>75006</v>
      </c>
      <c r="B187" t="s">
        <v>1331</v>
      </c>
      <c r="C187">
        <v>22.351718902587901</v>
      </c>
      <c r="D187" t="s">
        <v>1354</v>
      </c>
      <c r="E187">
        <v>1912</v>
      </c>
      <c r="F187" t="s">
        <v>1320</v>
      </c>
      <c r="G187" t="s">
        <v>167</v>
      </c>
      <c r="H187">
        <v>98101</v>
      </c>
      <c r="I187" t="s">
        <v>1321</v>
      </c>
      <c r="J187" t="s">
        <v>1317</v>
      </c>
      <c r="K187" t="s">
        <v>1306</v>
      </c>
      <c r="L187">
        <v>49</v>
      </c>
      <c r="M187">
        <v>5</v>
      </c>
      <c r="N187">
        <v>0</v>
      </c>
      <c r="O187">
        <v>4</v>
      </c>
      <c r="P187">
        <v>0</v>
      </c>
      <c r="Q187">
        <v>36870</v>
      </c>
      <c r="R187">
        <v>36870</v>
      </c>
      <c r="S187">
        <v>5039</v>
      </c>
      <c r="T187">
        <v>0</v>
      </c>
      <c r="U187">
        <v>1</v>
      </c>
      <c r="V187">
        <v>5</v>
      </c>
      <c r="W187">
        <v>40</v>
      </c>
      <c r="X187">
        <v>3</v>
      </c>
      <c r="Y187">
        <v>0</v>
      </c>
      <c r="Z187" t="b">
        <v>0</v>
      </c>
      <c r="AA187" t="b">
        <v>1</v>
      </c>
      <c r="AB187">
        <v>8</v>
      </c>
      <c r="AC187">
        <v>11707.798828125</v>
      </c>
      <c r="AD187">
        <v>155586</v>
      </c>
      <c r="AE187">
        <v>167293.796875</v>
      </c>
      <c r="AH187">
        <v>49921.0859375</v>
      </c>
      <c r="AI187">
        <v>5562915</v>
      </c>
      <c r="AJ187" t="s">
        <v>268</v>
      </c>
      <c r="AK187">
        <v>0</v>
      </c>
      <c r="AL187">
        <v>41</v>
      </c>
      <c r="AM187">
        <v>0</v>
      </c>
      <c r="AN187">
        <v>10</v>
      </c>
      <c r="AO187">
        <v>0</v>
      </c>
      <c r="AP187">
        <v>8</v>
      </c>
      <c r="AQ187">
        <v>0</v>
      </c>
      <c r="AR187">
        <v>0</v>
      </c>
      <c r="AS187">
        <v>41</v>
      </c>
      <c r="AT187" t="b">
        <v>0</v>
      </c>
      <c r="AU187">
        <v>4</v>
      </c>
      <c r="AV187">
        <v>3</v>
      </c>
      <c r="AW187">
        <v>1</v>
      </c>
      <c r="AX187" t="b">
        <v>1</v>
      </c>
      <c r="AY187" t="b">
        <v>0</v>
      </c>
      <c r="AZ187" t="b">
        <v>0</v>
      </c>
      <c r="BA187" t="b">
        <v>0</v>
      </c>
      <c r="BB187" t="s">
        <v>268</v>
      </c>
      <c r="BC187" t="s">
        <v>268</v>
      </c>
      <c r="BD187" t="s">
        <v>268</v>
      </c>
      <c r="BE187" t="s">
        <v>1345</v>
      </c>
      <c r="BF187" t="s">
        <v>1342</v>
      </c>
      <c r="BG187" t="s">
        <v>1346</v>
      </c>
      <c r="BH187" t="s">
        <v>1310</v>
      </c>
      <c r="BI187" t="s">
        <v>1344</v>
      </c>
      <c r="BJ187" t="b">
        <v>1</v>
      </c>
      <c r="BK187" t="b">
        <v>1</v>
      </c>
      <c r="BL187" t="b">
        <v>1</v>
      </c>
      <c r="BM187" t="b">
        <v>0</v>
      </c>
      <c r="BN187" t="b">
        <v>0</v>
      </c>
      <c r="BO187" t="b">
        <v>0</v>
      </c>
      <c r="BP187">
        <v>1</v>
      </c>
      <c r="BQ187">
        <v>54</v>
      </c>
      <c r="BR187">
        <v>1</v>
      </c>
      <c r="BS187">
        <v>2</v>
      </c>
      <c r="BT187" t="b">
        <v>1</v>
      </c>
      <c r="BU187">
        <v>0</v>
      </c>
      <c r="BV187">
        <v>18</v>
      </c>
      <c r="BW187">
        <v>5830</v>
      </c>
      <c r="BX187">
        <v>1</v>
      </c>
      <c r="BY187" t="s">
        <v>271</v>
      </c>
      <c r="BZ187" t="s">
        <v>268</v>
      </c>
      <c r="CA187" t="s">
        <v>268</v>
      </c>
      <c r="CB187" t="s">
        <v>268</v>
      </c>
      <c r="CC187" t="s">
        <v>1319</v>
      </c>
      <c r="CD187" t="s">
        <v>1313</v>
      </c>
      <c r="CE187" t="s">
        <v>1347</v>
      </c>
      <c r="CF187" t="s">
        <v>1315</v>
      </c>
      <c r="CG187" t="str">
        <f t="shared" si="10"/>
        <v/>
      </c>
      <c r="CH187" t="str">
        <f t="shared" si="11"/>
        <v/>
      </c>
      <c r="CI187" t="str">
        <f t="shared" si="12"/>
        <v/>
      </c>
      <c r="CJ187" t="str">
        <f t="shared" si="13"/>
        <v/>
      </c>
      <c r="CK187" t="str">
        <f t="shared" si="14"/>
        <v/>
      </c>
    </row>
    <row r="188" spans="1:89">
      <c r="A188">
        <v>75007</v>
      </c>
      <c r="B188" t="s">
        <v>1331</v>
      </c>
      <c r="C188">
        <v>21.062196731567401</v>
      </c>
      <c r="D188" t="s">
        <v>1338</v>
      </c>
      <c r="E188">
        <v>2011</v>
      </c>
      <c r="F188" t="s">
        <v>1320</v>
      </c>
      <c r="G188" t="s">
        <v>167</v>
      </c>
      <c r="H188">
        <v>98144</v>
      </c>
      <c r="I188" t="s">
        <v>1321</v>
      </c>
      <c r="J188" t="s">
        <v>1317</v>
      </c>
      <c r="K188" t="s">
        <v>1306</v>
      </c>
      <c r="L188">
        <v>52</v>
      </c>
      <c r="M188">
        <v>4</v>
      </c>
      <c r="N188">
        <v>1</v>
      </c>
      <c r="O188">
        <v>4</v>
      </c>
      <c r="P188">
        <v>0</v>
      </c>
      <c r="Q188">
        <v>59487</v>
      </c>
      <c r="R188">
        <v>56922</v>
      </c>
      <c r="S188">
        <v>10960</v>
      </c>
      <c r="T188">
        <v>0</v>
      </c>
      <c r="U188">
        <v>10</v>
      </c>
      <c r="V188">
        <v>28</v>
      </c>
      <c r="W188">
        <v>7</v>
      </c>
      <c r="X188">
        <v>7</v>
      </c>
      <c r="Y188">
        <v>4</v>
      </c>
      <c r="Z188" t="b">
        <v>1</v>
      </c>
      <c r="AA188" t="b">
        <v>1</v>
      </c>
      <c r="AB188">
        <v>8</v>
      </c>
      <c r="AC188">
        <v>178905.890625</v>
      </c>
      <c r="AD188">
        <v>213756.65625</v>
      </c>
      <c r="AE188">
        <v>392662.5625</v>
      </c>
      <c r="AH188">
        <v>7409.81640625</v>
      </c>
      <c r="AI188">
        <v>2080746.25</v>
      </c>
      <c r="AJ188" t="s">
        <v>268</v>
      </c>
      <c r="AK188">
        <v>2565</v>
      </c>
      <c r="AL188">
        <v>10</v>
      </c>
      <c r="AM188">
        <v>0</v>
      </c>
      <c r="AN188">
        <v>25</v>
      </c>
      <c r="AO188">
        <v>0</v>
      </c>
      <c r="AP188">
        <v>48</v>
      </c>
      <c r="AQ188">
        <v>0</v>
      </c>
      <c r="AR188">
        <v>0</v>
      </c>
      <c r="AS188">
        <v>17</v>
      </c>
      <c r="AT188" t="b">
        <v>0</v>
      </c>
      <c r="AU188">
        <v>9</v>
      </c>
      <c r="AV188">
        <v>9</v>
      </c>
      <c r="AW188">
        <v>2</v>
      </c>
      <c r="AX188" t="b">
        <v>0</v>
      </c>
      <c r="AY188" t="b">
        <v>0</v>
      </c>
      <c r="AZ188" t="b">
        <v>1</v>
      </c>
      <c r="BA188" t="b">
        <v>1</v>
      </c>
      <c r="BB188" t="s">
        <v>271</v>
      </c>
      <c r="BC188" t="s">
        <v>271</v>
      </c>
      <c r="BD188" t="s">
        <v>268</v>
      </c>
      <c r="BE188" t="s">
        <v>1307</v>
      </c>
      <c r="BF188" t="s">
        <v>1308</v>
      </c>
      <c r="BG188" t="s">
        <v>1309</v>
      </c>
      <c r="BH188" t="s">
        <v>1310</v>
      </c>
      <c r="BI188" t="s">
        <v>1344</v>
      </c>
      <c r="BJ188" t="b">
        <v>1</v>
      </c>
      <c r="BK188" t="b">
        <v>1</v>
      </c>
      <c r="BL188" t="b">
        <v>1</v>
      </c>
      <c r="BM188" t="b">
        <v>0</v>
      </c>
      <c r="BN188" t="b">
        <v>0</v>
      </c>
      <c r="BO188" t="b">
        <v>0</v>
      </c>
      <c r="BP188">
        <v>1</v>
      </c>
      <c r="BQ188">
        <v>59</v>
      </c>
      <c r="BR188">
        <v>1</v>
      </c>
      <c r="BS188">
        <v>1</v>
      </c>
      <c r="BT188" t="b">
        <v>1</v>
      </c>
      <c r="BU188">
        <v>60</v>
      </c>
      <c r="BV188">
        <v>69</v>
      </c>
      <c r="BW188">
        <v>19375</v>
      </c>
      <c r="BX188">
        <v>2</v>
      </c>
      <c r="BY188" t="s">
        <v>271</v>
      </c>
      <c r="BZ188" t="s">
        <v>268</v>
      </c>
      <c r="CA188" t="s">
        <v>268</v>
      </c>
      <c r="CB188" t="s">
        <v>268</v>
      </c>
      <c r="CC188" t="s">
        <v>1312</v>
      </c>
      <c r="CD188" t="s">
        <v>1313</v>
      </c>
      <c r="CE188" t="s">
        <v>1333</v>
      </c>
      <c r="CF188" t="s">
        <v>1315</v>
      </c>
      <c r="CG188" t="str">
        <f t="shared" si="10"/>
        <v/>
      </c>
      <c r="CH188" t="str">
        <f t="shared" si="11"/>
        <v/>
      </c>
      <c r="CI188" t="str">
        <f t="shared" si="12"/>
        <v/>
      </c>
      <c r="CJ188" t="str">
        <f t="shared" si="13"/>
        <v/>
      </c>
      <c r="CK188" t="str">
        <f t="shared" si="14"/>
        <v/>
      </c>
    </row>
    <row r="189" spans="1:89">
      <c r="A189">
        <v>75008</v>
      </c>
      <c r="B189" t="s">
        <v>1302</v>
      </c>
      <c r="C189">
        <v>26.7130317687988</v>
      </c>
      <c r="D189" t="s">
        <v>1334</v>
      </c>
      <c r="E189">
        <v>1980</v>
      </c>
      <c r="F189" t="s">
        <v>1320</v>
      </c>
      <c r="G189" t="s">
        <v>167</v>
      </c>
      <c r="H189">
        <v>98155</v>
      </c>
      <c r="I189" t="s">
        <v>1321</v>
      </c>
      <c r="K189" t="s">
        <v>1306</v>
      </c>
      <c r="L189">
        <v>41</v>
      </c>
      <c r="M189">
        <v>2</v>
      </c>
      <c r="N189">
        <v>0</v>
      </c>
      <c r="O189">
        <v>3</v>
      </c>
      <c r="P189">
        <v>0</v>
      </c>
      <c r="Q189">
        <v>35595</v>
      </c>
      <c r="R189">
        <v>35595</v>
      </c>
      <c r="S189">
        <v>2060</v>
      </c>
      <c r="T189">
        <v>0</v>
      </c>
      <c r="U189">
        <v>0</v>
      </c>
      <c r="V189">
        <v>15</v>
      </c>
      <c r="W189">
        <v>15</v>
      </c>
      <c r="X189">
        <v>11</v>
      </c>
      <c r="Y189">
        <v>0</v>
      </c>
      <c r="Z189" t="b">
        <v>0</v>
      </c>
      <c r="AA189" t="b">
        <v>1</v>
      </c>
      <c r="AB189">
        <v>10</v>
      </c>
      <c r="AC189">
        <v>82084.34375</v>
      </c>
      <c r="AD189">
        <v>323911.875</v>
      </c>
      <c r="AE189">
        <v>405996.21875</v>
      </c>
      <c r="AI189">
        <v>1385259.125</v>
      </c>
      <c r="AJ189" t="s">
        <v>268</v>
      </c>
      <c r="AK189">
        <v>0</v>
      </c>
      <c r="AL189">
        <v>0</v>
      </c>
      <c r="AM189">
        <v>4</v>
      </c>
      <c r="AN189">
        <v>0</v>
      </c>
      <c r="AO189">
        <v>31</v>
      </c>
      <c r="AP189">
        <v>0</v>
      </c>
      <c r="AQ189">
        <v>61</v>
      </c>
      <c r="AR189">
        <v>4</v>
      </c>
      <c r="AS189">
        <v>0</v>
      </c>
      <c r="AT189" t="b">
        <v>0</v>
      </c>
      <c r="AU189">
        <v>4</v>
      </c>
      <c r="AV189">
        <v>5</v>
      </c>
      <c r="AW189">
        <v>0</v>
      </c>
      <c r="AX189" t="b">
        <v>0</v>
      </c>
      <c r="AY189" t="b">
        <v>0</v>
      </c>
      <c r="AZ189" t="b">
        <v>1</v>
      </c>
      <c r="BA189" t="b">
        <v>0</v>
      </c>
      <c r="BB189" t="s">
        <v>268</v>
      </c>
      <c r="BC189" t="s">
        <v>268</v>
      </c>
      <c r="BD189" t="s">
        <v>271</v>
      </c>
      <c r="BE189" t="s">
        <v>1307</v>
      </c>
      <c r="BF189" t="s">
        <v>1308</v>
      </c>
      <c r="BG189" t="s">
        <v>1309</v>
      </c>
      <c r="BH189" t="s">
        <v>1310</v>
      </c>
      <c r="BI189" t="s">
        <v>1322</v>
      </c>
      <c r="BJ189" t="b">
        <v>0</v>
      </c>
      <c r="BK189" t="b">
        <v>1</v>
      </c>
      <c r="BL189" t="b">
        <v>0</v>
      </c>
      <c r="BM189" t="b">
        <v>0</v>
      </c>
      <c r="BN189" t="b">
        <v>0</v>
      </c>
      <c r="BO189" t="b">
        <v>0</v>
      </c>
      <c r="BP189">
        <v>2</v>
      </c>
      <c r="BQ189">
        <v>44</v>
      </c>
      <c r="BR189">
        <v>0</v>
      </c>
      <c r="BS189">
        <v>0</v>
      </c>
      <c r="BT189" t="b">
        <v>1</v>
      </c>
      <c r="BU189">
        <v>0</v>
      </c>
      <c r="BV189">
        <v>64</v>
      </c>
      <c r="BW189">
        <v>26275</v>
      </c>
      <c r="BX189">
        <v>1</v>
      </c>
      <c r="BY189" t="s">
        <v>268</v>
      </c>
      <c r="BZ189" t="s">
        <v>271</v>
      </c>
      <c r="CA189" t="s">
        <v>268</v>
      </c>
      <c r="CB189" t="s">
        <v>271</v>
      </c>
      <c r="CC189" t="s">
        <v>1319</v>
      </c>
      <c r="CD189" t="s">
        <v>1313</v>
      </c>
      <c r="CE189" t="s">
        <v>1327</v>
      </c>
      <c r="CF189" t="s">
        <v>1315</v>
      </c>
      <c r="CG189">
        <f t="shared" si="10"/>
        <v>26.7130317687988</v>
      </c>
      <c r="CH189">
        <f t="shared" si="11"/>
        <v>35595</v>
      </c>
      <c r="CI189">
        <f t="shared" si="12"/>
        <v>2</v>
      </c>
      <c r="CJ189">
        <f t="shared" si="13"/>
        <v>950850.36581039324</v>
      </c>
      <c r="CK189">
        <f t="shared" si="14"/>
        <v>53.426063537597599</v>
      </c>
    </row>
    <row r="190" spans="1:89">
      <c r="A190">
        <v>75009</v>
      </c>
      <c r="B190" t="s">
        <v>1302</v>
      </c>
      <c r="C190">
        <v>28.082929611206101</v>
      </c>
      <c r="D190" t="s">
        <v>1354</v>
      </c>
      <c r="E190">
        <v>1914</v>
      </c>
      <c r="F190" t="s">
        <v>1320</v>
      </c>
      <c r="G190" t="s">
        <v>167</v>
      </c>
      <c r="H190">
        <v>98122</v>
      </c>
      <c r="I190" t="s">
        <v>1321</v>
      </c>
      <c r="J190" t="s">
        <v>1317</v>
      </c>
      <c r="K190" t="s">
        <v>1306</v>
      </c>
      <c r="L190">
        <v>39</v>
      </c>
      <c r="M190">
        <v>5</v>
      </c>
      <c r="N190">
        <v>0</v>
      </c>
      <c r="O190">
        <v>3</v>
      </c>
      <c r="P190">
        <v>0</v>
      </c>
      <c r="Q190">
        <v>29000</v>
      </c>
      <c r="R190">
        <v>27968</v>
      </c>
      <c r="S190">
        <v>5307</v>
      </c>
      <c r="T190">
        <v>0</v>
      </c>
      <c r="U190">
        <v>0</v>
      </c>
      <c r="V190">
        <v>1</v>
      </c>
      <c r="W190">
        <v>18</v>
      </c>
      <c r="X190">
        <v>20</v>
      </c>
      <c r="Y190">
        <v>5</v>
      </c>
      <c r="Z190" t="b">
        <v>1</v>
      </c>
      <c r="AA190" t="b">
        <v>1</v>
      </c>
      <c r="AB190">
        <v>9</v>
      </c>
      <c r="AC190">
        <v>14162.9990234375</v>
      </c>
      <c r="AD190">
        <v>75827.5</v>
      </c>
      <c r="AE190">
        <v>89990.5</v>
      </c>
      <c r="AF190">
        <v>292.57327270507801</v>
      </c>
      <c r="AG190">
        <v>11770.29296875</v>
      </c>
      <c r="AH190">
        <v>12062.8662109375</v>
      </c>
      <c r="AI190">
        <v>1513334.25</v>
      </c>
      <c r="AJ190" t="s">
        <v>268</v>
      </c>
      <c r="AK190">
        <v>1032</v>
      </c>
      <c r="AL190">
        <v>16</v>
      </c>
      <c r="AM190">
        <v>0</v>
      </c>
      <c r="AN190">
        <v>28</v>
      </c>
      <c r="AO190">
        <v>0</v>
      </c>
      <c r="AP190">
        <v>33</v>
      </c>
      <c r="AQ190">
        <v>0</v>
      </c>
      <c r="AR190">
        <v>0</v>
      </c>
      <c r="AS190">
        <v>23</v>
      </c>
      <c r="AT190" t="b">
        <v>0</v>
      </c>
      <c r="AU190">
        <v>4</v>
      </c>
      <c r="AV190">
        <v>4</v>
      </c>
      <c r="AW190">
        <v>0</v>
      </c>
      <c r="AX190" t="b">
        <v>0</v>
      </c>
      <c r="AY190" t="b">
        <v>0</v>
      </c>
      <c r="AZ190" t="b">
        <v>0</v>
      </c>
      <c r="BA190" t="b">
        <v>0</v>
      </c>
      <c r="BB190" t="s">
        <v>268</v>
      </c>
      <c r="BC190" t="s">
        <v>268</v>
      </c>
      <c r="BD190" t="s">
        <v>268</v>
      </c>
      <c r="BE190" t="s">
        <v>1359</v>
      </c>
      <c r="BF190" t="s">
        <v>1342</v>
      </c>
      <c r="BG190" t="s">
        <v>1309</v>
      </c>
      <c r="BH190" t="s">
        <v>1310</v>
      </c>
      <c r="BI190" t="s">
        <v>1322</v>
      </c>
      <c r="BJ190" t="b">
        <v>1</v>
      </c>
      <c r="BK190" t="b">
        <v>1</v>
      </c>
      <c r="BL190" t="b">
        <v>1</v>
      </c>
      <c r="BM190" t="b">
        <v>0</v>
      </c>
      <c r="BN190" t="b">
        <v>0</v>
      </c>
      <c r="BO190" t="b">
        <v>0</v>
      </c>
      <c r="BP190">
        <v>4</v>
      </c>
      <c r="BQ190">
        <v>41</v>
      </c>
      <c r="BR190">
        <v>1</v>
      </c>
      <c r="BS190">
        <v>40</v>
      </c>
      <c r="BT190" t="b">
        <v>1</v>
      </c>
      <c r="BV190">
        <v>5</v>
      </c>
      <c r="BW190">
        <v>2125</v>
      </c>
      <c r="BX190">
        <v>0</v>
      </c>
      <c r="BY190" t="s">
        <v>268</v>
      </c>
      <c r="BZ190" t="s">
        <v>268</v>
      </c>
      <c r="CA190" t="s">
        <v>268</v>
      </c>
      <c r="CB190" t="s">
        <v>271</v>
      </c>
      <c r="CC190" t="s">
        <v>1319</v>
      </c>
      <c r="CD190" t="s">
        <v>1313</v>
      </c>
      <c r="CE190" t="s">
        <v>1356</v>
      </c>
      <c r="CF190" t="s">
        <v>1315</v>
      </c>
      <c r="CG190" t="str">
        <f t="shared" si="10"/>
        <v/>
      </c>
      <c r="CH190" t="str">
        <f t="shared" si="11"/>
        <v/>
      </c>
      <c r="CI190" t="str">
        <f t="shared" si="12"/>
        <v/>
      </c>
      <c r="CJ190" t="str">
        <f t="shared" si="13"/>
        <v/>
      </c>
      <c r="CK190" t="str">
        <f t="shared" si="14"/>
        <v/>
      </c>
    </row>
    <row r="191" spans="1:89">
      <c r="A191">
        <v>75010</v>
      </c>
      <c r="B191" t="s">
        <v>1302</v>
      </c>
      <c r="C191">
        <v>30.423171997070298</v>
      </c>
      <c r="D191" t="s">
        <v>1303</v>
      </c>
      <c r="E191">
        <v>1982</v>
      </c>
      <c r="F191" t="s">
        <v>1320</v>
      </c>
      <c r="G191" t="s">
        <v>167</v>
      </c>
      <c r="H191">
        <v>98155</v>
      </c>
      <c r="I191" t="s">
        <v>1321</v>
      </c>
      <c r="J191" t="s">
        <v>1317</v>
      </c>
      <c r="K191" t="s">
        <v>1306</v>
      </c>
      <c r="L191">
        <v>36</v>
      </c>
      <c r="M191">
        <v>3</v>
      </c>
      <c r="N191">
        <v>0</v>
      </c>
      <c r="O191">
        <v>3</v>
      </c>
      <c r="P191">
        <v>0</v>
      </c>
      <c r="Q191">
        <v>28564</v>
      </c>
      <c r="R191">
        <v>28564</v>
      </c>
      <c r="S191">
        <v>5452</v>
      </c>
      <c r="T191">
        <v>0</v>
      </c>
      <c r="U191">
        <v>0</v>
      </c>
      <c r="V191">
        <v>0</v>
      </c>
      <c r="W191">
        <v>33</v>
      </c>
      <c r="X191">
        <v>3</v>
      </c>
      <c r="Y191">
        <v>6</v>
      </c>
      <c r="Z191" t="b">
        <v>0</v>
      </c>
      <c r="AA191" t="b">
        <v>1</v>
      </c>
      <c r="AB191">
        <v>8</v>
      </c>
      <c r="AC191">
        <v>43172.40234375</v>
      </c>
      <c r="AD191">
        <v>225096.03125</v>
      </c>
      <c r="AE191">
        <v>268268.4375</v>
      </c>
      <c r="AH191">
        <v>441.14486694335898</v>
      </c>
      <c r="AI191">
        <v>959446.375</v>
      </c>
      <c r="AJ191" t="s">
        <v>271</v>
      </c>
      <c r="AK191">
        <v>0</v>
      </c>
      <c r="AL191">
        <v>21</v>
      </c>
      <c r="AM191">
        <v>0</v>
      </c>
      <c r="AN191">
        <v>31</v>
      </c>
      <c r="AO191">
        <v>0</v>
      </c>
      <c r="AP191">
        <v>30</v>
      </c>
      <c r="AQ191">
        <v>0</v>
      </c>
      <c r="AR191">
        <v>2</v>
      </c>
      <c r="AS191">
        <v>16</v>
      </c>
      <c r="AT191" t="b">
        <v>1</v>
      </c>
      <c r="AU191">
        <v>3</v>
      </c>
      <c r="AV191">
        <v>3</v>
      </c>
      <c r="AW191">
        <v>1</v>
      </c>
      <c r="AX191" t="b">
        <v>0</v>
      </c>
      <c r="AY191" t="b">
        <v>0</v>
      </c>
      <c r="AZ191" t="b">
        <v>0</v>
      </c>
      <c r="BA191" t="b">
        <v>0</v>
      </c>
      <c r="BB191" t="s">
        <v>268</v>
      </c>
      <c r="BC191" t="s">
        <v>268</v>
      </c>
      <c r="BD191" t="s">
        <v>268</v>
      </c>
      <c r="BE191" t="s">
        <v>1307</v>
      </c>
      <c r="BF191" t="s">
        <v>1308</v>
      </c>
      <c r="BG191" t="s">
        <v>1309</v>
      </c>
      <c r="BH191" t="s">
        <v>1310</v>
      </c>
      <c r="BI191" t="s">
        <v>1322</v>
      </c>
      <c r="BJ191" t="b">
        <v>1</v>
      </c>
      <c r="BK191" t="b">
        <v>1</v>
      </c>
      <c r="BL191" t="b">
        <v>1</v>
      </c>
      <c r="BM191" t="b">
        <v>0</v>
      </c>
      <c r="BN191" t="b">
        <v>0</v>
      </c>
      <c r="BO191" t="b">
        <v>0</v>
      </c>
      <c r="BP191">
        <v>1</v>
      </c>
      <c r="BQ191">
        <v>37</v>
      </c>
      <c r="BR191">
        <v>1</v>
      </c>
      <c r="BS191">
        <v>1</v>
      </c>
      <c r="BT191" t="b">
        <v>1</v>
      </c>
      <c r="BU191">
        <v>0</v>
      </c>
      <c r="BV191">
        <v>45</v>
      </c>
      <c r="BW191">
        <v>14224</v>
      </c>
      <c r="BX191">
        <v>1</v>
      </c>
      <c r="BY191" t="s">
        <v>268</v>
      </c>
      <c r="BZ191" t="s">
        <v>271</v>
      </c>
      <c r="CA191" t="s">
        <v>268</v>
      </c>
      <c r="CB191" t="s">
        <v>271</v>
      </c>
      <c r="CC191" t="s">
        <v>1312</v>
      </c>
      <c r="CD191" t="s">
        <v>1313</v>
      </c>
      <c r="CE191" t="s">
        <v>1330</v>
      </c>
      <c r="CF191" t="s">
        <v>1315</v>
      </c>
      <c r="CG191">
        <f t="shared" si="10"/>
        <v>30.423171997070298</v>
      </c>
      <c r="CH191">
        <f t="shared" si="11"/>
        <v>28564</v>
      </c>
      <c r="CI191">
        <f t="shared" si="12"/>
        <v>3</v>
      </c>
      <c r="CJ191">
        <f t="shared" si="13"/>
        <v>869007.48492431606</v>
      </c>
      <c r="CK191">
        <f t="shared" si="14"/>
        <v>91.269515991210895</v>
      </c>
    </row>
    <row r="192" spans="1:89">
      <c r="A192">
        <v>75011</v>
      </c>
      <c r="B192" t="s">
        <v>1331</v>
      </c>
      <c r="C192">
        <v>23.3028564453125</v>
      </c>
      <c r="D192" t="s">
        <v>1340</v>
      </c>
      <c r="E192">
        <v>1999</v>
      </c>
      <c r="F192" t="s">
        <v>1320</v>
      </c>
      <c r="G192" t="s">
        <v>167</v>
      </c>
      <c r="H192">
        <v>98104</v>
      </c>
      <c r="I192" t="s">
        <v>1321</v>
      </c>
      <c r="K192" t="s">
        <v>1306</v>
      </c>
      <c r="L192">
        <v>47</v>
      </c>
      <c r="M192">
        <v>6</v>
      </c>
      <c r="N192">
        <v>0</v>
      </c>
      <c r="O192">
        <v>6</v>
      </c>
      <c r="P192">
        <v>0</v>
      </c>
      <c r="Q192">
        <v>32167</v>
      </c>
      <c r="R192">
        <v>32167</v>
      </c>
      <c r="S192">
        <v>6538</v>
      </c>
      <c r="T192">
        <v>0</v>
      </c>
      <c r="U192">
        <v>0</v>
      </c>
      <c r="V192">
        <v>21</v>
      </c>
      <c r="W192">
        <v>16</v>
      </c>
      <c r="X192">
        <v>10</v>
      </c>
      <c r="Y192">
        <v>0</v>
      </c>
      <c r="Z192" t="b">
        <v>0</v>
      </c>
      <c r="AA192" t="b">
        <v>1</v>
      </c>
      <c r="AB192">
        <v>8</v>
      </c>
      <c r="AC192">
        <v>73819.8203125</v>
      </c>
      <c r="AD192">
        <v>252174.375</v>
      </c>
      <c r="AE192">
        <v>325994.1875</v>
      </c>
      <c r="AI192">
        <v>1112292.125</v>
      </c>
      <c r="AJ192" t="s">
        <v>268</v>
      </c>
      <c r="AK192">
        <v>0</v>
      </c>
      <c r="AL192">
        <v>0</v>
      </c>
      <c r="AM192">
        <v>25</v>
      </c>
      <c r="AN192">
        <v>0</v>
      </c>
      <c r="AO192">
        <v>22</v>
      </c>
      <c r="AP192">
        <v>1</v>
      </c>
      <c r="AQ192">
        <v>24</v>
      </c>
      <c r="AR192">
        <v>28</v>
      </c>
      <c r="AS192">
        <v>0</v>
      </c>
      <c r="AT192" t="b">
        <v>1</v>
      </c>
      <c r="AU192">
        <v>0</v>
      </c>
      <c r="AV192">
        <v>0</v>
      </c>
      <c r="AW192">
        <v>1</v>
      </c>
      <c r="AX192" t="b">
        <v>0</v>
      </c>
      <c r="AY192" t="b">
        <v>1</v>
      </c>
      <c r="AZ192" t="b">
        <v>0</v>
      </c>
      <c r="BA192" t="b">
        <v>1</v>
      </c>
      <c r="BB192" t="s">
        <v>268</v>
      </c>
      <c r="BC192" t="s">
        <v>271</v>
      </c>
      <c r="BD192" t="s">
        <v>268</v>
      </c>
      <c r="BE192" t="s">
        <v>1307</v>
      </c>
      <c r="BF192" t="s">
        <v>1308</v>
      </c>
      <c r="BG192" t="s">
        <v>1309</v>
      </c>
      <c r="BH192" t="s">
        <v>1310</v>
      </c>
      <c r="BI192" t="s">
        <v>1311</v>
      </c>
      <c r="BJ192" t="b">
        <v>0</v>
      </c>
      <c r="BK192" t="b">
        <v>1</v>
      </c>
      <c r="BL192" t="b">
        <v>0</v>
      </c>
      <c r="BM192" t="b">
        <v>0</v>
      </c>
      <c r="BN192" t="b">
        <v>0</v>
      </c>
      <c r="BO192" t="b">
        <v>0</v>
      </c>
      <c r="BP192">
        <v>2</v>
      </c>
      <c r="BQ192">
        <v>50</v>
      </c>
      <c r="BR192">
        <v>0</v>
      </c>
      <c r="BS192">
        <v>0</v>
      </c>
      <c r="BT192" t="b">
        <v>1</v>
      </c>
      <c r="BU192">
        <v>0</v>
      </c>
      <c r="BV192">
        <v>55</v>
      </c>
      <c r="BW192">
        <v>17065</v>
      </c>
      <c r="BX192">
        <v>2</v>
      </c>
      <c r="BY192" t="s">
        <v>271</v>
      </c>
      <c r="BZ192" t="s">
        <v>268</v>
      </c>
      <c r="CA192" t="s">
        <v>268</v>
      </c>
      <c r="CB192" t="s">
        <v>271</v>
      </c>
      <c r="CC192" t="s">
        <v>1312</v>
      </c>
      <c r="CD192" t="s">
        <v>1313</v>
      </c>
      <c r="CE192" t="s">
        <v>1333</v>
      </c>
      <c r="CF192" t="s">
        <v>1315</v>
      </c>
      <c r="CG192" t="str">
        <f t="shared" si="10"/>
        <v/>
      </c>
      <c r="CH192" t="str">
        <f t="shared" si="11"/>
        <v/>
      </c>
      <c r="CI192" t="str">
        <f t="shared" si="12"/>
        <v/>
      </c>
      <c r="CJ192" t="str">
        <f t="shared" si="13"/>
        <v/>
      </c>
      <c r="CK192" t="str">
        <f t="shared" si="14"/>
        <v/>
      </c>
    </row>
    <row r="193" spans="1:89">
      <c r="A193">
        <v>75012</v>
      </c>
      <c r="B193" t="s">
        <v>1302</v>
      </c>
      <c r="C193">
        <v>24.338537216186499</v>
      </c>
      <c r="D193" t="s">
        <v>1354</v>
      </c>
      <c r="E193">
        <v>1908</v>
      </c>
      <c r="F193" t="s">
        <v>1320</v>
      </c>
      <c r="G193" t="s">
        <v>167</v>
      </c>
      <c r="H193">
        <v>98122</v>
      </c>
      <c r="I193" t="s">
        <v>1321</v>
      </c>
      <c r="J193" t="s">
        <v>1317</v>
      </c>
      <c r="K193" t="s">
        <v>1306</v>
      </c>
      <c r="L193">
        <v>45</v>
      </c>
      <c r="M193">
        <v>4</v>
      </c>
      <c r="N193">
        <v>0</v>
      </c>
      <c r="O193">
        <v>3</v>
      </c>
      <c r="P193">
        <v>0</v>
      </c>
      <c r="Q193">
        <v>13374</v>
      </c>
      <c r="R193">
        <v>13374</v>
      </c>
      <c r="S193">
        <v>4408</v>
      </c>
      <c r="T193">
        <v>0</v>
      </c>
      <c r="U193">
        <v>0</v>
      </c>
      <c r="V193">
        <v>0</v>
      </c>
      <c r="W193">
        <v>0</v>
      </c>
      <c r="X193">
        <v>45</v>
      </c>
      <c r="Y193">
        <v>6.5</v>
      </c>
      <c r="Z193" t="b">
        <v>0</v>
      </c>
      <c r="AA193" t="b">
        <v>1</v>
      </c>
      <c r="AB193">
        <v>9</v>
      </c>
      <c r="AE193">
        <v>79781.390625</v>
      </c>
      <c r="AH193">
        <v>7372.873046875</v>
      </c>
      <c r="AI193">
        <v>1009501.4375</v>
      </c>
      <c r="AJ193" t="s">
        <v>268</v>
      </c>
      <c r="AK193">
        <v>0</v>
      </c>
      <c r="AL193">
        <v>18</v>
      </c>
      <c r="AM193">
        <v>0</v>
      </c>
      <c r="AN193">
        <v>35</v>
      </c>
      <c r="AO193">
        <v>0</v>
      </c>
      <c r="AP193">
        <v>33</v>
      </c>
      <c r="AQ193">
        <v>0</v>
      </c>
      <c r="AR193">
        <v>0</v>
      </c>
      <c r="AS193">
        <v>14</v>
      </c>
      <c r="AT193" t="b">
        <v>0</v>
      </c>
      <c r="AU193">
        <v>2</v>
      </c>
      <c r="AV193">
        <v>2</v>
      </c>
      <c r="AW193">
        <v>0</v>
      </c>
      <c r="AX193" t="b">
        <v>1</v>
      </c>
      <c r="AY193" t="b">
        <v>0</v>
      </c>
      <c r="AZ193" t="b">
        <v>1</v>
      </c>
      <c r="BA193" t="b">
        <v>0</v>
      </c>
      <c r="BB193" t="s">
        <v>268</v>
      </c>
      <c r="BC193" t="s">
        <v>268</v>
      </c>
      <c r="BD193" t="s">
        <v>268</v>
      </c>
      <c r="BE193" t="s">
        <v>1345</v>
      </c>
      <c r="BF193" t="s">
        <v>1342</v>
      </c>
      <c r="BG193" t="s">
        <v>1346</v>
      </c>
      <c r="BH193" t="s">
        <v>1310</v>
      </c>
      <c r="BI193" t="s">
        <v>1344</v>
      </c>
      <c r="BJ193" t="b">
        <v>1</v>
      </c>
      <c r="BK193" t="b">
        <v>1</v>
      </c>
      <c r="BL193" t="b">
        <v>1</v>
      </c>
      <c r="BM193" t="b">
        <v>0</v>
      </c>
      <c r="BN193" t="b">
        <v>0</v>
      </c>
      <c r="BO193" t="b">
        <v>0</v>
      </c>
      <c r="BP193">
        <v>1</v>
      </c>
      <c r="BQ193">
        <v>1</v>
      </c>
      <c r="BR193">
        <v>1</v>
      </c>
      <c r="BS193">
        <v>1</v>
      </c>
      <c r="BT193" t="b">
        <v>1</v>
      </c>
      <c r="BV193">
        <v>10</v>
      </c>
      <c r="BW193">
        <v>4250</v>
      </c>
      <c r="BX193">
        <v>0</v>
      </c>
      <c r="BY193" t="s">
        <v>268</v>
      </c>
      <c r="BZ193" t="s">
        <v>268</v>
      </c>
      <c r="CA193" t="s">
        <v>268</v>
      </c>
      <c r="CB193" t="s">
        <v>271</v>
      </c>
      <c r="CC193" t="s">
        <v>1319</v>
      </c>
      <c r="CD193" t="s">
        <v>1313</v>
      </c>
      <c r="CE193" t="s">
        <v>1356</v>
      </c>
      <c r="CF193" t="s">
        <v>1315</v>
      </c>
      <c r="CG193" t="str">
        <f t="shared" si="10"/>
        <v/>
      </c>
      <c r="CH193" t="str">
        <f t="shared" si="11"/>
        <v/>
      </c>
      <c r="CI193" t="str">
        <f t="shared" si="12"/>
        <v/>
      </c>
      <c r="CJ193" t="str">
        <f t="shared" si="13"/>
        <v/>
      </c>
      <c r="CK193" t="str">
        <f t="shared" si="14"/>
        <v/>
      </c>
    </row>
    <row r="194" spans="1:89">
      <c r="A194">
        <v>75013</v>
      </c>
      <c r="B194" t="s">
        <v>1331</v>
      </c>
      <c r="C194">
        <v>19.214635848998999</v>
      </c>
      <c r="D194" t="s">
        <v>1354</v>
      </c>
      <c r="E194">
        <v>1906</v>
      </c>
      <c r="F194" t="s">
        <v>1320</v>
      </c>
      <c r="G194" t="s">
        <v>167</v>
      </c>
      <c r="H194">
        <v>98104</v>
      </c>
      <c r="I194" t="s">
        <v>1321</v>
      </c>
      <c r="J194" t="s">
        <v>1317</v>
      </c>
      <c r="K194" t="s">
        <v>1306</v>
      </c>
      <c r="L194">
        <v>57</v>
      </c>
      <c r="M194">
        <v>6</v>
      </c>
      <c r="N194">
        <v>0</v>
      </c>
      <c r="O194">
        <v>6</v>
      </c>
      <c r="P194">
        <v>0</v>
      </c>
      <c r="Q194">
        <v>29213</v>
      </c>
      <c r="R194">
        <v>29213</v>
      </c>
      <c r="S194">
        <v>4745</v>
      </c>
      <c r="T194">
        <v>0</v>
      </c>
      <c r="U194">
        <v>0</v>
      </c>
      <c r="V194">
        <v>0</v>
      </c>
      <c r="W194">
        <v>0</v>
      </c>
      <c r="X194">
        <v>57</v>
      </c>
      <c r="Y194">
        <v>4</v>
      </c>
      <c r="Z194" t="b">
        <v>0</v>
      </c>
      <c r="AA194" t="b">
        <v>1</v>
      </c>
      <c r="AB194">
        <v>9.5</v>
      </c>
      <c r="AC194">
        <v>51745.4375</v>
      </c>
      <c r="AD194">
        <v>142663.6875</v>
      </c>
      <c r="AE194">
        <v>194409.125</v>
      </c>
      <c r="AJ194" t="s">
        <v>268</v>
      </c>
      <c r="AK194">
        <v>0</v>
      </c>
      <c r="AL194">
        <v>13</v>
      </c>
      <c r="AM194">
        <v>0</v>
      </c>
      <c r="AN194">
        <v>42</v>
      </c>
      <c r="AO194">
        <v>0</v>
      </c>
      <c r="AP194">
        <v>11</v>
      </c>
      <c r="AQ194">
        <v>0</v>
      </c>
      <c r="AR194">
        <v>0</v>
      </c>
      <c r="AS194">
        <v>34</v>
      </c>
      <c r="AT194" t="b">
        <v>0</v>
      </c>
      <c r="AU194">
        <v>5</v>
      </c>
      <c r="AV194">
        <v>5</v>
      </c>
      <c r="AW194">
        <v>1</v>
      </c>
      <c r="AX194" t="b">
        <v>0</v>
      </c>
      <c r="AY194" t="b">
        <v>0</v>
      </c>
      <c r="AZ194" t="b">
        <v>1</v>
      </c>
      <c r="BA194" t="b">
        <v>1</v>
      </c>
      <c r="BB194" t="s">
        <v>268</v>
      </c>
      <c r="BC194" t="s">
        <v>268</v>
      </c>
      <c r="BD194" t="s">
        <v>268</v>
      </c>
      <c r="BE194" t="s">
        <v>1341</v>
      </c>
      <c r="BF194" t="s">
        <v>1342</v>
      </c>
      <c r="BG194" t="s">
        <v>1309</v>
      </c>
      <c r="BH194" t="s">
        <v>1310</v>
      </c>
      <c r="BI194" t="s">
        <v>1379</v>
      </c>
      <c r="BJ194" t="b">
        <v>1</v>
      </c>
      <c r="BK194" t="b">
        <v>1</v>
      </c>
      <c r="BL194" t="b">
        <v>1</v>
      </c>
      <c r="BM194" t="b">
        <v>0</v>
      </c>
      <c r="BN194" t="b">
        <v>0</v>
      </c>
      <c r="BO194" t="b">
        <v>0</v>
      </c>
      <c r="BP194">
        <v>1</v>
      </c>
      <c r="BQ194">
        <v>58</v>
      </c>
      <c r="BR194">
        <v>1</v>
      </c>
      <c r="BS194">
        <v>2</v>
      </c>
      <c r="BT194" t="b">
        <v>0</v>
      </c>
      <c r="BV194">
        <v>0</v>
      </c>
      <c r="BW194">
        <v>0</v>
      </c>
      <c r="BX194">
        <v>0</v>
      </c>
      <c r="BY194" t="s">
        <v>268</v>
      </c>
      <c r="BZ194" t="s">
        <v>268</v>
      </c>
      <c r="CA194" t="s">
        <v>268</v>
      </c>
      <c r="CB194" t="s">
        <v>268</v>
      </c>
      <c r="CC194" t="s">
        <v>1319</v>
      </c>
      <c r="CD194" t="s">
        <v>1313</v>
      </c>
      <c r="CE194" t="s">
        <v>1357</v>
      </c>
      <c r="CF194" t="s">
        <v>1315</v>
      </c>
      <c r="CG194" t="str">
        <f t="shared" si="10"/>
        <v/>
      </c>
      <c r="CH194" t="str">
        <f t="shared" si="11"/>
        <v/>
      </c>
      <c r="CI194" t="str">
        <f t="shared" si="12"/>
        <v/>
      </c>
      <c r="CJ194" t="str">
        <f t="shared" si="13"/>
        <v/>
      </c>
      <c r="CK194" t="str">
        <f t="shared" si="14"/>
        <v/>
      </c>
    </row>
    <row r="195" spans="1:89">
      <c r="A195">
        <v>76001</v>
      </c>
      <c r="B195" t="s">
        <v>1331</v>
      </c>
      <c r="C195">
        <v>14.800462722778301</v>
      </c>
      <c r="D195" t="s">
        <v>1354</v>
      </c>
      <c r="E195">
        <v>1929</v>
      </c>
      <c r="F195" t="s">
        <v>1320</v>
      </c>
      <c r="G195" t="s">
        <v>167</v>
      </c>
      <c r="H195">
        <v>98122</v>
      </c>
      <c r="I195" t="s">
        <v>1321</v>
      </c>
      <c r="J195" t="s">
        <v>1317</v>
      </c>
      <c r="K195" t="s">
        <v>1306</v>
      </c>
      <c r="L195">
        <v>74</v>
      </c>
      <c r="M195">
        <v>4</v>
      </c>
      <c r="N195">
        <v>0</v>
      </c>
      <c r="O195">
        <v>4</v>
      </c>
      <c r="P195">
        <v>1</v>
      </c>
      <c r="Q195">
        <v>64000</v>
      </c>
      <c r="R195">
        <v>64000</v>
      </c>
      <c r="S195">
        <v>13350</v>
      </c>
      <c r="T195">
        <v>0</v>
      </c>
      <c r="U195">
        <v>0</v>
      </c>
      <c r="V195">
        <v>4</v>
      </c>
      <c r="W195">
        <v>69</v>
      </c>
      <c r="X195">
        <v>1</v>
      </c>
      <c r="Y195">
        <v>0</v>
      </c>
      <c r="Z195" t="b">
        <v>0</v>
      </c>
      <c r="AA195" t="b">
        <v>1</v>
      </c>
      <c r="AB195">
        <v>8.1999998092651403</v>
      </c>
      <c r="AC195">
        <v>44783.72265625</v>
      </c>
      <c r="AD195">
        <v>163909.765625</v>
      </c>
      <c r="AE195">
        <v>208693.484375</v>
      </c>
      <c r="AJ195" t="s">
        <v>268</v>
      </c>
      <c r="AK195">
        <v>0</v>
      </c>
      <c r="AL195">
        <v>27</v>
      </c>
      <c r="AM195">
        <v>0</v>
      </c>
      <c r="AN195">
        <v>24</v>
      </c>
      <c r="AO195">
        <v>0</v>
      </c>
      <c r="AP195">
        <v>24</v>
      </c>
      <c r="AQ195">
        <v>0</v>
      </c>
      <c r="AR195">
        <v>0</v>
      </c>
      <c r="AS195">
        <v>25</v>
      </c>
      <c r="AT195" t="b">
        <v>0</v>
      </c>
      <c r="AU195">
        <v>6</v>
      </c>
      <c r="AV195">
        <v>6</v>
      </c>
      <c r="AW195">
        <v>1</v>
      </c>
      <c r="AX195" t="b">
        <v>1</v>
      </c>
      <c r="AY195" t="b">
        <v>0</v>
      </c>
      <c r="AZ195" t="b">
        <v>0</v>
      </c>
      <c r="BA195" t="b">
        <v>0</v>
      </c>
      <c r="BB195" t="s">
        <v>268</v>
      </c>
      <c r="BC195" t="s">
        <v>268</v>
      </c>
      <c r="BD195" t="s">
        <v>268</v>
      </c>
      <c r="BE195" t="s">
        <v>1345</v>
      </c>
      <c r="BF195" t="s">
        <v>1342</v>
      </c>
      <c r="BG195" t="s">
        <v>1346</v>
      </c>
      <c r="BH195" t="s">
        <v>1310</v>
      </c>
      <c r="BI195" t="s">
        <v>1344</v>
      </c>
      <c r="BJ195" t="b">
        <v>1</v>
      </c>
      <c r="BK195" t="b">
        <v>1</v>
      </c>
      <c r="BL195" t="b">
        <v>1</v>
      </c>
      <c r="BM195" t="b">
        <v>0</v>
      </c>
      <c r="BN195" t="b">
        <v>0</v>
      </c>
      <c r="BO195" t="b">
        <v>0</v>
      </c>
      <c r="BP195">
        <v>1</v>
      </c>
      <c r="BQ195">
        <v>76</v>
      </c>
      <c r="BR195">
        <v>1</v>
      </c>
      <c r="BS195">
        <v>1</v>
      </c>
      <c r="BT195" t="b">
        <v>1</v>
      </c>
      <c r="BU195">
        <v>0</v>
      </c>
      <c r="BV195">
        <v>38</v>
      </c>
      <c r="BW195">
        <v>9574</v>
      </c>
      <c r="BX195">
        <v>1</v>
      </c>
      <c r="BY195" t="s">
        <v>271</v>
      </c>
      <c r="BZ195" t="s">
        <v>268</v>
      </c>
      <c r="CA195" t="s">
        <v>268</v>
      </c>
      <c r="CB195" t="s">
        <v>268</v>
      </c>
      <c r="CC195" t="s">
        <v>1372</v>
      </c>
      <c r="CD195" t="s">
        <v>1373</v>
      </c>
      <c r="CE195" t="s">
        <v>1333</v>
      </c>
      <c r="CF195" t="s">
        <v>1435</v>
      </c>
      <c r="CG195" t="str">
        <f t="shared" si="10"/>
        <v/>
      </c>
      <c r="CH195" t="str">
        <f t="shared" si="11"/>
        <v/>
      </c>
      <c r="CI195" t="str">
        <f t="shared" si="12"/>
        <v/>
      </c>
      <c r="CJ195" t="str">
        <f t="shared" si="13"/>
        <v/>
      </c>
      <c r="CK195" t="str">
        <f t="shared" si="14"/>
        <v/>
      </c>
    </row>
    <row r="196" spans="1:89">
      <c r="A196">
        <v>76002</v>
      </c>
      <c r="B196" t="s">
        <v>1331</v>
      </c>
      <c r="C196">
        <v>13.0385036468506</v>
      </c>
      <c r="D196" t="s">
        <v>1324</v>
      </c>
      <c r="E196">
        <v>1961</v>
      </c>
      <c r="F196" t="s">
        <v>1320</v>
      </c>
      <c r="G196" t="s">
        <v>167</v>
      </c>
      <c r="H196">
        <v>98112</v>
      </c>
      <c r="I196" t="s">
        <v>1321</v>
      </c>
      <c r="J196" t="s">
        <v>1317</v>
      </c>
      <c r="K196" t="s">
        <v>1306</v>
      </c>
      <c r="L196">
        <v>84</v>
      </c>
      <c r="M196">
        <v>6</v>
      </c>
      <c r="N196">
        <v>0</v>
      </c>
      <c r="O196">
        <v>6</v>
      </c>
      <c r="P196">
        <v>1</v>
      </c>
      <c r="Q196">
        <v>84375</v>
      </c>
      <c r="R196">
        <v>84375</v>
      </c>
      <c r="S196">
        <v>11481</v>
      </c>
      <c r="T196">
        <v>0</v>
      </c>
      <c r="U196">
        <v>0</v>
      </c>
      <c r="V196">
        <v>42</v>
      </c>
      <c r="W196">
        <v>42</v>
      </c>
      <c r="X196">
        <v>0</v>
      </c>
      <c r="Y196">
        <v>24</v>
      </c>
      <c r="Z196" t="b">
        <v>0</v>
      </c>
      <c r="AA196" t="b">
        <v>1</v>
      </c>
      <c r="AB196">
        <v>7.75</v>
      </c>
      <c r="AE196">
        <v>445478.4375</v>
      </c>
      <c r="AJ196" t="s">
        <v>271</v>
      </c>
      <c r="AK196">
        <v>0</v>
      </c>
      <c r="AL196">
        <v>6</v>
      </c>
      <c r="AM196">
        <v>0</v>
      </c>
      <c r="AN196">
        <v>44</v>
      </c>
      <c r="AO196">
        <v>0</v>
      </c>
      <c r="AP196">
        <v>44</v>
      </c>
      <c r="AQ196">
        <v>0</v>
      </c>
      <c r="AR196">
        <v>0</v>
      </c>
      <c r="AS196">
        <v>6</v>
      </c>
      <c r="AT196" t="b">
        <v>1</v>
      </c>
      <c r="AU196">
        <v>5</v>
      </c>
      <c r="AV196">
        <v>5</v>
      </c>
      <c r="AW196">
        <v>2</v>
      </c>
      <c r="AX196" t="b">
        <v>1</v>
      </c>
      <c r="AY196" t="b">
        <v>0</v>
      </c>
      <c r="AZ196" t="b">
        <v>0</v>
      </c>
      <c r="BA196" t="b">
        <v>1</v>
      </c>
      <c r="BB196" t="s">
        <v>268</v>
      </c>
      <c r="BC196" t="s">
        <v>268</v>
      </c>
      <c r="BD196" t="s">
        <v>268</v>
      </c>
      <c r="BE196" t="s">
        <v>1345</v>
      </c>
      <c r="BF196" t="s">
        <v>1342</v>
      </c>
      <c r="BG196" t="s">
        <v>1346</v>
      </c>
      <c r="BH196" t="s">
        <v>1310</v>
      </c>
      <c r="BI196" t="s">
        <v>1344</v>
      </c>
      <c r="BJ196" t="b">
        <v>1</v>
      </c>
      <c r="BK196" t="b">
        <v>1</v>
      </c>
      <c r="BL196" t="b">
        <v>1</v>
      </c>
      <c r="BM196" t="b">
        <v>1</v>
      </c>
      <c r="BN196" t="b">
        <v>0</v>
      </c>
      <c r="BO196" t="b">
        <v>0</v>
      </c>
      <c r="BP196">
        <v>1</v>
      </c>
      <c r="BQ196">
        <v>1</v>
      </c>
      <c r="BR196">
        <v>1</v>
      </c>
      <c r="BS196">
        <v>1</v>
      </c>
      <c r="BT196" t="b">
        <v>1</v>
      </c>
      <c r="BU196">
        <v>0</v>
      </c>
      <c r="BV196">
        <v>97</v>
      </c>
      <c r="BW196">
        <v>45490</v>
      </c>
      <c r="BX196">
        <v>1</v>
      </c>
      <c r="BY196" t="s">
        <v>268</v>
      </c>
      <c r="BZ196" t="s">
        <v>271</v>
      </c>
      <c r="CA196" t="s">
        <v>268</v>
      </c>
      <c r="CB196" t="s">
        <v>271</v>
      </c>
      <c r="CC196" t="s">
        <v>1387</v>
      </c>
      <c r="CD196" t="s">
        <v>1373</v>
      </c>
      <c r="CE196" t="s">
        <v>1323</v>
      </c>
      <c r="CF196" t="s">
        <v>1374</v>
      </c>
      <c r="CG196" t="str">
        <f t="shared" ref="CG196:CG232" si="15">IF(AND($B196="1-3 stories",$BF196="electric"),$C196,"")</f>
        <v/>
      </c>
      <c r="CH196" t="str">
        <f t="shared" ref="CH196:CH232" si="16">IF(CG196="","",$Q196)</f>
        <v/>
      </c>
      <c r="CI196" t="str">
        <f t="shared" ref="CI196:CI232" si="17">IF($CG196="","",$M196)</f>
        <v/>
      </c>
      <c r="CJ196" t="str">
        <f t="shared" ref="CJ196:CJ232" si="18">IFERROR($CG196*CH196,"")</f>
        <v/>
      </c>
      <c r="CK196" t="str">
        <f t="shared" ref="CK196:CK232" si="19">IFERROR($CG196*CI196,"")</f>
        <v/>
      </c>
    </row>
    <row r="197" spans="1:89">
      <c r="A197">
        <v>76003</v>
      </c>
      <c r="B197" t="s">
        <v>1371</v>
      </c>
      <c r="C197">
        <v>13.195593833923301</v>
      </c>
      <c r="D197" t="s">
        <v>1354</v>
      </c>
      <c r="E197">
        <v>1927</v>
      </c>
      <c r="F197" t="s">
        <v>1320</v>
      </c>
      <c r="G197" t="s">
        <v>167</v>
      </c>
      <c r="H197">
        <v>98101</v>
      </c>
      <c r="I197" t="s">
        <v>1321</v>
      </c>
      <c r="K197" t="s">
        <v>1306</v>
      </c>
      <c r="L197">
        <v>83</v>
      </c>
      <c r="M197">
        <v>12</v>
      </c>
      <c r="N197">
        <v>0</v>
      </c>
      <c r="O197">
        <v>12</v>
      </c>
      <c r="P197">
        <v>0</v>
      </c>
      <c r="Q197">
        <v>76393</v>
      </c>
      <c r="R197">
        <v>76393</v>
      </c>
      <c r="S197">
        <v>13005</v>
      </c>
      <c r="T197">
        <v>0</v>
      </c>
      <c r="U197">
        <v>2</v>
      </c>
      <c r="V197">
        <v>6</v>
      </c>
      <c r="W197">
        <v>51</v>
      </c>
      <c r="X197">
        <v>24</v>
      </c>
      <c r="Y197">
        <v>2</v>
      </c>
      <c r="Z197" t="b">
        <v>0</v>
      </c>
      <c r="AA197" t="b">
        <v>1</v>
      </c>
      <c r="AB197">
        <v>8</v>
      </c>
      <c r="AC197">
        <v>133197.546875</v>
      </c>
      <c r="AD197">
        <v>116928.640625</v>
      </c>
      <c r="AE197">
        <v>250126.1875</v>
      </c>
      <c r="AI197">
        <v>853430.5625</v>
      </c>
      <c r="AJ197" t="s">
        <v>268</v>
      </c>
      <c r="AK197">
        <v>0</v>
      </c>
      <c r="AL197">
        <v>0</v>
      </c>
      <c r="AM197">
        <v>38</v>
      </c>
      <c r="AN197">
        <v>0</v>
      </c>
      <c r="AO197">
        <v>13</v>
      </c>
      <c r="AP197">
        <v>0</v>
      </c>
      <c r="AQ197">
        <v>15</v>
      </c>
      <c r="AR197">
        <v>34</v>
      </c>
      <c r="AS197">
        <v>0</v>
      </c>
      <c r="AT197" t="b">
        <v>1</v>
      </c>
      <c r="AU197">
        <v>4</v>
      </c>
      <c r="AV197">
        <v>4</v>
      </c>
      <c r="AW197">
        <v>2</v>
      </c>
      <c r="AX197" t="b">
        <v>1</v>
      </c>
      <c r="AY197" t="b">
        <v>0</v>
      </c>
      <c r="AZ197" t="b">
        <v>0</v>
      </c>
      <c r="BA197" t="b">
        <v>0</v>
      </c>
      <c r="BB197" t="s">
        <v>271</v>
      </c>
      <c r="BC197" t="s">
        <v>268</v>
      </c>
      <c r="BD197" t="s">
        <v>268</v>
      </c>
      <c r="BE197" t="s">
        <v>1345</v>
      </c>
      <c r="BF197" t="s">
        <v>1444</v>
      </c>
      <c r="BG197" t="s">
        <v>1346</v>
      </c>
      <c r="BH197" t="s">
        <v>1310</v>
      </c>
      <c r="BI197" t="s">
        <v>1379</v>
      </c>
      <c r="BJ197" t="b">
        <v>0</v>
      </c>
      <c r="BK197" t="b">
        <v>1</v>
      </c>
      <c r="BL197" t="b">
        <v>0</v>
      </c>
      <c r="BM197" t="b">
        <v>0</v>
      </c>
      <c r="BN197" t="b">
        <v>0</v>
      </c>
      <c r="BO197" t="b">
        <v>0</v>
      </c>
      <c r="BP197">
        <v>1</v>
      </c>
      <c r="BQ197">
        <v>84</v>
      </c>
      <c r="BR197">
        <v>0</v>
      </c>
      <c r="BS197">
        <v>0</v>
      </c>
      <c r="BT197" t="b">
        <v>1</v>
      </c>
      <c r="BU197">
        <v>0</v>
      </c>
      <c r="BV197">
        <v>55</v>
      </c>
      <c r="BW197">
        <v>13234</v>
      </c>
      <c r="BX197">
        <v>2</v>
      </c>
      <c r="BY197" t="s">
        <v>271</v>
      </c>
      <c r="BZ197" t="s">
        <v>268</v>
      </c>
      <c r="CA197" t="s">
        <v>268</v>
      </c>
      <c r="CB197" t="s">
        <v>271</v>
      </c>
      <c r="CC197" t="s">
        <v>1387</v>
      </c>
      <c r="CD197" t="s">
        <v>1373</v>
      </c>
      <c r="CE197" t="s">
        <v>1397</v>
      </c>
      <c r="CF197" t="s">
        <v>1374</v>
      </c>
      <c r="CG197" t="str">
        <f t="shared" si="15"/>
        <v/>
      </c>
      <c r="CH197" t="str">
        <f t="shared" si="16"/>
        <v/>
      </c>
      <c r="CI197" t="str">
        <f t="shared" si="17"/>
        <v/>
      </c>
      <c r="CJ197" t="str">
        <f t="shared" si="18"/>
        <v/>
      </c>
      <c r="CK197" t="str">
        <f t="shared" si="19"/>
        <v/>
      </c>
    </row>
    <row r="198" spans="1:89">
      <c r="A198">
        <v>76004</v>
      </c>
      <c r="B198" t="s">
        <v>1331</v>
      </c>
      <c r="C198">
        <v>11.6514282226563</v>
      </c>
      <c r="D198" t="s">
        <v>1338</v>
      </c>
      <c r="E198">
        <v>2010</v>
      </c>
      <c r="F198" t="s">
        <v>1320</v>
      </c>
      <c r="G198" t="s">
        <v>167</v>
      </c>
      <c r="H198">
        <v>98144</v>
      </c>
      <c r="I198" t="s">
        <v>1321</v>
      </c>
      <c r="J198" t="s">
        <v>1317</v>
      </c>
      <c r="K198" t="s">
        <v>1306</v>
      </c>
      <c r="L198">
        <v>94</v>
      </c>
      <c r="M198">
        <v>6</v>
      </c>
      <c r="N198">
        <v>2</v>
      </c>
      <c r="O198">
        <v>6</v>
      </c>
      <c r="P198">
        <v>0</v>
      </c>
      <c r="Q198">
        <v>105242</v>
      </c>
      <c r="R198">
        <v>95705</v>
      </c>
      <c r="S198">
        <v>10923</v>
      </c>
      <c r="T198">
        <v>0</v>
      </c>
      <c r="U198">
        <v>8</v>
      </c>
      <c r="V198">
        <v>60</v>
      </c>
      <c r="W198">
        <v>26</v>
      </c>
      <c r="X198">
        <v>0</v>
      </c>
      <c r="Y198">
        <v>74</v>
      </c>
      <c r="Z198" t="b">
        <v>1</v>
      </c>
      <c r="AA198" t="b">
        <v>1</v>
      </c>
      <c r="AB198">
        <v>9</v>
      </c>
      <c r="AC198">
        <v>215164.453125</v>
      </c>
      <c r="AD198">
        <v>247066.171875</v>
      </c>
      <c r="AE198">
        <v>462230.625</v>
      </c>
      <c r="AH198">
        <v>10326.6611328125</v>
      </c>
      <c r="AI198">
        <v>2609797</v>
      </c>
      <c r="AJ198" t="s">
        <v>268</v>
      </c>
      <c r="AK198">
        <v>9537</v>
      </c>
      <c r="AL198">
        <v>41</v>
      </c>
      <c r="AM198">
        <v>0</v>
      </c>
      <c r="AN198">
        <v>18</v>
      </c>
      <c r="AO198">
        <v>0</v>
      </c>
      <c r="AP198">
        <v>9</v>
      </c>
      <c r="AQ198">
        <v>0</v>
      </c>
      <c r="AR198">
        <v>0</v>
      </c>
      <c r="AS198">
        <v>32</v>
      </c>
      <c r="AT198" t="b">
        <v>1</v>
      </c>
      <c r="AU198">
        <v>0</v>
      </c>
      <c r="AV198">
        <v>0</v>
      </c>
      <c r="AW198">
        <v>2</v>
      </c>
      <c r="AX198" t="b">
        <v>0</v>
      </c>
      <c r="AY198" t="b">
        <v>0</v>
      </c>
      <c r="AZ198" t="b">
        <v>1</v>
      </c>
      <c r="BA198" t="b">
        <v>1</v>
      </c>
      <c r="BB198" t="s">
        <v>268</v>
      </c>
      <c r="BC198" t="s">
        <v>271</v>
      </c>
      <c r="BD198" t="s">
        <v>268</v>
      </c>
      <c r="BE198" t="s">
        <v>1307</v>
      </c>
      <c r="BF198" t="s">
        <v>1308</v>
      </c>
      <c r="BG198" t="s">
        <v>1309</v>
      </c>
      <c r="BH198" t="s">
        <v>1336</v>
      </c>
      <c r="BI198" t="s">
        <v>1344</v>
      </c>
      <c r="BJ198" t="b">
        <v>1</v>
      </c>
      <c r="BK198" t="b">
        <v>1</v>
      </c>
      <c r="BL198" t="b">
        <v>1</v>
      </c>
      <c r="BM198" t="b">
        <v>0</v>
      </c>
      <c r="BN198" t="b">
        <v>0</v>
      </c>
      <c r="BO198" t="b">
        <v>0</v>
      </c>
      <c r="BP198">
        <v>1</v>
      </c>
      <c r="BQ198">
        <v>103</v>
      </c>
      <c r="BR198">
        <v>1</v>
      </c>
      <c r="BS198">
        <v>1</v>
      </c>
      <c r="BT198" t="b">
        <v>1</v>
      </c>
      <c r="BU198">
        <v>10</v>
      </c>
      <c r="BV198">
        <v>130</v>
      </c>
      <c r="BW198">
        <v>47760</v>
      </c>
      <c r="BX198">
        <v>2</v>
      </c>
      <c r="BY198" t="s">
        <v>271</v>
      </c>
      <c r="BZ198" t="s">
        <v>268</v>
      </c>
      <c r="CA198" t="s">
        <v>268</v>
      </c>
      <c r="CB198" t="s">
        <v>268</v>
      </c>
      <c r="CC198" t="s">
        <v>1312</v>
      </c>
      <c r="CD198" t="s">
        <v>1313</v>
      </c>
      <c r="CE198" t="s">
        <v>1333</v>
      </c>
      <c r="CF198" t="s">
        <v>1315</v>
      </c>
      <c r="CG198" t="str">
        <f t="shared" si="15"/>
        <v/>
      </c>
      <c r="CH198" t="str">
        <f t="shared" si="16"/>
        <v/>
      </c>
      <c r="CI198" t="str">
        <f t="shared" si="17"/>
        <v/>
      </c>
      <c r="CJ198" t="str">
        <f t="shared" si="18"/>
        <v/>
      </c>
      <c r="CK198" t="str">
        <f t="shared" si="19"/>
        <v/>
      </c>
    </row>
    <row r="199" spans="1:89">
      <c r="A199">
        <v>76005</v>
      </c>
      <c r="B199" t="s">
        <v>1331</v>
      </c>
      <c r="C199">
        <v>17.665067672729499</v>
      </c>
      <c r="D199" t="s">
        <v>1303</v>
      </c>
      <c r="E199">
        <v>1989</v>
      </c>
      <c r="F199" t="s">
        <v>1320</v>
      </c>
      <c r="G199" t="s">
        <v>167</v>
      </c>
      <c r="H199">
        <v>98136</v>
      </c>
      <c r="I199" t="s">
        <v>1321</v>
      </c>
      <c r="K199" t="s">
        <v>1306</v>
      </c>
      <c r="L199">
        <v>62</v>
      </c>
      <c r="M199">
        <v>4</v>
      </c>
      <c r="N199">
        <v>0</v>
      </c>
      <c r="O199">
        <v>4</v>
      </c>
      <c r="P199">
        <v>0</v>
      </c>
      <c r="Q199">
        <v>48604</v>
      </c>
      <c r="R199">
        <v>48604</v>
      </c>
      <c r="S199">
        <v>7154</v>
      </c>
      <c r="T199">
        <v>0</v>
      </c>
      <c r="U199">
        <v>0</v>
      </c>
      <c r="V199">
        <v>15</v>
      </c>
      <c r="W199">
        <v>47</v>
      </c>
      <c r="X199">
        <v>0</v>
      </c>
      <c r="Y199">
        <v>5</v>
      </c>
      <c r="Z199" t="b">
        <v>0</v>
      </c>
      <c r="AA199" t="b">
        <v>1</v>
      </c>
      <c r="AB199">
        <v>8</v>
      </c>
      <c r="AC199">
        <v>90301.46875</v>
      </c>
      <c r="AD199">
        <v>382200.15625</v>
      </c>
      <c r="AE199">
        <v>472501.625</v>
      </c>
      <c r="AI199">
        <v>1612175.5</v>
      </c>
      <c r="AJ199" t="s">
        <v>268</v>
      </c>
      <c r="AK199">
        <v>0</v>
      </c>
      <c r="AL199">
        <v>12</v>
      </c>
      <c r="AM199">
        <v>0</v>
      </c>
      <c r="AN199">
        <v>20</v>
      </c>
      <c r="AO199">
        <v>0</v>
      </c>
      <c r="AP199">
        <v>25</v>
      </c>
      <c r="AQ199">
        <v>0</v>
      </c>
      <c r="AR199">
        <v>0</v>
      </c>
      <c r="AS199">
        <v>43</v>
      </c>
      <c r="AT199" t="b">
        <v>1</v>
      </c>
      <c r="AU199">
        <v>0</v>
      </c>
      <c r="AV199">
        <v>0</v>
      </c>
      <c r="AW199">
        <v>1</v>
      </c>
      <c r="AX199" t="b">
        <v>0</v>
      </c>
      <c r="AY199" t="b">
        <v>0</v>
      </c>
      <c r="AZ199" t="b">
        <v>1</v>
      </c>
      <c r="BA199" t="b">
        <v>0</v>
      </c>
      <c r="BB199" t="s">
        <v>268</v>
      </c>
      <c r="BC199" t="s">
        <v>268</v>
      </c>
      <c r="BD199" t="s">
        <v>268</v>
      </c>
      <c r="BE199" t="s">
        <v>1307</v>
      </c>
      <c r="BF199" t="s">
        <v>1308</v>
      </c>
      <c r="BG199" t="s">
        <v>1309</v>
      </c>
      <c r="BH199" t="s">
        <v>1310</v>
      </c>
      <c r="BI199" t="s">
        <v>1311</v>
      </c>
      <c r="BJ199" t="b">
        <v>0</v>
      </c>
      <c r="BK199" t="b">
        <v>1</v>
      </c>
      <c r="BL199" t="b">
        <v>0</v>
      </c>
      <c r="BM199" t="b">
        <v>0</v>
      </c>
      <c r="BN199" t="b">
        <v>0</v>
      </c>
      <c r="BO199" t="b">
        <v>0</v>
      </c>
      <c r="BP199">
        <v>1</v>
      </c>
      <c r="BQ199">
        <v>63</v>
      </c>
      <c r="BR199">
        <v>0</v>
      </c>
      <c r="BS199">
        <v>0</v>
      </c>
      <c r="BT199" t="b">
        <v>1</v>
      </c>
      <c r="BU199">
        <v>0</v>
      </c>
      <c r="BV199">
        <v>62</v>
      </c>
      <c r="BW199">
        <v>26350</v>
      </c>
      <c r="BX199">
        <v>0</v>
      </c>
      <c r="BY199" t="s">
        <v>268</v>
      </c>
      <c r="BZ199" t="s">
        <v>268</v>
      </c>
      <c r="CA199" t="s">
        <v>268</v>
      </c>
      <c r="CB199" t="s">
        <v>271</v>
      </c>
      <c r="CC199" t="s">
        <v>1319</v>
      </c>
      <c r="CD199" t="s">
        <v>1313</v>
      </c>
      <c r="CE199" t="s">
        <v>1327</v>
      </c>
      <c r="CF199" t="s">
        <v>1315</v>
      </c>
      <c r="CG199" t="str">
        <f t="shared" si="15"/>
        <v/>
      </c>
      <c r="CH199" t="str">
        <f t="shared" si="16"/>
        <v/>
      </c>
      <c r="CI199" t="str">
        <f t="shared" si="17"/>
        <v/>
      </c>
      <c r="CJ199" t="str">
        <f t="shared" si="18"/>
        <v/>
      </c>
      <c r="CK199" t="str">
        <f t="shared" si="19"/>
        <v/>
      </c>
    </row>
    <row r="200" spans="1:89">
      <c r="A200">
        <v>76006</v>
      </c>
      <c r="B200" t="s">
        <v>1371</v>
      </c>
      <c r="C200">
        <v>13.3565158843994</v>
      </c>
      <c r="D200" t="s">
        <v>1303</v>
      </c>
      <c r="E200">
        <v>1981</v>
      </c>
      <c r="F200" t="s">
        <v>1320</v>
      </c>
      <c r="G200" t="s">
        <v>167</v>
      </c>
      <c r="H200">
        <v>98121</v>
      </c>
      <c r="I200" t="s">
        <v>1321</v>
      </c>
      <c r="J200" t="s">
        <v>1317</v>
      </c>
      <c r="K200" t="s">
        <v>1306</v>
      </c>
      <c r="L200">
        <v>82</v>
      </c>
      <c r="M200">
        <v>10</v>
      </c>
      <c r="N200">
        <v>0.5</v>
      </c>
      <c r="O200">
        <v>10</v>
      </c>
      <c r="P200">
        <v>0</v>
      </c>
      <c r="Q200">
        <v>64176</v>
      </c>
      <c r="R200">
        <v>62448</v>
      </c>
      <c r="S200">
        <v>10730</v>
      </c>
      <c r="T200">
        <v>0</v>
      </c>
      <c r="U200">
        <v>0</v>
      </c>
      <c r="V200">
        <v>0</v>
      </c>
      <c r="W200">
        <v>82</v>
      </c>
      <c r="X200">
        <v>0</v>
      </c>
      <c r="Y200">
        <v>2.4000000953674299</v>
      </c>
      <c r="Z200" t="b">
        <v>1</v>
      </c>
      <c r="AA200" t="b">
        <v>1</v>
      </c>
      <c r="AB200">
        <v>8</v>
      </c>
      <c r="AC200">
        <v>284152.28125</v>
      </c>
      <c r="AD200">
        <v>483957.5625</v>
      </c>
      <c r="AE200">
        <v>768109.875</v>
      </c>
      <c r="AH200">
        <v>5666.4892578125</v>
      </c>
      <c r="AI200">
        <v>3187439.75</v>
      </c>
      <c r="AJ200" t="s">
        <v>268</v>
      </c>
      <c r="AK200">
        <v>1728</v>
      </c>
      <c r="AL200">
        <v>43</v>
      </c>
      <c r="AM200">
        <v>0</v>
      </c>
      <c r="AN200">
        <v>7</v>
      </c>
      <c r="AO200">
        <v>0</v>
      </c>
      <c r="AP200">
        <v>0</v>
      </c>
      <c r="AQ200">
        <v>0</v>
      </c>
      <c r="AR200">
        <v>0</v>
      </c>
      <c r="AS200">
        <v>50</v>
      </c>
      <c r="AT200" t="b">
        <v>0</v>
      </c>
      <c r="AU200">
        <v>4</v>
      </c>
      <c r="AV200">
        <v>4</v>
      </c>
      <c r="AW200">
        <v>2</v>
      </c>
      <c r="AX200" t="b">
        <v>0</v>
      </c>
      <c r="AY200" t="b">
        <v>0</v>
      </c>
      <c r="AZ200" t="b">
        <v>1</v>
      </c>
      <c r="BA200" t="b">
        <v>1</v>
      </c>
      <c r="BB200" t="s">
        <v>268</v>
      </c>
      <c r="BC200" t="s">
        <v>268</v>
      </c>
      <c r="BD200" t="s">
        <v>268</v>
      </c>
      <c r="BE200" t="s">
        <v>1307</v>
      </c>
      <c r="BF200" t="s">
        <v>1308</v>
      </c>
      <c r="BG200" t="s">
        <v>1309</v>
      </c>
      <c r="BH200" t="s">
        <v>1310</v>
      </c>
      <c r="BI200" t="s">
        <v>1379</v>
      </c>
      <c r="BJ200" t="b">
        <v>1</v>
      </c>
      <c r="BK200" t="b">
        <v>1</v>
      </c>
      <c r="BL200" t="b">
        <v>1</v>
      </c>
      <c r="BM200" t="b">
        <v>0</v>
      </c>
      <c r="BN200" t="b">
        <v>0</v>
      </c>
      <c r="BO200" t="b">
        <v>0</v>
      </c>
      <c r="BP200">
        <v>2</v>
      </c>
      <c r="BQ200">
        <v>87</v>
      </c>
      <c r="BR200">
        <v>1</v>
      </c>
      <c r="BS200">
        <v>1</v>
      </c>
      <c r="BT200" t="b">
        <v>1</v>
      </c>
      <c r="BV200">
        <v>10</v>
      </c>
      <c r="BW200">
        <v>4250</v>
      </c>
      <c r="BX200">
        <v>0</v>
      </c>
      <c r="BY200" t="s">
        <v>268</v>
      </c>
      <c r="BZ200" t="s">
        <v>268</v>
      </c>
      <c r="CA200" t="s">
        <v>268</v>
      </c>
      <c r="CB200" t="s">
        <v>271</v>
      </c>
      <c r="CC200" t="s">
        <v>1312</v>
      </c>
      <c r="CD200" t="s">
        <v>1445</v>
      </c>
      <c r="CE200" t="s">
        <v>1314</v>
      </c>
      <c r="CF200" t="s">
        <v>1361</v>
      </c>
      <c r="CG200" t="str">
        <f t="shared" si="15"/>
        <v/>
      </c>
      <c r="CH200" t="str">
        <f t="shared" si="16"/>
        <v/>
      </c>
      <c r="CI200" t="str">
        <f t="shared" si="17"/>
        <v/>
      </c>
      <c r="CJ200" t="str">
        <f t="shared" si="18"/>
        <v/>
      </c>
      <c r="CK200" t="str">
        <f t="shared" si="19"/>
        <v/>
      </c>
    </row>
    <row r="201" spans="1:89">
      <c r="A201">
        <v>76007</v>
      </c>
      <c r="B201" t="s">
        <v>1331</v>
      </c>
      <c r="C201">
        <v>13.195593833923301</v>
      </c>
      <c r="D201" t="s">
        <v>1303</v>
      </c>
      <c r="E201">
        <v>1990</v>
      </c>
      <c r="F201" t="s">
        <v>1320</v>
      </c>
      <c r="G201" t="s">
        <v>167</v>
      </c>
      <c r="H201">
        <v>98121</v>
      </c>
      <c r="I201" t="s">
        <v>1321</v>
      </c>
      <c r="J201" t="s">
        <v>1317</v>
      </c>
      <c r="K201" t="s">
        <v>1306</v>
      </c>
      <c r="L201">
        <v>83</v>
      </c>
      <c r="M201">
        <v>5</v>
      </c>
      <c r="N201">
        <v>0</v>
      </c>
      <c r="O201">
        <v>5</v>
      </c>
      <c r="P201">
        <v>0</v>
      </c>
      <c r="Q201">
        <v>46666</v>
      </c>
      <c r="R201">
        <v>40326</v>
      </c>
      <c r="S201">
        <v>10276</v>
      </c>
      <c r="T201">
        <v>0</v>
      </c>
      <c r="U201">
        <v>0</v>
      </c>
      <c r="V201">
        <v>0</v>
      </c>
      <c r="W201">
        <v>0</v>
      </c>
      <c r="X201">
        <v>83</v>
      </c>
      <c r="Y201">
        <v>6</v>
      </c>
      <c r="Z201" t="b">
        <v>1</v>
      </c>
      <c r="AA201" t="b">
        <v>1</v>
      </c>
      <c r="AB201">
        <v>9</v>
      </c>
      <c r="AC201">
        <v>118401.9765625</v>
      </c>
      <c r="AD201">
        <v>219910.03125</v>
      </c>
      <c r="AE201">
        <v>338312</v>
      </c>
      <c r="AH201">
        <v>9902.923828125</v>
      </c>
      <c r="AI201">
        <v>2144613</v>
      </c>
      <c r="AJ201" t="s">
        <v>268</v>
      </c>
      <c r="AK201">
        <v>6340</v>
      </c>
      <c r="AL201">
        <v>0</v>
      </c>
      <c r="AM201">
        <v>29</v>
      </c>
      <c r="AN201">
        <v>0</v>
      </c>
      <c r="AO201">
        <v>7</v>
      </c>
      <c r="AP201">
        <v>0</v>
      </c>
      <c r="AQ201">
        <v>34</v>
      </c>
      <c r="AR201">
        <v>30</v>
      </c>
      <c r="AS201">
        <v>0</v>
      </c>
      <c r="AT201" t="b">
        <v>0</v>
      </c>
      <c r="AU201">
        <v>4</v>
      </c>
      <c r="AV201">
        <v>4</v>
      </c>
      <c r="AW201">
        <v>1</v>
      </c>
      <c r="AX201" t="b">
        <v>0</v>
      </c>
      <c r="AY201" t="b">
        <v>0</v>
      </c>
      <c r="AZ201" t="b">
        <v>1</v>
      </c>
      <c r="BA201" t="b">
        <v>1</v>
      </c>
      <c r="BB201" t="s">
        <v>268</v>
      </c>
      <c r="BC201" t="s">
        <v>268</v>
      </c>
      <c r="BD201" t="s">
        <v>268</v>
      </c>
      <c r="BE201" t="s">
        <v>1307</v>
      </c>
      <c r="BF201" t="s">
        <v>1308</v>
      </c>
      <c r="BG201" t="s">
        <v>1309</v>
      </c>
      <c r="BH201" t="s">
        <v>1310</v>
      </c>
      <c r="BI201" t="s">
        <v>1344</v>
      </c>
      <c r="BJ201" t="b">
        <v>1</v>
      </c>
      <c r="BK201" t="b">
        <v>1</v>
      </c>
      <c r="BL201" t="b">
        <v>1</v>
      </c>
      <c r="BM201" t="b">
        <v>0</v>
      </c>
      <c r="BN201" t="b">
        <v>0</v>
      </c>
      <c r="BO201" t="b">
        <v>0</v>
      </c>
      <c r="BP201">
        <v>1</v>
      </c>
      <c r="BQ201">
        <v>89</v>
      </c>
      <c r="BR201">
        <v>1</v>
      </c>
      <c r="BS201">
        <v>1</v>
      </c>
      <c r="BT201" t="b">
        <v>1</v>
      </c>
      <c r="BV201">
        <v>7</v>
      </c>
      <c r="BW201">
        <v>2975</v>
      </c>
      <c r="BX201">
        <v>0</v>
      </c>
      <c r="BY201" t="s">
        <v>268</v>
      </c>
      <c r="BZ201" t="s">
        <v>268</v>
      </c>
      <c r="CA201" t="s">
        <v>268</v>
      </c>
      <c r="CB201" t="s">
        <v>271</v>
      </c>
      <c r="CC201" t="s">
        <v>1319</v>
      </c>
      <c r="CD201" t="s">
        <v>1313</v>
      </c>
      <c r="CE201" t="s">
        <v>1327</v>
      </c>
      <c r="CF201" t="s">
        <v>1315</v>
      </c>
      <c r="CG201" t="str">
        <f t="shared" si="15"/>
        <v/>
      </c>
      <c r="CH201" t="str">
        <f t="shared" si="16"/>
        <v/>
      </c>
      <c r="CI201" t="str">
        <f t="shared" si="17"/>
        <v/>
      </c>
      <c r="CJ201" t="str">
        <f t="shared" si="18"/>
        <v/>
      </c>
      <c r="CK201" t="str">
        <f t="shared" si="19"/>
        <v/>
      </c>
    </row>
    <row r="202" spans="1:89">
      <c r="A202">
        <v>76008</v>
      </c>
      <c r="B202" t="s">
        <v>1371</v>
      </c>
      <c r="C202">
        <v>12.169268608093301</v>
      </c>
      <c r="D202" t="s">
        <v>1338</v>
      </c>
      <c r="E202">
        <v>2004</v>
      </c>
      <c r="F202" t="s">
        <v>1320</v>
      </c>
      <c r="G202" t="s">
        <v>167</v>
      </c>
      <c r="H202">
        <v>98102</v>
      </c>
      <c r="I202" t="s">
        <v>1321</v>
      </c>
      <c r="J202" t="s">
        <v>1317</v>
      </c>
      <c r="K202" t="s">
        <v>1306</v>
      </c>
      <c r="L202">
        <v>90</v>
      </c>
      <c r="M202">
        <v>6</v>
      </c>
      <c r="N202">
        <v>1</v>
      </c>
      <c r="O202">
        <v>7</v>
      </c>
      <c r="P202">
        <v>0</v>
      </c>
      <c r="Q202">
        <v>54000</v>
      </c>
      <c r="R202">
        <v>50250</v>
      </c>
      <c r="S202">
        <v>5840</v>
      </c>
      <c r="T202">
        <v>0</v>
      </c>
      <c r="U202">
        <v>0</v>
      </c>
      <c r="V202">
        <v>14</v>
      </c>
      <c r="W202">
        <v>18</v>
      </c>
      <c r="X202">
        <v>58</v>
      </c>
      <c r="Y202">
        <v>1.1100000143051101</v>
      </c>
      <c r="Z202" t="b">
        <v>1</v>
      </c>
      <c r="AA202" t="b">
        <v>1</v>
      </c>
      <c r="AB202">
        <v>8.5</v>
      </c>
      <c r="AC202">
        <v>1064.96716308594</v>
      </c>
      <c r="AD202">
        <v>399961.71875</v>
      </c>
      <c r="AE202">
        <v>401026.6875</v>
      </c>
      <c r="AH202">
        <v>287.55505371093801</v>
      </c>
      <c r="AI202">
        <v>1397058.625</v>
      </c>
      <c r="AJ202" t="s">
        <v>268</v>
      </c>
      <c r="AK202">
        <v>3750</v>
      </c>
      <c r="AL202">
        <v>30</v>
      </c>
      <c r="AM202">
        <v>0</v>
      </c>
      <c r="AN202">
        <v>26</v>
      </c>
      <c r="AO202">
        <v>0</v>
      </c>
      <c r="AP202">
        <v>10</v>
      </c>
      <c r="AQ202">
        <v>0</v>
      </c>
      <c r="AR202">
        <v>0</v>
      </c>
      <c r="AS202">
        <v>34</v>
      </c>
      <c r="AT202" t="b">
        <v>1</v>
      </c>
      <c r="AU202">
        <v>0</v>
      </c>
      <c r="AV202">
        <v>0</v>
      </c>
      <c r="AW202">
        <v>1</v>
      </c>
      <c r="AX202" t="b">
        <v>0</v>
      </c>
      <c r="AY202" t="b">
        <v>0</v>
      </c>
      <c r="AZ202" t="b">
        <v>1</v>
      </c>
      <c r="BA202" t="b">
        <v>1</v>
      </c>
      <c r="BB202" t="s">
        <v>268</v>
      </c>
      <c r="BC202" t="s">
        <v>271</v>
      </c>
      <c r="BD202" t="s">
        <v>268</v>
      </c>
      <c r="BE202" t="s">
        <v>1307</v>
      </c>
      <c r="BF202" t="s">
        <v>1308</v>
      </c>
      <c r="BG202" t="s">
        <v>1309</v>
      </c>
      <c r="BH202" t="s">
        <v>1310</v>
      </c>
      <c r="BI202" t="s">
        <v>1311</v>
      </c>
      <c r="BJ202" t="b">
        <v>1</v>
      </c>
      <c r="BK202" t="b">
        <v>1</v>
      </c>
      <c r="BL202" t="b">
        <v>1</v>
      </c>
      <c r="BM202" t="b">
        <v>0</v>
      </c>
      <c r="BN202" t="b">
        <v>0</v>
      </c>
      <c r="BO202" t="b">
        <v>0</v>
      </c>
      <c r="BP202">
        <v>2</v>
      </c>
      <c r="BQ202">
        <v>93</v>
      </c>
      <c r="BR202">
        <v>1</v>
      </c>
      <c r="BS202">
        <v>1</v>
      </c>
      <c r="BT202" t="b">
        <v>1</v>
      </c>
      <c r="BU202">
        <v>0</v>
      </c>
      <c r="BV202">
        <v>119</v>
      </c>
      <c r="BW202">
        <v>45000</v>
      </c>
      <c r="BX202">
        <v>3</v>
      </c>
      <c r="BY202" t="s">
        <v>271</v>
      </c>
      <c r="BZ202" t="s">
        <v>268</v>
      </c>
      <c r="CA202" t="s">
        <v>268</v>
      </c>
      <c r="CB202" t="s">
        <v>268</v>
      </c>
      <c r="CC202" t="s">
        <v>1312</v>
      </c>
      <c r="CD202" t="s">
        <v>1313</v>
      </c>
      <c r="CE202" t="s">
        <v>1333</v>
      </c>
      <c r="CF202" t="s">
        <v>1315</v>
      </c>
      <c r="CG202" t="str">
        <f t="shared" si="15"/>
        <v/>
      </c>
      <c r="CH202" t="str">
        <f t="shared" si="16"/>
        <v/>
      </c>
      <c r="CI202" t="str">
        <f t="shared" si="17"/>
        <v/>
      </c>
      <c r="CJ202" t="str">
        <f t="shared" si="18"/>
        <v/>
      </c>
      <c r="CK202" t="str">
        <f t="shared" si="19"/>
        <v/>
      </c>
    </row>
    <row r="203" spans="1:89">
      <c r="A203">
        <v>76009</v>
      </c>
      <c r="B203" t="s">
        <v>1302</v>
      </c>
      <c r="C203">
        <v>16.346778869628899</v>
      </c>
      <c r="D203" t="s">
        <v>1324</v>
      </c>
      <c r="E203">
        <v>1970</v>
      </c>
      <c r="F203" t="s">
        <v>1369</v>
      </c>
      <c r="G203" t="s">
        <v>167</v>
      </c>
      <c r="H203">
        <v>98146</v>
      </c>
      <c r="I203" t="s">
        <v>1321</v>
      </c>
      <c r="J203" t="s">
        <v>1317</v>
      </c>
      <c r="K203" t="s">
        <v>1306</v>
      </c>
      <c r="L203">
        <v>67</v>
      </c>
      <c r="M203">
        <v>3</v>
      </c>
      <c r="N203">
        <v>0</v>
      </c>
      <c r="O203">
        <v>3</v>
      </c>
      <c r="P203">
        <v>0</v>
      </c>
      <c r="Q203">
        <v>48606</v>
      </c>
      <c r="R203">
        <v>48606</v>
      </c>
      <c r="S203">
        <v>9781</v>
      </c>
      <c r="T203">
        <v>0</v>
      </c>
      <c r="U203">
        <v>0</v>
      </c>
      <c r="V203">
        <v>0</v>
      </c>
      <c r="W203">
        <v>67</v>
      </c>
      <c r="X203">
        <v>0</v>
      </c>
      <c r="Y203">
        <v>0</v>
      </c>
      <c r="Z203" t="b">
        <v>0</v>
      </c>
      <c r="AA203" t="b">
        <v>1</v>
      </c>
      <c r="AB203">
        <v>8</v>
      </c>
      <c r="AC203">
        <v>412712.90625</v>
      </c>
      <c r="AD203">
        <v>208407.875</v>
      </c>
      <c r="AE203">
        <v>621120.75</v>
      </c>
      <c r="AH203">
        <v>5595.447265625</v>
      </c>
      <c r="AI203">
        <v>2678808.75</v>
      </c>
      <c r="AJ203" t="s">
        <v>268</v>
      </c>
      <c r="AK203">
        <v>0</v>
      </c>
      <c r="AL203">
        <v>13</v>
      </c>
      <c r="AM203">
        <v>0</v>
      </c>
      <c r="AN203">
        <v>32</v>
      </c>
      <c r="AO203">
        <v>0</v>
      </c>
      <c r="AP203">
        <v>37</v>
      </c>
      <c r="AQ203">
        <v>0</v>
      </c>
      <c r="AR203">
        <v>0</v>
      </c>
      <c r="AS203">
        <v>18</v>
      </c>
      <c r="AT203" t="b">
        <v>0</v>
      </c>
      <c r="AU203">
        <v>4</v>
      </c>
      <c r="AV203">
        <v>4</v>
      </c>
      <c r="AW203">
        <v>1</v>
      </c>
      <c r="AX203" t="b">
        <v>0</v>
      </c>
      <c r="AY203" t="b">
        <v>0</v>
      </c>
      <c r="AZ203" t="b">
        <v>1</v>
      </c>
      <c r="BA203" t="b">
        <v>1</v>
      </c>
      <c r="BB203" t="s">
        <v>268</v>
      </c>
      <c r="BC203" t="s">
        <v>268</v>
      </c>
      <c r="BD203" t="s">
        <v>268</v>
      </c>
      <c r="BE203" t="s">
        <v>1307</v>
      </c>
      <c r="BF203" t="s">
        <v>1308</v>
      </c>
      <c r="BG203" t="s">
        <v>1309</v>
      </c>
      <c r="BH203" t="s">
        <v>1310</v>
      </c>
      <c r="BI203" t="s">
        <v>1344</v>
      </c>
      <c r="BJ203" t="b">
        <v>1</v>
      </c>
      <c r="BK203" t="b">
        <v>1</v>
      </c>
      <c r="BL203" t="b">
        <v>1</v>
      </c>
      <c r="BM203" t="b">
        <v>0</v>
      </c>
      <c r="BN203" t="b">
        <v>0</v>
      </c>
      <c r="BO203" t="b">
        <v>0</v>
      </c>
      <c r="BP203">
        <v>1</v>
      </c>
      <c r="BQ203">
        <v>70</v>
      </c>
      <c r="BR203">
        <v>1</v>
      </c>
      <c r="BS203">
        <v>1</v>
      </c>
      <c r="BT203" t="b">
        <v>1</v>
      </c>
      <c r="BV203">
        <v>26</v>
      </c>
      <c r="BW203">
        <v>11050</v>
      </c>
      <c r="BX203">
        <v>0</v>
      </c>
      <c r="BY203" t="s">
        <v>268</v>
      </c>
      <c r="BZ203" t="s">
        <v>268</v>
      </c>
      <c r="CA203" t="s">
        <v>268</v>
      </c>
      <c r="CB203" t="s">
        <v>271</v>
      </c>
      <c r="CC203" t="s">
        <v>1372</v>
      </c>
      <c r="CD203" t="s">
        <v>1373</v>
      </c>
      <c r="CE203" t="s">
        <v>1314</v>
      </c>
      <c r="CF203" t="s">
        <v>1435</v>
      </c>
      <c r="CG203">
        <f t="shared" si="15"/>
        <v>16.346778869628899</v>
      </c>
      <c r="CH203">
        <f t="shared" si="16"/>
        <v>48606</v>
      </c>
      <c r="CI203">
        <f t="shared" si="17"/>
        <v>3</v>
      </c>
      <c r="CJ203">
        <f t="shared" si="18"/>
        <v>794551.53373718227</v>
      </c>
      <c r="CK203">
        <f t="shared" si="19"/>
        <v>49.040336608886697</v>
      </c>
    </row>
    <row r="204" spans="1:89">
      <c r="A204">
        <v>76010</v>
      </c>
      <c r="B204" t="s">
        <v>1302</v>
      </c>
      <c r="C204">
        <v>16.106386184692401</v>
      </c>
      <c r="D204" t="s">
        <v>1324</v>
      </c>
      <c r="E204">
        <v>1965</v>
      </c>
      <c r="F204" t="s">
        <v>1320</v>
      </c>
      <c r="G204" t="s">
        <v>167</v>
      </c>
      <c r="H204">
        <v>98125</v>
      </c>
      <c r="I204" t="s">
        <v>1321</v>
      </c>
      <c r="J204" t="s">
        <v>1317</v>
      </c>
      <c r="K204" t="s">
        <v>1306</v>
      </c>
      <c r="L204">
        <v>68</v>
      </c>
      <c r="M204">
        <v>3</v>
      </c>
      <c r="N204">
        <v>1</v>
      </c>
      <c r="O204">
        <v>3</v>
      </c>
      <c r="P204">
        <v>0</v>
      </c>
      <c r="Q204">
        <v>70224</v>
      </c>
      <c r="R204">
        <v>64577</v>
      </c>
      <c r="S204">
        <v>12775</v>
      </c>
      <c r="T204">
        <v>0</v>
      </c>
      <c r="U204">
        <v>0</v>
      </c>
      <c r="V204">
        <v>9</v>
      </c>
      <c r="W204">
        <v>57</v>
      </c>
      <c r="X204">
        <v>2</v>
      </c>
      <c r="Y204">
        <v>2</v>
      </c>
      <c r="Z204" t="b">
        <v>1</v>
      </c>
      <c r="AA204" t="b">
        <v>1</v>
      </c>
      <c r="AB204">
        <v>8</v>
      </c>
      <c r="AC204">
        <v>85642.3125</v>
      </c>
      <c r="AD204">
        <v>438207.71875</v>
      </c>
      <c r="AE204">
        <v>523850.03125</v>
      </c>
      <c r="AH204">
        <v>11260.326171875</v>
      </c>
      <c r="AI204">
        <v>2913409</v>
      </c>
      <c r="AJ204" t="s">
        <v>268</v>
      </c>
      <c r="AK204">
        <v>5647</v>
      </c>
      <c r="AL204">
        <v>44</v>
      </c>
      <c r="AM204">
        <v>0</v>
      </c>
      <c r="AN204">
        <v>13</v>
      </c>
      <c r="AO204">
        <v>0</v>
      </c>
      <c r="AP204">
        <v>10</v>
      </c>
      <c r="AQ204">
        <v>0</v>
      </c>
      <c r="AR204">
        <v>0</v>
      </c>
      <c r="AS204">
        <v>33</v>
      </c>
      <c r="AT204" t="b">
        <v>1</v>
      </c>
      <c r="AU204">
        <v>4</v>
      </c>
      <c r="AV204">
        <v>4</v>
      </c>
      <c r="AW204">
        <v>1</v>
      </c>
      <c r="AX204" t="b">
        <v>0</v>
      </c>
      <c r="AY204" t="b">
        <v>1</v>
      </c>
      <c r="AZ204" t="b">
        <v>1</v>
      </c>
      <c r="BA204" t="b">
        <v>1</v>
      </c>
      <c r="BB204" t="s">
        <v>268</v>
      </c>
      <c r="BC204" t="s">
        <v>268</v>
      </c>
      <c r="BD204" t="s">
        <v>268</v>
      </c>
      <c r="BE204" t="s">
        <v>1307</v>
      </c>
      <c r="BF204" t="s">
        <v>1308</v>
      </c>
      <c r="BG204" t="s">
        <v>1309</v>
      </c>
      <c r="BH204" t="s">
        <v>1310</v>
      </c>
      <c r="BI204" t="s">
        <v>1322</v>
      </c>
      <c r="BJ204" t="b">
        <v>1</v>
      </c>
      <c r="BK204" t="b">
        <v>1</v>
      </c>
      <c r="BL204" t="b">
        <v>1</v>
      </c>
      <c r="BM204" t="b">
        <v>0</v>
      </c>
      <c r="BN204" t="b">
        <v>0</v>
      </c>
      <c r="BO204" t="b">
        <v>0</v>
      </c>
      <c r="BP204">
        <v>8</v>
      </c>
      <c r="BQ204">
        <v>70</v>
      </c>
      <c r="BR204">
        <v>1</v>
      </c>
      <c r="BS204">
        <v>3</v>
      </c>
      <c r="BT204" t="b">
        <v>1</v>
      </c>
      <c r="BU204">
        <v>0</v>
      </c>
      <c r="BV204">
        <v>85</v>
      </c>
      <c r="BW204">
        <v>34939</v>
      </c>
      <c r="BX204">
        <v>1</v>
      </c>
      <c r="BY204" t="s">
        <v>268</v>
      </c>
      <c r="BZ204" t="s">
        <v>271</v>
      </c>
      <c r="CA204" t="s">
        <v>268</v>
      </c>
      <c r="CB204" t="s">
        <v>271</v>
      </c>
      <c r="CC204" t="s">
        <v>1312</v>
      </c>
      <c r="CD204" t="s">
        <v>1313</v>
      </c>
      <c r="CE204" t="s">
        <v>1314</v>
      </c>
      <c r="CF204" t="s">
        <v>1315</v>
      </c>
      <c r="CG204">
        <f t="shared" si="15"/>
        <v>16.106386184692401</v>
      </c>
      <c r="CH204">
        <f t="shared" si="16"/>
        <v>70224</v>
      </c>
      <c r="CI204">
        <f t="shared" si="17"/>
        <v>3</v>
      </c>
      <c r="CJ204">
        <f t="shared" si="18"/>
        <v>1131054.8634338391</v>
      </c>
      <c r="CK204">
        <f t="shared" si="19"/>
        <v>48.319158554077205</v>
      </c>
    </row>
    <row r="205" spans="1:89">
      <c r="A205">
        <v>76011</v>
      </c>
      <c r="B205" t="s">
        <v>1371</v>
      </c>
      <c r="C205">
        <v>12.169268608093301</v>
      </c>
      <c r="D205" t="s">
        <v>1338</v>
      </c>
      <c r="E205">
        <v>2005</v>
      </c>
      <c r="F205" t="s">
        <v>1320</v>
      </c>
      <c r="G205" t="s">
        <v>167</v>
      </c>
      <c r="H205">
        <v>98104</v>
      </c>
      <c r="I205" t="s">
        <v>1321</v>
      </c>
      <c r="J205" t="s">
        <v>1317</v>
      </c>
      <c r="K205" t="s">
        <v>1306</v>
      </c>
      <c r="L205">
        <v>90</v>
      </c>
      <c r="M205">
        <v>7</v>
      </c>
      <c r="N205">
        <v>0</v>
      </c>
      <c r="O205">
        <v>7</v>
      </c>
      <c r="P205">
        <v>0</v>
      </c>
      <c r="Q205">
        <v>67319</v>
      </c>
      <c r="R205">
        <v>67319</v>
      </c>
      <c r="S205">
        <v>15385</v>
      </c>
      <c r="T205">
        <v>0</v>
      </c>
      <c r="U205">
        <v>0</v>
      </c>
      <c r="V205">
        <v>60</v>
      </c>
      <c r="W205">
        <v>30</v>
      </c>
      <c r="X205">
        <v>0</v>
      </c>
      <c r="Y205">
        <v>0</v>
      </c>
      <c r="Z205" t="b">
        <v>0</v>
      </c>
      <c r="AA205" t="b">
        <v>1</v>
      </c>
      <c r="AB205">
        <v>8</v>
      </c>
      <c r="AC205">
        <v>262575.28125</v>
      </c>
      <c r="AD205">
        <v>518258.75</v>
      </c>
      <c r="AE205">
        <v>780834</v>
      </c>
      <c r="AH205">
        <v>7277.412109375</v>
      </c>
      <c r="AI205">
        <v>3391946.75</v>
      </c>
      <c r="AJ205" t="s">
        <v>268</v>
      </c>
      <c r="AK205">
        <v>0</v>
      </c>
      <c r="AL205">
        <v>22</v>
      </c>
      <c r="AM205">
        <v>0</v>
      </c>
      <c r="AN205">
        <v>14</v>
      </c>
      <c r="AO205">
        <v>0</v>
      </c>
      <c r="AP205">
        <v>39</v>
      </c>
      <c r="AQ205">
        <v>0</v>
      </c>
      <c r="AR205">
        <v>0</v>
      </c>
      <c r="AS205">
        <v>25</v>
      </c>
      <c r="AT205" t="b">
        <v>0</v>
      </c>
      <c r="AU205">
        <v>4</v>
      </c>
      <c r="AV205">
        <v>4</v>
      </c>
      <c r="AW205">
        <v>1</v>
      </c>
      <c r="AX205" t="b">
        <v>0</v>
      </c>
      <c r="AY205" t="b">
        <v>1</v>
      </c>
      <c r="AZ205" t="b">
        <v>1</v>
      </c>
      <c r="BA205" t="b">
        <v>0</v>
      </c>
      <c r="BB205" t="s">
        <v>268</v>
      </c>
      <c r="BC205" t="s">
        <v>271</v>
      </c>
      <c r="BD205" t="s">
        <v>268</v>
      </c>
      <c r="BE205" t="s">
        <v>1307</v>
      </c>
      <c r="BF205" t="s">
        <v>1308</v>
      </c>
      <c r="BG205" t="s">
        <v>1309</v>
      </c>
      <c r="BH205" t="s">
        <v>1310</v>
      </c>
      <c r="BI205" t="s">
        <v>1344</v>
      </c>
      <c r="BJ205" t="b">
        <v>1</v>
      </c>
      <c r="BK205" t="b">
        <v>1</v>
      </c>
      <c r="BL205" t="b">
        <v>1</v>
      </c>
      <c r="BM205" t="b">
        <v>0</v>
      </c>
      <c r="BN205" t="b">
        <v>0</v>
      </c>
      <c r="BO205" t="b">
        <v>0</v>
      </c>
      <c r="BP205">
        <v>1</v>
      </c>
      <c r="BQ205">
        <v>92</v>
      </c>
      <c r="BR205">
        <v>1</v>
      </c>
      <c r="BS205">
        <v>1</v>
      </c>
      <c r="BT205" t="b">
        <v>1</v>
      </c>
      <c r="BU205">
        <v>0</v>
      </c>
      <c r="BV205">
        <v>42</v>
      </c>
      <c r="BW205">
        <v>8938</v>
      </c>
      <c r="BX205">
        <v>2</v>
      </c>
      <c r="BY205" t="s">
        <v>271</v>
      </c>
      <c r="BZ205" t="s">
        <v>268</v>
      </c>
      <c r="CA205" t="s">
        <v>268</v>
      </c>
      <c r="CB205" t="s">
        <v>268</v>
      </c>
      <c r="CC205" t="s">
        <v>1312</v>
      </c>
      <c r="CD205" t="s">
        <v>1313</v>
      </c>
      <c r="CE205" t="s">
        <v>1333</v>
      </c>
      <c r="CF205" t="s">
        <v>1315</v>
      </c>
      <c r="CG205" t="str">
        <f t="shared" si="15"/>
        <v/>
      </c>
      <c r="CH205" t="str">
        <f t="shared" si="16"/>
        <v/>
      </c>
      <c r="CI205" t="str">
        <f t="shared" si="17"/>
        <v/>
      </c>
      <c r="CJ205" t="str">
        <f t="shared" si="18"/>
        <v/>
      </c>
      <c r="CK205" t="str">
        <f t="shared" si="19"/>
        <v/>
      </c>
    </row>
    <row r="206" spans="1:89">
      <c r="A206">
        <v>76012</v>
      </c>
      <c r="B206" t="s">
        <v>1331</v>
      </c>
      <c r="C206">
        <v>12.445842742919901</v>
      </c>
      <c r="D206" t="s">
        <v>1338</v>
      </c>
      <c r="E206">
        <v>2007</v>
      </c>
      <c r="F206" t="s">
        <v>1442</v>
      </c>
      <c r="G206" t="s">
        <v>167</v>
      </c>
      <c r="H206">
        <v>98155</v>
      </c>
      <c r="I206" t="s">
        <v>1321</v>
      </c>
      <c r="K206" t="s">
        <v>1306</v>
      </c>
      <c r="L206">
        <v>88</v>
      </c>
      <c r="M206">
        <v>5</v>
      </c>
      <c r="N206">
        <v>0</v>
      </c>
      <c r="O206">
        <v>5</v>
      </c>
      <c r="P206">
        <v>0</v>
      </c>
      <c r="Q206">
        <v>96624</v>
      </c>
      <c r="R206">
        <v>96624</v>
      </c>
      <c r="S206">
        <v>15934</v>
      </c>
      <c r="T206">
        <v>0</v>
      </c>
      <c r="U206">
        <v>38</v>
      </c>
      <c r="V206">
        <v>33</v>
      </c>
      <c r="W206">
        <v>7</v>
      </c>
      <c r="X206">
        <v>10</v>
      </c>
      <c r="Y206">
        <v>5</v>
      </c>
      <c r="Z206" t="b">
        <v>0</v>
      </c>
      <c r="AA206" t="b">
        <v>1</v>
      </c>
      <c r="AB206">
        <v>8</v>
      </c>
      <c r="AC206">
        <v>98610.65625</v>
      </c>
      <c r="AD206">
        <v>635775.25</v>
      </c>
      <c r="AE206">
        <v>734385.875</v>
      </c>
      <c r="AI206">
        <v>2505724.5</v>
      </c>
      <c r="AJ206" t="s">
        <v>268</v>
      </c>
      <c r="AK206">
        <v>0</v>
      </c>
      <c r="AL206">
        <v>19</v>
      </c>
      <c r="AM206">
        <v>0</v>
      </c>
      <c r="AN206">
        <v>40</v>
      </c>
      <c r="AO206">
        <v>0</v>
      </c>
      <c r="AP206">
        <v>19</v>
      </c>
      <c r="AQ206">
        <v>0</v>
      </c>
      <c r="AR206">
        <v>0</v>
      </c>
      <c r="AS206">
        <v>22</v>
      </c>
      <c r="AT206" t="b">
        <v>1</v>
      </c>
      <c r="AU206">
        <v>0</v>
      </c>
      <c r="AV206">
        <v>0</v>
      </c>
      <c r="AW206">
        <v>2</v>
      </c>
      <c r="AX206" t="b">
        <v>0</v>
      </c>
      <c r="AY206" t="b">
        <v>1</v>
      </c>
      <c r="AZ206" t="b">
        <v>1</v>
      </c>
      <c r="BA206" t="b">
        <v>1</v>
      </c>
      <c r="BB206" t="s">
        <v>268</v>
      </c>
      <c r="BC206" t="s">
        <v>271</v>
      </c>
      <c r="BD206" t="s">
        <v>268</v>
      </c>
      <c r="BE206" t="s">
        <v>1307</v>
      </c>
      <c r="BF206" t="s">
        <v>1308</v>
      </c>
      <c r="BG206" t="s">
        <v>1309</v>
      </c>
      <c r="BH206" t="s">
        <v>1310</v>
      </c>
      <c r="BI206" t="s">
        <v>1322</v>
      </c>
      <c r="BJ206" t="b">
        <v>0</v>
      </c>
      <c r="BK206" t="b">
        <v>1</v>
      </c>
      <c r="BL206" t="b">
        <v>0</v>
      </c>
      <c r="BM206" t="b">
        <v>0</v>
      </c>
      <c r="BN206" t="b">
        <v>0</v>
      </c>
      <c r="BO206" t="b">
        <v>0</v>
      </c>
      <c r="BP206">
        <v>1</v>
      </c>
      <c r="BQ206">
        <v>89</v>
      </c>
      <c r="BR206">
        <v>0</v>
      </c>
      <c r="BS206">
        <v>0</v>
      </c>
      <c r="BT206" t="b">
        <v>1</v>
      </c>
      <c r="BU206">
        <v>0</v>
      </c>
      <c r="BV206">
        <v>99</v>
      </c>
      <c r="BW206">
        <v>39717</v>
      </c>
      <c r="BX206">
        <v>1</v>
      </c>
      <c r="BY206" t="s">
        <v>271</v>
      </c>
      <c r="BZ206" t="s">
        <v>268</v>
      </c>
      <c r="CA206" t="s">
        <v>268</v>
      </c>
      <c r="CB206" t="s">
        <v>271</v>
      </c>
      <c r="CC206" t="s">
        <v>1312</v>
      </c>
      <c r="CD206" t="s">
        <v>1313</v>
      </c>
      <c r="CE206" t="s">
        <v>1314</v>
      </c>
      <c r="CF206" t="s">
        <v>1315</v>
      </c>
      <c r="CG206" t="str">
        <f t="shared" si="15"/>
        <v/>
      </c>
      <c r="CH206" t="str">
        <f t="shared" si="16"/>
        <v/>
      </c>
      <c r="CI206" t="str">
        <f t="shared" si="17"/>
        <v/>
      </c>
      <c r="CJ206" t="str">
        <f t="shared" si="18"/>
        <v/>
      </c>
      <c r="CK206" t="str">
        <f t="shared" si="19"/>
        <v/>
      </c>
    </row>
    <row r="207" spans="1:89">
      <c r="A207">
        <v>76013</v>
      </c>
      <c r="B207" t="s">
        <v>1331</v>
      </c>
      <c r="C207">
        <v>14.2238216400146</v>
      </c>
      <c r="D207" t="s">
        <v>1338</v>
      </c>
      <c r="E207">
        <v>2006</v>
      </c>
      <c r="F207" t="s">
        <v>1320</v>
      </c>
      <c r="G207" t="s">
        <v>167</v>
      </c>
      <c r="H207">
        <v>98105</v>
      </c>
      <c r="I207" t="s">
        <v>1321</v>
      </c>
      <c r="K207" t="s">
        <v>1306</v>
      </c>
      <c r="L207">
        <v>77</v>
      </c>
      <c r="M207">
        <v>6</v>
      </c>
      <c r="N207">
        <v>1</v>
      </c>
      <c r="O207">
        <v>6</v>
      </c>
      <c r="P207">
        <v>1</v>
      </c>
      <c r="Q207">
        <v>67550</v>
      </c>
      <c r="R207">
        <v>65305</v>
      </c>
      <c r="S207">
        <v>11016</v>
      </c>
      <c r="T207">
        <v>0</v>
      </c>
      <c r="U207">
        <v>0</v>
      </c>
      <c r="V207">
        <v>10</v>
      </c>
      <c r="W207">
        <v>47</v>
      </c>
      <c r="X207">
        <v>20</v>
      </c>
      <c r="Y207">
        <v>3.9000000953674299</v>
      </c>
      <c r="Z207" t="b">
        <v>1</v>
      </c>
      <c r="AA207" t="b">
        <v>1</v>
      </c>
      <c r="AB207">
        <v>9</v>
      </c>
      <c r="AC207">
        <v>213019.734375</v>
      </c>
      <c r="AD207">
        <v>395031.125</v>
      </c>
      <c r="AE207">
        <v>608050.875</v>
      </c>
      <c r="AI207">
        <v>2074669.625</v>
      </c>
      <c r="AJ207" t="s">
        <v>268</v>
      </c>
      <c r="AK207">
        <v>3127</v>
      </c>
      <c r="AL207">
        <v>34</v>
      </c>
      <c r="AM207">
        <v>2</v>
      </c>
      <c r="AN207">
        <v>21</v>
      </c>
      <c r="AO207">
        <v>0</v>
      </c>
      <c r="AP207">
        <v>10</v>
      </c>
      <c r="AQ207">
        <v>1</v>
      </c>
      <c r="AR207">
        <v>0</v>
      </c>
      <c r="AS207">
        <v>32</v>
      </c>
      <c r="AT207" t="b">
        <v>0</v>
      </c>
      <c r="AU207">
        <v>0</v>
      </c>
      <c r="AV207">
        <v>0</v>
      </c>
      <c r="AW207">
        <v>1</v>
      </c>
      <c r="AX207" t="b">
        <v>0</v>
      </c>
      <c r="AY207" t="b">
        <v>0</v>
      </c>
      <c r="AZ207" t="b">
        <v>1</v>
      </c>
      <c r="BA207" t="b">
        <v>1</v>
      </c>
      <c r="BB207" t="s">
        <v>271</v>
      </c>
      <c r="BC207" t="s">
        <v>271</v>
      </c>
      <c r="BD207" t="s">
        <v>268</v>
      </c>
      <c r="BE207" t="s">
        <v>1307</v>
      </c>
      <c r="BF207" t="s">
        <v>1308</v>
      </c>
      <c r="BG207" t="s">
        <v>1309</v>
      </c>
      <c r="BH207" t="s">
        <v>1310</v>
      </c>
      <c r="BI207" t="s">
        <v>1322</v>
      </c>
      <c r="BJ207" t="b">
        <v>0</v>
      </c>
      <c r="BK207" t="b">
        <v>1</v>
      </c>
      <c r="BL207" t="b">
        <v>0</v>
      </c>
      <c r="BM207" t="b">
        <v>0</v>
      </c>
      <c r="BN207" t="b">
        <v>0</v>
      </c>
      <c r="BO207" t="b">
        <v>0</v>
      </c>
      <c r="BP207">
        <v>1</v>
      </c>
      <c r="BQ207">
        <v>81</v>
      </c>
      <c r="BR207">
        <v>0</v>
      </c>
      <c r="BS207">
        <v>0</v>
      </c>
      <c r="BT207" t="b">
        <v>1</v>
      </c>
      <c r="BU207">
        <v>0</v>
      </c>
      <c r="BV207">
        <v>66</v>
      </c>
      <c r="BW207">
        <v>23637</v>
      </c>
      <c r="BX207">
        <v>2</v>
      </c>
      <c r="BY207" t="s">
        <v>271</v>
      </c>
      <c r="BZ207" t="s">
        <v>268</v>
      </c>
      <c r="CA207" t="s">
        <v>268</v>
      </c>
      <c r="CB207" t="s">
        <v>268</v>
      </c>
      <c r="CC207" t="s">
        <v>1312</v>
      </c>
      <c r="CD207" t="s">
        <v>1313</v>
      </c>
      <c r="CE207" t="s">
        <v>1333</v>
      </c>
      <c r="CF207" t="s">
        <v>1315</v>
      </c>
      <c r="CG207" t="str">
        <f t="shared" si="15"/>
        <v/>
      </c>
      <c r="CH207" t="str">
        <f t="shared" si="16"/>
        <v/>
      </c>
      <c r="CI207" t="str">
        <f t="shared" si="17"/>
        <v/>
      </c>
      <c r="CJ207" t="str">
        <f t="shared" si="18"/>
        <v/>
      </c>
      <c r="CK207" t="str">
        <f t="shared" si="19"/>
        <v/>
      </c>
    </row>
    <row r="208" spans="1:89">
      <c r="A208">
        <v>77001</v>
      </c>
      <c r="B208" t="s">
        <v>1331</v>
      </c>
      <c r="C208">
        <v>8.6923351287841797</v>
      </c>
      <c r="D208" t="s">
        <v>1340</v>
      </c>
      <c r="E208">
        <v>2000</v>
      </c>
      <c r="F208" t="s">
        <v>1320</v>
      </c>
      <c r="G208" t="s">
        <v>167</v>
      </c>
      <c r="H208">
        <v>98109</v>
      </c>
      <c r="I208" t="s">
        <v>1321</v>
      </c>
      <c r="J208" t="s">
        <v>1317</v>
      </c>
      <c r="K208" t="s">
        <v>1306</v>
      </c>
      <c r="L208">
        <v>126</v>
      </c>
      <c r="M208">
        <v>6</v>
      </c>
      <c r="N208">
        <v>1</v>
      </c>
      <c r="O208">
        <v>6</v>
      </c>
      <c r="P208">
        <v>1</v>
      </c>
      <c r="Q208">
        <v>68215</v>
      </c>
      <c r="R208">
        <v>63155</v>
      </c>
      <c r="S208">
        <v>11661</v>
      </c>
      <c r="T208">
        <v>0</v>
      </c>
      <c r="U208">
        <v>0</v>
      </c>
      <c r="V208">
        <v>0</v>
      </c>
      <c r="W208">
        <v>25</v>
      </c>
      <c r="X208">
        <v>101</v>
      </c>
      <c r="Y208">
        <v>3.1700000762939502</v>
      </c>
      <c r="Z208" t="b">
        <v>1</v>
      </c>
      <c r="AA208" t="b">
        <v>1</v>
      </c>
      <c r="AB208">
        <v>9</v>
      </c>
      <c r="AC208">
        <v>251806.765625</v>
      </c>
      <c r="AD208">
        <v>545611.8125</v>
      </c>
      <c r="AE208">
        <v>797418.5625</v>
      </c>
      <c r="AH208">
        <v>9818.4521484375</v>
      </c>
      <c r="AI208">
        <v>3702637.25</v>
      </c>
      <c r="AJ208" t="s">
        <v>268</v>
      </c>
      <c r="AK208">
        <v>5066</v>
      </c>
      <c r="AL208">
        <v>21</v>
      </c>
      <c r="AM208">
        <v>0</v>
      </c>
      <c r="AN208">
        <v>5</v>
      </c>
      <c r="AO208">
        <v>10</v>
      </c>
      <c r="AP208">
        <v>26</v>
      </c>
      <c r="AQ208">
        <v>26</v>
      </c>
      <c r="AR208">
        <v>0</v>
      </c>
      <c r="AS208">
        <v>12</v>
      </c>
      <c r="AT208" t="b">
        <v>0</v>
      </c>
      <c r="AU208">
        <v>16</v>
      </c>
      <c r="AV208">
        <v>18</v>
      </c>
      <c r="AW208">
        <v>2</v>
      </c>
      <c r="AX208" t="b">
        <v>0</v>
      </c>
      <c r="AY208" t="b">
        <v>0</v>
      </c>
      <c r="AZ208" t="b">
        <v>1</v>
      </c>
      <c r="BA208" t="b">
        <v>1</v>
      </c>
      <c r="BB208" t="s">
        <v>268</v>
      </c>
      <c r="BC208" t="s">
        <v>271</v>
      </c>
      <c r="BD208" t="s">
        <v>268</v>
      </c>
      <c r="BE208" t="s">
        <v>1307</v>
      </c>
      <c r="BF208" t="s">
        <v>1308</v>
      </c>
      <c r="BG208" t="s">
        <v>1309</v>
      </c>
      <c r="BH208" t="s">
        <v>1310</v>
      </c>
      <c r="BI208" t="s">
        <v>1322</v>
      </c>
      <c r="BJ208" t="b">
        <v>1</v>
      </c>
      <c r="BK208" t="b">
        <v>1</v>
      </c>
      <c r="BL208" t="b">
        <v>1</v>
      </c>
      <c r="BM208" t="b">
        <v>0</v>
      </c>
      <c r="BN208" t="b">
        <v>0</v>
      </c>
      <c r="BO208" t="b">
        <v>0</v>
      </c>
      <c r="BP208">
        <v>1</v>
      </c>
      <c r="BQ208">
        <v>129</v>
      </c>
      <c r="BR208">
        <v>0</v>
      </c>
      <c r="BS208">
        <v>0</v>
      </c>
      <c r="BT208" t="b">
        <v>1</v>
      </c>
      <c r="BU208">
        <v>10</v>
      </c>
      <c r="BV208">
        <v>16</v>
      </c>
      <c r="BW208">
        <v>6610</v>
      </c>
      <c r="BX208">
        <v>1</v>
      </c>
      <c r="BY208" t="s">
        <v>271</v>
      </c>
      <c r="BZ208" t="s">
        <v>268</v>
      </c>
      <c r="CA208" t="s">
        <v>268</v>
      </c>
      <c r="CB208" t="s">
        <v>268</v>
      </c>
      <c r="CC208" t="s">
        <v>1312</v>
      </c>
      <c r="CD208" t="s">
        <v>1313</v>
      </c>
      <c r="CE208" t="s">
        <v>198</v>
      </c>
      <c r="CF208" t="s">
        <v>1315</v>
      </c>
      <c r="CG208" t="str">
        <f t="shared" si="15"/>
        <v/>
      </c>
      <c r="CH208" t="str">
        <f t="shared" si="16"/>
        <v/>
      </c>
      <c r="CI208" t="str">
        <f t="shared" si="17"/>
        <v/>
      </c>
      <c r="CJ208" t="str">
        <f t="shared" si="18"/>
        <v/>
      </c>
      <c r="CK208" t="str">
        <f t="shared" si="19"/>
        <v/>
      </c>
    </row>
    <row r="209" spans="1:89">
      <c r="A209">
        <v>77002</v>
      </c>
      <c r="B209" t="s">
        <v>1371</v>
      </c>
      <c r="C209">
        <v>8.0531930923461896</v>
      </c>
      <c r="D209" t="s">
        <v>1334</v>
      </c>
      <c r="E209">
        <v>1974</v>
      </c>
      <c r="F209" t="s">
        <v>1320</v>
      </c>
      <c r="G209" t="s">
        <v>167</v>
      </c>
      <c r="H209">
        <v>98105</v>
      </c>
      <c r="I209" t="s">
        <v>1321</v>
      </c>
      <c r="J209" t="s">
        <v>1317</v>
      </c>
      <c r="K209" t="s">
        <v>1306</v>
      </c>
      <c r="L209">
        <v>136</v>
      </c>
      <c r="M209">
        <v>23</v>
      </c>
      <c r="N209">
        <v>0</v>
      </c>
      <c r="O209">
        <v>23</v>
      </c>
      <c r="P209">
        <v>1</v>
      </c>
      <c r="Q209">
        <v>194400</v>
      </c>
      <c r="R209">
        <v>194400</v>
      </c>
      <c r="S209">
        <v>21666</v>
      </c>
      <c r="T209">
        <v>0</v>
      </c>
      <c r="U209">
        <v>23</v>
      </c>
      <c r="V209">
        <v>69</v>
      </c>
      <c r="W209">
        <v>44</v>
      </c>
      <c r="X209">
        <v>0</v>
      </c>
      <c r="Y209">
        <v>3.6800000667571999</v>
      </c>
      <c r="Z209" t="b">
        <v>0</v>
      </c>
      <c r="AA209" t="b">
        <v>1</v>
      </c>
      <c r="AB209">
        <v>8</v>
      </c>
      <c r="AE209">
        <v>1883869.5</v>
      </c>
      <c r="AJ209" t="s">
        <v>271</v>
      </c>
      <c r="AL209">
        <v>10</v>
      </c>
      <c r="AM209">
        <v>0</v>
      </c>
      <c r="AN209">
        <v>25</v>
      </c>
      <c r="AO209">
        <v>0</v>
      </c>
      <c r="AP209">
        <v>54</v>
      </c>
      <c r="AQ209">
        <v>0</v>
      </c>
      <c r="AR209">
        <v>0</v>
      </c>
      <c r="AS209">
        <v>11</v>
      </c>
      <c r="AT209" t="b">
        <v>1</v>
      </c>
      <c r="AU209">
        <v>0</v>
      </c>
      <c r="AV209">
        <v>0</v>
      </c>
      <c r="AW209">
        <v>3</v>
      </c>
      <c r="AX209" t="b">
        <v>0</v>
      </c>
      <c r="AY209" t="b">
        <v>1</v>
      </c>
      <c r="AZ209" t="b">
        <v>1</v>
      </c>
      <c r="BA209" t="b">
        <v>1</v>
      </c>
      <c r="BB209" t="s">
        <v>271</v>
      </c>
      <c r="BC209" t="s">
        <v>271</v>
      </c>
      <c r="BD209" t="s">
        <v>271</v>
      </c>
      <c r="BE209" t="s">
        <v>1307</v>
      </c>
      <c r="BF209" t="s">
        <v>1308</v>
      </c>
      <c r="BG209" t="s">
        <v>1309</v>
      </c>
      <c r="BH209" t="s">
        <v>1310</v>
      </c>
      <c r="BI209" t="s">
        <v>1344</v>
      </c>
      <c r="BJ209" t="b">
        <v>1</v>
      </c>
      <c r="BK209" t="b">
        <v>1</v>
      </c>
      <c r="BL209" t="b">
        <v>1</v>
      </c>
      <c r="BM209" t="b">
        <v>0</v>
      </c>
      <c r="BN209" t="b">
        <v>0</v>
      </c>
      <c r="BO209" t="b">
        <v>0</v>
      </c>
      <c r="BP209">
        <v>1</v>
      </c>
      <c r="BQ209">
        <v>2</v>
      </c>
      <c r="BR209">
        <v>1</v>
      </c>
      <c r="BS209">
        <v>1</v>
      </c>
      <c r="BT209" t="b">
        <v>1</v>
      </c>
      <c r="BU209">
        <v>0</v>
      </c>
      <c r="BV209">
        <v>153</v>
      </c>
      <c r="BW209">
        <v>48557</v>
      </c>
      <c r="BX209">
        <v>1</v>
      </c>
      <c r="BY209" t="s">
        <v>271</v>
      </c>
      <c r="BZ209" t="s">
        <v>268</v>
      </c>
      <c r="CA209" t="s">
        <v>271</v>
      </c>
      <c r="CB209" t="s">
        <v>271</v>
      </c>
      <c r="CC209" t="s">
        <v>1372</v>
      </c>
      <c r="CD209" t="s">
        <v>1373</v>
      </c>
      <c r="CE209" t="s">
        <v>1357</v>
      </c>
      <c r="CF209" t="s">
        <v>1374</v>
      </c>
      <c r="CG209" t="str">
        <f t="shared" si="15"/>
        <v/>
      </c>
      <c r="CH209" t="str">
        <f t="shared" si="16"/>
        <v/>
      </c>
      <c r="CI209" t="str">
        <f t="shared" si="17"/>
        <v/>
      </c>
      <c r="CJ209" t="str">
        <f t="shared" si="18"/>
        <v/>
      </c>
      <c r="CK209" t="str">
        <f t="shared" si="19"/>
        <v/>
      </c>
    </row>
    <row r="210" spans="1:89">
      <c r="A210">
        <v>77003</v>
      </c>
      <c r="B210" t="s">
        <v>1331</v>
      </c>
      <c r="C210">
        <v>8.8325338363647496</v>
      </c>
      <c r="D210" t="s">
        <v>1324</v>
      </c>
      <c r="E210">
        <v>1968</v>
      </c>
      <c r="F210" t="s">
        <v>1320</v>
      </c>
      <c r="G210" t="s">
        <v>167</v>
      </c>
      <c r="H210">
        <v>98118</v>
      </c>
      <c r="I210" t="s">
        <v>1321</v>
      </c>
      <c r="J210" t="s">
        <v>1317</v>
      </c>
      <c r="K210" t="s">
        <v>1306</v>
      </c>
      <c r="L210">
        <v>124</v>
      </c>
      <c r="M210">
        <v>4</v>
      </c>
      <c r="N210">
        <v>0</v>
      </c>
      <c r="O210">
        <v>4</v>
      </c>
      <c r="P210">
        <v>0</v>
      </c>
      <c r="Q210">
        <v>155546</v>
      </c>
      <c r="R210">
        <v>153146</v>
      </c>
      <c r="S210">
        <v>15836</v>
      </c>
      <c r="T210">
        <v>0</v>
      </c>
      <c r="U210">
        <v>32</v>
      </c>
      <c r="V210">
        <v>25</v>
      </c>
      <c r="W210">
        <v>67</v>
      </c>
      <c r="X210">
        <v>0</v>
      </c>
      <c r="Y210">
        <v>2</v>
      </c>
      <c r="Z210" t="b">
        <v>1</v>
      </c>
      <c r="AA210" t="b">
        <v>1</v>
      </c>
      <c r="AB210">
        <v>8</v>
      </c>
      <c r="AC210">
        <v>253630.484375</v>
      </c>
      <c r="AD210">
        <v>382702.1875</v>
      </c>
      <c r="AE210">
        <v>636332.6875</v>
      </c>
      <c r="AF210">
        <v>4726.8447265625</v>
      </c>
      <c r="AG210">
        <v>47736.1875</v>
      </c>
      <c r="AH210">
        <v>52463.03125</v>
      </c>
      <c r="AI210">
        <v>7417470.5</v>
      </c>
      <c r="AJ210" t="s">
        <v>268</v>
      </c>
      <c r="AK210">
        <v>0</v>
      </c>
      <c r="AL210">
        <v>25</v>
      </c>
      <c r="AM210">
        <v>0</v>
      </c>
      <c r="AN210">
        <v>25</v>
      </c>
      <c r="AO210">
        <v>0</v>
      </c>
      <c r="AP210">
        <v>25</v>
      </c>
      <c r="AQ210">
        <v>0</v>
      </c>
      <c r="AR210">
        <v>0</v>
      </c>
      <c r="AS210">
        <v>25</v>
      </c>
      <c r="AT210" t="b">
        <v>0</v>
      </c>
      <c r="AU210">
        <v>8</v>
      </c>
      <c r="AV210">
        <v>8</v>
      </c>
      <c r="AW210">
        <v>2</v>
      </c>
      <c r="AX210" t="b">
        <v>0</v>
      </c>
      <c r="AY210" t="b">
        <v>1</v>
      </c>
      <c r="AZ210" t="b">
        <v>1</v>
      </c>
      <c r="BA210" t="b">
        <v>0</v>
      </c>
      <c r="BB210" t="s">
        <v>268</v>
      </c>
      <c r="BC210" t="s">
        <v>268</v>
      </c>
      <c r="BD210" t="s">
        <v>268</v>
      </c>
      <c r="BE210" t="s">
        <v>1359</v>
      </c>
      <c r="BF210" t="s">
        <v>1342</v>
      </c>
      <c r="BG210" t="s">
        <v>1309</v>
      </c>
      <c r="BH210" t="s">
        <v>1310</v>
      </c>
      <c r="BI210" t="s">
        <v>1322</v>
      </c>
      <c r="BJ210" t="b">
        <v>1</v>
      </c>
      <c r="BK210" t="b">
        <v>1</v>
      </c>
      <c r="BL210" t="b">
        <v>1</v>
      </c>
      <c r="BM210" t="b">
        <v>0</v>
      </c>
      <c r="BN210" t="b">
        <v>0</v>
      </c>
      <c r="BO210" t="b">
        <v>0</v>
      </c>
      <c r="BP210">
        <v>2</v>
      </c>
      <c r="BQ210">
        <v>123</v>
      </c>
      <c r="BR210">
        <v>123</v>
      </c>
      <c r="BS210">
        <v>123</v>
      </c>
      <c r="BT210" t="b">
        <v>1</v>
      </c>
      <c r="BV210">
        <v>161</v>
      </c>
      <c r="BW210">
        <v>68425</v>
      </c>
      <c r="BX210">
        <v>0</v>
      </c>
      <c r="BY210" t="s">
        <v>268</v>
      </c>
      <c r="BZ210" t="s">
        <v>268</v>
      </c>
      <c r="CA210" t="s">
        <v>268</v>
      </c>
      <c r="CB210" t="s">
        <v>271</v>
      </c>
      <c r="CC210" t="s">
        <v>1312</v>
      </c>
      <c r="CD210" t="s">
        <v>1313</v>
      </c>
      <c r="CE210" t="s">
        <v>1397</v>
      </c>
      <c r="CF210" t="s">
        <v>1315</v>
      </c>
      <c r="CG210" t="str">
        <f t="shared" si="15"/>
        <v/>
      </c>
      <c r="CH210" t="str">
        <f t="shared" si="16"/>
        <v/>
      </c>
      <c r="CI210" t="str">
        <f t="shared" si="17"/>
        <v/>
      </c>
      <c r="CJ210" t="str">
        <f t="shared" si="18"/>
        <v/>
      </c>
      <c r="CK210" t="str">
        <f t="shared" si="19"/>
        <v/>
      </c>
    </row>
    <row r="211" spans="1:89">
      <c r="A211">
        <v>77004</v>
      </c>
      <c r="B211" t="s">
        <v>1302</v>
      </c>
      <c r="C211">
        <v>6.93186235427856</v>
      </c>
      <c r="D211" t="s">
        <v>1340</v>
      </c>
      <c r="E211">
        <v>1995</v>
      </c>
      <c r="F211" t="s">
        <v>1320</v>
      </c>
      <c r="G211" t="s">
        <v>167</v>
      </c>
      <c r="H211">
        <v>98178</v>
      </c>
      <c r="I211" t="s">
        <v>1321</v>
      </c>
      <c r="J211" t="s">
        <v>1317</v>
      </c>
      <c r="K211" t="s">
        <v>1306</v>
      </c>
      <c r="L211">
        <v>158</v>
      </c>
      <c r="M211">
        <v>3</v>
      </c>
      <c r="N211">
        <v>0</v>
      </c>
      <c r="O211">
        <v>3</v>
      </c>
      <c r="P211">
        <v>0</v>
      </c>
      <c r="Q211">
        <v>124930</v>
      </c>
      <c r="R211">
        <v>124930</v>
      </c>
      <c r="S211">
        <v>38532</v>
      </c>
      <c r="T211">
        <v>0</v>
      </c>
      <c r="U211">
        <v>0</v>
      </c>
      <c r="V211">
        <v>24</v>
      </c>
      <c r="W211">
        <v>105</v>
      </c>
      <c r="X211">
        <v>29</v>
      </c>
      <c r="Y211">
        <v>6</v>
      </c>
      <c r="Z211" t="b">
        <v>0</v>
      </c>
      <c r="AA211" t="b">
        <v>1</v>
      </c>
      <c r="AB211">
        <v>9</v>
      </c>
      <c r="AE211">
        <v>1349319.5</v>
      </c>
      <c r="AJ211" t="s">
        <v>268</v>
      </c>
      <c r="AK211">
        <v>0</v>
      </c>
      <c r="AL211">
        <v>10</v>
      </c>
      <c r="AM211">
        <v>3</v>
      </c>
      <c r="AN211">
        <v>41</v>
      </c>
      <c r="AO211">
        <v>0</v>
      </c>
      <c r="AP211">
        <v>31</v>
      </c>
      <c r="AQ211">
        <v>1</v>
      </c>
      <c r="AR211">
        <v>2</v>
      </c>
      <c r="AS211">
        <v>12</v>
      </c>
      <c r="AT211" t="b">
        <v>1</v>
      </c>
      <c r="AU211">
        <v>11</v>
      </c>
      <c r="AV211">
        <v>11</v>
      </c>
      <c r="AW211">
        <v>2</v>
      </c>
      <c r="AX211" t="b">
        <v>0</v>
      </c>
      <c r="AY211" t="b">
        <v>0</v>
      </c>
      <c r="AZ211" t="b">
        <v>1</v>
      </c>
      <c r="BA211" t="b">
        <v>1</v>
      </c>
      <c r="BB211" t="s">
        <v>268</v>
      </c>
      <c r="BC211" t="s">
        <v>268</v>
      </c>
      <c r="BD211" t="s">
        <v>268</v>
      </c>
      <c r="BE211" t="s">
        <v>1307</v>
      </c>
      <c r="BF211" t="s">
        <v>1308</v>
      </c>
      <c r="BG211" t="s">
        <v>1309</v>
      </c>
      <c r="BH211" t="s">
        <v>1310</v>
      </c>
      <c r="BI211" t="s">
        <v>1379</v>
      </c>
      <c r="BJ211" t="b">
        <v>1</v>
      </c>
      <c r="BK211" t="b">
        <v>1</v>
      </c>
      <c r="BL211" t="b">
        <v>1</v>
      </c>
      <c r="BM211" t="b">
        <v>0</v>
      </c>
      <c r="BN211" t="b">
        <v>0</v>
      </c>
      <c r="BO211" t="b">
        <v>0</v>
      </c>
      <c r="BP211">
        <v>1</v>
      </c>
      <c r="BQ211">
        <v>1</v>
      </c>
      <c r="BR211">
        <v>1</v>
      </c>
      <c r="BS211">
        <v>1</v>
      </c>
      <c r="BT211" t="b">
        <v>1</v>
      </c>
      <c r="BX211">
        <v>0</v>
      </c>
      <c r="BY211" t="s">
        <v>268</v>
      </c>
      <c r="BZ211" t="s">
        <v>268</v>
      </c>
      <c r="CA211" t="s">
        <v>268</v>
      </c>
      <c r="CB211" t="s">
        <v>271</v>
      </c>
      <c r="CC211" t="s">
        <v>1312</v>
      </c>
      <c r="CD211" t="s">
        <v>1313</v>
      </c>
      <c r="CE211" t="s">
        <v>1314</v>
      </c>
      <c r="CF211" t="s">
        <v>1315</v>
      </c>
      <c r="CG211">
        <f t="shared" si="15"/>
        <v>6.93186235427856</v>
      </c>
      <c r="CH211">
        <f t="shared" si="16"/>
        <v>124930</v>
      </c>
      <c r="CI211">
        <f t="shared" si="17"/>
        <v>3</v>
      </c>
      <c r="CJ211">
        <f t="shared" si="18"/>
        <v>865997.56392002048</v>
      </c>
      <c r="CK211">
        <f t="shared" si="19"/>
        <v>20.795587062835679</v>
      </c>
    </row>
    <row r="212" spans="1:89">
      <c r="A212">
        <v>77005</v>
      </c>
      <c r="B212" t="s">
        <v>1371</v>
      </c>
      <c r="C212">
        <v>6.4425539970397896</v>
      </c>
      <c r="D212" t="s">
        <v>1340</v>
      </c>
      <c r="E212">
        <v>2000</v>
      </c>
      <c r="F212" t="s">
        <v>1320</v>
      </c>
      <c r="G212" t="s">
        <v>167</v>
      </c>
      <c r="H212">
        <v>98101</v>
      </c>
      <c r="I212" t="s">
        <v>1321</v>
      </c>
      <c r="J212" t="s">
        <v>1317</v>
      </c>
      <c r="K212" t="s">
        <v>1306</v>
      </c>
      <c r="L212">
        <v>170</v>
      </c>
      <c r="M212">
        <v>22</v>
      </c>
      <c r="N212">
        <v>3</v>
      </c>
      <c r="O212">
        <v>28</v>
      </c>
      <c r="P212">
        <v>0</v>
      </c>
      <c r="Q212">
        <v>261868</v>
      </c>
      <c r="R212">
        <v>227544</v>
      </c>
      <c r="S212">
        <v>29348</v>
      </c>
      <c r="T212">
        <v>0</v>
      </c>
      <c r="U212">
        <v>0</v>
      </c>
      <c r="V212">
        <v>66</v>
      </c>
      <c r="W212">
        <v>84</v>
      </c>
      <c r="X212">
        <v>20</v>
      </c>
      <c r="Y212">
        <v>4</v>
      </c>
      <c r="Z212" t="b">
        <v>1</v>
      </c>
      <c r="AA212" t="b">
        <v>1</v>
      </c>
      <c r="AB212">
        <v>9</v>
      </c>
      <c r="AH212">
        <v>11271.8857421875</v>
      </c>
      <c r="AJ212" t="s">
        <v>271</v>
      </c>
      <c r="AK212">
        <v>34324</v>
      </c>
      <c r="AL212">
        <v>22</v>
      </c>
      <c r="AM212">
        <v>0</v>
      </c>
      <c r="AN212">
        <v>5</v>
      </c>
      <c r="AO212">
        <v>0</v>
      </c>
      <c r="AP212">
        <v>26</v>
      </c>
      <c r="AQ212">
        <v>5</v>
      </c>
      <c r="AR212">
        <v>5</v>
      </c>
      <c r="AS212">
        <v>36</v>
      </c>
      <c r="AT212" t="b">
        <v>1</v>
      </c>
      <c r="AU212">
        <v>0</v>
      </c>
      <c r="AV212">
        <v>0</v>
      </c>
      <c r="AW212">
        <v>2</v>
      </c>
      <c r="AX212" t="b">
        <v>0</v>
      </c>
      <c r="AY212" t="b">
        <v>0</v>
      </c>
      <c r="AZ212" t="b">
        <v>1</v>
      </c>
      <c r="BA212" t="b">
        <v>1</v>
      </c>
      <c r="BB212" t="s">
        <v>271</v>
      </c>
      <c r="BC212" t="s">
        <v>268</v>
      </c>
      <c r="BD212" t="s">
        <v>271</v>
      </c>
      <c r="BE212" t="s">
        <v>1307</v>
      </c>
      <c r="BF212" t="s">
        <v>1308</v>
      </c>
      <c r="BG212" t="s">
        <v>1309</v>
      </c>
      <c r="BH212" t="s">
        <v>1434</v>
      </c>
      <c r="BI212" t="s">
        <v>1379</v>
      </c>
      <c r="BJ212" t="b">
        <v>1</v>
      </c>
      <c r="BK212" t="b">
        <v>1</v>
      </c>
      <c r="BL212" t="b">
        <v>1</v>
      </c>
      <c r="BM212" t="b">
        <v>0</v>
      </c>
      <c r="BN212" t="b">
        <v>0</v>
      </c>
      <c r="BO212" t="b">
        <v>0</v>
      </c>
      <c r="BP212">
        <v>9</v>
      </c>
      <c r="BQ212">
        <v>178</v>
      </c>
      <c r="BR212">
        <v>3</v>
      </c>
      <c r="BS212">
        <v>6</v>
      </c>
      <c r="BT212" t="b">
        <v>1</v>
      </c>
      <c r="BU212">
        <v>0</v>
      </c>
      <c r="BV212">
        <v>147</v>
      </c>
      <c r="BW212">
        <v>59144</v>
      </c>
      <c r="BX212">
        <v>4</v>
      </c>
      <c r="BY212" t="s">
        <v>271</v>
      </c>
      <c r="BZ212" t="s">
        <v>268</v>
      </c>
      <c r="CA212" t="s">
        <v>268</v>
      </c>
      <c r="CB212" t="s">
        <v>268</v>
      </c>
      <c r="CC212" t="s">
        <v>1387</v>
      </c>
      <c r="CD212" t="s">
        <v>1373</v>
      </c>
      <c r="CE212" t="s">
        <v>1333</v>
      </c>
      <c r="CF212" t="s">
        <v>1374</v>
      </c>
      <c r="CG212" t="str">
        <f t="shared" si="15"/>
        <v/>
      </c>
      <c r="CH212" t="str">
        <f t="shared" si="16"/>
        <v/>
      </c>
      <c r="CI212" t="str">
        <f t="shared" si="17"/>
        <v/>
      </c>
      <c r="CJ212" t="str">
        <f t="shared" si="18"/>
        <v/>
      </c>
      <c r="CK212" t="str">
        <f t="shared" si="19"/>
        <v/>
      </c>
    </row>
    <row r="213" spans="1:89">
      <c r="A213">
        <v>77006</v>
      </c>
      <c r="B213" t="s">
        <v>1371</v>
      </c>
      <c r="C213">
        <v>6.84521436691284</v>
      </c>
      <c r="D213" t="s">
        <v>1338</v>
      </c>
      <c r="E213">
        <v>2004</v>
      </c>
      <c r="F213" t="s">
        <v>1320</v>
      </c>
      <c r="G213" t="s">
        <v>167</v>
      </c>
      <c r="H213">
        <v>98109</v>
      </c>
      <c r="I213" t="s">
        <v>1321</v>
      </c>
      <c r="J213" t="s">
        <v>1317</v>
      </c>
      <c r="K213" t="s">
        <v>1306</v>
      </c>
      <c r="L213">
        <v>160</v>
      </c>
      <c r="M213">
        <v>5</v>
      </c>
      <c r="N213">
        <v>0</v>
      </c>
      <c r="O213">
        <v>7</v>
      </c>
      <c r="P213">
        <v>0</v>
      </c>
      <c r="Q213">
        <v>149697</v>
      </c>
      <c r="R213">
        <v>147212</v>
      </c>
      <c r="S213">
        <v>37141</v>
      </c>
      <c r="T213">
        <v>0</v>
      </c>
      <c r="U213">
        <v>0</v>
      </c>
      <c r="V213">
        <v>32</v>
      </c>
      <c r="W213">
        <v>80</v>
      </c>
      <c r="X213">
        <v>48</v>
      </c>
      <c r="Y213">
        <v>1</v>
      </c>
      <c r="Z213" t="b">
        <v>1</v>
      </c>
      <c r="AA213" t="b">
        <v>1</v>
      </c>
      <c r="AB213">
        <v>8.25</v>
      </c>
      <c r="AC213">
        <v>491055.4375</v>
      </c>
      <c r="AD213">
        <v>570471.75</v>
      </c>
      <c r="AE213">
        <v>1061527.25</v>
      </c>
      <c r="AH213">
        <v>13415.0322265625</v>
      </c>
      <c r="AI213">
        <v>4963434</v>
      </c>
      <c r="AJ213" t="s">
        <v>268</v>
      </c>
      <c r="AK213">
        <v>2521</v>
      </c>
      <c r="AL213">
        <v>37</v>
      </c>
      <c r="AM213">
        <v>0</v>
      </c>
      <c r="AN213">
        <v>13</v>
      </c>
      <c r="AO213">
        <v>0</v>
      </c>
      <c r="AP213">
        <v>16</v>
      </c>
      <c r="AQ213">
        <v>0</v>
      </c>
      <c r="AR213">
        <v>0</v>
      </c>
      <c r="AS213">
        <v>34</v>
      </c>
      <c r="AT213" t="b">
        <v>1</v>
      </c>
      <c r="AU213">
        <v>0</v>
      </c>
      <c r="AV213">
        <v>0</v>
      </c>
      <c r="AW213">
        <v>3</v>
      </c>
      <c r="AX213" t="b">
        <v>0</v>
      </c>
      <c r="AY213" t="b">
        <v>0</v>
      </c>
      <c r="AZ213" t="b">
        <v>1</v>
      </c>
      <c r="BA213" t="b">
        <v>1</v>
      </c>
      <c r="BB213" t="s">
        <v>268</v>
      </c>
      <c r="BC213" t="s">
        <v>271</v>
      </c>
      <c r="BD213" t="s">
        <v>268</v>
      </c>
      <c r="BE213" t="s">
        <v>1307</v>
      </c>
      <c r="BF213" t="s">
        <v>1308</v>
      </c>
      <c r="BG213" t="s">
        <v>1309</v>
      </c>
      <c r="BH213" t="s">
        <v>1310</v>
      </c>
      <c r="BI213" t="s">
        <v>1379</v>
      </c>
      <c r="BJ213" t="b">
        <v>1</v>
      </c>
      <c r="BK213" t="b">
        <v>1</v>
      </c>
      <c r="BL213" t="b">
        <v>1</v>
      </c>
      <c r="BM213" t="b">
        <v>0</v>
      </c>
      <c r="BN213" t="b">
        <v>0</v>
      </c>
      <c r="BO213" t="b">
        <v>0</v>
      </c>
      <c r="BP213">
        <v>8</v>
      </c>
      <c r="BQ213">
        <v>163</v>
      </c>
      <c r="BR213">
        <v>1</v>
      </c>
      <c r="BS213">
        <v>1</v>
      </c>
      <c r="BT213" t="b">
        <v>1</v>
      </c>
      <c r="BU213">
        <v>0</v>
      </c>
      <c r="BV213">
        <v>154</v>
      </c>
      <c r="BW213">
        <v>51634</v>
      </c>
      <c r="BX213">
        <v>1</v>
      </c>
      <c r="BY213" t="s">
        <v>271</v>
      </c>
      <c r="BZ213" t="s">
        <v>268</v>
      </c>
      <c r="CA213" t="s">
        <v>268</v>
      </c>
      <c r="CB213" t="s">
        <v>268</v>
      </c>
      <c r="CC213" t="s">
        <v>1312</v>
      </c>
      <c r="CD213" t="s">
        <v>1313</v>
      </c>
      <c r="CE213" t="s">
        <v>1333</v>
      </c>
      <c r="CF213" t="s">
        <v>1315</v>
      </c>
      <c r="CG213" t="str">
        <f t="shared" si="15"/>
        <v/>
      </c>
      <c r="CH213" t="str">
        <f t="shared" si="16"/>
        <v/>
      </c>
      <c r="CI213" t="str">
        <f t="shared" si="17"/>
        <v/>
      </c>
      <c r="CJ213" t="str">
        <f t="shared" si="18"/>
        <v/>
      </c>
      <c r="CK213" t="str">
        <f t="shared" si="19"/>
        <v/>
      </c>
    </row>
    <row r="214" spans="1:89">
      <c r="A214">
        <v>77007</v>
      </c>
      <c r="B214" t="s">
        <v>1331</v>
      </c>
      <c r="C214">
        <v>8.1733894348144496</v>
      </c>
      <c r="D214" t="s">
        <v>1338</v>
      </c>
      <c r="E214">
        <v>2009</v>
      </c>
      <c r="F214" t="s">
        <v>1320</v>
      </c>
      <c r="G214" t="s">
        <v>167</v>
      </c>
      <c r="H214">
        <v>98106</v>
      </c>
      <c r="I214" t="s">
        <v>1321</v>
      </c>
      <c r="J214" t="s">
        <v>1317</v>
      </c>
      <c r="K214" t="s">
        <v>1306</v>
      </c>
      <c r="L214">
        <v>134</v>
      </c>
      <c r="M214">
        <v>6</v>
      </c>
      <c r="N214">
        <v>0</v>
      </c>
      <c r="O214">
        <v>6</v>
      </c>
      <c r="P214">
        <v>0</v>
      </c>
      <c r="Q214">
        <v>107418</v>
      </c>
      <c r="R214">
        <v>102658</v>
      </c>
      <c r="S214">
        <v>16733</v>
      </c>
      <c r="T214">
        <v>0</v>
      </c>
      <c r="U214">
        <v>0</v>
      </c>
      <c r="V214">
        <v>74</v>
      </c>
      <c r="W214">
        <v>60</v>
      </c>
      <c r="X214">
        <v>0</v>
      </c>
      <c r="Y214">
        <v>4</v>
      </c>
      <c r="Z214" t="b">
        <v>1</v>
      </c>
      <c r="AA214" t="b">
        <v>1</v>
      </c>
      <c r="AB214">
        <v>8</v>
      </c>
      <c r="AC214">
        <v>279072.25</v>
      </c>
      <c r="AD214">
        <v>847052.5625</v>
      </c>
      <c r="AE214">
        <v>1126124.75</v>
      </c>
      <c r="AJ214" t="s">
        <v>271</v>
      </c>
      <c r="AK214">
        <v>4760</v>
      </c>
      <c r="AL214">
        <v>0</v>
      </c>
      <c r="AM214">
        <v>30</v>
      </c>
      <c r="AN214">
        <v>0</v>
      </c>
      <c r="AO214">
        <v>14</v>
      </c>
      <c r="AP214">
        <v>0</v>
      </c>
      <c r="AQ214">
        <v>26</v>
      </c>
      <c r="AR214">
        <v>30</v>
      </c>
      <c r="AS214">
        <v>0</v>
      </c>
      <c r="AT214" t="b">
        <v>1</v>
      </c>
      <c r="AU214">
        <v>12</v>
      </c>
      <c r="AV214">
        <v>12</v>
      </c>
      <c r="AW214">
        <v>1</v>
      </c>
      <c r="AX214" t="b">
        <v>0</v>
      </c>
      <c r="AY214" t="b">
        <v>1</v>
      </c>
      <c r="AZ214" t="b">
        <v>1</v>
      </c>
      <c r="BA214" t="b">
        <v>1</v>
      </c>
      <c r="BB214" t="s">
        <v>268</v>
      </c>
      <c r="BC214" t="s">
        <v>271</v>
      </c>
      <c r="BD214" t="s">
        <v>268</v>
      </c>
      <c r="BE214" t="s">
        <v>1307</v>
      </c>
      <c r="BF214" t="s">
        <v>1308</v>
      </c>
      <c r="BG214" t="s">
        <v>1309</v>
      </c>
      <c r="BH214" t="s">
        <v>1310</v>
      </c>
      <c r="BI214" t="s">
        <v>1344</v>
      </c>
      <c r="BJ214" t="b">
        <v>1</v>
      </c>
      <c r="BK214" t="b">
        <v>1</v>
      </c>
      <c r="BL214" t="b">
        <v>1</v>
      </c>
      <c r="BM214" t="b">
        <v>0</v>
      </c>
      <c r="BN214" t="b">
        <v>0</v>
      </c>
      <c r="BO214" t="b">
        <v>0</v>
      </c>
      <c r="BP214">
        <v>2</v>
      </c>
      <c r="BQ214">
        <v>135</v>
      </c>
      <c r="BR214">
        <v>1</v>
      </c>
      <c r="BS214">
        <v>1</v>
      </c>
      <c r="BT214" t="b">
        <v>1</v>
      </c>
      <c r="BU214">
        <v>0</v>
      </c>
      <c r="BV214">
        <v>74</v>
      </c>
      <c r="BW214">
        <v>31128</v>
      </c>
      <c r="BX214">
        <v>1</v>
      </c>
      <c r="BY214" t="s">
        <v>271</v>
      </c>
      <c r="BZ214" t="s">
        <v>268</v>
      </c>
      <c r="CA214" t="s">
        <v>268</v>
      </c>
      <c r="CB214" t="s">
        <v>271</v>
      </c>
      <c r="CC214" t="s">
        <v>1312</v>
      </c>
      <c r="CD214" t="s">
        <v>1313</v>
      </c>
      <c r="CE214" t="s">
        <v>1333</v>
      </c>
      <c r="CF214" t="s">
        <v>1315</v>
      </c>
      <c r="CG214" t="str">
        <f t="shared" si="15"/>
        <v/>
      </c>
      <c r="CH214" t="str">
        <f t="shared" si="16"/>
        <v/>
      </c>
      <c r="CI214" t="str">
        <f t="shared" si="17"/>
        <v/>
      </c>
      <c r="CJ214" t="str">
        <f t="shared" si="18"/>
        <v/>
      </c>
      <c r="CK214" t="str">
        <f t="shared" si="19"/>
        <v/>
      </c>
    </row>
    <row r="215" spans="1:89">
      <c r="A215">
        <v>77008</v>
      </c>
      <c r="B215" t="s">
        <v>1371</v>
      </c>
      <c r="C215">
        <v>9.7788772583007795</v>
      </c>
      <c r="D215" t="s">
        <v>1324</v>
      </c>
      <c r="E215">
        <v>1961</v>
      </c>
      <c r="F215" t="s">
        <v>1320</v>
      </c>
      <c r="G215" t="s">
        <v>167</v>
      </c>
      <c r="H215">
        <v>98102</v>
      </c>
      <c r="I215" t="s">
        <v>1321</v>
      </c>
      <c r="J215" t="s">
        <v>1317</v>
      </c>
      <c r="K215" t="s">
        <v>1306</v>
      </c>
      <c r="L215">
        <v>112</v>
      </c>
      <c r="M215">
        <v>8</v>
      </c>
      <c r="N215">
        <v>0</v>
      </c>
      <c r="O215">
        <v>9</v>
      </c>
      <c r="P215">
        <v>1</v>
      </c>
      <c r="Q215">
        <v>111964</v>
      </c>
      <c r="R215">
        <v>111964</v>
      </c>
      <c r="S215">
        <v>21250</v>
      </c>
      <c r="T215">
        <v>0</v>
      </c>
      <c r="U215">
        <v>7</v>
      </c>
      <c r="V215">
        <v>22</v>
      </c>
      <c r="W215">
        <v>82</v>
      </c>
      <c r="X215">
        <v>1</v>
      </c>
      <c r="Y215">
        <v>1.70000004768372</v>
      </c>
      <c r="Z215" t="b">
        <v>0</v>
      </c>
      <c r="AA215" t="b">
        <v>1</v>
      </c>
      <c r="AB215">
        <v>8</v>
      </c>
      <c r="AC215">
        <v>181028.609375</v>
      </c>
      <c r="AD215">
        <v>433489.375</v>
      </c>
      <c r="AE215">
        <v>614518</v>
      </c>
      <c r="AH215">
        <v>11800.138671875</v>
      </c>
      <c r="AI215">
        <v>3276749.25</v>
      </c>
      <c r="AJ215" t="s">
        <v>271</v>
      </c>
      <c r="AK215">
        <v>0</v>
      </c>
      <c r="AL215">
        <v>26</v>
      </c>
      <c r="AM215">
        <v>0</v>
      </c>
      <c r="AN215">
        <v>8</v>
      </c>
      <c r="AO215">
        <v>0</v>
      </c>
      <c r="AP215">
        <v>14</v>
      </c>
      <c r="AQ215">
        <v>0</v>
      </c>
      <c r="AR215">
        <v>0</v>
      </c>
      <c r="AS215">
        <v>52</v>
      </c>
      <c r="AT215" t="b">
        <v>1</v>
      </c>
      <c r="AU215">
        <v>6</v>
      </c>
      <c r="AV215">
        <v>6</v>
      </c>
      <c r="AW215">
        <v>2</v>
      </c>
      <c r="AX215" t="b">
        <v>0</v>
      </c>
      <c r="AY215" t="b">
        <v>0</v>
      </c>
      <c r="AZ215" t="b">
        <v>1</v>
      </c>
      <c r="BA215" t="b">
        <v>1</v>
      </c>
      <c r="BB215" t="s">
        <v>268</v>
      </c>
      <c r="BC215" t="s">
        <v>271</v>
      </c>
      <c r="BD215" t="s">
        <v>271</v>
      </c>
      <c r="BE215" t="s">
        <v>1307</v>
      </c>
      <c r="BF215" t="s">
        <v>1308</v>
      </c>
      <c r="BG215" t="s">
        <v>1309</v>
      </c>
      <c r="BH215" t="s">
        <v>1336</v>
      </c>
      <c r="BI215" t="s">
        <v>1344</v>
      </c>
      <c r="BJ215" t="b">
        <v>1</v>
      </c>
      <c r="BK215" t="b">
        <v>1</v>
      </c>
      <c r="BL215" t="b">
        <v>1</v>
      </c>
      <c r="BM215" t="b">
        <v>0</v>
      </c>
      <c r="BN215" t="b">
        <v>0</v>
      </c>
      <c r="BO215" t="b">
        <v>0</v>
      </c>
      <c r="BP215">
        <v>9</v>
      </c>
      <c r="BQ215">
        <v>135</v>
      </c>
      <c r="BR215">
        <v>2</v>
      </c>
      <c r="BS215">
        <v>2</v>
      </c>
      <c r="BT215" t="b">
        <v>1</v>
      </c>
      <c r="BU215">
        <v>0</v>
      </c>
      <c r="BV215">
        <v>109</v>
      </c>
      <c r="BW215">
        <v>26940</v>
      </c>
      <c r="BX215">
        <v>3</v>
      </c>
      <c r="BY215" t="s">
        <v>271</v>
      </c>
      <c r="BZ215" t="s">
        <v>271</v>
      </c>
      <c r="CA215" t="s">
        <v>268</v>
      </c>
      <c r="CB215" t="s">
        <v>271</v>
      </c>
      <c r="CC215" t="s">
        <v>1387</v>
      </c>
      <c r="CD215" t="s">
        <v>1445</v>
      </c>
      <c r="CE215" t="s">
        <v>1333</v>
      </c>
      <c r="CF215" t="s">
        <v>1361</v>
      </c>
      <c r="CG215" t="str">
        <f t="shared" si="15"/>
        <v/>
      </c>
      <c r="CH215" t="str">
        <f t="shared" si="16"/>
        <v/>
      </c>
      <c r="CI215" t="str">
        <f t="shared" si="17"/>
        <v/>
      </c>
      <c r="CJ215" t="str">
        <f t="shared" si="18"/>
        <v/>
      </c>
      <c r="CK215" t="str">
        <f t="shared" si="19"/>
        <v/>
      </c>
    </row>
    <row r="216" spans="1:89">
      <c r="A216">
        <v>77009</v>
      </c>
      <c r="B216" t="s">
        <v>1331</v>
      </c>
      <c r="C216">
        <v>7.5016040802001998</v>
      </c>
      <c r="D216" t="s">
        <v>1340</v>
      </c>
      <c r="E216">
        <v>1997</v>
      </c>
      <c r="F216" t="s">
        <v>1320</v>
      </c>
      <c r="G216" t="s">
        <v>167</v>
      </c>
      <c r="H216">
        <v>98103</v>
      </c>
      <c r="I216" t="s">
        <v>1321</v>
      </c>
      <c r="J216" t="s">
        <v>1393</v>
      </c>
      <c r="K216" t="s">
        <v>1306</v>
      </c>
      <c r="L216">
        <v>146</v>
      </c>
      <c r="M216">
        <v>5</v>
      </c>
      <c r="N216">
        <v>0</v>
      </c>
      <c r="O216">
        <v>5</v>
      </c>
      <c r="P216">
        <v>2</v>
      </c>
      <c r="Q216">
        <v>158259</v>
      </c>
      <c r="R216">
        <v>158259</v>
      </c>
      <c r="S216">
        <v>44627</v>
      </c>
      <c r="T216">
        <v>0</v>
      </c>
      <c r="U216">
        <v>0</v>
      </c>
      <c r="V216">
        <v>58</v>
      </c>
      <c r="W216">
        <v>88</v>
      </c>
      <c r="X216">
        <v>0</v>
      </c>
      <c r="Y216">
        <v>3</v>
      </c>
      <c r="Z216" t="b">
        <v>0</v>
      </c>
      <c r="AA216" t="b">
        <v>1</v>
      </c>
      <c r="AB216">
        <v>8</v>
      </c>
      <c r="AC216">
        <v>981902.6875</v>
      </c>
      <c r="AD216">
        <v>714607.875</v>
      </c>
      <c r="AE216">
        <v>1696510.5</v>
      </c>
      <c r="AJ216" t="s">
        <v>268</v>
      </c>
      <c r="AK216">
        <v>0</v>
      </c>
      <c r="AL216">
        <v>25</v>
      </c>
      <c r="AM216">
        <v>0</v>
      </c>
      <c r="AN216">
        <v>22</v>
      </c>
      <c r="AO216">
        <v>0</v>
      </c>
      <c r="AP216">
        <v>29</v>
      </c>
      <c r="AQ216">
        <v>0</v>
      </c>
      <c r="AR216">
        <v>0</v>
      </c>
      <c r="AS216">
        <v>24</v>
      </c>
      <c r="AT216" t="b">
        <v>1</v>
      </c>
      <c r="AU216">
        <v>10</v>
      </c>
      <c r="AV216">
        <v>10</v>
      </c>
      <c r="AW216">
        <v>4</v>
      </c>
      <c r="AX216" t="b">
        <v>0</v>
      </c>
      <c r="AY216" t="b">
        <v>0</v>
      </c>
      <c r="AZ216" t="b">
        <v>1</v>
      </c>
      <c r="BA216" t="b">
        <v>1</v>
      </c>
      <c r="BB216" t="s">
        <v>271</v>
      </c>
      <c r="BC216" t="s">
        <v>271</v>
      </c>
      <c r="BD216" t="s">
        <v>268</v>
      </c>
      <c r="BE216" t="s">
        <v>1307</v>
      </c>
      <c r="BF216" t="s">
        <v>1308</v>
      </c>
      <c r="BG216" t="s">
        <v>1309</v>
      </c>
      <c r="BH216" t="s">
        <v>1310</v>
      </c>
      <c r="BI216" t="s">
        <v>1344</v>
      </c>
      <c r="BJ216" t="b">
        <v>1</v>
      </c>
      <c r="BK216" t="b">
        <v>1</v>
      </c>
      <c r="BL216" t="b">
        <v>1</v>
      </c>
      <c r="BM216" t="b">
        <v>0</v>
      </c>
      <c r="BN216" t="b">
        <v>0</v>
      </c>
      <c r="BO216" t="b">
        <v>0</v>
      </c>
      <c r="BP216">
        <v>1</v>
      </c>
      <c r="BQ216">
        <v>86</v>
      </c>
      <c r="BR216">
        <v>1</v>
      </c>
      <c r="BT216" t="b">
        <v>1</v>
      </c>
      <c r="BU216">
        <v>0</v>
      </c>
      <c r="BV216">
        <v>197</v>
      </c>
      <c r="BW216">
        <v>57639</v>
      </c>
      <c r="BX216">
        <v>2</v>
      </c>
      <c r="BY216" t="s">
        <v>271</v>
      </c>
      <c r="BZ216" t="s">
        <v>268</v>
      </c>
      <c r="CA216" t="s">
        <v>268</v>
      </c>
      <c r="CB216" t="s">
        <v>268</v>
      </c>
      <c r="CC216" t="s">
        <v>1312</v>
      </c>
      <c r="CD216" t="s">
        <v>1313</v>
      </c>
      <c r="CE216" t="s">
        <v>1314</v>
      </c>
      <c r="CF216" t="s">
        <v>1315</v>
      </c>
      <c r="CG216" t="str">
        <f t="shared" si="15"/>
        <v/>
      </c>
      <c r="CH216" t="str">
        <f t="shared" si="16"/>
        <v/>
      </c>
      <c r="CI216" t="str">
        <f t="shared" si="17"/>
        <v/>
      </c>
      <c r="CJ216" t="str">
        <f t="shared" si="18"/>
        <v/>
      </c>
      <c r="CK216" t="str">
        <f t="shared" si="19"/>
        <v/>
      </c>
    </row>
    <row r="217" spans="1:89">
      <c r="A217">
        <v>77010</v>
      </c>
      <c r="B217" t="s">
        <v>1371</v>
      </c>
      <c r="C217">
        <v>9.3609762191772496</v>
      </c>
      <c r="D217" t="s">
        <v>1338</v>
      </c>
      <c r="E217">
        <v>2009</v>
      </c>
      <c r="F217" t="s">
        <v>1320</v>
      </c>
      <c r="G217" t="s">
        <v>167</v>
      </c>
      <c r="H217">
        <v>98122</v>
      </c>
      <c r="I217" t="s">
        <v>1321</v>
      </c>
      <c r="J217" t="s">
        <v>1317</v>
      </c>
      <c r="K217" t="s">
        <v>1306</v>
      </c>
      <c r="L217">
        <v>117</v>
      </c>
      <c r="M217">
        <v>6.5</v>
      </c>
      <c r="N217">
        <v>0.5</v>
      </c>
      <c r="O217">
        <v>7</v>
      </c>
      <c r="P217">
        <v>0</v>
      </c>
      <c r="Q217">
        <v>102050</v>
      </c>
      <c r="R217">
        <v>93740</v>
      </c>
      <c r="S217">
        <v>15274</v>
      </c>
      <c r="T217">
        <v>0</v>
      </c>
      <c r="U217">
        <v>0</v>
      </c>
      <c r="V217">
        <v>23</v>
      </c>
      <c r="W217">
        <v>23</v>
      </c>
      <c r="X217">
        <v>71</v>
      </c>
      <c r="Y217">
        <v>3.5</v>
      </c>
      <c r="Z217" t="b">
        <v>1</v>
      </c>
      <c r="AA217" t="b">
        <v>1</v>
      </c>
      <c r="AB217">
        <v>8</v>
      </c>
      <c r="AC217">
        <v>363175.4375</v>
      </c>
      <c r="AD217">
        <v>415456.8125</v>
      </c>
      <c r="AE217">
        <v>778632.25</v>
      </c>
      <c r="AH217">
        <v>10431.32421875</v>
      </c>
      <c r="AI217">
        <v>3699825.75</v>
      </c>
      <c r="AK217">
        <v>7350</v>
      </c>
      <c r="AL217">
        <v>20</v>
      </c>
      <c r="AM217">
        <v>0</v>
      </c>
      <c r="AN217">
        <v>21</v>
      </c>
      <c r="AO217">
        <v>0</v>
      </c>
      <c r="AP217">
        <v>30</v>
      </c>
      <c r="AQ217">
        <v>0</v>
      </c>
      <c r="AR217">
        <v>0</v>
      </c>
      <c r="AS217">
        <v>29</v>
      </c>
      <c r="AT217" t="b">
        <v>1</v>
      </c>
      <c r="AU217">
        <v>0</v>
      </c>
      <c r="AV217">
        <v>0</v>
      </c>
      <c r="AW217">
        <v>2</v>
      </c>
      <c r="AX217" t="b">
        <v>0</v>
      </c>
      <c r="AY217" t="b">
        <v>0</v>
      </c>
      <c r="AZ217" t="b">
        <v>1</v>
      </c>
      <c r="BA217" t="b">
        <v>1</v>
      </c>
      <c r="BB217" t="s">
        <v>271</v>
      </c>
      <c r="BC217" t="s">
        <v>271</v>
      </c>
      <c r="BD217" t="s">
        <v>268</v>
      </c>
      <c r="BE217" t="s">
        <v>1307</v>
      </c>
      <c r="BF217" t="s">
        <v>1308</v>
      </c>
      <c r="BG217" t="s">
        <v>1309</v>
      </c>
      <c r="BH217" t="s">
        <v>1310</v>
      </c>
      <c r="BI217" t="s">
        <v>1379</v>
      </c>
      <c r="BJ217" t="b">
        <v>1</v>
      </c>
      <c r="BK217" t="b">
        <v>1</v>
      </c>
      <c r="BL217" t="b">
        <v>1</v>
      </c>
      <c r="BM217" t="b">
        <v>0</v>
      </c>
      <c r="BN217" t="b">
        <v>0</v>
      </c>
      <c r="BO217" t="b">
        <v>0</v>
      </c>
      <c r="BP217">
        <v>3</v>
      </c>
      <c r="BQ217">
        <v>127</v>
      </c>
      <c r="BR217">
        <v>1</v>
      </c>
      <c r="BS217">
        <v>1</v>
      </c>
      <c r="BT217" t="b">
        <v>1</v>
      </c>
      <c r="BU217">
        <v>30</v>
      </c>
      <c r="BV217">
        <v>90</v>
      </c>
      <c r="BW217">
        <v>31470</v>
      </c>
      <c r="BX217">
        <v>2</v>
      </c>
      <c r="BY217" t="s">
        <v>271</v>
      </c>
      <c r="BZ217" t="s">
        <v>268</v>
      </c>
      <c r="CA217" t="s">
        <v>268</v>
      </c>
      <c r="CB217" t="s">
        <v>268</v>
      </c>
      <c r="CC217" t="s">
        <v>1312</v>
      </c>
      <c r="CD217" t="s">
        <v>1313</v>
      </c>
      <c r="CE217" t="s">
        <v>1333</v>
      </c>
      <c r="CF217" t="s">
        <v>1315</v>
      </c>
      <c r="CG217" t="str">
        <f t="shared" si="15"/>
        <v/>
      </c>
      <c r="CH217" t="str">
        <f t="shared" si="16"/>
        <v/>
      </c>
      <c r="CI217" t="str">
        <f t="shared" si="17"/>
        <v/>
      </c>
      <c r="CJ217" t="str">
        <f t="shared" si="18"/>
        <v/>
      </c>
      <c r="CK217" t="str">
        <f t="shared" si="19"/>
        <v/>
      </c>
    </row>
    <row r="218" spans="1:89">
      <c r="A218">
        <v>77011</v>
      </c>
      <c r="B218" t="s">
        <v>1371</v>
      </c>
      <c r="C218">
        <v>8.8325338363647496</v>
      </c>
      <c r="D218" t="s">
        <v>1324</v>
      </c>
      <c r="E218">
        <v>1969</v>
      </c>
      <c r="F218" t="s">
        <v>1320</v>
      </c>
      <c r="G218" t="s">
        <v>167</v>
      </c>
      <c r="H218">
        <v>98104</v>
      </c>
      <c r="I218" t="s">
        <v>1321</v>
      </c>
      <c r="J218" t="s">
        <v>1317</v>
      </c>
      <c r="K218" t="s">
        <v>1306</v>
      </c>
      <c r="L218">
        <v>124</v>
      </c>
      <c r="M218">
        <v>11</v>
      </c>
      <c r="N218">
        <v>0</v>
      </c>
      <c r="O218">
        <v>11</v>
      </c>
      <c r="P218">
        <v>0</v>
      </c>
      <c r="Q218">
        <v>83202</v>
      </c>
      <c r="R218">
        <v>83202</v>
      </c>
      <c r="S218">
        <v>11697</v>
      </c>
      <c r="T218">
        <v>0</v>
      </c>
      <c r="U218">
        <v>0</v>
      </c>
      <c r="V218">
        <v>16</v>
      </c>
      <c r="W218">
        <v>40</v>
      </c>
      <c r="X218">
        <v>68</v>
      </c>
      <c r="Y218">
        <v>4</v>
      </c>
      <c r="Z218" t="b">
        <v>0</v>
      </c>
      <c r="AA218" t="b">
        <v>1</v>
      </c>
      <c r="AB218">
        <v>8</v>
      </c>
      <c r="AE218">
        <v>604588.5</v>
      </c>
      <c r="AH218">
        <v>1318.15930175781</v>
      </c>
      <c r="AI218">
        <v>2194672</v>
      </c>
      <c r="AJ218" t="s">
        <v>271</v>
      </c>
      <c r="AK218">
        <v>0</v>
      </c>
      <c r="AL218">
        <v>45</v>
      </c>
      <c r="AM218">
        <v>0</v>
      </c>
      <c r="AN218">
        <v>5</v>
      </c>
      <c r="AO218">
        <v>0</v>
      </c>
      <c r="AP218">
        <v>5</v>
      </c>
      <c r="AQ218">
        <v>0</v>
      </c>
      <c r="AR218">
        <v>0</v>
      </c>
      <c r="AS218">
        <v>45</v>
      </c>
      <c r="AT218" t="b">
        <v>1</v>
      </c>
      <c r="AU218">
        <v>3</v>
      </c>
      <c r="AV218">
        <v>4</v>
      </c>
      <c r="AW218">
        <v>2</v>
      </c>
      <c r="AX218" t="b">
        <v>1</v>
      </c>
      <c r="AY218" t="b">
        <v>0</v>
      </c>
      <c r="AZ218" t="b">
        <v>0</v>
      </c>
      <c r="BA218" t="b">
        <v>1</v>
      </c>
      <c r="BB218" t="s">
        <v>268</v>
      </c>
      <c r="BC218" t="s">
        <v>268</v>
      </c>
      <c r="BD218" t="s">
        <v>268</v>
      </c>
      <c r="BE218" t="s">
        <v>1345</v>
      </c>
      <c r="BF218" t="s">
        <v>1444</v>
      </c>
      <c r="BG218" t="s">
        <v>1346</v>
      </c>
      <c r="BH218" t="s">
        <v>1310</v>
      </c>
      <c r="BI218" t="s">
        <v>1344</v>
      </c>
      <c r="BJ218" t="b">
        <v>1</v>
      </c>
      <c r="BK218" t="b">
        <v>1</v>
      </c>
      <c r="BL218" t="b">
        <v>1</v>
      </c>
      <c r="BM218" t="b">
        <v>0</v>
      </c>
      <c r="BN218" t="b">
        <v>1</v>
      </c>
      <c r="BO218" t="b">
        <v>0</v>
      </c>
      <c r="BP218">
        <v>1</v>
      </c>
      <c r="BQ218">
        <v>1</v>
      </c>
      <c r="BR218">
        <v>1</v>
      </c>
      <c r="BS218">
        <v>1</v>
      </c>
      <c r="BT218" t="b">
        <v>1</v>
      </c>
      <c r="BV218">
        <v>33</v>
      </c>
      <c r="BW218">
        <v>14025</v>
      </c>
      <c r="BX218">
        <v>0</v>
      </c>
      <c r="BY218" t="s">
        <v>268</v>
      </c>
      <c r="BZ218" t="s">
        <v>268</v>
      </c>
      <c r="CA218" t="s">
        <v>268</v>
      </c>
      <c r="CB218" t="s">
        <v>271</v>
      </c>
      <c r="CC218" t="s">
        <v>1387</v>
      </c>
      <c r="CD218" t="s">
        <v>1373</v>
      </c>
      <c r="CE218" t="s">
        <v>1397</v>
      </c>
      <c r="CF218" t="s">
        <v>1374</v>
      </c>
      <c r="CG218" t="str">
        <f t="shared" si="15"/>
        <v/>
      </c>
      <c r="CH218" t="str">
        <f t="shared" si="16"/>
        <v/>
      </c>
      <c r="CI218" t="str">
        <f t="shared" si="17"/>
        <v/>
      </c>
      <c r="CJ218" t="str">
        <f t="shared" si="18"/>
        <v/>
      </c>
      <c r="CK218" t="str">
        <f t="shared" si="19"/>
        <v/>
      </c>
    </row>
    <row r="219" spans="1:89">
      <c r="A219">
        <v>78001</v>
      </c>
      <c r="B219" t="s">
        <v>1371</v>
      </c>
      <c r="C219">
        <v>4.0715026855468803</v>
      </c>
      <c r="D219" t="s">
        <v>1338</v>
      </c>
      <c r="E219">
        <v>2009</v>
      </c>
      <c r="F219" t="s">
        <v>1320</v>
      </c>
      <c r="G219" t="s">
        <v>167</v>
      </c>
      <c r="H219">
        <v>98101</v>
      </c>
      <c r="I219" t="s">
        <v>1321</v>
      </c>
      <c r="J219" t="s">
        <v>1317</v>
      </c>
      <c r="K219" t="s">
        <v>1306</v>
      </c>
      <c r="L219">
        <v>269</v>
      </c>
      <c r="M219">
        <v>28</v>
      </c>
      <c r="N219">
        <v>1</v>
      </c>
      <c r="O219">
        <v>30</v>
      </c>
      <c r="P219">
        <v>1</v>
      </c>
      <c r="Q219">
        <v>609987</v>
      </c>
      <c r="R219">
        <v>600552</v>
      </c>
      <c r="S219">
        <v>60800</v>
      </c>
      <c r="T219">
        <v>0</v>
      </c>
      <c r="U219">
        <v>23</v>
      </c>
      <c r="V219">
        <v>117</v>
      </c>
      <c r="W219">
        <v>128</v>
      </c>
      <c r="X219">
        <v>0</v>
      </c>
      <c r="Y219">
        <v>45</v>
      </c>
      <c r="Z219" t="b">
        <v>1</v>
      </c>
      <c r="AA219" t="b">
        <v>1</v>
      </c>
      <c r="AB219">
        <v>10</v>
      </c>
      <c r="AC219">
        <v>1988552.5</v>
      </c>
      <c r="AD219">
        <v>1025254.1875</v>
      </c>
      <c r="AE219">
        <v>3013806.75</v>
      </c>
      <c r="AH219">
        <v>81385.515625</v>
      </c>
      <c r="AI219">
        <v>18421660</v>
      </c>
      <c r="AJ219" t="s">
        <v>268</v>
      </c>
      <c r="AK219">
        <v>9335</v>
      </c>
      <c r="AL219">
        <v>0</v>
      </c>
      <c r="AM219">
        <v>28</v>
      </c>
      <c r="AN219">
        <v>0</v>
      </c>
      <c r="AO219">
        <v>21</v>
      </c>
      <c r="AP219">
        <v>0</v>
      </c>
      <c r="AQ219">
        <v>21</v>
      </c>
      <c r="AR219">
        <v>30</v>
      </c>
      <c r="AS219">
        <v>0</v>
      </c>
      <c r="AT219" t="b">
        <v>1</v>
      </c>
      <c r="AU219">
        <v>0</v>
      </c>
      <c r="AV219">
        <v>0</v>
      </c>
      <c r="AW219">
        <v>7</v>
      </c>
      <c r="AX219" t="b">
        <v>1</v>
      </c>
      <c r="AY219" t="b">
        <v>1</v>
      </c>
      <c r="AZ219" t="b">
        <v>0</v>
      </c>
      <c r="BA219" t="b">
        <v>1</v>
      </c>
      <c r="BB219" t="s">
        <v>271</v>
      </c>
      <c r="BC219" t="s">
        <v>271</v>
      </c>
      <c r="BD219" t="s">
        <v>271</v>
      </c>
      <c r="BE219" t="s">
        <v>1429</v>
      </c>
      <c r="BF219" t="s">
        <v>1342</v>
      </c>
      <c r="BG219" t="s">
        <v>1346</v>
      </c>
      <c r="BH219" t="s">
        <v>1430</v>
      </c>
      <c r="BI219" t="s">
        <v>1379</v>
      </c>
      <c r="BJ219" t="b">
        <v>1</v>
      </c>
      <c r="BK219" t="b">
        <v>1</v>
      </c>
      <c r="BL219" t="b">
        <v>1</v>
      </c>
      <c r="BM219" t="b">
        <v>0</v>
      </c>
      <c r="BN219" t="b">
        <v>0</v>
      </c>
      <c r="BO219" t="b">
        <v>0</v>
      </c>
      <c r="BQ219">
        <v>269</v>
      </c>
      <c r="BR219">
        <v>1</v>
      </c>
      <c r="BS219">
        <v>1</v>
      </c>
      <c r="BT219" t="b">
        <v>1</v>
      </c>
      <c r="BU219">
        <v>10</v>
      </c>
      <c r="BV219">
        <v>490</v>
      </c>
      <c r="BW219">
        <v>205532</v>
      </c>
      <c r="BX219">
        <v>8</v>
      </c>
      <c r="BY219" t="s">
        <v>271</v>
      </c>
      <c r="BZ219" t="s">
        <v>268</v>
      </c>
      <c r="CA219" t="s">
        <v>268</v>
      </c>
      <c r="CB219" t="s">
        <v>268</v>
      </c>
      <c r="CC219" t="s">
        <v>1387</v>
      </c>
      <c r="CD219" t="s">
        <v>1445</v>
      </c>
      <c r="CE219" t="s">
        <v>1333</v>
      </c>
      <c r="CF219" t="s">
        <v>1361</v>
      </c>
      <c r="CG219" t="str">
        <f t="shared" si="15"/>
        <v/>
      </c>
      <c r="CH219" t="str">
        <f t="shared" si="16"/>
        <v/>
      </c>
      <c r="CI219" t="str">
        <f t="shared" si="17"/>
        <v/>
      </c>
      <c r="CJ219" t="str">
        <f t="shared" si="18"/>
        <v/>
      </c>
      <c r="CK219" t="str">
        <f t="shared" si="19"/>
        <v/>
      </c>
    </row>
    <row r="220" spans="1:89">
      <c r="A220">
        <v>78002</v>
      </c>
      <c r="B220" t="s">
        <v>1371</v>
      </c>
      <c r="C220">
        <v>4.95581102371216</v>
      </c>
      <c r="D220" t="s">
        <v>1340</v>
      </c>
      <c r="E220">
        <v>1991</v>
      </c>
      <c r="F220" t="s">
        <v>1320</v>
      </c>
      <c r="G220" t="s">
        <v>167</v>
      </c>
      <c r="H220">
        <v>98121</v>
      </c>
      <c r="I220" t="s">
        <v>1321</v>
      </c>
      <c r="J220" t="s">
        <v>1317</v>
      </c>
      <c r="K220" t="s">
        <v>1306</v>
      </c>
      <c r="L220">
        <v>221</v>
      </c>
      <c r="M220">
        <v>25</v>
      </c>
      <c r="N220">
        <v>1</v>
      </c>
      <c r="O220">
        <v>28</v>
      </c>
      <c r="P220">
        <v>2</v>
      </c>
      <c r="Q220">
        <v>439500</v>
      </c>
      <c r="R220">
        <v>427500</v>
      </c>
      <c r="S220">
        <v>38833</v>
      </c>
      <c r="T220">
        <v>0</v>
      </c>
      <c r="U220">
        <v>12</v>
      </c>
      <c r="V220">
        <v>83</v>
      </c>
      <c r="W220">
        <v>54</v>
      </c>
      <c r="X220">
        <v>72</v>
      </c>
      <c r="Y220">
        <v>4</v>
      </c>
      <c r="Z220" t="b">
        <v>1</v>
      </c>
      <c r="AA220" t="b">
        <v>1</v>
      </c>
      <c r="AB220">
        <v>8</v>
      </c>
      <c r="AC220">
        <v>938029.8125</v>
      </c>
      <c r="AD220">
        <v>1332425.25</v>
      </c>
      <c r="AE220">
        <v>2270455</v>
      </c>
      <c r="AJ220" t="s">
        <v>271</v>
      </c>
      <c r="AK220">
        <v>0</v>
      </c>
      <c r="AL220">
        <v>25</v>
      </c>
      <c r="AM220">
        <v>0</v>
      </c>
      <c r="AN220">
        <v>23</v>
      </c>
      <c r="AO220">
        <v>0</v>
      </c>
      <c r="AP220">
        <v>23</v>
      </c>
      <c r="AQ220">
        <v>0</v>
      </c>
      <c r="AR220">
        <v>0</v>
      </c>
      <c r="AS220">
        <v>29</v>
      </c>
      <c r="AT220" t="b">
        <v>0</v>
      </c>
      <c r="AU220">
        <v>3</v>
      </c>
      <c r="AV220">
        <v>3</v>
      </c>
      <c r="AW220">
        <v>3</v>
      </c>
      <c r="AX220" t="b">
        <v>0</v>
      </c>
      <c r="AY220" t="b">
        <v>0</v>
      </c>
      <c r="AZ220" t="b">
        <v>1</v>
      </c>
      <c r="BA220" t="b">
        <v>1</v>
      </c>
      <c r="BB220" t="s">
        <v>271</v>
      </c>
      <c r="BC220" t="s">
        <v>271</v>
      </c>
      <c r="BD220" t="s">
        <v>271</v>
      </c>
      <c r="BE220" t="s">
        <v>1307</v>
      </c>
      <c r="BF220" t="s">
        <v>1308</v>
      </c>
      <c r="BG220" t="s">
        <v>1309</v>
      </c>
      <c r="BH220" t="s">
        <v>1310</v>
      </c>
      <c r="BI220" t="s">
        <v>1344</v>
      </c>
      <c r="BJ220" t="b">
        <v>1</v>
      </c>
      <c r="BK220" t="b">
        <v>1</v>
      </c>
      <c r="BL220" t="b">
        <v>1</v>
      </c>
      <c r="BM220" t="b">
        <v>0</v>
      </c>
      <c r="BN220" t="b">
        <v>0</v>
      </c>
      <c r="BO220" t="b">
        <v>0</v>
      </c>
      <c r="BP220">
        <v>10</v>
      </c>
      <c r="BQ220">
        <v>225</v>
      </c>
      <c r="BR220">
        <v>1</v>
      </c>
      <c r="BS220">
        <v>1</v>
      </c>
      <c r="BT220" t="b">
        <v>1</v>
      </c>
      <c r="BU220">
        <v>10</v>
      </c>
      <c r="BV220">
        <v>246</v>
      </c>
      <c r="BW220">
        <v>94550</v>
      </c>
      <c r="BX220">
        <v>3</v>
      </c>
      <c r="BY220" t="s">
        <v>271</v>
      </c>
      <c r="BZ220" t="s">
        <v>268</v>
      </c>
      <c r="CA220" t="s">
        <v>268</v>
      </c>
      <c r="CB220" t="s">
        <v>268</v>
      </c>
      <c r="CC220" t="s">
        <v>1387</v>
      </c>
      <c r="CD220" t="s">
        <v>1373</v>
      </c>
      <c r="CE220" t="s">
        <v>1333</v>
      </c>
      <c r="CF220" t="s">
        <v>1374</v>
      </c>
      <c r="CG220" t="str">
        <f t="shared" si="15"/>
        <v/>
      </c>
      <c r="CH220" t="str">
        <f t="shared" si="16"/>
        <v/>
      </c>
      <c r="CI220" t="str">
        <f t="shared" si="17"/>
        <v/>
      </c>
      <c r="CJ220" t="str">
        <f t="shared" si="18"/>
        <v/>
      </c>
      <c r="CK220" t="str">
        <f t="shared" si="19"/>
        <v/>
      </c>
    </row>
    <row r="221" spans="1:89">
      <c r="A221">
        <v>78003</v>
      </c>
      <c r="B221" t="s">
        <v>1371</v>
      </c>
      <c r="C221">
        <v>5.8568677902221697</v>
      </c>
      <c r="D221" t="s">
        <v>1340</v>
      </c>
      <c r="E221">
        <v>2000</v>
      </c>
      <c r="F221" t="s">
        <v>1320</v>
      </c>
      <c r="G221" t="s">
        <v>167</v>
      </c>
      <c r="H221">
        <v>98121</v>
      </c>
      <c r="I221" t="s">
        <v>1321</v>
      </c>
      <c r="K221" t="s">
        <v>1306</v>
      </c>
      <c r="L221">
        <v>187</v>
      </c>
      <c r="M221">
        <v>7</v>
      </c>
      <c r="N221">
        <v>0</v>
      </c>
      <c r="O221">
        <v>7</v>
      </c>
      <c r="P221">
        <v>0</v>
      </c>
      <c r="Q221">
        <v>142497</v>
      </c>
      <c r="R221">
        <v>140267</v>
      </c>
      <c r="S221">
        <v>28269</v>
      </c>
      <c r="T221">
        <v>0</v>
      </c>
      <c r="U221">
        <v>0</v>
      </c>
      <c r="V221">
        <v>10</v>
      </c>
      <c r="W221">
        <v>74</v>
      </c>
      <c r="X221">
        <v>103</v>
      </c>
      <c r="Y221">
        <v>4</v>
      </c>
      <c r="Z221" t="b">
        <v>1</v>
      </c>
      <c r="AA221" t="b">
        <v>1</v>
      </c>
      <c r="AB221">
        <v>9</v>
      </c>
      <c r="AC221">
        <v>317480.9375</v>
      </c>
      <c r="AD221">
        <v>893054.625</v>
      </c>
      <c r="AE221">
        <v>1210535.5</v>
      </c>
      <c r="AI221">
        <v>4130347.25</v>
      </c>
      <c r="AJ221" t="s">
        <v>268</v>
      </c>
      <c r="AK221">
        <v>2230</v>
      </c>
      <c r="AL221">
        <v>0</v>
      </c>
      <c r="AM221">
        <v>20</v>
      </c>
      <c r="AN221">
        <v>0</v>
      </c>
      <c r="AO221">
        <v>23</v>
      </c>
      <c r="AP221">
        <v>0</v>
      </c>
      <c r="AQ221">
        <v>23</v>
      </c>
      <c r="AR221">
        <v>34</v>
      </c>
      <c r="AS221">
        <v>0</v>
      </c>
      <c r="AT221" t="b">
        <v>1</v>
      </c>
      <c r="AU221">
        <v>0</v>
      </c>
      <c r="AV221">
        <v>0</v>
      </c>
      <c r="AW221">
        <v>3</v>
      </c>
      <c r="AX221" t="b">
        <v>0</v>
      </c>
      <c r="AY221" t="b">
        <v>0</v>
      </c>
      <c r="AZ221" t="b">
        <v>1</v>
      </c>
      <c r="BA221" t="b">
        <v>1</v>
      </c>
      <c r="BB221" t="s">
        <v>268</v>
      </c>
      <c r="BC221" t="s">
        <v>271</v>
      </c>
      <c r="BD221" t="s">
        <v>268</v>
      </c>
      <c r="BE221" t="s">
        <v>1307</v>
      </c>
      <c r="BF221" t="s">
        <v>1308</v>
      </c>
      <c r="BG221" t="s">
        <v>1309</v>
      </c>
      <c r="BH221" t="s">
        <v>1310</v>
      </c>
      <c r="BI221" t="s">
        <v>1322</v>
      </c>
      <c r="BJ221" t="b">
        <v>0</v>
      </c>
      <c r="BK221" t="b">
        <v>1</v>
      </c>
      <c r="BL221" t="b">
        <v>0</v>
      </c>
      <c r="BM221" t="b">
        <v>0</v>
      </c>
      <c r="BN221" t="b">
        <v>0</v>
      </c>
      <c r="BO221" t="b">
        <v>0</v>
      </c>
      <c r="BP221">
        <v>7</v>
      </c>
      <c r="BQ221">
        <v>189</v>
      </c>
      <c r="BR221">
        <v>0</v>
      </c>
      <c r="BS221">
        <v>0</v>
      </c>
      <c r="BT221" t="b">
        <v>1</v>
      </c>
      <c r="BU221">
        <v>0</v>
      </c>
      <c r="BV221">
        <v>182</v>
      </c>
      <c r="BW221">
        <v>49580</v>
      </c>
      <c r="BX221">
        <v>2</v>
      </c>
      <c r="BY221" t="s">
        <v>271</v>
      </c>
      <c r="BZ221" t="s">
        <v>268</v>
      </c>
      <c r="CA221" t="s">
        <v>268</v>
      </c>
      <c r="CB221" t="s">
        <v>268</v>
      </c>
      <c r="CC221" t="s">
        <v>1312</v>
      </c>
      <c r="CD221" t="s">
        <v>1313</v>
      </c>
      <c r="CE221" t="s">
        <v>1333</v>
      </c>
      <c r="CF221" t="s">
        <v>1315</v>
      </c>
      <c r="CG221" t="str">
        <f t="shared" si="15"/>
        <v/>
      </c>
      <c r="CH221" t="str">
        <f t="shared" si="16"/>
        <v/>
      </c>
      <c r="CI221" t="str">
        <f t="shared" si="17"/>
        <v/>
      </c>
      <c r="CJ221" t="str">
        <f t="shared" si="18"/>
        <v/>
      </c>
      <c r="CK221" t="str">
        <f t="shared" si="19"/>
        <v/>
      </c>
    </row>
    <row r="222" spans="1:89">
      <c r="A222">
        <v>78004</v>
      </c>
      <c r="B222" t="s">
        <v>1371</v>
      </c>
      <c r="C222">
        <v>4.3634829521179199</v>
      </c>
      <c r="D222" t="s">
        <v>1338</v>
      </c>
      <c r="E222">
        <v>2008</v>
      </c>
      <c r="F222" t="s">
        <v>1320</v>
      </c>
      <c r="G222" t="s">
        <v>167</v>
      </c>
      <c r="H222">
        <v>98121</v>
      </c>
      <c r="I222" t="s">
        <v>1321</v>
      </c>
      <c r="J222" t="s">
        <v>1317</v>
      </c>
      <c r="K222" t="s">
        <v>1306</v>
      </c>
      <c r="L222">
        <v>251</v>
      </c>
      <c r="M222">
        <v>6</v>
      </c>
      <c r="N222">
        <v>1</v>
      </c>
      <c r="O222">
        <v>7</v>
      </c>
      <c r="P222">
        <v>0</v>
      </c>
      <c r="Q222">
        <v>141296</v>
      </c>
      <c r="R222">
        <v>133741</v>
      </c>
      <c r="S222">
        <v>27806</v>
      </c>
      <c r="T222">
        <v>0</v>
      </c>
      <c r="U222">
        <v>0</v>
      </c>
      <c r="V222">
        <v>30</v>
      </c>
      <c r="W222">
        <v>86</v>
      </c>
      <c r="X222">
        <v>135</v>
      </c>
      <c r="Y222">
        <v>6</v>
      </c>
      <c r="Z222" t="b">
        <v>1</v>
      </c>
      <c r="AA222" t="b">
        <v>1</v>
      </c>
      <c r="AB222">
        <v>8</v>
      </c>
      <c r="AC222">
        <v>325793.84375</v>
      </c>
      <c r="AD222">
        <v>656149.3125</v>
      </c>
      <c r="AE222">
        <v>981943.125</v>
      </c>
      <c r="AJ222" t="s">
        <v>268</v>
      </c>
      <c r="AK222">
        <v>7555</v>
      </c>
      <c r="AL222">
        <v>23</v>
      </c>
      <c r="AM222">
        <v>0</v>
      </c>
      <c r="AN222">
        <v>21</v>
      </c>
      <c r="AO222">
        <v>0</v>
      </c>
      <c r="AP222">
        <v>21</v>
      </c>
      <c r="AQ222">
        <v>0</v>
      </c>
      <c r="AR222">
        <v>0</v>
      </c>
      <c r="AS222">
        <v>35</v>
      </c>
      <c r="AT222" t="b">
        <v>1</v>
      </c>
      <c r="AU222">
        <v>0</v>
      </c>
      <c r="AV222">
        <v>0</v>
      </c>
      <c r="AW222">
        <v>2</v>
      </c>
      <c r="AX222" t="b">
        <v>0</v>
      </c>
      <c r="AY222" t="b">
        <v>0</v>
      </c>
      <c r="AZ222" t="b">
        <v>1</v>
      </c>
      <c r="BA222" t="b">
        <v>1</v>
      </c>
      <c r="BB222" t="s">
        <v>268</v>
      </c>
      <c r="BC222" t="s">
        <v>271</v>
      </c>
      <c r="BD222" t="s">
        <v>268</v>
      </c>
      <c r="BE222" t="s">
        <v>1307</v>
      </c>
      <c r="BF222" t="s">
        <v>1308</v>
      </c>
      <c r="BG222" t="s">
        <v>1309</v>
      </c>
      <c r="BH222" t="s">
        <v>1310</v>
      </c>
      <c r="BI222" t="s">
        <v>1379</v>
      </c>
      <c r="BJ222" t="b">
        <v>1</v>
      </c>
      <c r="BK222" t="b">
        <v>1</v>
      </c>
      <c r="BL222" t="b">
        <v>1</v>
      </c>
      <c r="BM222" t="b">
        <v>0</v>
      </c>
      <c r="BN222" t="b">
        <v>0</v>
      </c>
      <c r="BO222" t="b">
        <v>0</v>
      </c>
      <c r="BP222">
        <v>3</v>
      </c>
      <c r="BQ222">
        <v>254</v>
      </c>
      <c r="BR222">
        <v>1</v>
      </c>
      <c r="BS222">
        <v>1</v>
      </c>
      <c r="BT222" t="b">
        <v>1</v>
      </c>
      <c r="BU222">
        <v>0</v>
      </c>
      <c r="BV222">
        <v>172</v>
      </c>
      <c r="BW222">
        <v>57349</v>
      </c>
      <c r="BX222">
        <v>3</v>
      </c>
      <c r="BY222" t="s">
        <v>271</v>
      </c>
      <c r="BZ222" t="s">
        <v>268</v>
      </c>
      <c r="CA222" t="s">
        <v>268</v>
      </c>
      <c r="CB222" t="s">
        <v>268</v>
      </c>
      <c r="CC222" t="s">
        <v>1312</v>
      </c>
      <c r="CD222" t="s">
        <v>1313</v>
      </c>
      <c r="CE222" t="s">
        <v>1333</v>
      </c>
      <c r="CF222" t="s">
        <v>1315</v>
      </c>
      <c r="CG222" t="str">
        <f t="shared" si="15"/>
        <v/>
      </c>
      <c r="CH222" t="str">
        <f t="shared" si="16"/>
        <v/>
      </c>
      <c r="CI222" t="str">
        <f t="shared" si="17"/>
        <v/>
      </c>
      <c r="CJ222" t="str">
        <f t="shared" si="18"/>
        <v/>
      </c>
      <c r="CK222" t="str">
        <f t="shared" si="19"/>
        <v/>
      </c>
    </row>
    <row r="223" spans="1:89">
      <c r="A223">
        <v>78005</v>
      </c>
      <c r="B223" t="s">
        <v>1371</v>
      </c>
      <c r="C223">
        <v>3.0765006542205802</v>
      </c>
      <c r="D223" t="s">
        <v>1338</v>
      </c>
      <c r="E223">
        <v>2001</v>
      </c>
      <c r="F223" t="s">
        <v>1320</v>
      </c>
      <c r="G223" t="s">
        <v>167</v>
      </c>
      <c r="H223">
        <v>98101</v>
      </c>
      <c r="I223" t="s">
        <v>1321</v>
      </c>
      <c r="J223" t="s">
        <v>1317</v>
      </c>
      <c r="K223" t="s">
        <v>1306</v>
      </c>
      <c r="L223">
        <v>356</v>
      </c>
      <c r="M223">
        <v>29</v>
      </c>
      <c r="N223">
        <v>1</v>
      </c>
      <c r="O223">
        <v>31</v>
      </c>
      <c r="P223">
        <v>0</v>
      </c>
      <c r="Q223">
        <v>381505</v>
      </c>
      <c r="R223">
        <v>371349</v>
      </c>
      <c r="S223">
        <v>44170</v>
      </c>
      <c r="T223">
        <v>0</v>
      </c>
      <c r="U223">
        <v>2</v>
      </c>
      <c r="V223">
        <v>123</v>
      </c>
      <c r="W223">
        <v>146</v>
      </c>
      <c r="X223">
        <v>85</v>
      </c>
      <c r="Y223">
        <v>6</v>
      </c>
      <c r="Z223" t="b">
        <v>1</v>
      </c>
      <c r="AA223" t="b">
        <v>1</v>
      </c>
      <c r="AB223">
        <v>9</v>
      </c>
      <c r="AC223">
        <v>2080146.375</v>
      </c>
      <c r="AD223">
        <v>1934776.125</v>
      </c>
      <c r="AE223">
        <v>4014922.5</v>
      </c>
      <c r="AH223">
        <v>102295.203125</v>
      </c>
      <c r="AI223">
        <v>23928436</v>
      </c>
      <c r="AJ223" t="s">
        <v>268</v>
      </c>
      <c r="AK223">
        <v>10156</v>
      </c>
      <c r="AL223">
        <v>39</v>
      </c>
      <c r="AM223">
        <v>0</v>
      </c>
      <c r="AN223">
        <v>22</v>
      </c>
      <c r="AO223">
        <v>0</v>
      </c>
      <c r="AP223">
        <v>2</v>
      </c>
      <c r="AQ223">
        <v>0</v>
      </c>
      <c r="AR223">
        <v>0</v>
      </c>
      <c r="AS223">
        <v>37</v>
      </c>
      <c r="AT223" t="b">
        <v>1</v>
      </c>
      <c r="AU223">
        <v>0</v>
      </c>
      <c r="AV223">
        <v>0</v>
      </c>
      <c r="AW223">
        <v>4</v>
      </c>
      <c r="AX223" t="b">
        <v>1</v>
      </c>
      <c r="AY223" t="b">
        <v>1</v>
      </c>
      <c r="AZ223" t="b">
        <v>0</v>
      </c>
      <c r="BA223" t="b">
        <v>1</v>
      </c>
      <c r="BB223" t="s">
        <v>271</v>
      </c>
      <c r="BC223" t="s">
        <v>271</v>
      </c>
      <c r="BD223" t="s">
        <v>271</v>
      </c>
      <c r="BE223" t="s">
        <v>1429</v>
      </c>
      <c r="BF223" t="s">
        <v>1342</v>
      </c>
      <c r="BG223" t="s">
        <v>1346</v>
      </c>
      <c r="BH223" t="s">
        <v>1430</v>
      </c>
      <c r="BI223" t="s">
        <v>1344</v>
      </c>
      <c r="BJ223" t="b">
        <v>1</v>
      </c>
      <c r="BK223" t="b">
        <v>1</v>
      </c>
      <c r="BL223" t="b">
        <v>1</v>
      </c>
      <c r="BM223" t="b">
        <v>0</v>
      </c>
      <c r="BN223" t="b">
        <v>0</v>
      </c>
      <c r="BO223" t="b">
        <v>0</v>
      </c>
      <c r="BP223">
        <v>13</v>
      </c>
      <c r="BQ223">
        <v>365</v>
      </c>
      <c r="BR223">
        <v>1</v>
      </c>
      <c r="BS223">
        <v>1</v>
      </c>
      <c r="BT223" t="b">
        <v>1</v>
      </c>
      <c r="BU223">
        <v>10</v>
      </c>
      <c r="BV223">
        <v>386</v>
      </c>
      <c r="BW223">
        <v>139826</v>
      </c>
      <c r="BX223">
        <v>7</v>
      </c>
      <c r="BY223" t="s">
        <v>271</v>
      </c>
      <c r="BZ223" t="s">
        <v>268</v>
      </c>
      <c r="CA223" t="s">
        <v>268</v>
      </c>
      <c r="CB223" t="s">
        <v>268</v>
      </c>
      <c r="CC223" t="s">
        <v>1387</v>
      </c>
      <c r="CD223" t="s">
        <v>1373</v>
      </c>
      <c r="CE223" t="s">
        <v>1333</v>
      </c>
      <c r="CF223" t="s">
        <v>1374</v>
      </c>
      <c r="CG223" t="str">
        <f t="shared" si="15"/>
        <v/>
      </c>
      <c r="CH223" t="str">
        <f t="shared" si="16"/>
        <v/>
      </c>
      <c r="CI223" t="str">
        <f t="shared" si="17"/>
        <v/>
      </c>
      <c r="CJ223" t="str">
        <f t="shared" si="18"/>
        <v/>
      </c>
      <c r="CK223" t="str">
        <f t="shared" si="19"/>
        <v/>
      </c>
    </row>
    <row r="224" spans="1:89">
      <c r="A224">
        <v>78006</v>
      </c>
      <c r="B224" t="s">
        <v>1371</v>
      </c>
      <c r="C224">
        <v>3.1203253269195601</v>
      </c>
      <c r="D224" t="s">
        <v>1338</v>
      </c>
      <c r="E224">
        <v>2010</v>
      </c>
      <c r="F224" t="s">
        <v>1320</v>
      </c>
      <c r="G224" t="s">
        <v>167</v>
      </c>
      <c r="H224">
        <v>98118</v>
      </c>
      <c r="I224" t="s">
        <v>1321</v>
      </c>
      <c r="J224" t="s">
        <v>1317</v>
      </c>
      <c r="K224" t="s">
        <v>1306</v>
      </c>
      <c r="L224">
        <v>351</v>
      </c>
      <c r="M224">
        <v>6</v>
      </c>
      <c r="N224">
        <v>2</v>
      </c>
      <c r="O224">
        <v>7</v>
      </c>
      <c r="P224">
        <v>0</v>
      </c>
      <c r="Q224">
        <v>345759</v>
      </c>
      <c r="R224">
        <v>323699</v>
      </c>
      <c r="S224">
        <v>35739</v>
      </c>
      <c r="T224">
        <v>0</v>
      </c>
      <c r="U224">
        <v>0</v>
      </c>
      <c r="V224">
        <v>40</v>
      </c>
      <c r="W224">
        <v>144</v>
      </c>
      <c r="X224">
        <v>167</v>
      </c>
      <c r="Y224">
        <v>38</v>
      </c>
      <c r="Z224" t="b">
        <v>1</v>
      </c>
      <c r="AA224" t="b">
        <v>1</v>
      </c>
      <c r="AB224">
        <v>9</v>
      </c>
      <c r="AC224">
        <v>791213.4375</v>
      </c>
      <c r="AD224">
        <v>1200007.875</v>
      </c>
      <c r="AE224">
        <v>1991221.25</v>
      </c>
      <c r="AH224">
        <v>20277.91796875</v>
      </c>
      <c r="AI224">
        <v>8821839</v>
      </c>
      <c r="AJ224" t="s">
        <v>268</v>
      </c>
      <c r="AK224">
        <v>16835</v>
      </c>
      <c r="AL224">
        <v>28</v>
      </c>
      <c r="AM224">
        <v>0</v>
      </c>
      <c r="AN224">
        <v>28</v>
      </c>
      <c r="AO224">
        <v>0</v>
      </c>
      <c r="AP224">
        <v>21</v>
      </c>
      <c r="AQ224">
        <v>0</v>
      </c>
      <c r="AR224">
        <v>0</v>
      </c>
      <c r="AS224">
        <v>23</v>
      </c>
      <c r="AT224" t="b">
        <v>1</v>
      </c>
      <c r="AU224">
        <v>8</v>
      </c>
      <c r="AV224">
        <v>8</v>
      </c>
      <c r="AW224">
        <v>4</v>
      </c>
      <c r="AX224" t="b">
        <v>0</v>
      </c>
      <c r="AY224" t="b">
        <v>0</v>
      </c>
      <c r="AZ224" t="b">
        <v>1</v>
      </c>
      <c r="BA224" t="b">
        <v>1</v>
      </c>
      <c r="BB224" t="s">
        <v>268</v>
      </c>
      <c r="BC224" t="s">
        <v>271</v>
      </c>
      <c r="BD224" t="s">
        <v>271</v>
      </c>
      <c r="BE224" t="s">
        <v>1307</v>
      </c>
      <c r="BF224" t="s">
        <v>1308</v>
      </c>
      <c r="BG224" t="s">
        <v>1309</v>
      </c>
      <c r="BH224" t="s">
        <v>1310</v>
      </c>
      <c r="BI224" t="s">
        <v>1344</v>
      </c>
      <c r="BJ224" t="b">
        <v>1</v>
      </c>
      <c r="BK224" t="b">
        <v>1</v>
      </c>
      <c r="BL224" t="b">
        <v>1</v>
      </c>
      <c r="BM224" t="b">
        <v>0</v>
      </c>
      <c r="BN224" t="b">
        <v>0</v>
      </c>
      <c r="BO224" t="b">
        <v>0</v>
      </c>
      <c r="BP224">
        <v>3</v>
      </c>
      <c r="BQ224">
        <v>365</v>
      </c>
      <c r="BR224">
        <v>1</v>
      </c>
      <c r="BS224">
        <v>2</v>
      </c>
      <c r="BT224" t="b">
        <v>1</v>
      </c>
      <c r="BU224">
        <v>10</v>
      </c>
      <c r="BV224">
        <v>335</v>
      </c>
      <c r="BW224">
        <v>125220</v>
      </c>
      <c r="BX224">
        <v>3</v>
      </c>
      <c r="BY224" t="s">
        <v>271</v>
      </c>
      <c r="BZ224" t="s">
        <v>268</v>
      </c>
      <c r="CA224" t="s">
        <v>268</v>
      </c>
      <c r="CB224" t="s">
        <v>268</v>
      </c>
      <c r="CC224" t="s">
        <v>1312</v>
      </c>
      <c r="CD224" t="s">
        <v>1313</v>
      </c>
      <c r="CE224" t="s">
        <v>1333</v>
      </c>
      <c r="CF224" t="s">
        <v>1315</v>
      </c>
      <c r="CG224" t="str">
        <f t="shared" si="15"/>
        <v/>
      </c>
      <c r="CH224" t="str">
        <f t="shared" si="16"/>
        <v/>
      </c>
      <c r="CI224" t="str">
        <f t="shared" si="17"/>
        <v/>
      </c>
      <c r="CJ224" t="str">
        <f t="shared" si="18"/>
        <v/>
      </c>
      <c r="CK224" t="str">
        <f t="shared" si="19"/>
        <v/>
      </c>
    </row>
    <row r="225" spans="1:89">
      <c r="A225">
        <v>78007</v>
      </c>
      <c r="B225" t="s">
        <v>1331</v>
      </c>
      <c r="C225">
        <v>5.31667137145996</v>
      </c>
      <c r="D225" t="s">
        <v>1338</v>
      </c>
      <c r="E225">
        <v>2008</v>
      </c>
      <c r="F225" t="s">
        <v>1320</v>
      </c>
      <c r="G225" t="s">
        <v>167</v>
      </c>
      <c r="H225">
        <v>98125</v>
      </c>
      <c r="I225" t="s">
        <v>1321</v>
      </c>
      <c r="J225" t="s">
        <v>1317</v>
      </c>
      <c r="K225" t="s">
        <v>1306</v>
      </c>
      <c r="L225">
        <v>206</v>
      </c>
      <c r="M225">
        <v>6</v>
      </c>
      <c r="N225">
        <v>1</v>
      </c>
      <c r="O225">
        <v>6</v>
      </c>
      <c r="P225">
        <v>0</v>
      </c>
      <c r="Q225">
        <v>151921</v>
      </c>
      <c r="R225">
        <v>148666</v>
      </c>
      <c r="S225">
        <v>26691</v>
      </c>
      <c r="T225">
        <v>0</v>
      </c>
      <c r="U225">
        <v>0</v>
      </c>
      <c r="V225">
        <v>75</v>
      </c>
      <c r="W225">
        <v>131</v>
      </c>
      <c r="X225">
        <v>0</v>
      </c>
      <c r="Y225">
        <v>2</v>
      </c>
      <c r="Z225" t="b">
        <v>1</v>
      </c>
      <c r="AA225" t="b">
        <v>1</v>
      </c>
      <c r="AB225">
        <v>8</v>
      </c>
      <c r="AC225">
        <v>306263.5</v>
      </c>
      <c r="AD225">
        <v>904689.4375</v>
      </c>
      <c r="AE225">
        <v>1210953</v>
      </c>
      <c r="AH225">
        <v>19453.470703125</v>
      </c>
      <c r="AI225">
        <v>6077118.5</v>
      </c>
      <c r="AJ225" t="s">
        <v>268</v>
      </c>
      <c r="AK225">
        <v>3255</v>
      </c>
      <c r="AL225">
        <v>20</v>
      </c>
      <c r="AM225">
        <v>0</v>
      </c>
      <c r="AN225">
        <v>24</v>
      </c>
      <c r="AO225">
        <v>0</v>
      </c>
      <c r="AP225">
        <v>29</v>
      </c>
      <c r="AQ225">
        <v>0</v>
      </c>
      <c r="AR225">
        <v>0</v>
      </c>
      <c r="AS225">
        <v>27</v>
      </c>
      <c r="AT225" t="b">
        <v>0</v>
      </c>
      <c r="AU225">
        <v>12</v>
      </c>
      <c r="AV225">
        <v>12</v>
      </c>
      <c r="AW225">
        <v>2</v>
      </c>
      <c r="AX225" t="b">
        <v>0</v>
      </c>
      <c r="AY225" t="b">
        <v>0</v>
      </c>
      <c r="AZ225" t="b">
        <v>1</v>
      </c>
      <c r="BA225" t="b">
        <v>1</v>
      </c>
      <c r="BB225" t="s">
        <v>268</v>
      </c>
      <c r="BC225" t="s">
        <v>271</v>
      </c>
      <c r="BD225" t="s">
        <v>268</v>
      </c>
      <c r="BE225" t="s">
        <v>1307</v>
      </c>
      <c r="BF225" t="s">
        <v>1308</v>
      </c>
      <c r="BG225" t="s">
        <v>1309</v>
      </c>
      <c r="BH225" t="s">
        <v>1310</v>
      </c>
      <c r="BI225" t="s">
        <v>1344</v>
      </c>
      <c r="BJ225" t="b">
        <v>1</v>
      </c>
      <c r="BK225" t="b">
        <v>1</v>
      </c>
      <c r="BL225" t="b">
        <v>1</v>
      </c>
      <c r="BM225" t="b">
        <v>0</v>
      </c>
      <c r="BN225" t="b">
        <v>0</v>
      </c>
      <c r="BO225" t="b">
        <v>0</v>
      </c>
      <c r="BP225">
        <v>2</v>
      </c>
      <c r="BQ225">
        <v>212</v>
      </c>
      <c r="BT225" t="b">
        <v>1</v>
      </c>
      <c r="BU225">
        <v>0</v>
      </c>
      <c r="BV225">
        <v>81</v>
      </c>
      <c r="BW225">
        <v>30146</v>
      </c>
      <c r="BX225">
        <v>1</v>
      </c>
      <c r="BY225" t="s">
        <v>271</v>
      </c>
      <c r="BZ225" t="s">
        <v>268</v>
      </c>
      <c r="CA225" t="s">
        <v>268</v>
      </c>
      <c r="CB225" t="s">
        <v>268</v>
      </c>
      <c r="CC225" t="s">
        <v>1312</v>
      </c>
      <c r="CD225" t="s">
        <v>1313</v>
      </c>
      <c r="CE225" t="s">
        <v>1333</v>
      </c>
      <c r="CF225" t="s">
        <v>1315</v>
      </c>
      <c r="CG225" t="str">
        <f t="shared" si="15"/>
        <v/>
      </c>
      <c r="CH225" t="str">
        <f t="shared" si="16"/>
        <v/>
      </c>
      <c r="CI225" t="str">
        <f t="shared" si="17"/>
        <v/>
      </c>
      <c r="CJ225" t="str">
        <f t="shared" si="18"/>
        <v/>
      </c>
      <c r="CK225" t="str">
        <f t="shared" si="19"/>
        <v/>
      </c>
    </row>
    <row r="226" spans="1:89">
      <c r="A226">
        <v>78008</v>
      </c>
      <c r="B226" t="s">
        <v>1331</v>
      </c>
      <c r="C226">
        <v>4.1963000297546396</v>
      </c>
      <c r="D226" t="s">
        <v>1338</v>
      </c>
      <c r="E226">
        <v>2006</v>
      </c>
      <c r="F226" t="s">
        <v>1320</v>
      </c>
      <c r="G226" t="s">
        <v>167</v>
      </c>
      <c r="H226">
        <v>98133</v>
      </c>
      <c r="I226" t="s">
        <v>1321</v>
      </c>
      <c r="J226" t="s">
        <v>1317</v>
      </c>
      <c r="K226" t="s">
        <v>1306</v>
      </c>
      <c r="L226">
        <v>261</v>
      </c>
      <c r="M226">
        <v>5</v>
      </c>
      <c r="N226">
        <v>1</v>
      </c>
      <c r="O226">
        <v>6</v>
      </c>
      <c r="P226">
        <v>0</v>
      </c>
      <c r="Q226">
        <v>214078</v>
      </c>
      <c r="R226">
        <v>202996</v>
      </c>
      <c r="S226">
        <v>47379</v>
      </c>
      <c r="T226">
        <v>0</v>
      </c>
      <c r="U226">
        <v>0</v>
      </c>
      <c r="V226">
        <v>98</v>
      </c>
      <c r="W226">
        <v>163</v>
      </c>
      <c r="X226">
        <v>0</v>
      </c>
      <c r="Y226">
        <v>1</v>
      </c>
      <c r="Z226" t="b">
        <v>1</v>
      </c>
      <c r="AA226" t="b">
        <v>1</v>
      </c>
      <c r="AB226">
        <v>8</v>
      </c>
      <c r="AC226">
        <v>453071.0625</v>
      </c>
      <c r="AD226">
        <v>1194117.875</v>
      </c>
      <c r="AE226">
        <v>1647189</v>
      </c>
      <c r="AH226">
        <v>23192.650390625</v>
      </c>
      <c r="AI226">
        <v>7939474</v>
      </c>
      <c r="AJ226" t="s">
        <v>268</v>
      </c>
      <c r="AK226">
        <v>11082</v>
      </c>
      <c r="AL226">
        <v>23</v>
      </c>
      <c r="AM226">
        <v>0</v>
      </c>
      <c r="AN226">
        <v>25</v>
      </c>
      <c r="AO226">
        <v>0</v>
      </c>
      <c r="AP226">
        <v>27</v>
      </c>
      <c r="AQ226">
        <v>0</v>
      </c>
      <c r="AR226">
        <v>0</v>
      </c>
      <c r="AS226">
        <v>25</v>
      </c>
      <c r="AT226" t="b">
        <v>1</v>
      </c>
      <c r="AU226">
        <v>16</v>
      </c>
      <c r="AV226">
        <v>16</v>
      </c>
      <c r="AW226">
        <v>3</v>
      </c>
      <c r="AX226" t="b">
        <v>0</v>
      </c>
      <c r="AY226" t="b">
        <v>0</v>
      </c>
      <c r="AZ226" t="b">
        <v>1</v>
      </c>
      <c r="BA226" t="b">
        <v>1</v>
      </c>
      <c r="BB226" t="s">
        <v>271</v>
      </c>
      <c r="BC226" t="s">
        <v>271</v>
      </c>
      <c r="BD226" t="s">
        <v>268</v>
      </c>
      <c r="BE226" t="s">
        <v>1307</v>
      </c>
      <c r="BF226" t="s">
        <v>1308</v>
      </c>
      <c r="BG226" t="s">
        <v>1309</v>
      </c>
      <c r="BH226" t="s">
        <v>1310</v>
      </c>
      <c r="BI226" t="s">
        <v>1344</v>
      </c>
      <c r="BJ226" t="b">
        <v>1</v>
      </c>
      <c r="BK226" t="b">
        <v>1</v>
      </c>
      <c r="BL226" t="b">
        <v>1</v>
      </c>
      <c r="BM226" t="b">
        <v>0</v>
      </c>
      <c r="BN226" t="b">
        <v>0</v>
      </c>
      <c r="BO226" t="b">
        <v>0</v>
      </c>
      <c r="BP226">
        <v>3</v>
      </c>
      <c r="BQ226">
        <v>253</v>
      </c>
      <c r="BR226">
        <v>1</v>
      </c>
      <c r="BS226">
        <v>1</v>
      </c>
      <c r="BT226" t="b">
        <v>1</v>
      </c>
      <c r="BU226">
        <v>0</v>
      </c>
      <c r="BV226">
        <v>128</v>
      </c>
      <c r="BW226">
        <v>58609</v>
      </c>
      <c r="BX226">
        <v>2</v>
      </c>
      <c r="BY226" t="s">
        <v>271</v>
      </c>
      <c r="BZ226" t="s">
        <v>268</v>
      </c>
      <c r="CA226" t="s">
        <v>268</v>
      </c>
      <c r="CB226" t="s">
        <v>271</v>
      </c>
      <c r="CC226" t="s">
        <v>1312</v>
      </c>
      <c r="CD226" t="s">
        <v>1313</v>
      </c>
      <c r="CE226" t="s">
        <v>1314</v>
      </c>
      <c r="CF226" t="s">
        <v>1315</v>
      </c>
      <c r="CG226" t="str">
        <f t="shared" si="15"/>
        <v/>
      </c>
      <c r="CH226" t="str">
        <f t="shared" si="16"/>
        <v/>
      </c>
      <c r="CI226" t="str">
        <f t="shared" si="17"/>
        <v/>
      </c>
      <c r="CJ226" t="str">
        <f t="shared" si="18"/>
        <v/>
      </c>
      <c r="CK226" t="str">
        <f t="shared" si="19"/>
        <v/>
      </c>
    </row>
    <row r="227" spans="1:89">
      <c r="A227">
        <v>78009</v>
      </c>
      <c r="B227" t="s">
        <v>1331</v>
      </c>
      <c r="C227">
        <v>4.6804881095886204</v>
      </c>
      <c r="D227" t="s">
        <v>1338</v>
      </c>
      <c r="E227">
        <v>2007</v>
      </c>
      <c r="F227" t="s">
        <v>1320</v>
      </c>
      <c r="G227" t="s">
        <v>167</v>
      </c>
      <c r="H227">
        <v>98109</v>
      </c>
      <c r="I227" t="s">
        <v>1321</v>
      </c>
      <c r="J227" t="s">
        <v>1317</v>
      </c>
      <c r="K227" t="s">
        <v>1306</v>
      </c>
      <c r="L227">
        <v>234</v>
      </c>
      <c r="M227">
        <v>6</v>
      </c>
      <c r="N227">
        <v>1</v>
      </c>
      <c r="O227">
        <v>6</v>
      </c>
      <c r="P227">
        <v>0</v>
      </c>
      <c r="Q227">
        <v>206388</v>
      </c>
      <c r="R227">
        <v>192645</v>
      </c>
      <c r="S227">
        <v>40962</v>
      </c>
      <c r="T227">
        <v>0</v>
      </c>
      <c r="U227">
        <v>0</v>
      </c>
      <c r="V227">
        <v>58</v>
      </c>
      <c r="W227">
        <v>118</v>
      </c>
      <c r="X227">
        <v>58</v>
      </c>
      <c r="Y227">
        <v>4</v>
      </c>
      <c r="Z227" t="b">
        <v>1</v>
      </c>
      <c r="AA227" t="b">
        <v>1</v>
      </c>
      <c r="AB227">
        <v>8.25</v>
      </c>
      <c r="AC227">
        <v>714921.0625</v>
      </c>
      <c r="AD227">
        <v>950771.8125</v>
      </c>
      <c r="AE227">
        <v>1665692.875</v>
      </c>
      <c r="AJ227" t="s">
        <v>268</v>
      </c>
      <c r="AK227">
        <v>13743</v>
      </c>
      <c r="AL227">
        <v>23</v>
      </c>
      <c r="AM227">
        <v>0</v>
      </c>
      <c r="AN227">
        <v>32</v>
      </c>
      <c r="AO227">
        <v>0</v>
      </c>
      <c r="AP227">
        <v>18</v>
      </c>
      <c r="AQ227">
        <v>0</v>
      </c>
      <c r="AR227">
        <v>0</v>
      </c>
      <c r="AS227">
        <v>27</v>
      </c>
      <c r="AT227" t="b">
        <v>1</v>
      </c>
      <c r="AU227">
        <v>0</v>
      </c>
      <c r="AV227">
        <v>0</v>
      </c>
      <c r="AW227">
        <v>3</v>
      </c>
      <c r="AX227" t="b">
        <v>0</v>
      </c>
      <c r="AY227" t="b">
        <v>1</v>
      </c>
      <c r="AZ227" t="b">
        <v>1</v>
      </c>
      <c r="BA227" t="b">
        <v>1</v>
      </c>
      <c r="BB227" t="s">
        <v>268</v>
      </c>
      <c r="BC227" t="s">
        <v>271</v>
      </c>
      <c r="BD227" t="s">
        <v>268</v>
      </c>
      <c r="BE227" t="s">
        <v>1307</v>
      </c>
      <c r="BF227" t="s">
        <v>1308</v>
      </c>
      <c r="BG227" t="s">
        <v>1309</v>
      </c>
      <c r="BH227" t="s">
        <v>1336</v>
      </c>
      <c r="BI227" t="s">
        <v>1344</v>
      </c>
      <c r="BJ227" t="b">
        <v>1</v>
      </c>
      <c r="BK227" t="b">
        <v>1</v>
      </c>
      <c r="BL227" t="b">
        <v>1</v>
      </c>
      <c r="BM227" t="b">
        <v>0</v>
      </c>
      <c r="BN227" t="b">
        <v>0</v>
      </c>
      <c r="BO227" t="b">
        <v>0</v>
      </c>
      <c r="BP227">
        <v>2</v>
      </c>
      <c r="BQ227">
        <v>237</v>
      </c>
      <c r="BR227">
        <v>1</v>
      </c>
      <c r="BS227">
        <v>1</v>
      </c>
      <c r="BT227" t="b">
        <v>1</v>
      </c>
      <c r="BU227">
        <v>0</v>
      </c>
      <c r="BV227">
        <v>329</v>
      </c>
      <c r="BW227">
        <v>101370</v>
      </c>
      <c r="BX227">
        <v>3</v>
      </c>
      <c r="BY227" t="s">
        <v>271</v>
      </c>
      <c r="BZ227" t="s">
        <v>268</v>
      </c>
      <c r="CA227" t="s">
        <v>268</v>
      </c>
      <c r="CB227" t="s">
        <v>268</v>
      </c>
      <c r="CC227" t="s">
        <v>1312</v>
      </c>
      <c r="CD227" t="s">
        <v>1313</v>
      </c>
      <c r="CE227" t="s">
        <v>1333</v>
      </c>
      <c r="CF227" t="s">
        <v>1315</v>
      </c>
      <c r="CG227" t="str">
        <f t="shared" si="15"/>
        <v/>
      </c>
      <c r="CH227" t="str">
        <f t="shared" si="16"/>
        <v/>
      </c>
      <c r="CI227" t="str">
        <f t="shared" si="17"/>
        <v/>
      </c>
      <c r="CJ227" t="str">
        <f t="shared" si="18"/>
        <v/>
      </c>
      <c r="CK227" t="str">
        <f t="shared" si="19"/>
        <v/>
      </c>
    </row>
    <row r="228" spans="1:89">
      <c r="A228">
        <v>78010</v>
      </c>
      <c r="B228" t="s">
        <v>1371</v>
      </c>
      <c r="C228">
        <v>5.5314860343933097</v>
      </c>
      <c r="D228" t="s">
        <v>1334</v>
      </c>
      <c r="E228">
        <v>1972</v>
      </c>
      <c r="F228" t="s">
        <v>1320</v>
      </c>
      <c r="G228" t="s">
        <v>167</v>
      </c>
      <c r="H228">
        <v>98125</v>
      </c>
      <c r="I228" t="s">
        <v>1321</v>
      </c>
      <c r="J228" t="s">
        <v>1317</v>
      </c>
      <c r="K228" t="s">
        <v>1306</v>
      </c>
      <c r="L228">
        <v>198</v>
      </c>
      <c r="M228">
        <v>8</v>
      </c>
      <c r="N228">
        <v>0</v>
      </c>
      <c r="O228">
        <v>8</v>
      </c>
      <c r="P228">
        <v>0</v>
      </c>
      <c r="Q228">
        <v>104390</v>
      </c>
      <c r="R228">
        <v>104390</v>
      </c>
      <c r="S228">
        <v>22675</v>
      </c>
      <c r="T228">
        <v>0</v>
      </c>
      <c r="U228">
        <v>0</v>
      </c>
      <c r="V228">
        <v>0</v>
      </c>
      <c r="W228">
        <v>62</v>
      </c>
      <c r="X228">
        <v>136</v>
      </c>
      <c r="Y228">
        <v>0</v>
      </c>
      <c r="Z228" t="b">
        <v>0</v>
      </c>
      <c r="AA228" t="b">
        <v>1</v>
      </c>
      <c r="AB228">
        <v>8</v>
      </c>
      <c r="AE228">
        <v>1792581.375</v>
      </c>
      <c r="AJ228" t="s">
        <v>268</v>
      </c>
      <c r="AK228">
        <v>0</v>
      </c>
      <c r="AL228">
        <v>50</v>
      </c>
      <c r="AM228">
        <v>0</v>
      </c>
      <c r="AN228">
        <v>0</v>
      </c>
      <c r="AO228">
        <v>0</v>
      </c>
      <c r="AP228">
        <v>0</v>
      </c>
      <c r="AQ228">
        <v>0</v>
      </c>
      <c r="AR228">
        <v>0</v>
      </c>
      <c r="AS228">
        <v>50</v>
      </c>
      <c r="AT228" t="b">
        <v>0</v>
      </c>
      <c r="AU228">
        <v>4</v>
      </c>
      <c r="AV228">
        <v>5</v>
      </c>
      <c r="AW228">
        <v>2</v>
      </c>
      <c r="AX228" t="b">
        <v>0</v>
      </c>
      <c r="AY228" t="b">
        <v>0</v>
      </c>
      <c r="AZ228" t="b">
        <v>1</v>
      </c>
      <c r="BA228" t="b">
        <v>1</v>
      </c>
      <c r="BB228" t="s">
        <v>268</v>
      </c>
      <c r="BC228" t="s">
        <v>268</v>
      </c>
      <c r="BD228" t="s">
        <v>268</v>
      </c>
      <c r="BE228" t="s">
        <v>1307</v>
      </c>
      <c r="BF228" t="s">
        <v>1308</v>
      </c>
      <c r="BG228" t="s">
        <v>1309</v>
      </c>
      <c r="BH228" t="s">
        <v>1310</v>
      </c>
      <c r="BI228" t="s">
        <v>1344</v>
      </c>
      <c r="BJ228" t="b">
        <v>1</v>
      </c>
      <c r="BK228" t="b">
        <v>1</v>
      </c>
      <c r="BL228" t="b">
        <v>1</v>
      </c>
      <c r="BM228" t="b">
        <v>0</v>
      </c>
      <c r="BN228" t="b">
        <v>0</v>
      </c>
      <c r="BO228" t="b">
        <v>0</v>
      </c>
      <c r="BP228">
        <v>1</v>
      </c>
      <c r="BQ228">
        <v>2</v>
      </c>
      <c r="BR228">
        <v>1</v>
      </c>
      <c r="BS228">
        <v>1</v>
      </c>
      <c r="BT228" t="b">
        <v>1</v>
      </c>
      <c r="BU228">
        <v>10</v>
      </c>
      <c r="BV228">
        <v>60</v>
      </c>
      <c r="BW228">
        <v>25500</v>
      </c>
      <c r="BX228">
        <v>0</v>
      </c>
      <c r="BY228" t="s">
        <v>268</v>
      </c>
      <c r="BZ228" t="s">
        <v>268</v>
      </c>
      <c r="CA228" t="s">
        <v>268</v>
      </c>
      <c r="CB228" t="s">
        <v>271</v>
      </c>
      <c r="CC228" t="s">
        <v>1312</v>
      </c>
      <c r="CD228" t="s">
        <v>1373</v>
      </c>
      <c r="CE228" t="s">
        <v>1397</v>
      </c>
      <c r="CF228" t="s">
        <v>1374</v>
      </c>
      <c r="CG228" t="str">
        <f t="shared" si="15"/>
        <v/>
      </c>
      <c r="CH228" t="str">
        <f t="shared" si="16"/>
        <v/>
      </c>
      <c r="CI228" t="str">
        <f t="shared" si="17"/>
        <v/>
      </c>
      <c r="CJ228" t="str">
        <f t="shared" si="18"/>
        <v/>
      </c>
      <c r="CK228" t="str">
        <f t="shared" si="19"/>
        <v/>
      </c>
    </row>
    <row r="229" spans="1:89">
      <c r="A229">
        <v>78011</v>
      </c>
      <c r="B229" t="s">
        <v>1371</v>
      </c>
      <c r="C229">
        <v>4.6804881095886204</v>
      </c>
      <c r="D229" t="s">
        <v>1354</v>
      </c>
      <c r="E229">
        <v>1908</v>
      </c>
      <c r="F229" t="s">
        <v>1320</v>
      </c>
      <c r="G229" t="s">
        <v>167</v>
      </c>
      <c r="H229">
        <v>98104</v>
      </c>
      <c r="I229" t="s">
        <v>1321</v>
      </c>
      <c r="K229" t="s">
        <v>1306</v>
      </c>
      <c r="L229">
        <v>234</v>
      </c>
      <c r="M229">
        <v>10</v>
      </c>
      <c r="N229">
        <v>2</v>
      </c>
      <c r="O229">
        <v>11</v>
      </c>
      <c r="P229">
        <v>2</v>
      </c>
      <c r="Q229">
        <v>161208</v>
      </c>
      <c r="R229">
        <v>156011</v>
      </c>
      <c r="S229">
        <v>59862</v>
      </c>
      <c r="T229">
        <v>0</v>
      </c>
      <c r="U229">
        <v>0</v>
      </c>
      <c r="V229">
        <v>0</v>
      </c>
      <c r="W229">
        <v>111</v>
      </c>
      <c r="X229">
        <v>123</v>
      </c>
      <c r="Y229">
        <v>0.85000002384185802</v>
      </c>
      <c r="Z229" t="b">
        <v>1</v>
      </c>
      <c r="AA229" t="b">
        <v>1</v>
      </c>
      <c r="AB229">
        <v>10.25</v>
      </c>
      <c r="AE229">
        <v>1128713.625</v>
      </c>
      <c r="AI229">
        <v>3851171</v>
      </c>
      <c r="AJ229" t="s">
        <v>268</v>
      </c>
      <c r="AK229">
        <v>5197</v>
      </c>
      <c r="AL229">
        <v>38</v>
      </c>
      <c r="AM229">
        <v>0</v>
      </c>
      <c r="AN229">
        <v>41</v>
      </c>
      <c r="AO229">
        <v>0</v>
      </c>
      <c r="AP229">
        <v>14</v>
      </c>
      <c r="AQ229">
        <v>0</v>
      </c>
      <c r="AR229">
        <v>0</v>
      </c>
      <c r="AS229">
        <v>7</v>
      </c>
      <c r="AT229" t="b">
        <v>0</v>
      </c>
      <c r="AU229">
        <v>6</v>
      </c>
      <c r="AV229">
        <v>6</v>
      </c>
      <c r="AW229">
        <v>2</v>
      </c>
      <c r="AX229" t="b">
        <v>1</v>
      </c>
      <c r="AY229" t="b">
        <v>0</v>
      </c>
      <c r="AZ229" t="b">
        <v>0</v>
      </c>
      <c r="BA229" t="b">
        <v>1</v>
      </c>
      <c r="BB229" t="s">
        <v>268</v>
      </c>
      <c r="BC229" t="s">
        <v>268</v>
      </c>
      <c r="BD229" t="s">
        <v>268</v>
      </c>
      <c r="BE229" t="s">
        <v>1345</v>
      </c>
      <c r="BF229" t="s">
        <v>1444</v>
      </c>
      <c r="BG229" t="s">
        <v>1346</v>
      </c>
      <c r="BH229" t="s">
        <v>1310</v>
      </c>
      <c r="BI229" t="s">
        <v>1344</v>
      </c>
      <c r="BJ229" t="b">
        <v>0</v>
      </c>
      <c r="BK229" t="b">
        <v>1</v>
      </c>
      <c r="BL229" t="b">
        <v>0</v>
      </c>
      <c r="BM229" t="b">
        <v>0</v>
      </c>
      <c r="BN229" t="b">
        <v>1</v>
      </c>
      <c r="BO229" t="b">
        <v>0</v>
      </c>
      <c r="BP229">
        <v>1</v>
      </c>
      <c r="BQ229">
        <v>1</v>
      </c>
      <c r="BR229">
        <v>0</v>
      </c>
      <c r="BS229">
        <v>0</v>
      </c>
      <c r="BT229" t="b">
        <v>0</v>
      </c>
      <c r="BV229">
        <v>0</v>
      </c>
      <c r="BW229">
        <v>0</v>
      </c>
      <c r="BX229">
        <v>0</v>
      </c>
      <c r="BY229" t="s">
        <v>268</v>
      </c>
      <c r="BZ229" t="s">
        <v>268</v>
      </c>
      <c r="CA229" t="s">
        <v>268</v>
      </c>
      <c r="CB229" t="s">
        <v>268</v>
      </c>
      <c r="CC229" t="s">
        <v>1387</v>
      </c>
      <c r="CD229" t="s">
        <v>1373</v>
      </c>
      <c r="CE229" t="s">
        <v>1397</v>
      </c>
      <c r="CF229" t="s">
        <v>1435</v>
      </c>
      <c r="CG229" t="str">
        <f t="shared" si="15"/>
        <v/>
      </c>
      <c r="CH229" t="str">
        <f t="shared" si="16"/>
        <v/>
      </c>
      <c r="CI229" t="str">
        <f t="shared" si="17"/>
        <v/>
      </c>
      <c r="CJ229" t="str">
        <f t="shared" si="18"/>
        <v/>
      </c>
      <c r="CK229" t="str">
        <f t="shared" si="19"/>
        <v/>
      </c>
    </row>
    <row r="230" spans="1:89">
      <c r="A230">
        <v>78012</v>
      </c>
      <c r="B230" t="s">
        <v>1371</v>
      </c>
      <c r="C230">
        <v>5.2655491828918501</v>
      </c>
      <c r="D230" t="s">
        <v>1338</v>
      </c>
      <c r="E230">
        <v>2005</v>
      </c>
      <c r="F230" t="s">
        <v>1320</v>
      </c>
      <c r="G230" t="s">
        <v>167</v>
      </c>
      <c r="H230">
        <v>98144</v>
      </c>
      <c r="I230" t="s">
        <v>1321</v>
      </c>
      <c r="J230" t="s">
        <v>1317</v>
      </c>
      <c r="K230" t="s">
        <v>1306</v>
      </c>
      <c r="L230">
        <v>208</v>
      </c>
      <c r="M230">
        <v>6.5</v>
      </c>
      <c r="N230">
        <v>0.5</v>
      </c>
      <c r="O230">
        <v>7</v>
      </c>
      <c r="P230">
        <v>0</v>
      </c>
      <c r="Q230">
        <v>180897</v>
      </c>
      <c r="R230">
        <v>173937</v>
      </c>
      <c r="S230">
        <v>27230</v>
      </c>
      <c r="T230">
        <v>0</v>
      </c>
      <c r="U230">
        <v>0</v>
      </c>
      <c r="V230">
        <v>93</v>
      </c>
      <c r="W230">
        <v>115</v>
      </c>
      <c r="X230">
        <v>0</v>
      </c>
      <c r="Y230">
        <v>5</v>
      </c>
      <c r="Z230" t="b">
        <v>1</v>
      </c>
      <c r="AA230" t="b">
        <v>1</v>
      </c>
      <c r="AB230">
        <v>8</v>
      </c>
      <c r="AC230">
        <v>374569.9375</v>
      </c>
      <c r="AD230">
        <v>1063451.375</v>
      </c>
      <c r="AE230">
        <v>1438021.25</v>
      </c>
      <c r="AJ230" t="s">
        <v>268</v>
      </c>
      <c r="AK230">
        <v>6960</v>
      </c>
      <c r="AL230">
        <v>25</v>
      </c>
      <c r="AM230">
        <v>0</v>
      </c>
      <c r="AN230">
        <v>19</v>
      </c>
      <c r="AO230">
        <v>0</v>
      </c>
      <c r="AP230">
        <v>34</v>
      </c>
      <c r="AQ230">
        <v>0</v>
      </c>
      <c r="AR230">
        <v>0</v>
      </c>
      <c r="AS230">
        <v>22</v>
      </c>
      <c r="AT230" t="b">
        <v>1</v>
      </c>
      <c r="AU230">
        <v>14</v>
      </c>
      <c r="AV230">
        <v>14</v>
      </c>
      <c r="AW230">
        <v>2</v>
      </c>
      <c r="AX230" t="b">
        <v>0</v>
      </c>
      <c r="AY230" t="b">
        <v>0</v>
      </c>
      <c r="AZ230" t="b">
        <v>1</v>
      </c>
      <c r="BA230" t="b">
        <v>1</v>
      </c>
      <c r="BB230" t="s">
        <v>268</v>
      </c>
      <c r="BC230" t="s">
        <v>271</v>
      </c>
      <c r="BD230" t="s">
        <v>268</v>
      </c>
      <c r="BE230" t="s">
        <v>1307</v>
      </c>
      <c r="BF230" t="s">
        <v>1308</v>
      </c>
      <c r="BG230" t="s">
        <v>1309</v>
      </c>
      <c r="BH230" t="s">
        <v>1336</v>
      </c>
      <c r="BI230" t="s">
        <v>1344</v>
      </c>
      <c r="BJ230" t="b">
        <v>1</v>
      </c>
      <c r="BK230" t="b">
        <v>1</v>
      </c>
      <c r="BL230" t="b">
        <v>1</v>
      </c>
      <c r="BM230" t="b">
        <v>0</v>
      </c>
      <c r="BN230" t="b">
        <v>0</v>
      </c>
      <c r="BO230" t="b">
        <v>0</v>
      </c>
      <c r="BP230">
        <v>1</v>
      </c>
      <c r="BQ230">
        <v>209</v>
      </c>
      <c r="BR230">
        <v>1</v>
      </c>
      <c r="BS230">
        <v>2</v>
      </c>
      <c r="BT230" t="b">
        <v>1</v>
      </c>
      <c r="BU230">
        <v>10</v>
      </c>
      <c r="BV230">
        <v>77</v>
      </c>
      <c r="BW230">
        <v>31714</v>
      </c>
      <c r="BX230">
        <v>1</v>
      </c>
      <c r="BY230" t="s">
        <v>271</v>
      </c>
      <c r="BZ230" t="s">
        <v>268</v>
      </c>
      <c r="CA230" t="s">
        <v>268</v>
      </c>
      <c r="CB230" t="s">
        <v>271</v>
      </c>
      <c r="CC230" t="s">
        <v>1319</v>
      </c>
      <c r="CD230" t="s">
        <v>1313</v>
      </c>
      <c r="CE230" t="s">
        <v>1333</v>
      </c>
      <c r="CF230" t="s">
        <v>1315</v>
      </c>
      <c r="CG230" t="str">
        <f t="shared" si="15"/>
        <v/>
      </c>
      <c r="CH230" t="str">
        <f t="shared" si="16"/>
        <v/>
      </c>
      <c r="CI230" t="str">
        <f t="shared" si="17"/>
        <v/>
      </c>
      <c r="CJ230" t="str">
        <f t="shared" si="18"/>
        <v/>
      </c>
      <c r="CK230" t="str">
        <f t="shared" si="19"/>
        <v/>
      </c>
    </row>
    <row r="231" spans="1:89">
      <c r="A231">
        <v>80061</v>
      </c>
      <c r="B231" t="s">
        <v>1302</v>
      </c>
      <c r="C231">
        <v>85.864128112792997</v>
      </c>
      <c r="D231" t="s">
        <v>1324</v>
      </c>
      <c r="E231">
        <v>1968</v>
      </c>
      <c r="F231" t="s">
        <v>1349</v>
      </c>
      <c r="G231" t="s">
        <v>167</v>
      </c>
      <c r="H231">
        <v>98203</v>
      </c>
      <c r="I231" t="s">
        <v>1329</v>
      </c>
      <c r="K231" t="s">
        <v>1306</v>
      </c>
      <c r="L231">
        <v>24</v>
      </c>
      <c r="M231">
        <v>3</v>
      </c>
      <c r="N231">
        <v>0</v>
      </c>
      <c r="O231">
        <v>3</v>
      </c>
      <c r="P231">
        <v>0</v>
      </c>
      <c r="Q231">
        <v>14106</v>
      </c>
      <c r="R231">
        <v>14106</v>
      </c>
      <c r="S231">
        <v>200</v>
      </c>
      <c r="T231">
        <v>0</v>
      </c>
      <c r="U231">
        <v>0</v>
      </c>
      <c r="V231">
        <v>9</v>
      </c>
      <c r="W231">
        <v>15</v>
      </c>
      <c r="X231">
        <v>0</v>
      </c>
      <c r="Y231">
        <v>4</v>
      </c>
      <c r="Z231" t="b">
        <v>0</v>
      </c>
      <c r="AA231" t="b">
        <v>1</v>
      </c>
      <c r="AB231">
        <v>7.6999998092651403</v>
      </c>
      <c r="AD231">
        <v>249940.296875</v>
      </c>
      <c r="AE231">
        <v>249940.296875</v>
      </c>
      <c r="AI231">
        <v>852796.3125</v>
      </c>
      <c r="AJ231" t="s">
        <v>268</v>
      </c>
      <c r="AK231">
        <v>0</v>
      </c>
      <c r="AL231">
        <v>0</v>
      </c>
      <c r="AM231">
        <v>0</v>
      </c>
      <c r="AN231">
        <v>70</v>
      </c>
      <c r="AO231">
        <v>0</v>
      </c>
      <c r="AP231">
        <v>30</v>
      </c>
      <c r="AQ231">
        <v>0</v>
      </c>
      <c r="AR231">
        <v>0</v>
      </c>
      <c r="AS231">
        <v>0</v>
      </c>
      <c r="AT231" t="b">
        <v>1</v>
      </c>
      <c r="AU231">
        <v>3</v>
      </c>
      <c r="AV231">
        <v>3</v>
      </c>
      <c r="AW231">
        <v>0</v>
      </c>
      <c r="AX231" t="b">
        <v>0</v>
      </c>
      <c r="AY231" t="b">
        <v>0</v>
      </c>
      <c r="AZ231" t="b">
        <v>0</v>
      </c>
      <c r="BA231" t="b">
        <v>0</v>
      </c>
      <c r="BB231" t="s">
        <v>268</v>
      </c>
      <c r="BC231" t="s">
        <v>268</v>
      </c>
      <c r="BD231" t="s">
        <v>268</v>
      </c>
      <c r="BE231" t="s">
        <v>1307</v>
      </c>
      <c r="BF231" t="s">
        <v>1308</v>
      </c>
      <c r="BG231" t="s">
        <v>1309</v>
      </c>
      <c r="BH231" t="s">
        <v>1310</v>
      </c>
      <c r="BI231" t="s">
        <v>1322</v>
      </c>
      <c r="BJ231" t="b">
        <v>0</v>
      </c>
      <c r="BK231" t="b">
        <v>1</v>
      </c>
      <c r="BL231" t="b">
        <v>0</v>
      </c>
      <c r="BM231" t="b">
        <v>0</v>
      </c>
      <c r="BN231" t="b">
        <v>0</v>
      </c>
      <c r="BO231" t="b">
        <v>0</v>
      </c>
      <c r="BP231">
        <v>1</v>
      </c>
      <c r="BQ231">
        <v>24</v>
      </c>
      <c r="BR231">
        <v>0</v>
      </c>
      <c r="BS231">
        <v>0</v>
      </c>
      <c r="BT231" t="b">
        <v>1</v>
      </c>
      <c r="BU231">
        <v>0</v>
      </c>
      <c r="BV231">
        <v>25</v>
      </c>
      <c r="BW231">
        <v>10625</v>
      </c>
      <c r="BX231">
        <v>0</v>
      </c>
      <c r="BY231" t="s">
        <v>268</v>
      </c>
      <c r="BZ231" t="s">
        <v>268</v>
      </c>
      <c r="CA231" t="s">
        <v>268</v>
      </c>
      <c r="CB231" t="s">
        <v>271</v>
      </c>
      <c r="CC231" t="s">
        <v>1319</v>
      </c>
      <c r="CD231" t="s">
        <v>1313</v>
      </c>
      <c r="CE231" t="s">
        <v>1314</v>
      </c>
      <c r="CF231" t="s">
        <v>1315</v>
      </c>
      <c r="CG231">
        <f t="shared" si="15"/>
        <v>85.864128112792997</v>
      </c>
      <c r="CH231">
        <f t="shared" si="16"/>
        <v>14106</v>
      </c>
      <c r="CI231">
        <f t="shared" si="17"/>
        <v>3</v>
      </c>
      <c r="CJ231">
        <f t="shared" si="18"/>
        <v>1211199.3911590581</v>
      </c>
      <c r="CK231">
        <f t="shared" si="19"/>
        <v>257.59238433837902</v>
      </c>
    </row>
    <row r="232" spans="1:89">
      <c r="A232">
        <v>80073</v>
      </c>
      <c r="B232" t="s">
        <v>1302</v>
      </c>
      <c r="C232">
        <v>128.79620361328099</v>
      </c>
      <c r="D232" t="s">
        <v>1324</v>
      </c>
      <c r="E232">
        <v>1968</v>
      </c>
      <c r="F232" t="s">
        <v>1349</v>
      </c>
      <c r="G232" t="s">
        <v>167</v>
      </c>
      <c r="H232">
        <v>98201</v>
      </c>
      <c r="I232" t="s">
        <v>1329</v>
      </c>
      <c r="K232" t="s">
        <v>1306</v>
      </c>
      <c r="L232">
        <v>16</v>
      </c>
      <c r="M232">
        <v>3</v>
      </c>
      <c r="N232">
        <v>0</v>
      </c>
      <c r="O232">
        <v>3</v>
      </c>
      <c r="P232">
        <v>2</v>
      </c>
      <c r="Q232">
        <v>12960</v>
      </c>
      <c r="R232">
        <v>12960</v>
      </c>
      <c r="S232">
        <v>0</v>
      </c>
      <c r="T232">
        <v>0</v>
      </c>
      <c r="U232">
        <v>0</v>
      </c>
      <c r="V232">
        <v>16</v>
      </c>
      <c r="W232">
        <v>0</v>
      </c>
      <c r="X232">
        <v>0</v>
      </c>
      <c r="Y232">
        <v>13</v>
      </c>
      <c r="Z232" t="b">
        <v>0</v>
      </c>
      <c r="AA232" t="b">
        <v>0</v>
      </c>
      <c r="AB232">
        <v>7.75</v>
      </c>
      <c r="AD232">
        <v>147000.921875</v>
      </c>
      <c r="AE232">
        <v>147000.921875</v>
      </c>
      <c r="AI232">
        <v>501567.15625</v>
      </c>
      <c r="AJ232" t="s">
        <v>268</v>
      </c>
      <c r="AK232">
        <v>0</v>
      </c>
      <c r="AL232">
        <v>18</v>
      </c>
      <c r="AM232">
        <v>0</v>
      </c>
      <c r="AN232">
        <v>28</v>
      </c>
      <c r="AO232">
        <v>0</v>
      </c>
      <c r="AP232">
        <v>28</v>
      </c>
      <c r="AQ232">
        <v>0</v>
      </c>
      <c r="AR232">
        <v>0</v>
      </c>
      <c r="AS232">
        <v>26</v>
      </c>
      <c r="AT232" t="b">
        <v>1</v>
      </c>
      <c r="AU232">
        <v>0</v>
      </c>
      <c r="AV232">
        <v>0</v>
      </c>
      <c r="AW232">
        <v>0</v>
      </c>
      <c r="AX232" t="b">
        <v>0</v>
      </c>
      <c r="AY232" t="b">
        <v>0</v>
      </c>
      <c r="AZ232" t="b">
        <v>0</v>
      </c>
      <c r="BA232" t="b">
        <v>0</v>
      </c>
      <c r="BB232" t="s">
        <v>268</v>
      </c>
      <c r="BC232" t="s">
        <v>268</v>
      </c>
      <c r="BD232" t="s">
        <v>268</v>
      </c>
      <c r="BE232" t="s">
        <v>1307</v>
      </c>
      <c r="BF232" t="s">
        <v>1308</v>
      </c>
      <c r="BG232" t="s">
        <v>1309</v>
      </c>
      <c r="BH232" t="s">
        <v>1310</v>
      </c>
      <c r="BI232" t="s">
        <v>1311</v>
      </c>
      <c r="BJ232" t="b">
        <v>0</v>
      </c>
      <c r="BK232" t="b">
        <v>1</v>
      </c>
      <c r="BL232" t="b">
        <v>0</v>
      </c>
      <c r="BM232" t="b">
        <v>0</v>
      </c>
      <c r="BN232" t="b">
        <v>0</v>
      </c>
      <c r="BO232" t="b">
        <v>0</v>
      </c>
      <c r="BP232">
        <v>1</v>
      </c>
      <c r="BQ232">
        <v>17</v>
      </c>
      <c r="BR232">
        <v>0</v>
      </c>
      <c r="BS232">
        <v>0</v>
      </c>
      <c r="BT232" t="b">
        <v>1</v>
      </c>
      <c r="BU232">
        <v>0</v>
      </c>
      <c r="BV232">
        <v>16</v>
      </c>
      <c r="BW232">
        <v>6306</v>
      </c>
      <c r="BX232">
        <v>1</v>
      </c>
      <c r="BY232" t="s">
        <v>268</v>
      </c>
      <c r="BZ232" t="s">
        <v>271</v>
      </c>
      <c r="CA232" t="s">
        <v>268</v>
      </c>
      <c r="CB232" t="s">
        <v>271</v>
      </c>
      <c r="CC232" t="s">
        <v>1319</v>
      </c>
      <c r="CD232" t="s">
        <v>1313</v>
      </c>
      <c r="CE232" t="s">
        <v>1323</v>
      </c>
      <c r="CF232" t="s">
        <v>1315</v>
      </c>
      <c r="CG232">
        <f t="shared" si="15"/>
        <v>128.79620361328099</v>
      </c>
      <c r="CH232">
        <f t="shared" si="16"/>
        <v>12960</v>
      </c>
      <c r="CI232">
        <f t="shared" si="17"/>
        <v>3</v>
      </c>
      <c r="CJ232">
        <f t="shared" si="18"/>
        <v>1669198.7988281217</v>
      </c>
      <c r="CK232">
        <f t="shared" si="19"/>
        <v>386.38861083984295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3:H29"/>
  <sheetViews>
    <sheetView workbookViewId="0">
      <selection activeCell="B5" sqref="B5"/>
    </sheetView>
  </sheetViews>
  <sheetFormatPr defaultRowHeight="12.75"/>
  <cols>
    <col min="3" max="3" width="10.140625" bestFit="1" customWidth="1"/>
    <col min="6" max="6" width="15.28515625" bestFit="1" customWidth="1"/>
    <col min="7" max="7" width="15.85546875" bestFit="1" customWidth="1"/>
    <col min="8" max="8" width="14.7109375" customWidth="1"/>
  </cols>
  <sheetData>
    <row r="3" spans="1:8">
      <c r="A3" t="s">
        <v>307</v>
      </c>
    </row>
    <row r="4" spans="1:8">
      <c r="B4" t="s">
        <v>1735</v>
      </c>
    </row>
    <row r="6" spans="1:8">
      <c r="A6" s="589" t="s">
        <v>304</v>
      </c>
      <c r="B6" s="590" t="s">
        <v>1724</v>
      </c>
      <c r="C6" s="590" t="s">
        <v>1725</v>
      </c>
      <c r="D6" s="590" t="s">
        <v>1726</v>
      </c>
      <c r="E6" s="590" t="s">
        <v>1727</v>
      </c>
      <c r="F6" s="590" t="s">
        <v>1728</v>
      </c>
      <c r="G6" s="591" t="s">
        <v>1729</v>
      </c>
    </row>
    <row r="7" spans="1:8">
      <c r="A7" s="592">
        <v>2010</v>
      </c>
      <c r="B7" s="593" t="s">
        <v>306</v>
      </c>
      <c r="C7" s="593" t="s">
        <v>213</v>
      </c>
      <c r="D7" s="593" t="s">
        <v>1730</v>
      </c>
      <c r="E7" s="593" t="s">
        <v>1731</v>
      </c>
      <c r="F7" s="594">
        <v>501600.55912223249</v>
      </c>
      <c r="G7" s="595">
        <v>5.7260338569960822E-2</v>
      </c>
    </row>
    <row r="8" spans="1:8">
      <c r="A8" s="596">
        <v>2010</v>
      </c>
      <c r="B8" s="597" t="s">
        <v>306</v>
      </c>
      <c r="C8" s="597" t="s">
        <v>213</v>
      </c>
      <c r="D8" s="597" t="s">
        <v>1730</v>
      </c>
      <c r="E8" s="597" t="s">
        <v>1732</v>
      </c>
      <c r="F8" s="598">
        <v>31423341.944881309</v>
      </c>
      <c r="G8" s="599">
        <v>3.5871394532354799</v>
      </c>
    </row>
    <row r="9" spans="1:8">
      <c r="A9" s="600">
        <v>2010</v>
      </c>
      <c r="B9" s="601" t="s">
        <v>306</v>
      </c>
      <c r="C9" s="601" t="s">
        <v>213</v>
      </c>
      <c r="D9" s="601" t="s">
        <v>1730</v>
      </c>
      <c r="E9" s="601" t="s">
        <v>1733</v>
      </c>
      <c r="F9" s="602">
        <v>4219964.4518400002</v>
      </c>
      <c r="G9" s="603">
        <v>0.4817311018705368</v>
      </c>
    </row>
    <row r="10" spans="1:8">
      <c r="A10" s="596">
        <v>2010</v>
      </c>
      <c r="B10" s="597" t="s">
        <v>306</v>
      </c>
      <c r="C10" s="597" t="s">
        <v>213</v>
      </c>
      <c r="D10" s="597" t="s">
        <v>1730</v>
      </c>
      <c r="E10" s="597" t="s">
        <v>174</v>
      </c>
      <c r="F10" s="598">
        <v>32686560.831699654</v>
      </c>
      <c r="G10" s="599">
        <v>3.7313425596814795</v>
      </c>
    </row>
    <row r="11" spans="1:8">
      <c r="A11" s="592">
        <v>2011</v>
      </c>
      <c r="B11" s="593" t="s">
        <v>306</v>
      </c>
      <c r="C11" s="593" t="s">
        <v>213</v>
      </c>
      <c r="D11" s="593" t="s">
        <v>1730</v>
      </c>
      <c r="E11" s="593" t="s">
        <v>1731</v>
      </c>
      <c r="F11" s="594">
        <v>925664.03543306305</v>
      </c>
      <c r="G11" s="595">
        <v>0.10566941017515319</v>
      </c>
    </row>
    <row r="12" spans="1:8">
      <c r="A12" s="596">
        <v>2011</v>
      </c>
      <c r="B12" s="597" t="s">
        <v>306</v>
      </c>
      <c r="C12" s="597" t="s">
        <v>213</v>
      </c>
      <c r="D12" s="597" t="s">
        <v>1730</v>
      </c>
      <c r="E12" s="597" t="s">
        <v>1732</v>
      </c>
      <c r="F12" s="598">
        <v>32176856.711389404</v>
      </c>
      <c r="G12" s="599">
        <v>3.6731571527706421</v>
      </c>
    </row>
    <row r="13" spans="1:8">
      <c r="A13" s="600">
        <v>2011</v>
      </c>
      <c r="B13" s="601" t="s">
        <v>306</v>
      </c>
      <c r="C13" s="601" t="s">
        <v>213</v>
      </c>
      <c r="D13" s="601" t="s">
        <v>1730</v>
      </c>
      <c r="E13" s="601" t="s">
        <v>1733</v>
      </c>
      <c r="F13" s="602">
        <v>1466272.0972799999</v>
      </c>
      <c r="G13" s="603">
        <v>0.16738265752792358</v>
      </c>
    </row>
    <row r="14" spans="1:8">
      <c r="A14" s="596">
        <v>2011</v>
      </c>
      <c r="B14" s="597" t="s">
        <v>306</v>
      </c>
      <c r="C14" s="597" t="s">
        <v>213</v>
      </c>
      <c r="D14" s="597" t="s">
        <v>1730</v>
      </c>
      <c r="E14" s="597" t="s">
        <v>174</v>
      </c>
      <c r="F14" s="598">
        <v>33218052.496896528</v>
      </c>
      <c r="G14" s="599">
        <v>3.7920151224057008</v>
      </c>
    </row>
    <row r="15" spans="1:8">
      <c r="A15" s="592">
        <v>2012</v>
      </c>
      <c r="B15" s="593" t="s">
        <v>306</v>
      </c>
      <c r="C15" s="593" t="s">
        <v>213</v>
      </c>
      <c r="D15" s="593" t="s">
        <v>1730</v>
      </c>
      <c r="E15" s="593" t="s">
        <v>1731</v>
      </c>
      <c r="F15" s="594">
        <v>773762.70000000007</v>
      </c>
      <c r="G15" s="595">
        <v>8.832907566556969E-2</v>
      </c>
    </row>
    <row r="16" spans="1:8">
      <c r="A16" s="596">
        <v>2012</v>
      </c>
      <c r="B16" s="597" t="s">
        <v>306</v>
      </c>
      <c r="C16" s="597" t="s">
        <v>213</v>
      </c>
      <c r="D16" s="597" t="s">
        <v>1730</v>
      </c>
      <c r="E16" s="597" t="s">
        <v>1732</v>
      </c>
      <c r="F16" s="598">
        <v>23247024.939552914</v>
      </c>
      <c r="G16" s="599">
        <v>2.6537699680283069</v>
      </c>
      <c r="H16" s="92"/>
    </row>
    <row r="17" spans="1:8">
      <c r="A17" s="600">
        <v>2012</v>
      </c>
      <c r="B17" s="601" t="s">
        <v>306</v>
      </c>
      <c r="C17" s="601" t="s">
        <v>213</v>
      </c>
      <c r="D17" s="601" t="s">
        <v>1730</v>
      </c>
      <c r="E17" s="601" t="s">
        <v>1733</v>
      </c>
      <c r="F17" s="602">
        <v>2316618.6342378869</v>
      </c>
      <c r="G17" s="603">
        <v>0.2644541829067748</v>
      </c>
    </row>
    <row r="18" spans="1:8">
      <c r="A18" s="596">
        <v>2012</v>
      </c>
      <c r="B18" s="597" t="s">
        <v>306</v>
      </c>
      <c r="C18" s="597" t="s">
        <v>213</v>
      </c>
      <c r="D18" s="597" t="s">
        <v>1730</v>
      </c>
      <c r="E18" s="597" t="s">
        <v>174</v>
      </c>
      <c r="F18" s="598">
        <v>22311578.387475889</v>
      </c>
      <c r="G18" s="599">
        <v>2.5469838344754407</v>
      </c>
    </row>
    <row r="19" spans="1:8">
      <c r="A19" s="592">
        <v>2013</v>
      </c>
      <c r="B19" s="593" t="s">
        <v>306</v>
      </c>
      <c r="C19" s="593" t="s">
        <v>213</v>
      </c>
      <c r="D19" s="593" t="s">
        <v>1730</v>
      </c>
      <c r="E19" s="593" t="s">
        <v>1731</v>
      </c>
      <c r="F19" s="594">
        <v>791015.17022758001</v>
      </c>
      <c r="G19" s="595">
        <v>9.0298535552804537E-2</v>
      </c>
    </row>
    <row r="20" spans="1:8">
      <c r="A20" s="596">
        <v>2013</v>
      </c>
      <c r="B20" s="597" t="s">
        <v>306</v>
      </c>
      <c r="C20" s="597" t="s">
        <v>213</v>
      </c>
      <c r="D20" s="597" t="s">
        <v>1730</v>
      </c>
      <c r="E20" s="597" t="s">
        <v>1732</v>
      </c>
      <c r="F20" s="598">
        <v>18897309.790938906</v>
      </c>
      <c r="G20" s="599">
        <v>2.1572271475304774</v>
      </c>
    </row>
    <row r="21" spans="1:8">
      <c r="A21" s="600">
        <v>2013</v>
      </c>
      <c r="B21" s="601" t="s">
        <v>306</v>
      </c>
      <c r="C21" s="601" t="s">
        <v>213</v>
      </c>
      <c r="D21" s="601" t="s">
        <v>1730</v>
      </c>
      <c r="E21" s="601" t="s">
        <v>1733</v>
      </c>
      <c r="F21" s="602">
        <v>1116784.4392178105</v>
      </c>
      <c r="G21" s="603">
        <v>0.12748681072844192</v>
      </c>
    </row>
    <row r="22" spans="1:8">
      <c r="A22" s="596">
        <v>2013</v>
      </c>
      <c r="B22" s="597" t="s">
        <v>306</v>
      </c>
      <c r="C22" s="597" t="s">
        <v>213</v>
      </c>
      <c r="D22" s="597" t="s">
        <v>1730</v>
      </c>
      <c r="E22" s="597" t="s">
        <v>174</v>
      </c>
      <c r="F22" s="598">
        <v>21350049.112127624</v>
      </c>
      <c r="G22" s="599">
        <v>2.4372202204804125</v>
      </c>
    </row>
    <row r="25" spans="1:8">
      <c r="G25" t="s">
        <v>1587</v>
      </c>
      <c r="H25" t="s">
        <v>1734</v>
      </c>
    </row>
    <row r="26" spans="1:8">
      <c r="F26" s="593" t="s">
        <v>1731</v>
      </c>
      <c r="G26">
        <f>SUMIF($E$7:$E$22,F26,$G$7:$G$22)</f>
        <v>0.34155735996348824</v>
      </c>
      <c r="H26">
        <f>G26/4</f>
        <v>8.538933999087206E-2</v>
      </c>
    </row>
    <row r="27" spans="1:8">
      <c r="F27" s="597" t="s">
        <v>1732</v>
      </c>
      <c r="G27">
        <f t="shared" ref="G27:G29" si="0">SUMIF($E$7:$E$22,F27,$G$7:$G$22)</f>
        <v>12.071293721564906</v>
      </c>
      <c r="H27">
        <f t="shared" ref="H27:H29" si="1">G27/4</f>
        <v>3.0178234303912266</v>
      </c>
    </row>
    <row r="28" spans="1:8">
      <c r="F28" s="601" t="s">
        <v>1733</v>
      </c>
      <c r="G28">
        <f t="shared" si="0"/>
        <v>1.0410547530336771</v>
      </c>
      <c r="H28">
        <f t="shared" si="1"/>
        <v>0.26026368825841928</v>
      </c>
    </row>
    <row r="29" spans="1:8">
      <c r="F29" s="597" t="s">
        <v>174</v>
      </c>
      <c r="G29">
        <f t="shared" si="0"/>
        <v>12.507561737043034</v>
      </c>
      <c r="H29">
        <f t="shared" si="1"/>
        <v>3.1268904342607584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5" tint="0.79998168889431442"/>
  </sheetPr>
  <dimension ref="A1:AD556"/>
  <sheetViews>
    <sheetView workbookViewId="0">
      <selection activeCell="B17" sqref="B17"/>
    </sheetView>
  </sheetViews>
  <sheetFormatPr defaultRowHeight="12.75"/>
  <cols>
    <col min="1" max="1" width="93.5703125" style="27" bestFit="1" customWidth="1"/>
    <col min="2" max="10" width="9.140625" style="27"/>
    <col min="11" max="12" width="13" style="27" customWidth="1"/>
    <col min="13" max="19" width="9.140625" style="27"/>
    <col min="20" max="20" width="20.7109375" style="27" bestFit="1" customWidth="1"/>
    <col min="21" max="21" width="10" style="27" bestFit="1" customWidth="1"/>
    <col min="22" max="26" width="9.140625" style="27"/>
    <col min="27" max="27" width="13.85546875" style="27" bestFit="1" customWidth="1"/>
    <col min="28" max="28" width="13.5703125" style="27" bestFit="1" customWidth="1"/>
    <col min="29" max="29" width="10.42578125" style="27" bestFit="1" customWidth="1"/>
    <col min="30" max="30" width="9" style="27" bestFit="1" customWidth="1"/>
    <col min="31" max="256" width="9.140625" style="27"/>
    <col min="257" max="257" width="93.5703125" style="27" bestFit="1" customWidth="1"/>
    <col min="258" max="266" width="9.140625" style="27"/>
    <col min="267" max="268" width="13" style="27" customWidth="1"/>
    <col min="269" max="275" width="9.140625" style="27"/>
    <col min="276" max="276" width="20.7109375" style="27" bestFit="1" customWidth="1"/>
    <col min="277" max="277" width="10" style="27" bestFit="1" customWidth="1"/>
    <col min="278" max="282" width="9.140625" style="27"/>
    <col min="283" max="283" width="13.85546875" style="27" bestFit="1" customWidth="1"/>
    <col min="284" max="284" width="13.5703125" style="27" bestFit="1" customWidth="1"/>
    <col min="285" max="285" width="10.42578125" style="27" bestFit="1" customWidth="1"/>
    <col min="286" max="286" width="9" style="27" bestFit="1" customWidth="1"/>
    <col min="287" max="512" width="9.140625" style="27"/>
    <col min="513" max="513" width="93.5703125" style="27" bestFit="1" customWidth="1"/>
    <col min="514" max="522" width="9.140625" style="27"/>
    <col min="523" max="524" width="13" style="27" customWidth="1"/>
    <col min="525" max="531" width="9.140625" style="27"/>
    <col min="532" max="532" width="20.7109375" style="27" bestFit="1" customWidth="1"/>
    <col min="533" max="533" width="10" style="27" bestFit="1" customWidth="1"/>
    <col min="534" max="538" width="9.140625" style="27"/>
    <col min="539" max="539" width="13.85546875" style="27" bestFit="1" customWidth="1"/>
    <col min="540" max="540" width="13.5703125" style="27" bestFit="1" customWidth="1"/>
    <col min="541" max="541" width="10.42578125" style="27" bestFit="1" customWidth="1"/>
    <col min="542" max="542" width="9" style="27" bestFit="1" customWidth="1"/>
    <col min="543" max="768" width="9.140625" style="27"/>
    <col min="769" max="769" width="93.5703125" style="27" bestFit="1" customWidth="1"/>
    <col min="770" max="778" width="9.140625" style="27"/>
    <col min="779" max="780" width="13" style="27" customWidth="1"/>
    <col min="781" max="787" width="9.140625" style="27"/>
    <col min="788" max="788" width="20.7109375" style="27" bestFit="1" customWidth="1"/>
    <col min="789" max="789" width="10" style="27" bestFit="1" customWidth="1"/>
    <col min="790" max="794" width="9.140625" style="27"/>
    <col min="795" max="795" width="13.85546875" style="27" bestFit="1" customWidth="1"/>
    <col min="796" max="796" width="13.5703125" style="27" bestFit="1" customWidth="1"/>
    <col min="797" max="797" width="10.42578125" style="27" bestFit="1" customWidth="1"/>
    <col min="798" max="798" width="9" style="27" bestFit="1" customWidth="1"/>
    <col min="799" max="1024" width="9.140625" style="27"/>
    <col min="1025" max="1025" width="93.5703125" style="27" bestFit="1" customWidth="1"/>
    <col min="1026" max="1034" width="9.140625" style="27"/>
    <col min="1035" max="1036" width="13" style="27" customWidth="1"/>
    <col min="1037" max="1043" width="9.140625" style="27"/>
    <col min="1044" max="1044" width="20.7109375" style="27" bestFit="1" customWidth="1"/>
    <col min="1045" max="1045" width="10" style="27" bestFit="1" customWidth="1"/>
    <col min="1046" max="1050" width="9.140625" style="27"/>
    <col min="1051" max="1051" width="13.85546875" style="27" bestFit="1" customWidth="1"/>
    <col min="1052" max="1052" width="13.5703125" style="27" bestFit="1" customWidth="1"/>
    <col min="1053" max="1053" width="10.42578125" style="27" bestFit="1" customWidth="1"/>
    <col min="1054" max="1054" width="9" style="27" bestFit="1" customWidth="1"/>
    <col min="1055" max="1280" width="9.140625" style="27"/>
    <col min="1281" max="1281" width="93.5703125" style="27" bestFit="1" customWidth="1"/>
    <col min="1282" max="1290" width="9.140625" style="27"/>
    <col min="1291" max="1292" width="13" style="27" customWidth="1"/>
    <col min="1293" max="1299" width="9.140625" style="27"/>
    <col min="1300" max="1300" width="20.7109375" style="27" bestFit="1" customWidth="1"/>
    <col min="1301" max="1301" width="10" style="27" bestFit="1" customWidth="1"/>
    <col min="1302" max="1306" width="9.140625" style="27"/>
    <col min="1307" max="1307" width="13.85546875" style="27" bestFit="1" customWidth="1"/>
    <col min="1308" max="1308" width="13.5703125" style="27" bestFit="1" customWidth="1"/>
    <col min="1309" max="1309" width="10.42578125" style="27" bestFit="1" customWidth="1"/>
    <col min="1310" max="1310" width="9" style="27" bestFit="1" customWidth="1"/>
    <col min="1311" max="1536" width="9.140625" style="27"/>
    <col min="1537" max="1537" width="93.5703125" style="27" bestFit="1" customWidth="1"/>
    <col min="1538" max="1546" width="9.140625" style="27"/>
    <col min="1547" max="1548" width="13" style="27" customWidth="1"/>
    <col min="1549" max="1555" width="9.140625" style="27"/>
    <col min="1556" max="1556" width="20.7109375" style="27" bestFit="1" customWidth="1"/>
    <col min="1557" max="1557" width="10" style="27" bestFit="1" customWidth="1"/>
    <col min="1558" max="1562" width="9.140625" style="27"/>
    <col min="1563" max="1563" width="13.85546875" style="27" bestFit="1" customWidth="1"/>
    <col min="1564" max="1564" width="13.5703125" style="27" bestFit="1" customWidth="1"/>
    <col min="1565" max="1565" width="10.42578125" style="27" bestFit="1" customWidth="1"/>
    <col min="1566" max="1566" width="9" style="27" bestFit="1" customWidth="1"/>
    <col min="1567" max="1792" width="9.140625" style="27"/>
    <col min="1793" max="1793" width="93.5703125" style="27" bestFit="1" customWidth="1"/>
    <col min="1794" max="1802" width="9.140625" style="27"/>
    <col min="1803" max="1804" width="13" style="27" customWidth="1"/>
    <col min="1805" max="1811" width="9.140625" style="27"/>
    <col min="1812" max="1812" width="20.7109375" style="27" bestFit="1" customWidth="1"/>
    <col min="1813" max="1813" width="10" style="27" bestFit="1" customWidth="1"/>
    <col min="1814" max="1818" width="9.140625" style="27"/>
    <col min="1819" max="1819" width="13.85546875" style="27" bestFit="1" customWidth="1"/>
    <col min="1820" max="1820" width="13.5703125" style="27" bestFit="1" customWidth="1"/>
    <col min="1821" max="1821" width="10.42578125" style="27" bestFit="1" customWidth="1"/>
    <col min="1822" max="1822" width="9" style="27" bestFit="1" customWidth="1"/>
    <col min="1823" max="2048" width="9.140625" style="27"/>
    <col min="2049" max="2049" width="93.5703125" style="27" bestFit="1" customWidth="1"/>
    <col min="2050" max="2058" width="9.140625" style="27"/>
    <col min="2059" max="2060" width="13" style="27" customWidth="1"/>
    <col min="2061" max="2067" width="9.140625" style="27"/>
    <col min="2068" max="2068" width="20.7109375" style="27" bestFit="1" customWidth="1"/>
    <col min="2069" max="2069" width="10" style="27" bestFit="1" customWidth="1"/>
    <col min="2070" max="2074" width="9.140625" style="27"/>
    <col min="2075" max="2075" width="13.85546875" style="27" bestFit="1" customWidth="1"/>
    <col min="2076" max="2076" width="13.5703125" style="27" bestFit="1" customWidth="1"/>
    <col min="2077" max="2077" width="10.42578125" style="27" bestFit="1" customWidth="1"/>
    <col min="2078" max="2078" width="9" style="27" bestFit="1" customWidth="1"/>
    <col min="2079" max="2304" width="9.140625" style="27"/>
    <col min="2305" max="2305" width="93.5703125" style="27" bestFit="1" customWidth="1"/>
    <col min="2306" max="2314" width="9.140625" style="27"/>
    <col min="2315" max="2316" width="13" style="27" customWidth="1"/>
    <col min="2317" max="2323" width="9.140625" style="27"/>
    <col min="2324" max="2324" width="20.7109375" style="27" bestFit="1" customWidth="1"/>
    <col min="2325" max="2325" width="10" style="27" bestFit="1" customWidth="1"/>
    <col min="2326" max="2330" width="9.140625" style="27"/>
    <col min="2331" max="2331" width="13.85546875" style="27" bestFit="1" customWidth="1"/>
    <col min="2332" max="2332" width="13.5703125" style="27" bestFit="1" customWidth="1"/>
    <col min="2333" max="2333" width="10.42578125" style="27" bestFit="1" customWidth="1"/>
    <col min="2334" max="2334" width="9" style="27" bestFit="1" customWidth="1"/>
    <col min="2335" max="2560" width="9.140625" style="27"/>
    <col min="2561" max="2561" width="93.5703125" style="27" bestFit="1" customWidth="1"/>
    <col min="2562" max="2570" width="9.140625" style="27"/>
    <col min="2571" max="2572" width="13" style="27" customWidth="1"/>
    <col min="2573" max="2579" width="9.140625" style="27"/>
    <col min="2580" max="2580" width="20.7109375" style="27" bestFit="1" customWidth="1"/>
    <col min="2581" max="2581" width="10" style="27" bestFit="1" customWidth="1"/>
    <col min="2582" max="2586" width="9.140625" style="27"/>
    <col min="2587" max="2587" width="13.85546875" style="27" bestFit="1" customWidth="1"/>
    <col min="2588" max="2588" width="13.5703125" style="27" bestFit="1" customWidth="1"/>
    <col min="2589" max="2589" width="10.42578125" style="27" bestFit="1" customWidth="1"/>
    <col min="2590" max="2590" width="9" style="27" bestFit="1" customWidth="1"/>
    <col min="2591" max="2816" width="9.140625" style="27"/>
    <col min="2817" max="2817" width="93.5703125" style="27" bestFit="1" customWidth="1"/>
    <col min="2818" max="2826" width="9.140625" style="27"/>
    <col min="2827" max="2828" width="13" style="27" customWidth="1"/>
    <col min="2829" max="2835" width="9.140625" style="27"/>
    <col min="2836" max="2836" width="20.7109375" style="27" bestFit="1" customWidth="1"/>
    <col min="2837" max="2837" width="10" style="27" bestFit="1" customWidth="1"/>
    <col min="2838" max="2842" width="9.140625" style="27"/>
    <col min="2843" max="2843" width="13.85546875" style="27" bestFit="1" customWidth="1"/>
    <col min="2844" max="2844" width="13.5703125" style="27" bestFit="1" customWidth="1"/>
    <col min="2845" max="2845" width="10.42578125" style="27" bestFit="1" customWidth="1"/>
    <col min="2846" max="2846" width="9" style="27" bestFit="1" customWidth="1"/>
    <col min="2847" max="3072" width="9.140625" style="27"/>
    <col min="3073" max="3073" width="93.5703125" style="27" bestFit="1" customWidth="1"/>
    <col min="3074" max="3082" width="9.140625" style="27"/>
    <col min="3083" max="3084" width="13" style="27" customWidth="1"/>
    <col min="3085" max="3091" width="9.140625" style="27"/>
    <col min="3092" max="3092" width="20.7109375" style="27" bestFit="1" customWidth="1"/>
    <col min="3093" max="3093" width="10" style="27" bestFit="1" customWidth="1"/>
    <col min="3094" max="3098" width="9.140625" style="27"/>
    <col min="3099" max="3099" width="13.85546875" style="27" bestFit="1" customWidth="1"/>
    <col min="3100" max="3100" width="13.5703125" style="27" bestFit="1" customWidth="1"/>
    <col min="3101" max="3101" width="10.42578125" style="27" bestFit="1" customWidth="1"/>
    <col min="3102" max="3102" width="9" style="27" bestFit="1" customWidth="1"/>
    <col min="3103" max="3328" width="9.140625" style="27"/>
    <col min="3329" max="3329" width="93.5703125" style="27" bestFit="1" customWidth="1"/>
    <col min="3330" max="3338" width="9.140625" style="27"/>
    <col min="3339" max="3340" width="13" style="27" customWidth="1"/>
    <col min="3341" max="3347" width="9.140625" style="27"/>
    <col min="3348" max="3348" width="20.7109375" style="27" bestFit="1" customWidth="1"/>
    <col min="3349" max="3349" width="10" style="27" bestFit="1" customWidth="1"/>
    <col min="3350" max="3354" width="9.140625" style="27"/>
    <col min="3355" max="3355" width="13.85546875" style="27" bestFit="1" customWidth="1"/>
    <col min="3356" max="3356" width="13.5703125" style="27" bestFit="1" customWidth="1"/>
    <col min="3357" max="3357" width="10.42578125" style="27" bestFit="1" customWidth="1"/>
    <col min="3358" max="3358" width="9" style="27" bestFit="1" customWidth="1"/>
    <col min="3359" max="3584" width="9.140625" style="27"/>
    <col min="3585" max="3585" width="93.5703125" style="27" bestFit="1" customWidth="1"/>
    <col min="3586" max="3594" width="9.140625" style="27"/>
    <col min="3595" max="3596" width="13" style="27" customWidth="1"/>
    <col min="3597" max="3603" width="9.140625" style="27"/>
    <col min="3604" max="3604" width="20.7109375" style="27" bestFit="1" customWidth="1"/>
    <col min="3605" max="3605" width="10" style="27" bestFit="1" customWidth="1"/>
    <col min="3606" max="3610" width="9.140625" style="27"/>
    <col min="3611" max="3611" width="13.85546875" style="27" bestFit="1" customWidth="1"/>
    <col min="3612" max="3612" width="13.5703125" style="27" bestFit="1" customWidth="1"/>
    <col min="3613" max="3613" width="10.42578125" style="27" bestFit="1" customWidth="1"/>
    <col min="3614" max="3614" width="9" style="27" bestFit="1" customWidth="1"/>
    <col min="3615" max="3840" width="9.140625" style="27"/>
    <col min="3841" max="3841" width="93.5703125" style="27" bestFit="1" customWidth="1"/>
    <col min="3842" max="3850" width="9.140625" style="27"/>
    <col min="3851" max="3852" width="13" style="27" customWidth="1"/>
    <col min="3853" max="3859" width="9.140625" style="27"/>
    <col min="3860" max="3860" width="20.7109375" style="27" bestFit="1" customWidth="1"/>
    <col min="3861" max="3861" width="10" style="27" bestFit="1" customWidth="1"/>
    <col min="3862" max="3866" width="9.140625" style="27"/>
    <col min="3867" max="3867" width="13.85546875" style="27" bestFit="1" customWidth="1"/>
    <col min="3868" max="3868" width="13.5703125" style="27" bestFit="1" customWidth="1"/>
    <col min="3869" max="3869" width="10.42578125" style="27" bestFit="1" customWidth="1"/>
    <col min="3870" max="3870" width="9" style="27" bestFit="1" customWidth="1"/>
    <col min="3871" max="4096" width="9.140625" style="27"/>
    <col min="4097" max="4097" width="93.5703125" style="27" bestFit="1" customWidth="1"/>
    <col min="4098" max="4106" width="9.140625" style="27"/>
    <col min="4107" max="4108" width="13" style="27" customWidth="1"/>
    <col min="4109" max="4115" width="9.140625" style="27"/>
    <col min="4116" max="4116" width="20.7109375" style="27" bestFit="1" customWidth="1"/>
    <col min="4117" max="4117" width="10" style="27" bestFit="1" customWidth="1"/>
    <col min="4118" max="4122" width="9.140625" style="27"/>
    <col min="4123" max="4123" width="13.85546875" style="27" bestFit="1" customWidth="1"/>
    <col min="4124" max="4124" width="13.5703125" style="27" bestFit="1" customWidth="1"/>
    <col min="4125" max="4125" width="10.42578125" style="27" bestFit="1" customWidth="1"/>
    <col min="4126" max="4126" width="9" style="27" bestFit="1" customWidth="1"/>
    <col min="4127" max="4352" width="9.140625" style="27"/>
    <col min="4353" max="4353" width="93.5703125" style="27" bestFit="1" customWidth="1"/>
    <col min="4354" max="4362" width="9.140625" style="27"/>
    <col min="4363" max="4364" width="13" style="27" customWidth="1"/>
    <col min="4365" max="4371" width="9.140625" style="27"/>
    <col min="4372" max="4372" width="20.7109375" style="27" bestFit="1" customWidth="1"/>
    <col min="4373" max="4373" width="10" style="27" bestFit="1" customWidth="1"/>
    <col min="4374" max="4378" width="9.140625" style="27"/>
    <col min="4379" max="4379" width="13.85546875" style="27" bestFit="1" customWidth="1"/>
    <col min="4380" max="4380" width="13.5703125" style="27" bestFit="1" customWidth="1"/>
    <col min="4381" max="4381" width="10.42578125" style="27" bestFit="1" customWidth="1"/>
    <col min="4382" max="4382" width="9" style="27" bestFit="1" customWidth="1"/>
    <col min="4383" max="4608" width="9.140625" style="27"/>
    <col min="4609" max="4609" width="93.5703125" style="27" bestFit="1" customWidth="1"/>
    <col min="4610" max="4618" width="9.140625" style="27"/>
    <col min="4619" max="4620" width="13" style="27" customWidth="1"/>
    <col min="4621" max="4627" width="9.140625" style="27"/>
    <col min="4628" max="4628" width="20.7109375" style="27" bestFit="1" customWidth="1"/>
    <col min="4629" max="4629" width="10" style="27" bestFit="1" customWidth="1"/>
    <col min="4630" max="4634" width="9.140625" style="27"/>
    <col min="4635" max="4635" width="13.85546875" style="27" bestFit="1" customWidth="1"/>
    <col min="4636" max="4636" width="13.5703125" style="27" bestFit="1" customWidth="1"/>
    <col min="4637" max="4637" width="10.42578125" style="27" bestFit="1" customWidth="1"/>
    <col min="4638" max="4638" width="9" style="27" bestFit="1" customWidth="1"/>
    <col min="4639" max="4864" width="9.140625" style="27"/>
    <col min="4865" max="4865" width="93.5703125" style="27" bestFit="1" customWidth="1"/>
    <col min="4866" max="4874" width="9.140625" style="27"/>
    <col min="4875" max="4876" width="13" style="27" customWidth="1"/>
    <col min="4877" max="4883" width="9.140625" style="27"/>
    <col min="4884" max="4884" width="20.7109375" style="27" bestFit="1" customWidth="1"/>
    <col min="4885" max="4885" width="10" style="27" bestFit="1" customWidth="1"/>
    <col min="4886" max="4890" width="9.140625" style="27"/>
    <col min="4891" max="4891" width="13.85546875" style="27" bestFit="1" customWidth="1"/>
    <col min="4892" max="4892" width="13.5703125" style="27" bestFit="1" customWidth="1"/>
    <col min="4893" max="4893" width="10.42578125" style="27" bestFit="1" customWidth="1"/>
    <col min="4894" max="4894" width="9" style="27" bestFit="1" customWidth="1"/>
    <col min="4895" max="5120" width="9.140625" style="27"/>
    <col min="5121" max="5121" width="93.5703125" style="27" bestFit="1" customWidth="1"/>
    <col min="5122" max="5130" width="9.140625" style="27"/>
    <col min="5131" max="5132" width="13" style="27" customWidth="1"/>
    <col min="5133" max="5139" width="9.140625" style="27"/>
    <col min="5140" max="5140" width="20.7109375" style="27" bestFit="1" customWidth="1"/>
    <col min="5141" max="5141" width="10" style="27" bestFit="1" customWidth="1"/>
    <col min="5142" max="5146" width="9.140625" style="27"/>
    <col min="5147" max="5147" width="13.85546875" style="27" bestFit="1" customWidth="1"/>
    <col min="5148" max="5148" width="13.5703125" style="27" bestFit="1" customWidth="1"/>
    <col min="5149" max="5149" width="10.42578125" style="27" bestFit="1" customWidth="1"/>
    <col min="5150" max="5150" width="9" style="27" bestFit="1" customWidth="1"/>
    <col min="5151" max="5376" width="9.140625" style="27"/>
    <col min="5377" max="5377" width="93.5703125" style="27" bestFit="1" customWidth="1"/>
    <col min="5378" max="5386" width="9.140625" style="27"/>
    <col min="5387" max="5388" width="13" style="27" customWidth="1"/>
    <col min="5389" max="5395" width="9.140625" style="27"/>
    <col min="5396" max="5396" width="20.7109375" style="27" bestFit="1" customWidth="1"/>
    <col min="5397" max="5397" width="10" style="27" bestFit="1" customWidth="1"/>
    <col min="5398" max="5402" width="9.140625" style="27"/>
    <col min="5403" max="5403" width="13.85546875" style="27" bestFit="1" customWidth="1"/>
    <col min="5404" max="5404" width="13.5703125" style="27" bestFit="1" customWidth="1"/>
    <col min="5405" max="5405" width="10.42578125" style="27" bestFit="1" customWidth="1"/>
    <col min="5406" max="5406" width="9" style="27" bestFit="1" customWidth="1"/>
    <col min="5407" max="5632" width="9.140625" style="27"/>
    <col min="5633" max="5633" width="93.5703125" style="27" bestFit="1" customWidth="1"/>
    <col min="5634" max="5642" width="9.140625" style="27"/>
    <col min="5643" max="5644" width="13" style="27" customWidth="1"/>
    <col min="5645" max="5651" width="9.140625" style="27"/>
    <col min="5652" max="5652" width="20.7109375" style="27" bestFit="1" customWidth="1"/>
    <col min="5653" max="5653" width="10" style="27" bestFit="1" customWidth="1"/>
    <col min="5654" max="5658" width="9.140625" style="27"/>
    <col min="5659" max="5659" width="13.85546875" style="27" bestFit="1" customWidth="1"/>
    <col min="5660" max="5660" width="13.5703125" style="27" bestFit="1" customWidth="1"/>
    <col min="5661" max="5661" width="10.42578125" style="27" bestFit="1" customWidth="1"/>
    <col min="5662" max="5662" width="9" style="27" bestFit="1" customWidth="1"/>
    <col min="5663" max="5888" width="9.140625" style="27"/>
    <col min="5889" max="5889" width="93.5703125" style="27" bestFit="1" customWidth="1"/>
    <col min="5890" max="5898" width="9.140625" style="27"/>
    <col min="5899" max="5900" width="13" style="27" customWidth="1"/>
    <col min="5901" max="5907" width="9.140625" style="27"/>
    <col min="5908" max="5908" width="20.7109375" style="27" bestFit="1" customWidth="1"/>
    <col min="5909" max="5909" width="10" style="27" bestFit="1" customWidth="1"/>
    <col min="5910" max="5914" width="9.140625" style="27"/>
    <col min="5915" max="5915" width="13.85546875" style="27" bestFit="1" customWidth="1"/>
    <col min="5916" max="5916" width="13.5703125" style="27" bestFit="1" customWidth="1"/>
    <col min="5917" max="5917" width="10.42578125" style="27" bestFit="1" customWidth="1"/>
    <col min="5918" max="5918" width="9" style="27" bestFit="1" customWidth="1"/>
    <col min="5919" max="6144" width="9.140625" style="27"/>
    <col min="6145" max="6145" width="93.5703125" style="27" bestFit="1" customWidth="1"/>
    <col min="6146" max="6154" width="9.140625" style="27"/>
    <col min="6155" max="6156" width="13" style="27" customWidth="1"/>
    <col min="6157" max="6163" width="9.140625" style="27"/>
    <col min="6164" max="6164" width="20.7109375" style="27" bestFit="1" customWidth="1"/>
    <col min="6165" max="6165" width="10" style="27" bestFit="1" customWidth="1"/>
    <col min="6166" max="6170" width="9.140625" style="27"/>
    <col min="6171" max="6171" width="13.85546875" style="27" bestFit="1" customWidth="1"/>
    <col min="6172" max="6172" width="13.5703125" style="27" bestFit="1" customWidth="1"/>
    <col min="6173" max="6173" width="10.42578125" style="27" bestFit="1" customWidth="1"/>
    <col min="6174" max="6174" width="9" style="27" bestFit="1" customWidth="1"/>
    <col min="6175" max="6400" width="9.140625" style="27"/>
    <col min="6401" max="6401" width="93.5703125" style="27" bestFit="1" customWidth="1"/>
    <col min="6402" max="6410" width="9.140625" style="27"/>
    <col min="6411" max="6412" width="13" style="27" customWidth="1"/>
    <col min="6413" max="6419" width="9.140625" style="27"/>
    <col min="6420" max="6420" width="20.7109375" style="27" bestFit="1" customWidth="1"/>
    <col min="6421" max="6421" width="10" style="27" bestFit="1" customWidth="1"/>
    <col min="6422" max="6426" width="9.140625" style="27"/>
    <col min="6427" max="6427" width="13.85546875" style="27" bestFit="1" customWidth="1"/>
    <col min="6428" max="6428" width="13.5703125" style="27" bestFit="1" customWidth="1"/>
    <col min="6429" max="6429" width="10.42578125" style="27" bestFit="1" customWidth="1"/>
    <col min="6430" max="6430" width="9" style="27" bestFit="1" customWidth="1"/>
    <col min="6431" max="6656" width="9.140625" style="27"/>
    <col min="6657" max="6657" width="93.5703125" style="27" bestFit="1" customWidth="1"/>
    <col min="6658" max="6666" width="9.140625" style="27"/>
    <col min="6667" max="6668" width="13" style="27" customWidth="1"/>
    <col min="6669" max="6675" width="9.140625" style="27"/>
    <col min="6676" max="6676" width="20.7109375" style="27" bestFit="1" customWidth="1"/>
    <col min="6677" max="6677" width="10" style="27" bestFit="1" customWidth="1"/>
    <col min="6678" max="6682" width="9.140625" style="27"/>
    <col min="6683" max="6683" width="13.85546875" style="27" bestFit="1" customWidth="1"/>
    <col min="6684" max="6684" width="13.5703125" style="27" bestFit="1" customWidth="1"/>
    <col min="6685" max="6685" width="10.42578125" style="27" bestFit="1" customWidth="1"/>
    <col min="6686" max="6686" width="9" style="27" bestFit="1" customWidth="1"/>
    <col min="6687" max="6912" width="9.140625" style="27"/>
    <col min="6913" max="6913" width="93.5703125" style="27" bestFit="1" customWidth="1"/>
    <col min="6914" max="6922" width="9.140625" style="27"/>
    <col min="6923" max="6924" width="13" style="27" customWidth="1"/>
    <col min="6925" max="6931" width="9.140625" style="27"/>
    <col min="6932" max="6932" width="20.7109375" style="27" bestFit="1" customWidth="1"/>
    <col min="6933" max="6933" width="10" style="27" bestFit="1" customWidth="1"/>
    <col min="6934" max="6938" width="9.140625" style="27"/>
    <col min="6939" max="6939" width="13.85546875" style="27" bestFit="1" customWidth="1"/>
    <col min="6940" max="6940" width="13.5703125" style="27" bestFit="1" customWidth="1"/>
    <col min="6941" max="6941" width="10.42578125" style="27" bestFit="1" customWidth="1"/>
    <col min="6942" max="6942" width="9" style="27" bestFit="1" customWidth="1"/>
    <col min="6943" max="7168" width="9.140625" style="27"/>
    <col min="7169" max="7169" width="93.5703125" style="27" bestFit="1" customWidth="1"/>
    <col min="7170" max="7178" width="9.140625" style="27"/>
    <col min="7179" max="7180" width="13" style="27" customWidth="1"/>
    <col min="7181" max="7187" width="9.140625" style="27"/>
    <col min="7188" max="7188" width="20.7109375" style="27" bestFit="1" customWidth="1"/>
    <col min="7189" max="7189" width="10" style="27" bestFit="1" customWidth="1"/>
    <col min="7190" max="7194" width="9.140625" style="27"/>
    <col min="7195" max="7195" width="13.85546875" style="27" bestFit="1" customWidth="1"/>
    <col min="7196" max="7196" width="13.5703125" style="27" bestFit="1" customWidth="1"/>
    <col min="7197" max="7197" width="10.42578125" style="27" bestFit="1" customWidth="1"/>
    <col min="7198" max="7198" width="9" style="27" bestFit="1" customWidth="1"/>
    <col min="7199" max="7424" width="9.140625" style="27"/>
    <col min="7425" max="7425" width="93.5703125" style="27" bestFit="1" customWidth="1"/>
    <col min="7426" max="7434" width="9.140625" style="27"/>
    <col min="7435" max="7436" width="13" style="27" customWidth="1"/>
    <col min="7437" max="7443" width="9.140625" style="27"/>
    <col min="7444" max="7444" width="20.7109375" style="27" bestFit="1" customWidth="1"/>
    <col min="7445" max="7445" width="10" style="27" bestFit="1" customWidth="1"/>
    <col min="7446" max="7450" width="9.140625" style="27"/>
    <col min="7451" max="7451" width="13.85546875" style="27" bestFit="1" customWidth="1"/>
    <col min="7452" max="7452" width="13.5703125" style="27" bestFit="1" customWidth="1"/>
    <col min="7453" max="7453" width="10.42578125" style="27" bestFit="1" customWidth="1"/>
    <col min="7454" max="7454" width="9" style="27" bestFit="1" customWidth="1"/>
    <col min="7455" max="7680" width="9.140625" style="27"/>
    <col min="7681" max="7681" width="93.5703125" style="27" bestFit="1" customWidth="1"/>
    <col min="7682" max="7690" width="9.140625" style="27"/>
    <col min="7691" max="7692" width="13" style="27" customWidth="1"/>
    <col min="7693" max="7699" width="9.140625" style="27"/>
    <col min="7700" max="7700" width="20.7109375" style="27" bestFit="1" customWidth="1"/>
    <col min="7701" max="7701" width="10" style="27" bestFit="1" customWidth="1"/>
    <col min="7702" max="7706" width="9.140625" style="27"/>
    <col min="7707" max="7707" width="13.85546875" style="27" bestFit="1" customWidth="1"/>
    <col min="7708" max="7708" width="13.5703125" style="27" bestFit="1" customWidth="1"/>
    <col min="7709" max="7709" width="10.42578125" style="27" bestFit="1" customWidth="1"/>
    <col min="7710" max="7710" width="9" style="27" bestFit="1" customWidth="1"/>
    <col min="7711" max="7936" width="9.140625" style="27"/>
    <col min="7937" max="7937" width="93.5703125" style="27" bestFit="1" customWidth="1"/>
    <col min="7938" max="7946" width="9.140625" style="27"/>
    <col min="7947" max="7948" width="13" style="27" customWidth="1"/>
    <col min="7949" max="7955" width="9.140625" style="27"/>
    <col min="7956" max="7956" width="20.7109375" style="27" bestFit="1" customWidth="1"/>
    <col min="7957" max="7957" width="10" style="27" bestFit="1" customWidth="1"/>
    <col min="7958" max="7962" width="9.140625" style="27"/>
    <col min="7963" max="7963" width="13.85546875" style="27" bestFit="1" customWidth="1"/>
    <col min="7964" max="7964" width="13.5703125" style="27" bestFit="1" customWidth="1"/>
    <col min="7965" max="7965" width="10.42578125" style="27" bestFit="1" customWidth="1"/>
    <col min="7966" max="7966" width="9" style="27" bestFit="1" customWidth="1"/>
    <col min="7967" max="8192" width="9.140625" style="27"/>
    <col min="8193" max="8193" width="93.5703125" style="27" bestFit="1" customWidth="1"/>
    <col min="8194" max="8202" width="9.140625" style="27"/>
    <col min="8203" max="8204" width="13" style="27" customWidth="1"/>
    <col min="8205" max="8211" width="9.140625" style="27"/>
    <col min="8212" max="8212" width="20.7109375" style="27" bestFit="1" customWidth="1"/>
    <col min="8213" max="8213" width="10" style="27" bestFit="1" customWidth="1"/>
    <col min="8214" max="8218" width="9.140625" style="27"/>
    <col min="8219" max="8219" width="13.85546875" style="27" bestFit="1" customWidth="1"/>
    <col min="8220" max="8220" width="13.5703125" style="27" bestFit="1" customWidth="1"/>
    <col min="8221" max="8221" width="10.42578125" style="27" bestFit="1" customWidth="1"/>
    <col min="8222" max="8222" width="9" style="27" bestFit="1" customWidth="1"/>
    <col min="8223" max="8448" width="9.140625" style="27"/>
    <col min="8449" max="8449" width="93.5703125" style="27" bestFit="1" customWidth="1"/>
    <col min="8450" max="8458" width="9.140625" style="27"/>
    <col min="8459" max="8460" width="13" style="27" customWidth="1"/>
    <col min="8461" max="8467" width="9.140625" style="27"/>
    <col min="8468" max="8468" width="20.7109375" style="27" bestFit="1" customWidth="1"/>
    <col min="8469" max="8469" width="10" style="27" bestFit="1" customWidth="1"/>
    <col min="8470" max="8474" width="9.140625" style="27"/>
    <col min="8475" max="8475" width="13.85546875" style="27" bestFit="1" customWidth="1"/>
    <col min="8476" max="8476" width="13.5703125" style="27" bestFit="1" customWidth="1"/>
    <col min="8477" max="8477" width="10.42578125" style="27" bestFit="1" customWidth="1"/>
    <col min="8478" max="8478" width="9" style="27" bestFit="1" customWidth="1"/>
    <col min="8479" max="8704" width="9.140625" style="27"/>
    <col min="8705" max="8705" width="93.5703125" style="27" bestFit="1" customWidth="1"/>
    <col min="8706" max="8714" width="9.140625" style="27"/>
    <col min="8715" max="8716" width="13" style="27" customWidth="1"/>
    <col min="8717" max="8723" width="9.140625" style="27"/>
    <col min="8724" max="8724" width="20.7109375" style="27" bestFit="1" customWidth="1"/>
    <col min="8725" max="8725" width="10" style="27" bestFit="1" customWidth="1"/>
    <col min="8726" max="8730" width="9.140625" style="27"/>
    <col min="8731" max="8731" width="13.85546875" style="27" bestFit="1" customWidth="1"/>
    <col min="8732" max="8732" width="13.5703125" style="27" bestFit="1" customWidth="1"/>
    <col min="8733" max="8733" width="10.42578125" style="27" bestFit="1" customWidth="1"/>
    <col min="8734" max="8734" width="9" style="27" bestFit="1" customWidth="1"/>
    <col min="8735" max="8960" width="9.140625" style="27"/>
    <col min="8961" max="8961" width="93.5703125" style="27" bestFit="1" customWidth="1"/>
    <col min="8962" max="8970" width="9.140625" style="27"/>
    <col min="8971" max="8972" width="13" style="27" customWidth="1"/>
    <col min="8973" max="8979" width="9.140625" style="27"/>
    <col min="8980" max="8980" width="20.7109375" style="27" bestFit="1" customWidth="1"/>
    <col min="8981" max="8981" width="10" style="27" bestFit="1" customWidth="1"/>
    <col min="8982" max="8986" width="9.140625" style="27"/>
    <col min="8987" max="8987" width="13.85546875" style="27" bestFit="1" customWidth="1"/>
    <col min="8988" max="8988" width="13.5703125" style="27" bestFit="1" customWidth="1"/>
    <col min="8989" max="8989" width="10.42578125" style="27" bestFit="1" customWidth="1"/>
    <col min="8990" max="8990" width="9" style="27" bestFit="1" customWidth="1"/>
    <col min="8991" max="9216" width="9.140625" style="27"/>
    <col min="9217" max="9217" width="93.5703125" style="27" bestFit="1" customWidth="1"/>
    <col min="9218" max="9226" width="9.140625" style="27"/>
    <col min="9227" max="9228" width="13" style="27" customWidth="1"/>
    <col min="9229" max="9235" width="9.140625" style="27"/>
    <col min="9236" max="9236" width="20.7109375" style="27" bestFit="1" customWidth="1"/>
    <col min="9237" max="9237" width="10" style="27" bestFit="1" customWidth="1"/>
    <col min="9238" max="9242" width="9.140625" style="27"/>
    <col min="9243" max="9243" width="13.85546875" style="27" bestFit="1" customWidth="1"/>
    <col min="9244" max="9244" width="13.5703125" style="27" bestFit="1" customWidth="1"/>
    <col min="9245" max="9245" width="10.42578125" style="27" bestFit="1" customWidth="1"/>
    <col min="9246" max="9246" width="9" style="27" bestFit="1" customWidth="1"/>
    <col min="9247" max="9472" width="9.140625" style="27"/>
    <col min="9473" max="9473" width="93.5703125" style="27" bestFit="1" customWidth="1"/>
    <col min="9474" max="9482" width="9.140625" style="27"/>
    <col min="9483" max="9484" width="13" style="27" customWidth="1"/>
    <col min="9485" max="9491" width="9.140625" style="27"/>
    <col min="9492" max="9492" width="20.7109375" style="27" bestFit="1" customWidth="1"/>
    <col min="9493" max="9493" width="10" style="27" bestFit="1" customWidth="1"/>
    <col min="9494" max="9498" width="9.140625" style="27"/>
    <col min="9499" max="9499" width="13.85546875" style="27" bestFit="1" customWidth="1"/>
    <col min="9500" max="9500" width="13.5703125" style="27" bestFit="1" customWidth="1"/>
    <col min="9501" max="9501" width="10.42578125" style="27" bestFit="1" customWidth="1"/>
    <col min="9502" max="9502" width="9" style="27" bestFit="1" customWidth="1"/>
    <col min="9503" max="9728" width="9.140625" style="27"/>
    <col min="9729" max="9729" width="93.5703125" style="27" bestFit="1" customWidth="1"/>
    <col min="9730" max="9738" width="9.140625" style="27"/>
    <col min="9739" max="9740" width="13" style="27" customWidth="1"/>
    <col min="9741" max="9747" width="9.140625" style="27"/>
    <col min="9748" max="9748" width="20.7109375" style="27" bestFit="1" customWidth="1"/>
    <col min="9749" max="9749" width="10" style="27" bestFit="1" customWidth="1"/>
    <col min="9750" max="9754" width="9.140625" style="27"/>
    <col min="9755" max="9755" width="13.85546875" style="27" bestFit="1" customWidth="1"/>
    <col min="9756" max="9756" width="13.5703125" style="27" bestFit="1" customWidth="1"/>
    <col min="9757" max="9757" width="10.42578125" style="27" bestFit="1" customWidth="1"/>
    <col min="9758" max="9758" width="9" style="27" bestFit="1" customWidth="1"/>
    <col min="9759" max="9984" width="9.140625" style="27"/>
    <col min="9985" max="9985" width="93.5703125" style="27" bestFit="1" customWidth="1"/>
    <col min="9986" max="9994" width="9.140625" style="27"/>
    <col min="9995" max="9996" width="13" style="27" customWidth="1"/>
    <col min="9997" max="10003" width="9.140625" style="27"/>
    <col min="10004" max="10004" width="20.7109375" style="27" bestFit="1" customWidth="1"/>
    <col min="10005" max="10005" width="10" style="27" bestFit="1" customWidth="1"/>
    <col min="10006" max="10010" width="9.140625" style="27"/>
    <col min="10011" max="10011" width="13.85546875" style="27" bestFit="1" customWidth="1"/>
    <col min="10012" max="10012" width="13.5703125" style="27" bestFit="1" customWidth="1"/>
    <col min="10013" max="10013" width="10.42578125" style="27" bestFit="1" customWidth="1"/>
    <col min="10014" max="10014" width="9" style="27" bestFit="1" customWidth="1"/>
    <col min="10015" max="10240" width="9.140625" style="27"/>
    <col min="10241" max="10241" width="93.5703125" style="27" bestFit="1" customWidth="1"/>
    <col min="10242" max="10250" width="9.140625" style="27"/>
    <col min="10251" max="10252" width="13" style="27" customWidth="1"/>
    <col min="10253" max="10259" width="9.140625" style="27"/>
    <col min="10260" max="10260" width="20.7109375" style="27" bestFit="1" customWidth="1"/>
    <col min="10261" max="10261" width="10" style="27" bestFit="1" customWidth="1"/>
    <col min="10262" max="10266" width="9.140625" style="27"/>
    <col min="10267" max="10267" width="13.85546875" style="27" bestFit="1" customWidth="1"/>
    <col min="10268" max="10268" width="13.5703125" style="27" bestFit="1" customWidth="1"/>
    <col min="10269" max="10269" width="10.42578125" style="27" bestFit="1" customWidth="1"/>
    <col min="10270" max="10270" width="9" style="27" bestFit="1" customWidth="1"/>
    <col min="10271" max="10496" width="9.140625" style="27"/>
    <col min="10497" max="10497" width="93.5703125" style="27" bestFit="1" customWidth="1"/>
    <col min="10498" max="10506" width="9.140625" style="27"/>
    <col min="10507" max="10508" width="13" style="27" customWidth="1"/>
    <col min="10509" max="10515" width="9.140625" style="27"/>
    <col min="10516" max="10516" width="20.7109375" style="27" bestFit="1" customWidth="1"/>
    <col min="10517" max="10517" width="10" style="27" bestFit="1" customWidth="1"/>
    <col min="10518" max="10522" width="9.140625" style="27"/>
    <col min="10523" max="10523" width="13.85546875" style="27" bestFit="1" customWidth="1"/>
    <col min="10524" max="10524" width="13.5703125" style="27" bestFit="1" customWidth="1"/>
    <col min="10525" max="10525" width="10.42578125" style="27" bestFit="1" customWidth="1"/>
    <col min="10526" max="10526" width="9" style="27" bestFit="1" customWidth="1"/>
    <col min="10527" max="10752" width="9.140625" style="27"/>
    <col min="10753" max="10753" width="93.5703125" style="27" bestFit="1" customWidth="1"/>
    <col min="10754" max="10762" width="9.140625" style="27"/>
    <col min="10763" max="10764" width="13" style="27" customWidth="1"/>
    <col min="10765" max="10771" width="9.140625" style="27"/>
    <col min="10772" max="10772" width="20.7109375" style="27" bestFit="1" customWidth="1"/>
    <col min="10773" max="10773" width="10" style="27" bestFit="1" customWidth="1"/>
    <col min="10774" max="10778" width="9.140625" style="27"/>
    <col min="10779" max="10779" width="13.85546875" style="27" bestFit="1" customWidth="1"/>
    <col min="10780" max="10780" width="13.5703125" style="27" bestFit="1" customWidth="1"/>
    <col min="10781" max="10781" width="10.42578125" style="27" bestFit="1" customWidth="1"/>
    <col min="10782" max="10782" width="9" style="27" bestFit="1" customWidth="1"/>
    <col min="10783" max="11008" width="9.140625" style="27"/>
    <col min="11009" max="11009" width="93.5703125" style="27" bestFit="1" customWidth="1"/>
    <col min="11010" max="11018" width="9.140625" style="27"/>
    <col min="11019" max="11020" width="13" style="27" customWidth="1"/>
    <col min="11021" max="11027" width="9.140625" style="27"/>
    <col min="11028" max="11028" width="20.7109375" style="27" bestFit="1" customWidth="1"/>
    <col min="11029" max="11029" width="10" style="27" bestFit="1" customWidth="1"/>
    <col min="11030" max="11034" width="9.140625" style="27"/>
    <col min="11035" max="11035" width="13.85546875" style="27" bestFit="1" customWidth="1"/>
    <col min="11036" max="11036" width="13.5703125" style="27" bestFit="1" customWidth="1"/>
    <col min="11037" max="11037" width="10.42578125" style="27" bestFit="1" customWidth="1"/>
    <col min="11038" max="11038" width="9" style="27" bestFit="1" customWidth="1"/>
    <col min="11039" max="11264" width="9.140625" style="27"/>
    <col min="11265" max="11265" width="93.5703125" style="27" bestFit="1" customWidth="1"/>
    <col min="11266" max="11274" width="9.140625" style="27"/>
    <col min="11275" max="11276" width="13" style="27" customWidth="1"/>
    <col min="11277" max="11283" width="9.140625" style="27"/>
    <col min="11284" max="11284" width="20.7109375" style="27" bestFit="1" customWidth="1"/>
    <col min="11285" max="11285" width="10" style="27" bestFit="1" customWidth="1"/>
    <col min="11286" max="11290" width="9.140625" style="27"/>
    <col min="11291" max="11291" width="13.85546875" style="27" bestFit="1" customWidth="1"/>
    <col min="11292" max="11292" width="13.5703125" style="27" bestFit="1" customWidth="1"/>
    <col min="11293" max="11293" width="10.42578125" style="27" bestFit="1" customWidth="1"/>
    <col min="11294" max="11294" width="9" style="27" bestFit="1" customWidth="1"/>
    <col min="11295" max="11520" width="9.140625" style="27"/>
    <col min="11521" max="11521" width="93.5703125" style="27" bestFit="1" customWidth="1"/>
    <col min="11522" max="11530" width="9.140625" style="27"/>
    <col min="11531" max="11532" width="13" style="27" customWidth="1"/>
    <col min="11533" max="11539" width="9.140625" style="27"/>
    <col min="11540" max="11540" width="20.7109375" style="27" bestFit="1" customWidth="1"/>
    <col min="11541" max="11541" width="10" style="27" bestFit="1" customWidth="1"/>
    <col min="11542" max="11546" width="9.140625" style="27"/>
    <col min="11547" max="11547" width="13.85546875" style="27" bestFit="1" customWidth="1"/>
    <col min="11548" max="11548" width="13.5703125" style="27" bestFit="1" customWidth="1"/>
    <col min="11549" max="11549" width="10.42578125" style="27" bestFit="1" customWidth="1"/>
    <col min="11550" max="11550" width="9" style="27" bestFit="1" customWidth="1"/>
    <col min="11551" max="11776" width="9.140625" style="27"/>
    <col min="11777" max="11777" width="93.5703125" style="27" bestFit="1" customWidth="1"/>
    <col min="11778" max="11786" width="9.140625" style="27"/>
    <col min="11787" max="11788" width="13" style="27" customWidth="1"/>
    <col min="11789" max="11795" width="9.140625" style="27"/>
    <col min="11796" max="11796" width="20.7109375" style="27" bestFit="1" customWidth="1"/>
    <col min="11797" max="11797" width="10" style="27" bestFit="1" customWidth="1"/>
    <col min="11798" max="11802" width="9.140625" style="27"/>
    <col min="11803" max="11803" width="13.85546875" style="27" bestFit="1" customWidth="1"/>
    <col min="11804" max="11804" width="13.5703125" style="27" bestFit="1" customWidth="1"/>
    <col min="11805" max="11805" width="10.42578125" style="27" bestFit="1" customWidth="1"/>
    <col min="11806" max="11806" width="9" style="27" bestFit="1" customWidth="1"/>
    <col min="11807" max="12032" width="9.140625" style="27"/>
    <col min="12033" max="12033" width="93.5703125" style="27" bestFit="1" customWidth="1"/>
    <col min="12034" max="12042" width="9.140625" style="27"/>
    <col min="12043" max="12044" width="13" style="27" customWidth="1"/>
    <col min="12045" max="12051" width="9.140625" style="27"/>
    <col min="12052" max="12052" width="20.7109375" style="27" bestFit="1" customWidth="1"/>
    <col min="12053" max="12053" width="10" style="27" bestFit="1" customWidth="1"/>
    <col min="12054" max="12058" width="9.140625" style="27"/>
    <col min="12059" max="12059" width="13.85546875" style="27" bestFit="1" customWidth="1"/>
    <col min="12060" max="12060" width="13.5703125" style="27" bestFit="1" customWidth="1"/>
    <col min="12061" max="12061" width="10.42578125" style="27" bestFit="1" customWidth="1"/>
    <col min="12062" max="12062" width="9" style="27" bestFit="1" customWidth="1"/>
    <col min="12063" max="12288" width="9.140625" style="27"/>
    <col min="12289" max="12289" width="93.5703125" style="27" bestFit="1" customWidth="1"/>
    <col min="12290" max="12298" width="9.140625" style="27"/>
    <col min="12299" max="12300" width="13" style="27" customWidth="1"/>
    <col min="12301" max="12307" width="9.140625" style="27"/>
    <col min="12308" max="12308" width="20.7109375" style="27" bestFit="1" customWidth="1"/>
    <col min="12309" max="12309" width="10" style="27" bestFit="1" customWidth="1"/>
    <col min="12310" max="12314" width="9.140625" style="27"/>
    <col min="12315" max="12315" width="13.85546875" style="27" bestFit="1" customWidth="1"/>
    <col min="12316" max="12316" width="13.5703125" style="27" bestFit="1" customWidth="1"/>
    <col min="12317" max="12317" width="10.42578125" style="27" bestFit="1" customWidth="1"/>
    <col min="12318" max="12318" width="9" style="27" bestFit="1" customWidth="1"/>
    <col min="12319" max="12544" width="9.140625" style="27"/>
    <col min="12545" max="12545" width="93.5703125" style="27" bestFit="1" customWidth="1"/>
    <col min="12546" max="12554" width="9.140625" style="27"/>
    <col min="12555" max="12556" width="13" style="27" customWidth="1"/>
    <col min="12557" max="12563" width="9.140625" style="27"/>
    <col min="12564" max="12564" width="20.7109375" style="27" bestFit="1" customWidth="1"/>
    <col min="12565" max="12565" width="10" style="27" bestFit="1" customWidth="1"/>
    <col min="12566" max="12570" width="9.140625" style="27"/>
    <col min="12571" max="12571" width="13.85546875" style="27" bestFit="1" customWidth="1"/>
    <col min="12572" max="12572" width="13.5703125" style="27" bestFit="1" customWidth="1"/>
    <col min="12573" max="12573" width="10.42578125" style="27" bestFit="1" customWidth="1"/>
    <col min="12574" max="12574" width="9" style="27" bestFit="1" customWidth="1"/>
    <col min="12575" max="12800" width="9.140625" style="27"/>
    <col min="12801" max="12801" width="93.5703125" style="27" bestFit="1" customWidth="1"/>
    <col min="12802" max="12810" width="9.140625" style="27"/>
    <col min="12811" max="12812" width="13" style="27" customWidth="1"/>
    <col min="12813" max="12819" width="9.140625" style="27"/>
    <col min="12820" max="12820" width="20.7109375" style="27" bestFit="1" customWidth="1"/>
    <col min="12821" max="12821" width="10" style="27" bestFit="1" customWidth="1"/>
    <col min="12822" max="12826" width="9.140625" style="27"/>
    <col min="12827" max="12827" width="13.85546875" style="27" bestFit="1" customWidth="1"/>
    <col min="12828" max="12828" width="13.5703125" style="27" bestFit="1" customWidth="1"/>
    <col min="12829" max="12829" width="10.42578125" style="27" bestFit="1" customWidth="1"/>
    <col min="12830" max="12830" width="9" style="27" bestFit="1" customWidth="1"/>
    <col min="12831" max="13056" width="9.140625" style="27"/>
    <col min="13057" max="13057" width="93.5703125" style="27" bestFit="1" customWidth="1"/>
    <col min="13058" max="13066" width="9.140625" style="27"/>
    <col min="13067" max="13068" width="13" style="27" customWidth="1"/>
    <col min="13069" max="13075" width="9.140625" style="27"/>
    <col min="13076" max="13076" width="20.7109375" style="27" bestFit="1" customWidth="1"/>
    <col min="13077" max="13077" width="10" style="27" bestFit="1" customWidth="1"/>
    <col min="13078" max="13082" width="9.140625" style="27"/>
    <col min="13083" max="13083" width="13.85546875" style="27" bestFit="1" customWidth="1"/>
    <col min="13084" max="13084" width="13.5703125" style="27" bestFit="1" customWidth="1"/>
    <col min="13085" max="13085" width="10.42578125" style="27" bestFit="1" customWidth="1"/>
    <col min="13086" max="13086" width="9" style="27" bestFit="1" customWidth="1"/>
    <col min="13087" max="13312" width="9.140625" style="27"/>
    <col min="13313" max="13313" width="93.5703125" style="27" bestFit="1" customWidth="1"/>
    <col min="13314" max="13322" width="9.140625" style="27"/>
    <col min="13323" max="13324" width="13" style="27" customWidth="1"/>
    <col min="13325" max="13331" width="9.140625" style="27"/>
    <col min="13332" max="13332" width="20.7109375" style="27" bestFit="1" customWidth="1"/>
    <col min="13333" max="13333" width="10" style="27" bestFit="1" customWidth="1"/>
    <col min="13334" max="13338" width="9.140625" style="27"/>
    <col min="13339" max="13339" width="13.85546875" style="27" bestFit="1" customWidth="1"/>
    <col min="13340" max="13340" width="13.5703125" style="27" bestFit="1" customWidth="1"/>
    <col min="13341" max="13341" width="10.42578125" style="27" bestFit="1" customWidth="1"/>
    <col min="13342" max="13342" width="9" style="27" bestFit="1" customWidth="1"/>
    <col min="13343" max="13568" width="9.140625" style="27"/>
    <col min="13569" max="13569" width="93.5703125" style="27" bestFit="1" customWidth="1"/>
    <col min="13570" max="13578" width="9.140625" style="27"/>
    <col min="13579" max="13580" width="13" style="27" customWidth="1"/>
    <col min="13581" max="13587" width="9.140625" style="27"/>
    <col min="13588" max="13588" width="20.7109375" style="27" bestFit="1" customWidth="1"/>
    <col min="13589" max="13589" width="10" style="27" bestFit="1" customWidth="1"/>
    <col min="13590" max="13594" width="9.140625" style="27"/>
    <col min="13595" max="13595" width="13.85546875" style="27" bestFit="1" customWidth="1"/>
    <col min="13596" max="13596" width="13.5703125" style="27" bestFit="1" customWidth="1"/>
    <col min="13597" max="13597" width="10.42578125" style="27" bestFit="1" customWidth="1"/>
    <col min="13598" max="13598" width="9" style="27" bestFit="1" customWidth="1"/>
    <col min="13599" max="13824" width="9.140625" style="27"/>
    <col min="13825" max="13825" width="93.5703125" style="27" bestFit="1" customWidth="1"/>
    <col min="13826" max="13834" width="9.140625" style="27"/>
    <col min="13835" max="13836" width="13" style="27" customWidth="1"/>
    <col min="13837" max="13843" width="9.140625" style="27"/>
    <col min="13844" max="13844" width="20.7109375" style="27" bestFit="1" customWidth="1"/>
    <col min="13845" max="13845" width="10" style="27" bestFit="1" customWidth="1"/>
    <col min="13846" max="13850" width="9.140625" style="27"/>
    <col min="13851" max="13851" width="13.85546875" style="27" bestFit="1" customWidth="1"/>
    <col min="13852" max="13852" width="13.5703125" style="27" bestFit="1" customWidth="1"/>
    <col min="13853" max="13853" width="10.42578125" style="27" bestFit="1" customWidth="1"/>
    <col min="13854" max="13854" width="9" style="27" bestFit="1" customWidth="1"/>
    <col min="13855" max="14080" width="9.140625" style="27"/>
    <col min="14081" max="14081" width="93.5703125" style="27" bestFit="1" customWidth="1"/>
    <col min="14082" max="14090" width="9.140625" style="27"/>
    <col min="14091" max="14092" width="13" style="27" customWidth="1"/>
    <col min="14093" max="14099" width="9.140625" style="27"/>
    <col min="14100" max="14100" width="20.7109375" style="27" bestFit="1" customWidth="1"/>
    <col min="14101" max="14101" width="10" style="27" bestFit="1" customWidth="1"/>
    <col min="14102" max="14106" width="9.140625" style="27"/>
    <col min="14107" max="14107" width="13.85546875" style="27" bestFit="1" customWidth="1"/>
    <col min="14108" max="14108" width="13.5703125" style="27" bestFit="1" customWidth="1"/>
    <col min="14109" max="14109" width="10.42578125" style="27" bestFit="1" customWidth="1"/>
    <col min="14110" max="14110" width="9" style="27" bestFit="1" customWidth="1"/>
    <col min="14111" max="14336" width="9.140625" style="27"/>
    <col min="14337" max="14337" width="93.5703125" style="27" bestFit="1" customWidth="1"/>
    <col min="14338" max="14346" width="9.140625" style="27"/>
    <col min="14347" max="14348" width="13" style="27" customWidth="1"/>
    <col min="14349" max="14355" width="9.140625" style="27"/>
    <col min="14356" max="14356" width="20.7109375" style="27" bestFit="1" customWidth="1"/>
    <col min="14357" max="14357" width="10" style="27" bestFit="1" customWidth="1"/>
    <col min="14358" max="14362" width="9.140625" style="27"/>
    <col min="14363" max="14363" width="13.85546875" style="27" bestFit="1" customWidth="1"/>
    <col min="14364" max="14364" width="13.5703125" style="27" bestFit="1" customWidth="1"/>
    <col min="14365" max="14365" width="10.42578125" style="27" bestFit="1" customWidth="1"/>
    <col min="14366" max="14366" width="9" style="27" bestFit="1" customWidth="1"/>
    <col min="14367" max="14592" width="9.140625" style="27"/>
    <col min="14593" max="14593" width="93.5703125" style="27" bestFit="1" customWidth="1"/>
    <col min="14594" max="14602" width="9.140625" style="27"/>
    <col min="14603" max="14604" width="13" style="27" customWidth="1"/>
    <col min="14605" max="14611" width="9.140625" style="27"/>
    <col min="14612" max="14612" width="20.7109375" style="27" bestFit="1" customWidth="1"/>
    <col min="14613" max="14613" width="10" style="27" bestFit="1" customWidth="1"/>
    <col min="14614" max="14618" width="9.140625" style="27"/>
    <col min="14619" max="14619" width="13.85546875" style="27" bestFit="1" customWidth="1"/>
    <col min="14620" max="14620" width="13.5703125" style="27" bestFit="1" customWidth="1"/>
    <col min="14621" max="14621" width="10.42578125" style="27" bestFit="1" customWidth="1"/>
    <col min="14622" max="14622" width="9" style="27" bestFit="1" customWidth="1"/>
    <col min="14623" max="14848" width="9.140625" style="27"/>
    <col min="14849" max="14849" width="93.5703125" style="27" bestFit="1" customWidth="1"/>
    <col min="14850" max="14858" width="9.140625" style="27"/>
    <col min="14859" max="14860" width="13" style="27" customWidth="1"/>
    <col min="14861" max="14867" width="9.140625" style="27"/>
    <col min="14868" max="14868" width="20.7109375" style="27" bestFit="1" customWidth="1"/>
    <col min="14869" max="14869" width="10" style="27" bestFit="1" customWidth="1"/>
    <col min="14870" max="14874" width="9.140625" style="27"/>
    <col min="14875" max="14875" width="13.85546875" style="27" bestFit="1" customWidth="1"/>
    <col min="14876" max="14876" width="13.5703125" style="27" bestFit="1" customWidth="1"/>
    <col min="14877" max="14877" width="10.42578125" style="27" bestFit="1" customWidth="1"/>
    <col min="14878" max="14878" width="9" style="27" bestFit="1" customWidth="1"/>
    <col min="14879" max="15104" width="9.140625" style="27"/>
    <col min="15105" max="15105" width="93.5703125" style="27" bestFit="1" customWidth="1"/>
    <col min="15106" max="15114" width="9.140625" style="27"/>
    <col min="15115" max="15116" width="13" style="27" customWidth="1"/>
    <col min="15117" max="15123" width="9.140625" style="27"/>
    <col min="15124" max="15124" width="20.7109375" style="27" bestFit="1" customWidth="1"/>
    <col min="15125" max="15125" width="10" style="27" bestFit="1" customWidth="1"/>
    <col min="15126" max="15130" width="9.140625" style="27"/>
    <col min="15131" max="15131" width="13.85546875" style="27" bestFit="1" customWidth="1"/>
    <col min="15132" max="15132" width="13.5703125" style="27" bestFit="1" customWidth="1"/>
    <col min="15133" max="15133" width="10.42578125" style="27" bestFit="1" customWidth="1"/>
    <col min="15134" max="15134" width="9" style="27" bestFit="1" customWidth="1"/>
    <col min="15135" max="15360" width="9.140625" style="27"/>
    <col min="15361" max="15361" width="93.5703125" style="27" bestFit="1" customWidth="1"/>
    <col min="15362" max="15370" width="9.140625" style="27"/>
    <col min="15371" max="15372" width="13" style="27" customWidth="1"/>
    <col min="15373" max="15379" width="9.140625" style="27"/>
    <col min="15380" max="15380" width="20.7109375" style="27" bestFit="1" customWidth="1"/>
    <col min="15381" max="15381" width="10" style="27" bestFit="1" customWidth="1"/>
    <col min="15382" max="15386" width="9.140625" style="27"/>
    <col min="15387" max="15387" width="13.85546875" style="27" bestFit="1" customWidth="1"/>
    <col min="15388" max="15388" width="13.5703125" style="27" bestFit="1" customWidth="1"/>
    <col min="15389" max="15389" width="10.42578125" style="27" bestFit="1" customWidth="1"/>
    <col min="15390" max="15390" width="9" style="27" bestFit="1" customWidth="1"/>
    <col min="15391" max="15616" width="9.140625" style="27"/>
    <col min="15617" max="15617" width="93.5703125" style="27" bestFit="1" customWidth="1"/>
    <col min="15618" max="15626" width="9.140625" style="27"/>
    <col min="15627" max="15628" width="13" style="27" customWidth="1"/>
    <col min="15629" max="15635" width="9.140625" style="27"/>
    <col min="15636" max="15636" width="20.7109375" style="27" bestFit="1" customWidth="1"/>
    <col min="15637" max="15637" width="10" style="27" bestFit="1" customWidth="1"/>
    <col min="15638" max="15642" width="9.140625" style="27"/>
    <col min="15643" max="15643" width="13.85546875" style="27" bestFit="1" customWidth="1"/>
    <col min="15644" max="15644" width="13.5703125" style="27" bestFit="1" customWidth="1"/>
    <col min="15645" max="15645" width="10.42578125" style="27" bestFit="1" customWidth="1"/>
    <col min="15646" max="15646" width="9" style="27" bestFit="1" customWidth="1"/>
    <col min="15647" max="15872" width="9.140625" style="27"/>
    <col min="15873" max="15873" width="93.5703125" style="27" bestFit="1" customWidth="1"/>
    <col min="15874" max="15882" width="9.140625" style="27"/>
    <col min="15883" max="15884" width="13" style="27" customWidth="1"/>
    <col min="15885" max="15891" width="9.140625" style="27"/>
    <col min="15892" max="15892" width="20.7109375" style="27" bestFit="1" customWidth="1"/>
    <col min="15893" max="15893" width="10" style="27" bestFit="1" customWidth="1"/>
    <col min="15894" max="15898" width="9.140625" style="27"/>
    <col min="15899" max="15899" width="13.85546875" style="27" bestFit="1" customWidth="1"/>
    <col min="15900" max="15900" width="13.5703125" style="27" bestFit="1" customWidth="1"/>
    <col min="15901" max="15901" width="10.42578125" style="27" bestFit="1" customWidth="1"/>
    <col min="15902" max="15902" width="9" style="27" bestFit="1" customWidth="1"/>
    <col min="15903" max="16128" width="9.140625" style="27"/>
    <col min="16129" max="16129" width="93.5703125" style="27" bestFit="1" customWidth="1"/>
    <col min="16130" max="16138" width="9.140625" style="27"/>
    <col min="16139" max="16140" width="13" style="27" customWidth="1"/>
    <col min="16141" max="16147" width="9.140625" style="27"/>
    <col min="16148" max="16148" width="20.7109375" style="27" bestFit="1" customWidth="1"/>
    <col min="16149" max="16149" width="10" style="27" bestFit="1" customWidth="1"/>
    <col min="16150" max="16154" width="9.140625" style="27"/>
    <col min="16155" max="16155" width="13.85546875" style="27" bestFit="1" customWidth="1"/>
    <col min="16156" max="16156" width="13.5703125" style="27" bestFit="1" customWidth="1"/>
    <col min="16157" max="16157" width="10.42578125" style="27" bestFit="1" customWidth="1"/>
    <col min="16158" max="16158" width="9" style="27" bestFit="1" customWidth="1"/>
    <col min="16159" max="16384" width="9.140625" style="27"/>
  </cols>
  <sheetData>
    <row r="1" spans="1:30" ht="19.5" thickBot="1">
      <c r="B1" s="199" t="s">
        <v>497</v>
      </c>
      <c r="C1" s="200"/>
      <c r="D1" s="200"/>
      <c r="E1" s="200"/>
      <c r="F1" s="201"/>
      <c r="G1" s="200" t="s">
        <v>498</v>
      </c>
      <c r="H1" s="200"/>
      <c r="I1" s="200"/>
      <c r="J1" s="200"/>
      <c r="K1" s="201"/>
      <c r="L1" s="201"/>
      <c r="M1" s="199"/>
      <c r="N1" s="200"/>
      <c r="O1" s="200"/>
      <c r="P1" s="200"/>
      <c r="Q1" s="200"/>
      <c r="R1" s="200"/>
      <c r="S1" s="200"/>
      <c r="T1" s="200"/>
      <c r="U1" s="200"/>
      <c r="V1" s="200"/>
      <c r="W1" s="200"/>
    </row>
    <row r="2" spans="1:30" ht="19.5" thickBot="1">
      <c r="B2" s="199" t="s">
        <v>499</v>
      </c>
      <c r="C2"/>
      <c r="D2"/>
      <c r="E2"/>
      <c r="F2" s="202"/>
      <c r="G2" t="s">
        <v>500</v>
      </c>
      <c r="H2"/>
      <c r="I2"/>
      <c r="J2"/>
      <c r="M2" t="s">
        <v>1076</v>
      </c>
      <c r="N2"/>
      <c r="O2"/>
      <c r="P2"/>
      <c r="Q2"/>
      <c r="R2"/>
      <c r="S2"/>
      <c r="T2" s="203" t="s">
        <v>308</v>
      </c>
      <c r="U2" s="204" t="s">
        <v>309</v>
      </c>
      <c r="V2"/>
      <c r="W2"/>
    </row>
    <row r="3" spans="1:30" ht="15.75" thickBot="1">
      <c r="A3" s="27" t="s">
        <v>501</v>
      </c>
      <c r="B3"/>
      <c r="C3"/>
      <c r="D3"/>
      <c r="E3" s="202"/>
      <c r="F3"/>
      <c r="G3"/>
      <c r="H3"/>
      <c r="I3"/>
      <c r="J3"/>
      <c r="K3" s="642" t="s">
        <v>1736</v>
      </c>
      <c r="L3" s="643"/>
      <c r="M3"/>
      <c r="N3"/>
      <c r="O3"/>
      <c r="P3"/>
      <c r="Q3"/>
      <c r="R3"/>
      <c r="S3"/>
      <c r="T3" s="205">
        <v>1500</v>
      </c>
      <c r="U3" s="206" t="s">
        <v>185</v>
      </c>
      <c r="V3"/>
      <c r="W3"/>
    </row>
    <row r="4" spans="1:30" ht="13.5" thickBot="1">
      <c r="B4" s="207" t="s">
        <v>503</v>
      </c>
      <c r="C4" s="208" t="s">
        <v>6</v>
      </c>
      <c r="D4" s="208" t="s">
        <v>504</v>
      </c>
      <c r="E4" s="209" t="s">
        <v>505</v>
      </c>
      <c r="F4" s="208" t="s">
        <v>506</v>
      </c>
      <c r="G4" s="210" t="s">
        <v>507</v>
      </c>
      <c r="H4" s="211" t="s">
        <v>508</v>
      </c>
      <c r="I4" s="211" t="s">
        <v>6</v>
      </c>
      <c r="J4" s="212" t="s">
        <v>178</v>
      </c>
      <c r="K4" s="213" t="s">
        <v>509</v>
      </c>
      <c r="L4" s="214" t="s">
        <v>510</v>
      </c>
      <c r="M4"/>
      <c r="N4"/>
      <c r="O4"/>
      <c r="P4"/>
      <c r="Q4"/>
      <c r="R4"/>
      <c r="S4"/>
      <c r="T4" s="205">
        <v>1500</v>
      </c>
      <c r="U4" s="206" t="s">
        <v>184</v>
      </c>
      <c r="V4"/>
      <c r="W4"/>
    </row>
    <row r="5" spans="1:30" ht="15.75" thickBot="1">
      <c r="A5" s="27" t="s">
        <v>511</v>
      </c>
      <c r="B5" s="215" t="str">
        <f>Results!A7</f>
        <v>Walls10</v>
      </c>
      <c r="C5" s="216" t="str">
        <f>Results!B7</f>
        <v>Walls10</v>
      </c>
      <c r="D5" s="216" t="str">
        <f>Results!C7</f>
        <v>Walls</v>
      </c>
      <c r="E5" s="216">
        <f>Results!D7</f>
        <v>10</v>
      </c>
      <c r="F5" s="216" t="str">
        <f>Results!E7</f>
        <v>R-0</v>
      </c>
      <c r="G5" s="216" t="str">
        <f>Results!F7</f>
        <v>R-11</v>
      </c>
      <c r="H5" s="217" t="str">
        <f>Results!G7</f>
        <v>Heating Zone 1</v>
      </c>
      <c r="I5" s="216" t="str">
        <f>Results!H7</f>
        <v>Multi Family Weatherization - Insulate Walls - R-0 to R-11 - Heating Zone 1</v>
      </c>
      <c r="J5" s="216" t="s">
        <v>516</v>
      </c>
      <c r="K5" s="218">
        <f>Results!I7</f>
        <v>1.352090362778954</v>
      </c>
      <c r="L5" s="219">
        <f>Results!J7</f>
        <v>-1.8773272683137014E-3</v>
      </c>
      <c r="M5"/>
      <c r="N5"/>
      <c r="O5"/>
      <c r="P5"/>
      <c r="Q5"/>
      <c r="R5"/>
      <c r="S5"/>
      <c r="T5" s="220">
        <v>1000</v>
      </c>
      <c r="U5" s="221" t="s">
        <v>185</v>
      </c>
      <c r="V5">
        <v>0</v>
      </c>
      <c r="W5"/>
    </row>
    <row r="6" spans="1:30" ht="15.75" thickBot="1">
      <c r="A6" s="27" t="s">
        <v>517</v>
      </c>
      <c r="B6" s="222" t="str">
        <f>Results!A8</f>
        <v>BGWal10</v>
      </c>
      <c r="C6" s="223" t="str">
        <f>Results!B8</f>
        <v>BGWalls10</v>
      </c>
      <c r="D6" s="223" t="str">
        <f>Results!C8</f>
        <v>BGWalls</v>
      </c>
      <c r="E6" s="223">
        <f>Results!D8</f>
        <v>10</v>
      </c>
      <c r="F6" s="223" t="str">
        <f>Results!E8</f>
        <v>R-0</v>
      </c>
      <c r="G6" s="223" t="str">
        <f>Results!F8</f>
        <v>R-11</v>
      </c>
      <c r="H6" s="224" t="str">
        <f>Results!G8</f>
        <v>Heating Zone 1</v>
      </c>
      <c r="I6" s="223" t="str">
        <f>Results!H8</f>
        <v>Multi Family Weatherization - Insulate BGWalls - R-0 to R-11 - Heating Zone 1</v>
      </c>
      <c r="J6" s="216" t="s">
        <v>516</v>
      </c>
      <c r="K6" s="225">
        <f>Results!I8</f>
        <v>0</v>
      </c>
      <c r="L6" s="226">
        <f>Results!J8</f>
        <v>0</v>
      </c>
      <c r="Q6"/>
      <c r="R6"/>
      <c r="S6"/>
      <c r="T6"/>
      <c r="U6"/>
      <c r="V6"/>
      <c r="W6"/>
    </row>
    <row r="7" spans="1:30" ht="15.75" thickBot="1">
      <c r="A7" s="27" t="s">
        <v>521</v>
      </c>
      <c r="B7" s="227" t="str">
        <f>Results!A9</f>
        <v>Floor10</v>
      </c>
      <c r="C7" s="228" t="str">
        <f>Results!B9</f>
        <v>Floors10</v>
      </c>
      <c r="D7" s="228" t="str">
        <f>Results!C9</f>
        <v>Floors</v>
      </c>
      <c r="E7" s="228">
        <f>Results!D9</f>
        <v>10</v>
      </c>
      <c r="F7" s="228" t="str">
        <f>Results!E9</f>
        <v>R-0</v>
      </c>
      <c r="G7" s="228" t="str">
        <f>Results!F9</f>
        <v>R-19</v>
      </c>
      <c r="H7" s="229" t="str">
        <f>Results!G9</f>
        <v>Heating Zone 1</v>
      </c>
      <c r="I7" s="228" t="str">
        <f>Results!H9</f>
        <v>Multi Family Weatherization - Insulate Floors - R-0 to R-19 - Heating Zone 1</v>
      </c>
      <c r="J7" s="216" t="s">
        <v>516</v>
      </c>
      <c r="K7" s="230">
        <f>Results!I9</f>
        <v>0.61232930907459315</v>
      </c>
      <c r="L7" s="231">
        <f>Results!J9</f>
        <v>-8.7835286089890958E-3</v>
      </c>
      <c r="Q7"/>
      <c r="R7"/>
      <c r="S7"/>
      <c r="T7" s="232" t="s">
        <v>526</v>
      </c>
      <c r="U7" s="233" t="s">
        <v>513</v>
      </c>
      <c r="V7" s="234" t="s">
        <v>520</v>
      </c>
      <c r="W7" s="234" t="s">
        <v>524</v>
      </c>
      <c r="X7" s="234" t="s">
        <v>527</v>
      </c>
      <c r="Y7" s="234" t="s">
        <v>174</v>
      </c>
      <c r="Z7" s="234" t="s">
        <v>58</v>
      </c>
      <c r="AA7" s="234" t="s">
        <v>528</v>
      </c>
      <c r="AB7" s="234" t="s">
        <v>529</v>
      </c>
      <c r="AC7" s="234" t="s">
        <v>530</v>
      </c>
      <c r="AD7" s="235" t="s">
        <v>531</v>
      </c>
    </row>
    <row r="8" spans="1:30" ht="15.75" thickBot="1">
      <c r="A8" s="27" t="s">
        <v>532</v>
      </c>
      <c r="B8" s="236" t="str">
        <f>Results!A10</f>
        <v>Floor11</v>
      </c>
      <c r="C8" s="237" t="str">
        <f>Results!B10</f>
        <v>Floors11</v>
      </c>
      <c r="D8" s="237" t="str">
        <f>Results!C10</f>
        <v>Floors</v>
      </c>
      <c r="E8" s="237">
        <f>Results!D10</f>
        <v>11</v>
      </c>
      <c r="F8" s="237" t="str">
        <f>Results!E10</f>
        <v>R-0</v>
      </c>
      <c r="G8" s="237" t="str">
        <f>Results!F10</f>
        <v>R-25</v>
      </c>
      <c r="H8" s="238" t="str">
        <f>Results!G10</f>
        <v>Heating Zone 1</v>
      </c>
      <c r="I8" s="237" t="str">
        <f>Results!H10</f>
        <v>Multi Family Weatherization - Insulate Floors - R-0 to R-25 - Heating Zone 1</v>
      </c>
      <c r="J8" s="216" t="s">
        <v>516</v>
      </c>
      <c r="K8" s="239">
        <f>Results!I10</f>
        <v>0.70224525289104767</v>
      </c>
      <c r="L8" s="240">
        <f>Results!J10</f>
        <v>-1.0176471073417853E-2</v>
      </c>
      <c r="Q8"/>
      <c r="R8"/>
      <c r="S8"/>
      <c r="T8" s="241">
        <v>1344</v>
      </c>
      <c r="U8" s="242">
        <v>1258.75</v>
      </c>
      <c r="V8" s="243">
        <v>0</v>
      </c>
      <c r="W8" s="244">
        <v>500</v>
      </c>
      <c r="X8" s="245">
        <v>500</v>
      </c>
      <c r="Y8" s="245">
        <v>195</v>
      </c>
      <c r="Z8" s="243">
        <v>1500</v>
      </c>
      <c r="AA8" s="243">
        <v>1</v>
      </c>
      <c r="AB8" s="243">
        <v>1</v>
      </c>
      <c r="AC8" s="243">
        <v>1</v>
      </c>
      <c r="AD8" s="246">
        <v>1</v>
      </c>
    </row>
    <row r="9" spans="1:30" ht="15.75" thickBot="1">
      <c r="A9" s="27" t="s">
        <v>536</v>
      </c>
      <c r="B9" s="227" t="str">
        <f>Results!A11</f>
        <v>Floor12</v>
      </c>
      <c r="C9" s="228" t="str">
        <f>Results!B11</f>
        <v>Floors12</v>
      </c>
      <c r="D9" s="228" t="str">
        <f>Results!C11</f>
        <v>Floors</v>
      </c>
      <c r="E9" s="228">
        <f>Results!D11</f>
        <v>12</v>
      </c>
      <c r="F9" s="228" t="str">
        <f>Results!E11</f>
        <v>R-0</v>
      </c>
      <c r="G9" s="228" t="str">
        <f>Results!F11</f>
        <v>R-30</v>
      </c>
      <c r="H9" s="229" t="str">
        <f>Results!G11</f>
        <v>Heating Zone 1</v>
      </c>
      <c r="I9" s="228" t="str">
        <f>Results!H11</f>
        <v>Multi Family Weatherization - Insulate Floors - R-0 to R-30 - Heating Zone 1</v>
      </c>
      <c r="J9" s="216" t="s">
        <v>516</v>
      </c>
      <c r="K9" s="230">
        <f>Results!I11</f>
        <v>0.79706107262688453</v>
      </c>
      <c r="L9" s="231">
        <f>Results!J11</f>
        <v>-1.1676470959867317E-2</v>
      </c>
      <c r="Q9"/>
      <c r="R9"/>
      <c r="S9"/>
      <c r="T9" s="247">
        <v>2200</v>
      </c>
      <c r="U9" s="248">
        <v>1258.75</v>
      </c>
      <c r="V9" s="249">
        <v>0</v>
      </c>
      <c r="W9" s="250">
        <v>500</v>
      </c>
      <c r="X9" s="251">
        <v>500</v>
      </c>
      <c r="Y9" s="251">
        <v>195</v>
      </c>
      <c r="Z9" s="249">
        <v>1500</v>
      </c>
      <c r="AA9" s="249">
        <v>1</v>
      </c>
      <c r="AB9" s="249">
        <v>1</v>
      </c>
      <c r="AC9" s="249">
        <v>1</v>
      </c>
      <c r="AD9" s="252">
        <v>1</v>
      </c>
    </row>
    <row r="10" spans="1:30" ht="15.75" thickBot="1">
      <c r="A10" s="27" t="s">
        <v>540</v>
      </c>
      <c r="B10" s="236" t="str">
        <f>Results!A12</f>
        <v>Floor13</v>
      </c>
      <c r="C10" s="237" t="str">
        <f>Results!B12</f>
        <v>Floors13</v>
      </c>
      <c r="D10" s="237" t="str">
        <f>Results!C12</f>
        <v>Floors</v>
      </c>
      <c r="E10" s="237">
        <f>Results!D12</f>
        <v>13</v>
      </c>
      <c r="F10" s="237" t="str">
        <f>Results!E12</f>
        <v>R-0</v>
      </c>
      <c r="G10" s="237" t="str">
        <f>Results!F12</f>
        <v>R-38</v>
      </c>
      <c r="H10" s="238" t="str">
        <f>Results!G12</f>
        <v>Heating Zone 1</v>
      </c>
      <c r="I10" s="237" t="str">
        <f>Results!H12</f>
        <v>Multi Family Weatherization - Insulate Floors - R-0 to R-38 - Heating Zone 1</v>
      </c>
      <c r="J10" s="216" t="s">
        <v>516</v>
      </c>
      <c r="K10" s="239">
        <f>Results!I12</f>
        <v>0.82229465253681466</v>
      </c>
      <c r="L10" s="240">
        <f>Results!J12</f>
        <v>-1.208112579456315E-2</v>
      </c>
      <c r="Q10"/>
      <c r="R10"/>
      <c r="S10"/>
      <c r="T10" s="253">
        <v>2688</v>
      </c>
      <c r="U10" s="254">
        <v>10152</v>
      </c>
      <c r="V10" s="255">
        <v>1</v>
      </c>
      <c r="W10" s="256">
        <v>8800</v>
      </c>
      <c r="X10" s="257">
        <v>8800</v>
      </c>
      <c r="Y10" s="257">
        <v>3960</v>
      </c>
      <c r="Z10" s="255">
        <v>26400</v>
      </c>
      <c r="AA10" s="255">
        <v>1</v>
      </c>
      <c r="AB10" s="255">
        <v>1</v>
      </c>
      <c r="AC10" s="255">
        <v>1</v>
      </c>
      <c r="AD10" s="258">
        <v>1</v>
      </c>
    </row>
    <row r="11" spans="1:30" ht="15.75" thickBot="1">
      <c r="A11" s="27" t="s">
        <v>544</v>
      </c>
      <c r="B11" s="236" t="str">
        <f>Results!A13</f>
        <v>Floor14</v>
      </c>
      <c r="C11" s="237" t="str">
        <f>Results!B13</f>
        <v>Floors14</v>
      </c>
      <c r="D11" s="237" t="str">
        <f>Results!C13</f>
        <v>Floors</v>
      </c>
      <c r="E11" s="237">
        <f>Results!D13</f>
        <v>14</v>
      </c>
      <c r="F11" s="237" t="str">
        <f>Results!E13</f>
        <v>R-19</v>
      </c>
      <c r="G11" s="237" t="str">
        <f>Results!F13</f>
        <v>R-25</v>
      </c>
      <c r="H11" s="238" t="str">
        <f>Results!G13</f>
        <v>Heating Zone 1</v>
      </c>
      <c r="I11" s="237" t="str">
        <f>Results!H13</f>
        <v>Multi Family Weatherization - Insulate Floors - R-19 to R-25 - Heating Zone 1</v>
      </c>
      <c r="J11" s="216" t="s">
        <v>516</v>
      </c>
      <c r="K11" s="239">
        <f>Results!I13</f>
        <v>8.9915943816454375E-2</v>
      </c>
      <c r="L11" s="240">
        <f>Results!J13</f>
        <v>-1.3929424644287583E-3</v>
      </c>
      <c r="Q11"/>
      <c r="R11"/>
      <c r="S11"/>
      <c r="T11" s="259" t="s">
        <v>547</v>
      </c>
      <c r="U11" s="260">
        <v>0</v>
      </c>
      <c r="V11" s="261">
        <v>1</v>
      </c>
      <c r="W11" s="261">
        <v>0</v>
      </c>
      <c r="X11" s="261">
        <v>0</v>
      </c>
      <c r="Y11" s="261">
        <v>0</v>
      </c>
      <c r="Z11" s="262">
        <v>0</v>
      </c>
    </row>
    <row r="12" spans="1:30" ht="15.75" thickBot="1">
      <c r="A12" s="27" t="s">
        <v>548</v>
      </c>
      <c r="B12" s="227" t="str">
        <f>Results!A14</f>
        <v>Floor15</v>
      </c>
      <c r="C12" s="228" t="str">
        <f>Results!B14</f>
        <v>Floors15</v>
      </c>
      <c r="D12" s="228" t="str">
        <f>Results!C14</f>
        <v>Floors</v>
      </c>
      <c r="E12" s="228">
        <f>Results!D14</f>
        <v>15</v>
      </c>
      <c r="F12" s="228" t="str">
        <f>Results!E14</f>
        <v>R-19</v>
      </c>
      <c r="G12" s="228" t="str">
        <f>Results!F14</f>
        <v>R-30</v>
      </c>
      <c r="H12" s="229" t="str">
        <f>Results!G14</f>
        <v>Heating Zone 1</v>
      </c>
      <c r="I12" s="228" t="str">
        <f>Results!H14</f>
        <v>Multi Family Weatherization - Insulate Floors - R-19 to R-30 - Heating Zone 1</v>
      </c>
      <c r="J12" s="216" t="s">
        <v>516</v>
      </c>
      <c r="K12" s="230">
        <f>Results!I14</f>
        <v>0.18473176355229112</v>
      </c>
      <c r="L12" s="231">
        <f>Results!J14</f>
        <v>-2.8929423508782201E-3</v>
      </c>
      <c r="Q12"/>
      <c r="R12"/>
      <c r="S12"/>
      <c r="T12"/>
      <c r="U12"/>
      <c r="V12"/>
      <c r="W12"/>
    </row>
    <row r="13" spans="1:30" ht="15.75" thickBot="1">
      <c r="A13" s="27" t="s">
        <v>551</v>
      </c>
      <c r="B13" s="236" t="str">
        <f>Results!A15</f>
        <v>Floor16</v>
      </c>
      <c r="C13" s="237" t="str">
        <f>Results!B15</f>
        <v>Floors16</v>
      </c>
      <c r="D13" s="237" t="str">
        <f>Results!C15</f>
        <v>Floors</v>
      </c>
      <c r="E13" s="237">
        <f>Results!D15</f>
        <v>16</v>
      </c>
      <c r="F13" s="237" t="str">
        <f>Results!E15</f>
        <v>R-19</v>
      </c>
      <c r="G13" s="237" t="str">
        <f>Results!F15</f>
        <v>R-38</v>
      </c>
      <c r="H13" s="238" t="str">
        <f>Results!G15</f>
        <v>Heating Zone 1</v>
      </c>
      <c r="I13" s="237" t="str">
        <f>Results!H15</f>
        <v>Multi Family Weatherization - Insulate Floors - R-19 to R-38 - Heating Zone 1</v>
      </c>
      <c r="J13" s="216" t="s">
        <v>516</v>
      </c>
      <c r="K13" s="239">
        <f>Results!I15</f>
        <v>0.2099653434622214</v>
      </c>
      <c r="L13" s="240">
        <f>Results!J15</f>
        <v>-3.2975971855740533E-3</v>
      </c>
      <c r="Q13"/>
      <c r="R13"/>
      <c r="S13"/>
      <c r="T13"/>
      <c r="U13"/>
      <c r="V13"/>
      <c r="W13"/>
    </row>
    <row r="14" spans="1:30" ht="15.75" thickBot="1">
      <c r="A14" s="27" t="s">
        <v>554</v>
      </c>
      <c r="B14" s="236" t="str">
        <f>Results!A16</f>
        <v>Floor17</v>
      </c>
      <c r="C14" s="237" t="str">
        <f>Results!B16</f>
        <v>Floors17</v>
      </c>
      <c r="D14" s="237" t="str">
        <f>Results!C16</f>
        <v>Floors</v>
      </c>
      <c r="E14" s="237">
        <f>Results!D16</f>
        <v>17</v>
      </c>
      <c r="F14" s="237" t="str">
        <f>Results!E16</f>
        <v>R-11</v>
      </c>
      <c r="G14" s="237" t="str">
        <f>Results!F16</f>
        <v>R-30</v>
      </c>
      <c r="H14" s="238" t="str">
        <f>Results!G16</f>
        <v>Heating Zone 1</v>
      </c>
      <c r="I14" s="237" t="str">
        <f>Results!H16</f>
        <v>Multi Family Weatherization - Insulate Floors - R-11 to R-30 - Heating Zone 1</v>
      </c>
      <c r="J14" s="216" t="s">
        <v>516</v>
      </c>
      <c r="K14" s="239">
        <f>Results!I16</f>
        <v>1.779350117117654</v>
      </c>
      <c r="L14" s="240">
        <f>Results!J16</f>
        <v>-2.3472513564742826E-2</v>
      </c>
      <c r="Q14"/>
      <c r="R14"/>
      <c r="S14"/>
      <c r="T14"/>
      <c r="U14"/>
      <c r="V14"/>
      <c r="W14"/>
    </row>
    <row r="15" spans="1:30" ht="15.75" thickBot="1">
      <c r="A15" s="27" t="s">
        <v>521</v>
      </c>
      <c r="B15" s="236" t="str">
        <f>Results!A17</f>
        <v>Floor18</v>
      </c>
      <c r="C15" s="237" t="str">
        <f>Results!B17</f>
        <v>Floors18</v>
      </c>
      <c r="D15" s="237" t="str">
        <f>Results!C17</f>
        <v>Floors</v>
      </c>
      <c r="E15" s="237">
        <f>Results!D17</f>
        <v>18</v>
      </c>
      <c r="F15" s="237" t="str">
        <f>Results!E17</f>
        <v>R-0</v>
      </c>
      <c r="G15" s="237" t="str">
        <f>Results!F17</f>
        <v>R-19</v>
      </c>
      <c r="H15" s="238" t="str">
        <f>Results!G17</f>
        <v>Heating Zone 1</v>
      </c>
      <c r="I15" s="237" t="str">
        <f>Results!H17</f>
        <v>Multi Family Weatherization - Insulate Floors - R-0 to R-19 - Heating Zone 1</v>
      </c>
      <c r="J15" s="216" t="s">
        <v>516</v>
      </c>
      <c r="K15" s="239">
        <f>Results!I17</f>
        <v>0.61232930907459315</v>
      </c>
      <c r="L15" s="240">
        <f>Results!J17</f>
        <v>-8.7835286089890958E-3</v>
      </c>
      <c r="Q15"/>
      <c r="R15"/>
      <c r="S15"/>
      <c r="T15"/>
      <c r="U15"/>
      <c r="V15"/>
      <c r="W15"/>
    </row>
    <row r="16" spans="1:30" ht="15.75" thickBot="1">
      <c r="A16" s="27" t="s">
        <v>559</v>
      </c>
      <c r="B16" s="263" t="str">
        <f>Results!A18</f>
        <v>Ceili10</v>
      </c>
      <c r="C16" s="264" t="str">
        <f>Results!B18</f>
        <v>Ceiling10</v>
      </c>
      <c r="D16" s="264" t="str">
        <f>Results!C18</f>
        <v>Ceiling</v>
      </c>
      <c r="E16" s="264">
        <f>Results!D18</f>
        <v>10</v>
      </c>
      <c r="F16" s="264" t="str">
        <f>Results!E18</f>
        <v>R-0</v>
      </c>
      <c r="G16" s="264" t="str">
        <f>Results!F18</f>
        <v>R-19</v>
      </c>
      <c r="H16" s="265" t="str">
        <f>Results!G18</f>
        <v>Heating Zone 1</v>
      </c>
      <c r="I16" s="264" t="str">
        <f>Results!H18</f>
        <v>Multi Family Weatherization - Insulate Attic - R-0 to R-19 - Heating Zone 1</v>
      </c>
      <c r="J16" s="216" t="s">
        <v>516</v>
      </c>
      <c r="K16" s="266">
        <f>Results!I18</f>
        <v>0.48191356665449658</v>
      </c>
      <c r="L16" s="267">
        <f>Results!J18</f>
        <v>7.3608888970991011E-3</v>
      </c>
      <c r="Q16"/>
      <c r="R16"/>
      <c r="S16"/>
      <c r="T16"/>
      <c r="U16"/>
      <c r="V16"/>
      <c r="W16"/>
    </row>
    <row r="17" spans="1:23" ht="15.75" thickBot="1">
      <c r="A17" s="27" t="s">
        <v>562</v>
      </c>
      <c r="B17" s="227" t="str">
        <f>Results!A19</f>
        <v>Ceili11</v>
      </c>
      <c r="C17" s="228" t="str">
        <f>Results!B19</f>
        <v>Ceiling11</v>
      </c>
      <c r="D17" s="228" t="str">
        <f>Results!C19</f>
        <v>Ceiling</v>
      </c>
      <c r="E17" s="228">
        <f>Results!D19</f>
        <v>11</v>
      </c>
      <c r="F17" s="228" t="str">
        <f>Results!E19</f>
        <v>R-0</v>
      </c>
      <c r="G17" s="228" t="str">
        <f>Results!F19</f>
        <v>R-38</v>
      </c>
      <c r="H17" s="229" t="str">
        <f>Results!G19</f>
        <v>Heating Zone 1</v>
      </c>
      <c r="I17" s="228" t="str">
        <f>Results!H19</f>
        <v>Multi Family Weatherization - Insulate Attic - R-0 to R-38 - Heating Zone 1</v>
      </c>
      <c r="J17" s="216" t="s">
        <v>516</v>
      </c>
      <c r="K17" s="230">
        <f>Results!I19</f>
        <v>0.65629311030109294</v>
      </c>
      <c r="L17" s="231">
        <f>Results!J19</f>
        <v>1.0076534338269365E-2</v>
      </c>
      <c r="Q17"/>
      <c r="R17"/>
      <c r="S17"/>
      <c r="T17"/>
      <c r="U17"/>
      <c r="V17"/>
      <c r="W17"/>
    </row>
    <row r="18" spans="1:23" ht="15.75" thickBot="1">
      <c r="A18" s="27" t="s">
        <v>565</v>
      </c>
      <c r="B18" s="227" t="str">
        <f>Results!A20</f>
        <v>Ceili12</v>
      </c>
      <c r="C18" s="228" t="str">
        <f>Results!B20</f>
        <v>Ceiling12</v>
      </c>
      <c r="D18" s="228" t="str">
        <f>Results!C20</f>
        <v>Ceiling</v>
      </c>
      <c r="E18" s="228">
        <f>Results!D20</f>
        <v>12</v>
      </c>
      <c r="F18" s="228" t="str">
        <f>Results!E20</f>
        <v>R-0</v>
      </c>
      <c r="G18" s="228" t="str">
        <f>Results!F20</f>
        <v>R-49</v>
      </c>
      <c r="H18" s="229" t="str">
        <f>Results!G20</f>
        <v>Heating Zone 1</v>
      </c>
      <c r="I18" s="228" t="str">
        <f>Results!H20</f>
        <v>Multi Family Weatherization - Insulate Attic - R-0 to R-49 - Heating Zone 1</v>
      </c>
      <c r="J18" s="216" t="s">
        <v>516</v>
      </c>
      <c r="K18" s="230">
        <f>Results!I20</f>
        <v>0.6967225438678748</v>
      </c>
      <c r="L18" s="231">
        <f>Results!J20</f>
        <v>1.0711230939987815E-2</v>
      </c>
      <c r="Q18"/>
      <c r="R18"/>
      <c r="S18"/>
      <c r="T18"/>
      <c r="U18"/>
      <c r="V18"/>
      <c r="W18"/>
    </row>
    <row r="19" spans="1:23" ht="15.75" thickBot="1">
      <c r="A19" s="27" t="s">
        <v>569</v>
      </c>
      <c r="B19" s="227" t="str">
        <f>Results!A21</f>
        <v>Ceili13</v>
      </c>
      <c r="C19" s="228" t="str">
        <f>Results!B21</f>
        <v>Ceiling13</v>
      </c>
      <c r="D19" s="228" t="str">
        <f>Results!C21</f>
        <v>Ceiling</v>
      </c>
      <c r="E19" s="228">
        <f>Results!D21</f>
        <v>13</v>
      </c>
      <c r="F19" s="228" t="str">
        <f>Results!E21</f>
        <v>R-30</v>
      </c>
      <c r="G19" s="228" t="str">
        <f>Results!F21</f>
        <v>R-38</v>
      </c>
      <c r="H19" s="229" t="str">
        <f>Results!G21</f>
        <v>Heating Zone 1</v>
      </c>
      <c r="I19" s="228" t="str">
        <f>Results!H21</f>
        <v>Multi Family Weatherization - Insulate Attic - R-30 to R-38 - Heating Zone 1</v>
      </c>
      <c r="J19" s="216" t="s">
        <v>516</v>
      </c>
      <c r="K19" s="230">
        <f>Results!I21</f>
        <v>4.7997574888966436E-2</v>
      </c>
      <c r="L19" s="231">
        <f>Results!J21</f>
        <v>7.5085046064065199E-4</v>
      </c>
      <c r="Q19"/>
      <c r="R19"/>
      <c r="S19"/>
      <c r="T19"/>
      <c r="U19"/>
      <c r="V19"/>
      <c r="W19"/>
    </row>
    <row r="20" spans="1:23" ht="15.75" thickBot="1">
      <c r="A20" s="27" t="s">
        <v>572</v>
      </c>
      <c r="B20" s="227" t="str">
        <f>Results!A22</f>
        <v>Ceili14</v>
      </c>
      <c r="C20" s="228" t="str">
        <f>Results!B22</f>
        <v>Ceiling14</v>
      </c>
      <c r="D20" s="228" t="str">
        <f>Results!C22</f>
        <v>Ceiling</v>
      </c>
      <c r="E20" s="228">
        <f>Results!D22</f>
        <v>14</v>
      </c>
      <c r="F20" s="228" t="str">
        <f>Results!E22</f>
        <v>R-30</v>
      </c>
      <c r="G20" s="228" t="str">
        <f>Results!F22</f>
        <v>R-49</v>
      </c>
      <c r="H20" s="229" t="str">
        <f>Results!G22</f>
        <v>Heating Zone 1</v>
      </c>
      <c r="I20" s="228" t="str">
        <f>Results!H22</f>
        <v>Multi Family Weatherization - Insulate Attic - R-30 to R-49 - Heating Zone 1</v>
      </c>
      <c r="J20" s="216" t="s">
        <v>516</v>
      </c>
      <c r="K20" s="230">
        <f>Results!I22</f>
        <v>8.8427008455748093E-2</v>
      </c>
      <c r="L20" s="231">
        <f>Results!J22</f>
        <v>1.3855470623591001E-3</v>
      </c>
      <c r="Q20"/>
      <c r="R20"/>
      <c r="S20"/>
      <c r="T20"/>
      <c r="U20"/>
      <c r="V20"/>
      <c r="W20"/>
    </row>
    <row r="21" spans="1:23" ht="15.75" thickBot="1">
      <c r="A21" s="27" t="s">
        <v>575</v>
      </c>
      <c r="B21" s="227" t="str">
        <f>Results!A23</f>
        <v>Ceili15</v>
      </c>
      <c r="C21" s="228" t="str">
        <f>Results!B23</f>
        <v>Ceiling15</v>
      </c>
      <c r="D21" s="228" t="str">
        <f>Results!C23</f>
        <v>Ceiling</v>
      </c>
      <c r="E21" s="228">
        <f>Results!D23</f>
        <v>15</v>
      </c>
      <c r="F21" s="228" t="str">
        <f>Results!E23</f>
        <v>R-19</v>
      </c>
      <c r="G21" s="228" t="str">
        <f>Results!F23</f>
        <v>R-30</v>
      </c>
      <c r="H21" s="229" t="str">
        <f>Results!G23</f>
        <v>Heating Zone 1</v>
      </c>
      <c r="I21" s="228" t="str">
        <f>Results!H23</f>
        <v>Multi Family Weatherization - Insulate Attic - R-19 to R-30 - Heating Zone 1</v>
      </c>
      <c r="J21" s="216" t="s">
        <v>516</v>
      </c>
      <c r="K21" s="230">
        <f>Results!I23</f>
        <v>0.12638196875763003</v>
      </c>
      <c r="L21" s="231">
        <f>Results!J23</f>
        <v>1.9647949805296134E-3</v>
      </c>
      <c r="Q21"/>
      <c r="R21"/>
      <c r="S21"/>
      <c r="T21"/>
      <c r="U21"/>
      <c r="V21"/>
      <c r="W21"/>
    </row>
    <row r="22" spans="1:23" ht="15.75" thickBot="1">
      <c r="A22" s="27" t="s">
        <v>578</v>
      </c>
      <c r="B22" s="227" t="str">
        <f>Results!A24</f>
        <v>Ceili16</v>
      </c>
      <c r="C22" s="228" t="str">
        <f>Results!B24</f>
        <v>Ceiling16</v>
      </c>
      <c r="D22" s="228" t="str">
        <f>Results!C24</f>
        <v>Ceiling</v>
      </c>
      <c r="E22" s="228">
        <f>Results!D24</f>
        <v>16</v>
      </c>
      <c r="F22" s="228" t="str">
        <f>Results!E24</f>
        <v>R-19</v>
      </c>
      <c r="G22" s="228" t="str">
        <f>Results!F24</f>
        <v>R-38</v>
      </c>
      <c r="H22" s="229" t="str">
        <f>Results!G24</f>
        <v>Heating Zone 1</v>
      </c>
      <c r="I22" s="228" t="str">
        <f>Results!H24</f>
        <v>Multi Family Weatherization - Insulate Attic - R-19 to R-38 - Heating Zone 1</v>
      </c>
      <c r="J22" s="216" t="s">
        <v>516</v>
      </c>
      <c r="K22" s="230">
        <f>Results!I24</f>
        <v>0.17437954364659647</v>
      </c>
      <c r="L22" s="231">
        <f>Results!J24</f>
        <v>2.7156454411702657E-3</v>
      </c>
      <c r="Q22"/>
      <c r="R22"/>
      <c r="S22"/>
      <c r="T22"/>
      <c r="U22"/>
      <c r="V22"/>
      <c r="W22"/>
    </row>
    <row r="23" spans="1:23" ht="15.75" thickBot="1">
      <c r="A23" s="27" t="s">
        <v>581</v>
      </c>
      <c r="B23" s="227" t="str">
        <f>Results!A25</f>
        <v>Ceili17</v>
      </c>
      <c r="C23" s="228" t="str">
        <f>Results!B25</f>
        <v>Ceiling17</v>
      </c>
      <c r="D23" s="228" t="str">
        <f>Results!C25</f>
        <v>Ceiling</v>
      </c>
      <c r="E23" s="228">
        <f>Results!D25</f>
        <v>17</v>
      </c>
      <c r="F23" s="228" t="str">
        <f>Results!E25</f>
        <v>R-19</v>
      </c>
      <c r="G23" s="228" t="str">
        <f>Results!F25</f>
        <v>R-49</v>
      </c>
      <c r="H23" s="229" t="str">
        <f>Results!G25</f>
        <v>Heating Zone 1</v>
      </c>
      <c r="I23" s="228" t="str">
        <f>Results!H25</f>
        <v>Multi Family Weatherization - Insulate Attic - R-19 to R-49 - Heating Zone 1</v>
      </c>
      <c r="J23" s="216" t="s">
        <v>516</v>
      </c>
      <c r="K23" s="230">
        <f>Results!I25</f>
        <v>0.21480897721337811</v>
      </c>
      <c r="L23" s="231">
        <f>Results!J25</f>
        <v>3.3503420428887135E-3</v>
      </c>
      <c r="Q23"/>
      <c r="R23"/>
      <c r="S23"/>
      <c r="T23"/>
      <c r="U23"/>
      <c r="V23"/>
      <c r="W23"/>
    </row>
    <row r="24" spans="1:23" ht="15.75" thickBot="1">
      <c r="A24" s="27" t="s">
        <v>584</v>
      </c>
      <c r="B24" s="268" t="str">
        <f>Results!A26</f>
        <v>Ceili18</v>
      </c>
      <c r="C24" s="269" t="str">
        <f>Results!B26</f>
        <v>Ceiling18</v>
      </c>
      <c r="D24" s="269" t="str">
        <f>Results!C26</f>
        <v>Ceiling</v>
      </c>
      <c r="E24" s="269">
        <f>Results!D26</f>
        <v>18</v>
      </c>
      <c r="F24" s="269" t="str">
        <f>Results!E26</f>
        <v>R-38</v>
      </c>
      <c r="G24" s="269" t="str">
        <f>Results!F26</f>
        <v>R-49</v>
      </c>
      <c r="H24" s="270" t="str">
        <f>Results!G26</f>
        <v>Heating Zone 1</v>
      </c>
      <c r="I24" s="269" t="str">
        <f>Results!H26</f>
        <v>Multi Family Weatherization - Insulate Attic - R-38 to R-49 - Heating Zone 1</v>
      </c>
      <c r="J24" s="216" t="s">
        <v>516</v>
      </c>
      <c r="K24" s="271">
        <f>Results!I26</f>
        <v>4.0429433566781636E-2</v>
      </c>
      <c r="L24" s="272">
        <f>Results!J26</f>
        <v>6.3469660171844799E-4</v>
      </c>
      <c r="Q24"/>
      <c r="R24"/>
      <c r="S24"/>
      <c r="T24"/>
      <c r="U24"/>
      <c r="V24"/>
      <c r="W24"/>
    </row>
    <row r="25" spans="1:23" ht="15.75" thickBot="1">
      <c r="B25" s="236"/>
      <c r="C25" s="237"/>
      <c r="D25" s="237"/>
      <c r="E25" s="237"/>
      <c r="F25" s="237"/>
      <c r="G25" s="237"/>
      <c r="H25" s="238"/>
      <c r="I25" s="237"/>
      <c r="J25" s="216"/>
      <c r="K25" s="239"/>
      <c r="L25" s="240"/>
      <c r="Q25"/>
      <c r="R25"/>
      <c r="S25"/>
      <c r="T25"/>
      <c r="U25"/>
      <c r="V25"/>
      <c r="W25"/>
    </row>
    <row r="26" spans="1:23" ht="15.75" thickBot="1">
      <c r="B26" s="236"/>
      <c r="C26" s="237"/>
      <c r="D26" s="237"/>
      <c r="E26" s="237"/>
      <c r="F26" s="237"/>
      <c r="G26" s="237"/>
      <c r="H26" s="238"/>
      <c r="I26" s="237"/>
      <c r="J26" s="216"/>
      <c r="K26" s="239"/>
      <c r="L26" s="240"/>
      <c r="Q26"/>
      <c r="R26"/>
      <c r="S26"/>
      <c r="T26"/>
      <c r="U26"/>
      <c r="V26"/>
      <c r="W26"/>
    </row>
    <row r="27" spans="1:23" ht="15.75" thickBot="1">
      <c r="B27" s="236"/>
      <c r="C27" s="237"/>
      <c r="D27" s="237"/>
      <c r="E27" s="237"/>
      <c r="F27" s="237"/>
      <c r="G27" s="237"/>
      <c r="H27" s="238"/>
      <c r="I27" s="237"/>
      <c r="J27" s="216"/>
      <c r="K27" s="239"/>
      <c r="L27" s="240"/>
      <c r="Q27"/>
      <c r="R27"/>
      <c r="S27"/>
      <c r="T27"/>
      <c r="U27"/>
      <c r="V27"/>
      <c r="W27"/>
    </row>
    <row r="28" spans="1:23" ht="15.75" thickBot="1">
      <c r="B28" s="236"/>
      <c r="C28" s="237"/>
      <c r="D28" s="237"/>
      <c r="E28" s="237"/>
      <c r="F28" s="237"/>
      <c r="G28" s="237"/>
      <c r="H28" s="238"/>
      <c r="I28" s="237"/>
      <c r="J28" s="216"/>
      <c r="K28" s="239"/>
      <c r="L28" s="240"/>
      <c r="Q28"/>
      <c r="R28"/>
      <c r="S28"/>
      <c r="T28"/>
      <c r="U28"/>
      <c r="V28"/>
      <c r="W28"/>
    </row>
    <row r="29" spans="1:23" ht="15.75" thickBot="1">
      <c r="B29" s="236"/>
      <c r="C29" s="237"/>
      <c r="D29" s="237"/>
      <c r="E29" s="237"/>
      <c r="F29" s="237"/>
      <c r="G29" s="237"/>
      <c r="H29" s="238"/>
      <c r="I29" s="237"/>
      <c r="J29" s="216"/>
      <c r="K29" s="239"/>
      <c r="L29" s="240"/>
      <c r="Q29"/>
      <c r="R29"/>
      <c r="S29"/>
      <c r="T29"/>
      <c r="U29"/>
      <c r="V29"/>
      <c r="W29"/>
    </row>
    <row r="30" spans="1:23" ht="15.75" thickBot="1">
      <c r="B30" s="236"/>
      <c r="C30" s="237"/>
      <c r="D30" s="237"/>
      <c r="E30" s="237"/>
      <c r="F30" s="237"/>
      <c r="G30" s="237"/>
      <c r="H30" s="238"/>
      <c r="I30" s="237"/>
      <c r="J30" s="216"/>
      <c r="K30" s="239"/>
      <c r="L30" s="240"/>
      <c r="Q30"/>
      <c r="R30"/>
      <c r="S30"/>
      <c r="T30"/>
      <c r="U30"/>
      <c r="V30"/>
      <c r="W30"/>
    </row>
    <row r="31" spans="1:23" ht="15.75" thickBot="1">
      <c r="B31" s="236"/>
      <c r="C31" s="237"/>
      <c r="D31" s="237"/>
      <c r="E31" s="237"/>
      <c r="F31" s="237"/>
      <c r="G31" s="237"/>
      <c r="H31" s="238"/>
      <c r="I31" s="237"/>
      <c r="J31" s="216"/>
      <c r="K31" s="239"/>
      <c r="L31" s="240"/>
      <c r="Q31"/>
      <c r="R31"/>
      <c r="S31"/>
      <c r="T31"/>
      <c r="U31"/>
      <c r="V31"/>
      <c r="W31"/>
    </row>
    <row r="32" spans="1:23" ht="15.75" thickBot="1">
      <c r="B32" s="236"/>
      <c r="C32" s="237"/>
      <c r="D32" s="237"/>
      <c r="E32" s="237"/>
      <c r="F32" s="237"/>
      <c r="G32" s="237"/>
      <c r="H32" s="238"/>
      <c r="I32" s="237"/>
      <c r="J32" s="216"/>
      <c r="K32" s="239"/>
      <c r="L32" s="240"/>
      <c r="Q32"/>
      <c r="R32"/>
      <c r="S32"/>
      <c r="T32"/>
      <c r="U32"/>
      <c r="V32"/>
      <c r="W32"/>
    </row>
    <row r="33" spans="1:23" ht="15.75" thickBot="1">
      <c r="B33" s="236"/>
      <c r="C33" s="237"/>
      <c r="D33" s="237"/>
      <c r="E33" s="237"/>
      <c r="F33" s="237"/>
      <c r="G33" s="237"/>
      <c r="H33" s="238"/>
      <c r="I33" s="237"/>
      <c r="J33" s="216"/>
      <c r="K33" s="239"/>
      <c r="L33" s="240"/>
      <c r="Q33"/>
      <c r="R33"/>
      <c r="S33"/>
      <c r="T33"/>
      <c r="U33"/>
      <c r="V33"/>
      <c r="W33"/>
    </row>
    <row r="34" spans="1:23" ht="15.75" thickBot="1">
      <c r="A34" s="27" t="s">
        <v>612</v>
      </c>
      <c r="B34" s="236" t="str">
        <f>Results!A36</f>
        <v>Windo19</v>
      </c>
      <c r="C34" s="237" t="str">
        <f>Results!B36</f>
        <v>Windows19</v>
      </c>
      <c r="D34" s="237" t="str">
        <f>Results!C36</f>
        <v>Windows</v>
      </c>
      <c r="E34" s="237">
        <f>Results!D36</f>
        <v>19</v>
      </c>
      <c r="F34" s="237" t="str">
        <f>Results!E36</f>
        <v>Class 35</v>
      </c>
      <c r="G34" s="237" t="str">
        <f>Results!F36</f>
        <v>Class 22</v>
      </c>
      <c r="H34" s="238" t="str">
        <f>Results!G36</f>
        <v>Heating Zone 1</v>
      </c>
      <c r="I34" s="237" t="str">
        <f>Results!H36</f>
        <v>Windows - Class 35 to Class 22 - Heating Zone 1</v>
      </c>
      <c r="J34" s="216" t="s">
        <v>516</v>
      </c>
      <c r="K34" s="239">
        <f>Results!I36</f>
        <v>3.3675112501749838</v>
      </c>
      <c r="L34" s="240">
        <f>Results!J36</f>
        <v>5.8339821543650578E-3</v>
      </c>
      <c r="Q34"/>
      <c r="R34"/>
      <c r="S34"/>
      <c r="T34"/>
      <c r="U34"/>
      <c r="V34"/>
      <c r="W34"/>
    </row>
    <row r="35" spans="1:23" ht="15.75" thickBot="1">
      <c r="A35" s="27" t="s">
        <v>616</v>
      </c>
      <c r="B35" s="236" t="str">
        <f>Results!A37</f>
        <v>Windo20</v>
      </c>
      <c r="C35" s="237" t="str">
        <f>Results!B37</f>
        <v>Windows20</v>
      </c>
      <c r="D35" s="237" t="str">
        <f>Results!C37</f>
        <v>Windows</v>
      </c>
      <c r="E35" s="237">
        <f>Results!D37</f>
        <v>20</v>
      </c>
      <c r="F35" s="237" t="str">
        <f>Results!E37</f>
        <v>Single Pane</v>
      </c>
      <c r="G35" s="237" t="str">
        <f>Results!F37</f>
        <v>Class 22</v>
      </c>
      <c r="H35" s="238" t="str">
        <f>Results!G37</f>
        <v>Heating Zone 1</v>
      </c>
      <c r="I35" s="237" t="str">
        <f>Results!H37</f>
        <v>Windows - Single Pane to Class 22 - Heating Zone 1</v>
      </c>
      <c r="J35" s="216" t="s">
        <v>516</v>
      </c>
      <c r="K35" s="239">
        <f>Results!I37</f>
        <v>24.883701599526319</v>
      </c>
      <c r="L35" s="240">
        <f>Results!J37</f>
        <v>0.10625020895658716</v>
      </c>
      <c r="Q35"/>
      <c r="R35"/>
      <c r="S35"/>
      <c r="T35"/>
      <c r="U35"/>
      <c r="V35"/>
      <c r="W35"/>
    </row>
    <row r="36" spans="1:23" ht="15.75" thickBot="1">
      <c r="A36" s="27" t="s">
        <v>620</v>
      </c>
      <c r="B36" s="236" t="str">
        <f>Results!A38</f>
        <v>Windo21</v>
      </c>
      <c r="C36" s="237" t="str">
        <f>Results!B38</f>
        <v>Windows21</v>
      </c>
      <c r="D36" s="237" t="str">
        <f>Results!C38</f>
        <v>Windows</v>
      </c>
      <c r="E36" s="237">
        <f>Results!D38</f>
        <v>21</v>
      </c>
      <c r="F36" s="237" t="str">
        <f>Results!E38</f>
        <v>Double Pane</v>
      </c>
      <c r="G36" s="237" t="str">
        <f>Results!F38</f>
        <v>Class 22</v>
      </c>
      <c r="H36" s="238" t="str">
        <f>Results!G38</f>
        <v>Heating Zone 1</v>
      </c>
      <c r="I36" s="237" t="str">
        <f>Results!H38</f>
        <v>Windows - Double Pane to Class 22 - Heating Zone 1</v>
      </c>
      <c r="J36" s="216" t="s">
        <v>516</v>
      </c>
      <c r="K36" s="239">
        <f>Results!I38</f>
        <v>14.611891590243264</v>
      </c>
      <c r="L36" s="240">
        <f>Results!J38</f>
        <v>0.15474971732589815</v>
      </c>
      <c r="Q36"/>
      <c r="R36"/>
      <c r="S36"/>
      <c r="T36"/>
      <c r="U36"/>
      <c r="V36"/>
      <c r="W36"/>
    </row>
    <row r="37" spans="1:23" ht="15.75" thickBot="1">
      <c r="A37" s="27" t="s">
        <v>624</v>
      </c>
      <c r="B37" s="227" t="str">
        <f>Results!A39</f>
        <v>Windo22</v>
      </c>
      <c r="C37" s="228" t="str">
        <f>Results!B39</f>
        <v>Windows22</v>
      </c>
      <c r="D37" s="228" t="str">
        <f>Results!C39</f>
        <v>Windows</v>
      </c>
      <c r="E37" s="228">
        <f>Results!D39</f>
        <v>22</v>
      </c>
      <c r="F37" s="228" t="str">
        <f>Results!E39</f>
        <v>Single Pane</v>
      </c>
      <c r="G37" s="228" t="str">
        <f>Results!F39</f>
        <v>Class 30</v>
      </c>
      <c r="H37" s="229" t="str">
        <f>Results!G39</f>
        <v>Heating Zone 1</v>
      </c>
      <c r="I37" s="228" t="str">
        <f>Results!H39</f>
        <v>Windows - Single Pane to Class 30 - Heating Zone 1</v>
      </c>
      <c r="J37" s="216" t="s">
        <v>516</v>
      </c>
      <c r="K37" s="230">
        <f>Results!I39</f>
        <v>22.885264895116983</v>
      </c>
      <c r="L37" s="231">
        <f>Results!J39</f>
        <v>0.10099365989391489</v>
      </c>
      <c r="Q37"/>
      <c r="R37"/>
      <c r="S37"/>
      <c r="T37"/>
      <c r="U37"/>
      <c r="V37"/>
      <c r="W37"/>
    </row>
    <row r="38" spans="1:23" ht="15.75" thickBot="1">
      <c r="A38" s="27" t="s">
        <v>627</v>
      </c>
      <c r="B38" s="227" t="str">
        <f>Results!A40</f>
        <v>Windo23</v>
      </c>
      <c r="C38" s="228" t="str">
        <f>Results!B40</f>
        <v>Windows23</v>
      </c>
      <c r="D38" s="228" t="str">
        <f>Results!C40</f>
        <v>Windows</v>
      </c>
      <c r="E38" s="228">
        <f>Results!D40</f>
        <v>23</v>
      </c>
      <c r="F38" s="228" t="str">
        <f>Results!E40</f>
        <v>Double Pane</v>
      </c>
      <c r="G38" s="228" t="str">
        <f>Results!F40</f>
        <v>Class 30</v>
      </c>
      <c r="H38" s="229" t="str">
        <f>Results!G40</f>
        <v>Heating Zone 1</v>
      </c>
      <c r="I38" s="228" t="str">
        <f>Results!H40</f>
        <v>Windows - Double Pane to Class 30 - Heating Zone 1</v>
      </c>
      <c r="J38" s="216" t="s">
        <v>516</v>
      </c>
      <c r="K38" s="230">
        <f>Results!I40</f>
        <v>12.613454885833926</v>
      </c>
      <c r="L38" s="231">
        <f>Results!J40</f>
        <v>0.14949316826322587</v>
      </c>
      <c r="Q38"/>
      <c r="R38"/>
      <c r="S38"/>
      <c r="T38"/>
      <c r="U38"/>
      <c r="V38"/>
      <c r="W38"/>
    </row>
    <row r="39" spans="1:23" ht="15.75" thickBot="1">
      <c r="A39" s="27" t="s">
        <v>630</v>
      </c>
      <c r="B39" s="227" t="str">
        <f>Results!A41</f>
        <v>Windo24</v>
      </c>
      <c r="C39" s="228" t="str">
        <f>Results!B41</f>
        <v>Windows24</v>
      </c>
      <c r="D39" s="228" t="str">
        <f>Results!C41</f>
        <v>Windows</v>
      </c>
      <c r="E39" s="228">
        <f>Results!D41</f>
        <v>24</v>
      </c>
      <c r="F39" s="228" t="str">
        <f>Results!E41</f>
        <v>Class 35</v>
      </c>
      <c r="G39" s="228" t="str">
        <f>Results!F41</f>
        <v>Class 30</v>
      </c>
      <c r="H39" s="229" t="str">
        <f>Results!G41</f>
        <v>Heating Zone 1</v>
      </c>
      <c r="I39" s="228" t="str">
        <f>Results!H41</f>
        <v>Windows - Class 35 to Class 30 - Heating Zone 1</v>
      </c>
      <c r="J39" s="216" t="s">
        <v>516</v>
      </c>
      <c r="K39" s="230">
        <f>Results!I41</f>
        <v>1.3690745457656468</v>
      </c>
      <c r="L39" s="231">
        <f>Results!J41</f>
        <v>5.7743309169279347E-4</v>
      </c>
      <c r="Q39"/>
      <c r="R39"/>
      <c r="S39"/>
      <c r="T39"/>
      <c r="U39"/>
      <c r="V39"/>
      <c r="W39"/>
    </row>
    <row r="40" spans="1:23" ht="15.75" thickBot="1">
      <c r="A40" s="27" t="s">
        <v>501</v>
      </c>
      <c r="B40" s="263" t="str">
        <f>Results!A42</f>
        <v>Infil10</v>
      </c>
      <c r="C40" s="264" t="str">
        <f>Results!B42</f>
        <v>Infiltration10</v>
      </c>
      <c r="D40" s="264" t="str">
        <f>Results!C42</f>
        <v>Infiltration</v>
      </c>
      <c r="E40" s="264">
        <f>Results!D42</f>
        <v>10</v>
      </c>
      <c r="F40" s="264" t="str">
        <f>Results!E42</f>
        <v>0.45 ACHn</v>
      </c>
      <c r="G40" s="264" t="str">
        <f>Results!F42</f>
        <v>0.35 ACHn</v>
      </c>
      <c r="H40" s="265" t="str">
        <f>Results!G42</f>
        <v>Heating Zone 1</v>
      </c>
      <c r="I40" s="264" t="str">
        <f>Results!H42</f>
        <v>Infiltration Reduction - 0.45 ACHn to 0.35 ACHn - Heating Zone 1</v>
      </c>
      <c r="J40" s="216" t="s">
        <v>516</v>
      </c>
      <c r="K40" s="266">
        <f>Results!I42</f>
        <v>0</v>
      </c>
      <c r="L40" s="267">
        <f>Results!J42</f>
        <v>0</v>
      </c>
      <c r="Q40"/>
      <c r="R40"/>
      <c r="S40"/>
      <c r="T40"/>
      <c r="U40"/>
      <c r="V40"/>
      <c r="W40"/>
    </row>
    <row r="41" spans="1:23" ht="15.75" thickBot="1">
      <c r="A41" s="27" t="s">
        <v>636</v>
      </c>
      <c r="B41" s="236" t="str">
        <f>Results!A43</f>
        <v>Infil11</v>
      </c>
      <c r="C41" s="237" t="str">
        <f>Results!B43</f>
        <v>Infiltration11</v>
      </c>
      <c r="D41" s="237" t="str">
        <f>Results!C43</f>
        <v>Infiltration</v>
      </c>
      <c r="E41" s="237">
        <f>Results!D43</f>
        <v>11</v>
      </c>
      <c r="F41" s="237" t="str">
        <f>Results!E43</f>
        <v>0.45 ACHn</v>
      </c>
      <c r="G41" s="237" t="str">
        <f>Results!F43</f>
        <v>0.20 ACHn</v>
      </c>
      <c r="H41" s="238" t="str">
        <f>Results!G43</f>
        <v>Heating Zone 1</v>
      </c>
      <c r="I41" s="237" t="str">
        <f>Results!H43</f>
        <v>Infiltration Reduction - 0.45 ACHn to 0.20 ACHn - Heating Zone 1</v>
      </c>
      <c r="J41" s="216" t="s">
        <v>516</v>
      </c>
      <c r="K41" s="239">
        <f>Results!I43</f>
        <v>0</v>
      </c>
      <c r="L41" s="240">
        <f>Results!J43</f>
        <v>0</v>
      </c>
      <c r="Q41"/>
      <c r="R41"/>
      <c r="S41"/>
      <c r="T41"/>
      <c r="U41"/>
      <c r="V41"/>
      <c r="W41"/>
    </row>
    <row r="42" spans="1:23" ht="15.75" thickBot="1">
      <c r="A42" s="27" t="s">
        <v>640</v>
      </c>
      <c r="B42" s="273" t="str">
        <f>Results!A44</f>
        <v>Infil12</v>
      </c>
      <c r="C42" s="274" t="str">
        <f>Results!B44</f>
        <v>Infiltration12</v>
      </c>
      <c r="D42" s="274" t="str">
        <f>Results!C44</f>
        <v>Infiltration</v>
      </c>
      <c r="E42" s="274">
        <f>Results!D44</f>
        <v>12</v>
      </c>
      <c r="F42" s="274" t="str">
        <f>Results!E44</f>
        <v>0.35 ACHn</v>
      </c>
      <c r="G42" s="274" t="str">
        <f>Results!F44</f>
        <v>0.20 ACHn</v>
      </c>
      <c r="H42" s="275" t="str">
        <f>Results!G44</f>
        <v>Heating Zone 1</v>
      </c>
      <c r="I42" s="274" t="str">
        <f>Results!H44</f>
        <v>Infiltration Reduction - 0.35 ACHn to 0.20 ACHn - Heating Zone 1</v>
      </c>
      <c r="J42" s="216" t="s">
        <v>516</v>
      </c>
      <c r="K42" s="276">
        <f>Results!I44</f>
        <v>0</v>
      </c>
      <c r="L42" s="277">
        <f>Results!J44</f>
        <v>0</v>
      </c>
      <c r="Q42"/>
      <c r="R42"/>
      <c r="S42"/>
      <c r="T42"/>
      <c r="U42"/>
      <c r="V42"/>
      <c r="W42"/>
    </row>
    <row r="43" spans="1:23" ht="15.75" thickBot="1">
      <c r="A43" s="27" t="s">
        <v>643</v>
      </c>
      <c r="B43" s="227" t="str">
        <f>Results!A45</f>
        <v>DuctT10</v>
      </c>
      <c r="C43" s="228" t="str">
        <f>Results!B45</f>
        <v>DuctTightness10</v>
      </c>
      <c r="D43" s="228" t="str">
        <f>Results!C45</f>
        <v>DuctTightness</v>
      </c>
      <c r="E43" s="228">
        <f>Results!D45</f>
        <v>10</v>
      </c>
      <c r="F43" s="228" t="str">
        <f>Results!E45</f>
        <v>Std-crawl</v>
      </c>
      <c r="G43" s="228" t="str">
        <f>Results!F45</f>
        <v>PTCS-crawl</v>
      </c>
      <c r="H43" s="228" t="str">
        <f>Results!G45</f>
        <v>Heating Zone 1</v>
      </c>
      <c r="I43" s="228" t="str">
        <f>Results!H45</f>
        <v>DuctTightness - Std-crawl to PTCS-crawl - Heating Zone 1</v>
      </c>
      <c r="J43" s="216" t="s">
        <v>516</v>
      </c>
      <c r="K43" s="278">
        <f>Results!I45</f>
        <v>775.27385705196264</v>
      </c>
      <c r="L43" s="279">
        <f>Results!J45</f>
        <v>32.372798594665554</v>
      </c>
      <c r="Q43"/>
      <c r="R43"/>
      <c r="S43"/>
      <c r="T43"/>
      <c r="U43"/>
      <c r="V43"/>
      <c r="W43"/>
    </row>
    <row r="44" spans="1:23" ht="15.75" thickBot="1">
      <c r="A44" s="27" t="s">
        <v>648</v>
      </c>
      <c r="B44" s="280" t="str">
        <f>Results!A46</f>
        <v>DuctI10</v>
      </c>
      <c r="C44" s="281" t="str">
        <f>Results!B46</f>
        <v>DuctInsulation10</v>
      </c>
      <c r="D44" s="281" t="str">
        <f>Results!C46</f>
        <v>DuctInsulation</v>
      </c>
      <c r="E44" s="281">
        <f>Results!D46</f>
        <v>10</v>
      </c>
      <c r="F44" s="281" t="str">
        <f>Results!E46</f>
        <v>R-0</v>
      </c>
      <c r="G44" s="281" t="str">
        <f>Results!F46</f>
        <v>R-4.2</v>
      </c>
      <c r="H44" s="281" t="str">
        <f>Results!G46</f>
        <v>Heating Zone 1</v>
      </c>
      <c r="I44" s="281" t="str">
        <f>Results!H46</f>
        <v>DuctInsulation - R-0 to R-4.2 - Heating Zone 1</v>
      </c>
      <c r="J44" s="216" t="s">
        <v>516</v>
      </c>
      <c r="K44" s="282">
        <f>Results!I46</f>
        <v>72.127724303817104</v>
      </c>
      <c r="L44" s="283">
        <f>Results!J46</f>
        <v>2.0531495091048133</v>
      </c>
      <c r="Q44"/>
      <c r="R44"/>
      <c r="S44"/>
      <c r="T44"/>
      <c r="U44"/>
      <c r="V44"/>
      <c r="W44"/>
    </row>
    <row r="45" spans="1:23" ht="15.75" thickBot="1">
      <c r="A45" s="27" t="s">
        <v>652</v>
      </c>
      <c r="B45" s="236" t="str">
        <f>Results!A47</f>
        <v>DuctI11</v>
      </c>
      <c r="C45" s="237" t="str">
        <f>Results!B47</f>
        <v>DuctInsulation11</v>
      </c>
      <c r="D45" s="237" t="str">
        <f>Results!C47</f>
        <v>DuctInsulation</v>
      </c>
      <c r="E45" s="237">
        <f>Results!D47</f>
        <v>11</v>
      </c>
      <c r="F45" s="237" t="str">
        <f>Results!E47</f>
        <v>R-0</v>
      </c>
      <c r="G45" s="237" t="str">
        <f>Results!F47</f>
        <v>R-11</v>
      </c>
      <c r="H45" s="237" t="str">
        <f>Results!G47</f>
        <v>Heating Zone 1</v>
      </c>
      <c r="I45" s="237" t="str">
        <f>Results!H47</f>
        <v>DuctInsulation - R-0 to R-11 - Heating Zone 1</v>
      </c>
      <c r="J45" s="216" t="s">
        <v>516</v>
      </c>
      <c r="K45" s="284">
        <f>Results!I47</f>
        <v>99.383708851329658</v>
      </c>
      <c r="L45" s="285">
        <f>Results!J47</f>
        <v>2.8470316462295289</v>
      </c>
      <c r="Q45"/>
      <c r="R45"/>
      <c r="S45"/>
      <c r="T45"/>
      <c r="U45"/>
      <c r="V45"/>
      <c r="W45"/>
    </row>
    <row r="46" spans="1:23" ht="15.75" thickBot="1">
      <c r="A46" s="27" t="s">
        <v>655</v>
      </c>
      <c r="B46" s="273" t="str">
        <f>Results!A48</f>
        <v>DuctI12</v>
      </c>
      <c r="C46" s="274" t="str">
        <f>Results!B48</f>
        <v>DuctInsulation12</v>
      </c>
      <c r="D46" s="274" t="str">
        <f>Results!C48</f>
        <v>DuctInsulation</v>
      </c>
      <c r="E46" s="274">
        <f>Results!D48</f>
        <v>12</v>
      </c>
      <c r="F46" s="274" t="str">
        <f>Results!E48</f>
        <v>R-4.2</v>
      </c>
      <c r="G46" s="274" t="str">
        <f>Results!F48</f>
        <v>R-11</v>
      </c>
      <c r="H46" s="274" t="str">
        <f>Results!G48</f>
        <v>Heating Zone 1</v>
      </c>
      <c r="I46" s="274" t="str">
        <f>Results!H48</f>
        <v>DuctInsulation - R-4.2 to R-11 - Heating Zone 1</v>
      </c>
      <c r="J46" s="216" t="s">
        <v>516</v>
      </c>
      <c r="K46" s="286">
        <f>Results!I48</f>
        <v>27.255984547512558</v>
      </c>
      <c r="L46" s="287">
        <f>Results!J48</f>
        <v>0.79388213712471567</v>
      </c>
      <c r="Q46"/>
      <c r="R46"/>
      <c r="S46"/>
      <c r="T46"/>
      <c r="U46"/>
      <c r="V46"/>
      <c r="W46"/>
    </row>
    <row r="47" spans="1:23" ht="15.75" thickBot="1">
      <c r="A47" s="27" t="s">
        <v>658</v>
      </c>
      <c r="B47" s="236" t="str">
        <f>Results!A49</f>
        <v>HeatP10</v>
      </c>
      <c r="C47" s="237" t="str">
        <f>Results!B49</f>
        <v>HeatPump10</v>
      </c>
      <c r="D47" s="237" t="str">
        <f>Results!C49</f>
        <v>HeatPump</v>
      </c>
      <c r="E47" s="237">
        <f>Results!D49</f>
        <v>10</v>
      </c>
      <c r="F47" s="237" t="str">
        <f>Results!E49</f>
        <v>7.7/13</v>
      </c>
      <c r="G47" s="237" t="str">
        <f>Results!F49</f>
        <v>8.5/13</v>
      </c>
      <c r="H47" s="237" t="str">
        <f>Results!G49</f>
        <v>Heating Zone 1</v>
      </c>
      <c r="I47" s="237" t="str">
        <f>Results!H49</f>
        <v>HeatPump Upgrade - 7.7/13 to 8.5/13 - Heating Zone 1</v>
      </c>
      <c r="J47" s="216" t="s">
        <v>516</v>
      </c>
      <c r="K47" s="284">
        <f>Results!I49</f>
        <v>0</v>
      </c>
      <c r="L47" s="285">
        <f>Results!J49</f>
        <v>0</v>
      </c>
      <c r="Q47"/>
      <c r="R47"/>
      <c r="S47"/>
      <c r="T47"/>
      <c r="U47"/>
      <c r="V47"/>
      <c r="W47"/>
    </row>
    <row r="48" spans="1:23" ht="15.75" thickBot="1">
      <c r="A48" s="27" t="s">
        <v>663</v>
      </c>
      <c r="B48" s="236" t="str">
        <f>Results!A50</f>
        <v>HeatP11</v>
      </c>
      <c r="C48" s="237" t="str">
        <f>Results!B50</f>
        <v>HeatPump11</v>
      </c>
      <c r="D48" s="237" t="str">
        <f>Results!C50</f>
        <v>HeatPump</v>
      </c>
      <c r="E48" s="237">
        <f>Results!D50</f>
        <v>11</v>
      </c>
      <c r="F48" s="237" t="str">
        <f>Results!E50</f>
        <v>7.7/13</v>
      </c>
      <c r="G48" s="237" t="str">
        <f>Results!F50</f>
        <v>9.0/14</v>
      </c>
      <c r="H48" s="237" t="str">
        <f>Results!G50</f>
        <v>Heating Zone 1</v>
      </c>
      <c r="I48" s="237" t="str">
        <f>Results!H50</f>
        <v>HeatPump Upgrade - 7.7/13 to 9.0/14 - Heating Zone 1</v>
      </c>
      <c r="J48" s="216" t="s">
        <v>516</v>
      </c>
      <c r="K48" s="284">
        <f>Results!I50</f>
        <v>0</v>
      </c>
      <c r="L48" s="285">
        <f>Results!J50</f>
        <v>0</v>
      </c>
      <c r="Q48"/>
      <c r="R48"/>
      <c r="S48"/>
      <c r="T48"/>
      <c r="U48"/>
      <c r="V48"/>
      <c r="W48"/>
    </row>
    <row r="49" spans="1:23" ht="15.75" thickBot="1">
      <c r="A49" s="27" t="s">
        <v>667</v>
      </c>
      <c r="B49" s="273" t="str">
        <f>Results!A51</f>
        <v>HeatP12</v>
      </c>
      <c r="C49" s="274" t="str">
        <f>Results!B51</f>
        <v>HeatPump12</v>
      </c>
      <c r="D49" s="274" t="str">
        <f>Results!C51</f>
        <v>HeatPump</v>
      </c>
      <c r="E49" s="274">
        <f>Results!D51</f>
        <v>12</v>
      </c>
      <c r="F49" s="274" t="str">
        <f>Results!E51</f>
        <v>7.7/13</v>
      </c>
      <c r="G49" s="274" t="str">
        <f>Results!F51</f>
        <v>8.2/13</v>
      </c>
      <c r="H49" s="274" t="str">
        <f>Results!G51</f>
        <v>Heating Zone 1</v>
      </c>
      <c r="I49" s="274" t="str">
        <f>Results!H51</f>
        <v>HeatPump Upgrade - 7.7/13 to 8.2/13 - Heating Zone 1</v>
      </c>
      <c r="J49" s="216" t="s">
        <v>516</v>
      </c>
      <c r="K49" s="286">
        <f>Results!I51</f>
        <v>0</v>
      </c>
      <c r="L49" s="287">
        <f>Results!J51</f>
        <v>0</v>
      </c>
      <c r="Q49"/>
      <c r="R49"/>
      <c r="S49"/>
      <c r="T49"/>
      <c r="U49"/>
      <c r="V49"/>
      <c r="W49"/>
    </row>
    <row r="50" spans="1:23" ht="15.75" thickBot="1">
      <c r="A50" s="27" t="s">
        <v>671</v>
      </c>
      <c r="B50" s="288" t="str">
        <f>Results!A52</f>
        <v>HPCnt10</v>
      </c>
      <c r="C50" s="289" t="str">
        <f>Results!B52</f>
        <v>HPCntrls10</v>
      </c>
      <c r="D50" s="289" t="str">
        <f>Results!C52</f>
        <v>HPCntrls</v>
      </c>
      <c r="E50" s="289">
        <f>Results!D52</f>
        <v>10</v>
      </c>
      <c r="F50" s="289" t="str">
        <f>Results!E52</f>
        <v>Standard</v>
      </c>
      <c r="G50" s="289" t="str">
        <f>Results!F52</f>
        <v>PTCS</v>
      </c>
      <c r="H50" s="289" t="str">
        <f>Results!G52</f>
        <v>Heating Zone 1</v>
      </c>
      <c r="I50" s="289" t="str">
        <f>Results!H52</f>
        <v>HPCntrls Upgrade - Standard to PTCS - Heating Zone 1</v>
      </c>
      <c r="J50" s="216" t="s">
        <v>516</v>
      </c>
      <c r="K50" s="290">
        <f>Results!I52</f>
        <v>0</v>
      </c>
      <c r="L50" s="291">
        <f>Results!J52</f>
        <v>0</v>
      </c>
      <c r="Q50"/>
      <c r="R50"/>
      <c r="S50"/>
      <c r="T50"/>
      <c r="U50"/>
      <c r="V50"/>
      <c r="W50"/>
    </row>
    <row r="51" spans="1:23" ht="15.75" thickBot="1">
      <c r="A51" s="27" t="s">
        <v>675</v>
      </c>
      <c r="B51" s="292" t="str">
        <f>Results!A53</f>
        <v>Walls10</v>
      </c>
      <c r="C51" s="293" t="str">
        <f>Results!B53</f>
        <v>Walls10</v>
      </c>
      <c r="D51" s="293" t="str">
        <f>Results!C53</f>
        <v>Walls</v>
      </c>
      <c r="E51" s="293">
        <f>Results!D53</f>
        <v>10</v>
      </c>
      <c r="F51" s="293" t="str">
        <f>Results!E53</f>
        <v>R-0</v>
      </c>
      <c r="G51" s="293" t="str">
        <f>Results!F53</f>
        <v>R-11</v>
      </c>
      <c r="H51" s="294" t="str">
        <f>Results!G53</f>
        <v>Heating Zone 2</v>
      </c>
      <c r="I51" s="293" t="str">
        <f>Results!H53</f>
        <v>Multi Family Weatherization - Insulate Walls - R-0 to R-11 - Heating Zone 2</v>
      </c>
      <c r="J51" s="216" t="s">
        <v>516</v>
      </c>
      <c r="K51" s="218">
        <f>Results!I53</f>
        <v>1.8471391035583458</v>
      </c>
      <c r="L51" s="219">
        <f>Results!J53</f>
        <v>6.6665041738030959E-5</v>
      </c>
      <c r="Q51"/>
      <c r="R51"/>
      <c r="S51"/>
      <c r="T51"/>
      <c r="U51"/>
      <c r="V51"/>
      <c r="W51"/>
    </row>
    <row r="52" spans="1:23" ht="15.75" thickBot="1">
      <c r="A52" s="27" t="s">
        <v>676</v>
      </c>
      <c r="B52" s="222" t="str">
        <f>Results!A54</f>
        <v>BGWal10</v>
      </c>
      <c r="C52" s="223" t="str">
        <f>Results!B54</f>
        <v>BGWalls10</v>
      </c>
      <c r="D52" s="223" t="str">
        <f>Results!C54</f>
        <v>BGWalls</v>
      </c>
      <c r="E52" s="223">
        <f>Results!D54</f>
        <v>10</v>
      </c>
      <c r="F52" s="223" t="str">
        <f>Results!E54</f>
        <v>R-0</v>
      </c>
      <c r="G52" s="223" t="str">
        <f>Results!F54</f>
        <v>R-11</v>
      </c>
      <c r="H52" s="295" t="str">
        <f>Results!G54</f>
        <v>Heating Zone 2</v>
      </c>
      <c r="I52" s="223" t="str">
        <f>Results!H54</f>
        <v>Multi Family Weatherization - Insulate BGWalls - R-0 to R-11 - Heating Zone 2</v>
      </c>
      <c r="J52" s="216" t="s">
        <v>516</v>
      </c>
      <c r="K52" s="225">
        <f>Results!I54</f>
        <v>0</v>
      </c>
      <c r="L52" s="226">
        <f>Results!J54</f>
        <v>0</v>
      </c>
      <c r="Q52"/>
      <c r="R52"/>
      <c r="S52"/>
      <c r="T52"/>
      <c r="U52"/>
      <c r="V52"/>
      <c r="W52"/>
    </row>
    <row r="53" spans="1:23" ht="15.75" thickBot="1">
      <c r="A53" s="27" t="s">
        <v>677</v>
      </c>
      <c r="B53" s="236" t="str">
        <f>Results!A55</f>
        <v>Floor10</v>
      </c>
      <c r="C53" s="237" t="str">
        <f>Results!B55</f>
        <v>Floors10</v>
      </c>
      <c r="D53" s="237" t="str">
        <f>Results!C55</f>
        <v>Floors</v>
      </c>
      <c r="E53" s="237">
        <f>Results!D55</f>
        <v>10</v>
      </c>
      <c r="F53" s="237" t="str">
        <f>Results!E55</f>
        <v>R-0</v>
      </c>
      <c r="G53" s="237" t="str">
        <f>Results!F55</f>
        <v>R-19</v>
      </c>
      <c r="H53" s="296" t="str">
        <f>Results!G55</f>
        <v>Heating Zone 2</v>
      </c>
      <c r="I53" s="237" t="str">
        <f>Results!H55</f>
        <v>Multi Family Weatherization - Insulate Floors - R-0 to R-19 - Heating Zone 2</v>
      </c>
      <c r="J53" s="216" t="s">
        <v>516</v>
      </c>
      <c r="K53" s="230">
        <f>Results!I55</f>
        <v>0.75659771800754705</v>
      </c>
      <c r="L53" s="231">
        <f>Results!J55</f>
        <v>-8.4288292327183989E-3</v>
      </c>
      <c r="Q53"/>
      <c r="R53"/>
      <c r="S53"/>
      <c r="T53"/>
      <c r="U53"/>
      <c r="V53"/>
      <c r="W53"/>
    </row>
    <row r="54" spans="1:23" ht="15.75" thickBot="1">
      <c r="A54" s="27" t="s">
        <v>678</v>
      </c>
      <c r="B54" s="236" t="str">
        <f>Results!A56</f>
        <v>Floor11</v>
      </c>
      <c r="C54" s="237" t="str">
        <f>Results!B56</f>
        <v>Floors11</v>
      </c>
      <c r="D54" s="237" t="str">
        <f>Results!C56</f>
        <v>Floors</v>
      </c>
      <c r="E54" s="237">
        <f>Results!D56</f>
        <v>11</v>
      </c>
      <c r="F54" s="237" t="str">
        <f>Results!E56</f>
        <v>R-0</v>
      </c>
      <c r="G54" s="237" t="str">
        <f>Results!F56</f>
        <v>R-25</v>
      </c>
      <c r="H54" s="296" t="str">
        <f>Results!G56</f>
        <v>Heating Zone 2</v>
      </c>
      <c r="I54" s="237" t="str">
        <f>Results!H56</f>
        <v>Multi Family Weatherization - Insulate Floors - R-0 to R-25 - Heating Zone 2</v>
      </c>
      <c r="J54" s="216" t="s">
        <v>516</v>
      </c>
      <c r="K54" s="239">
        <f>Results!I56</f>
        <v>0.86886698664341477</v>
      </c>
      <c r="L54" s="240">
        <f>Results!J56</f>
        <v>-9.7798810619526971E-3</v>
      </c>
      <c r="Q54"/>
      <c r="R54"/>
      <c r="S54"/>
      <c r="T54"/>
      <c r="U54"/>
      <c r="V54"/>
      <c r="W54"/>
    </row>
    <row r="55" spans="1:23" ht="15.75" thickBot="1">
      <c r="A55" s="27" t="s">
        <v>679</v>
      </c>
      <c r="B55" s="236" t="str">
        <f>Results!A57</f>
        <v>Floor12</v>
      </c>
      <c r="C55" s="237" t="str">
        <f>Results!B57</f>
        <v>Floors12</v>
      </c>
      <c r="D55" s="237" t="str">
        <f>Results!C57</f>
        <v>Floors</v>
      </c>
      <c r="E55" s="237">
        <f>Results!D57</f>
        <v>12</v>
      </c>
      <c r="F55" s="237" t="str">
        <f>Results!E57</f>
        <v>R-0</v>
      </c>
      <c r="G55" s="237" t="str">
        <f>Results!F57</f>
        <v>R-30</v>
      </c>
      <c r="H55" s="296" t="str">
        <f>Results!G57</f>
        <v>Heating Zone 2</v>
      </c>
      <c r="I55" s="237" t="str">
        <f>Results!H57</f>
        <v>Multi Family Weatherization - Insulate Floors - R-0 to R-30 - Heating Zone 2</v>
      </c>
      <c r="J55" s="216" t="s">
        <v>516</v>
      </c>
      <c r="K55" s="230">
        <f>Results!I57</f>
        <v>0.98754151664153544</v>
      </c>
      <c r="L55" s="231">
        <f>Results!J57</f>
        <v>-1.1236769422259785E-2</v>
      </c>
      <c r="Q55"/>
      <c r="R55"/>
      <c r="S55"/>
      <c r="T55"/>
      <c r="U55"/>
      <c r="V55"/>
      <c r="W55"/>
    </row>
    <row r="56" spans="1:23" ht="15.75" thickBot="1">
      <c r="A56" s="27" t="s">
        <v>680</v>
      </c>
      <c r="B56" s="236" t="str">
        <f>Results!A58</f>
        <v>Floor13</v>
      </c>
      <c r="C56" s="237" t="str">
        <f>Results!B58</f>
        <v>Floors13</v>
      </c>
      <c r="D56" s="237" t="str">
        <f>Results!C58</f>
        <v>Floors</v>
      </c>
      <c r="E56" s="237">
        <f>Results!D58</f>
        <v>13</v>
      </c>
      <c r="F56" s="237" t="str">
        <f>Results!E58</f>
        <v>R-0</v>
      </c>
      <c r="G56" s="237" t="str">
        <f>Results!F58</f>
        <v>R-38</v>
      </c>
      <c r="H56" s="296" t="str">
        <f>Results!G58</f>
        <v>Heating Zone 2</v>
      </c>
      <c r="I56" s="237" t="str">
        <f>Results!H58</f>
        <v>Multi Family Weatherization - Insulate Floors - R-0 to R-38 - Heating Zone 2</v>
      </c>
      <c r="J56" s="216" t="s">
        <v>516</v>
      </c>
      <c r="K56" s="239">
        <f>Results!I58</f>
        <v>1.0191855749025427</v>
      </c>
      <c r="L56" s="240">
        <f>Results!J58</f>
        <v>-1.1630681065638594E-2</v>
      </c>
      <c r="Q56"/>
      <c r="R56"/>
      <c r="S56"/>
      <c r="T56"/>
      <c r="U56"/>
      <c r="V56"/>
      <c r="W56"/>
    </row>
    <row r="57" spans="1:23" ht="15.75" thickBot="1">
      <c r="A57" s="27" t="s">
        <v>681</v>
      </c>
      <c r="B57" s="236" t="str">
        <f>Results!A59</f>
        <v>Floor14</v>
      </c>
      <c r="C57" s="237" t="str">
        <f>Results!B59</f>
        <v>Floors14</v>
      </c>
      <c r="D57" s="237" t="str">
        <f>Results!C59</f>
        <v>Floors</v>
      </c>
      <c r="E57" s="237">
        <f>Results!D59</f>
        <v>14</v>
      </c>
      <c r="F57" s="237" t="str">
        <f>Results!E59</f>
        <v>R-19</v>
      </c>
      <c r="G57" s="237" t="str">
        <f>Results!F59</f>
        <v>R-25</v>
      </c>
      <c r="H57" s="296" t="str">
        <f>Results!G59</f>
        <v>Heating Zone 2</v>
      </c>
      <c r="I57" s="237" t="str">
        <f>Results!H59</f>
        <v>Multi Family Weatherization - Insulate Floors - R-19 to R-25 - Heating Zone 2</v>
      </c>
      <c r="J57" s="216" t="s">
        <v>516</v>
      </c>
      <c r="K57" s="239">
        <f>Results!I59</f>
        <v>0.1122692686358677</v>
      </c>
      <c r="L57" s="240">
        <f>Results!J59</f>
        <v>-1.3510518292342987E-3</v>
      </c>
      <c r="Q57"/>
      <c r="R57"/>
      <c r="S57"/>
      <c r="T57"/>
      <c r="U57"/>
      <c r="V57"/>
      <c r="W57"/>
    </row>
    <row r="58" spans="1:23" ht="15.75" thickBot="1">
      <c r="A58" s="27" t="s">
        <v>682</v>
      </c>
      <c r="B58" s="236" t="str">
        <f>Results!A60</f>
        <v>Floor15</v>
      </c>
      <c r="C58" s="237" t="str">
        <f>Results!B60</f>
        <v>Floors15</v>
      </c>
      <c r="D58" s="237" t="str">
        <f>Results!C60</f>
        <v>Floors</v>
      </c>
      <c r="E58" s="237">
        <f>Results!D60</f>
        <v>15</v>
      </c>
      <c r="F58" s="237" t="str">
        <f>Results!E60</f>
        <v>R-19</v>
      </c>
      <c r="G58" s="237" t="str">
        <f>Results!F60</f>
        <v>R-30</v>
      </c>
      <c r="H58" s="296" t="str">
        <f>Results!G60</f>
        <v>Heating Zone 2</v>
      </c>
      <c r="I58" s="237" t="str">
        <f>Results!H60</f>
        <v>Multi Family Weatherization - Insulate Floors - R-19 to R-30 - Heating Zone 2</v>
      </c>
      <c r="J58" s="216" t="s">
        <v>516</v>
      </c>
      <c r="K58" s="230">
        <f>Results!I60</f>
        <v>0.23094379863398856</v>
      </c>
      <c r="L58" s="231">
        <f>Results!J60</f>
        <v>-2.8079401895413866E-3</v>
      </c>
      <c r="Q58"/>
      <c r="S58"/>
      <c r="T58"/>
      <c r="U58"/>
      <c r="V58"/>
      <c r="W58"/>
    </row>
    <row r="59" spans="1:23" ht="15.75" thickBot="1">
      <c r="A59" s="27" t="s">
        <v>683</v>
      </c>
      <c r="B59" s="236" t="str">
        <f>Results!A61</f>
        <v>Floor16</v>
      </c>
      <c r="C59" s="237" t="str">
        <f>Results!B61</f>
        <v>Floors16</v>
      </c>
      <c r="D59" s="237" t="str">
        <f>Results!C61</f>
        <v>Floors</v>
      </c>
      <c r="E59" s="237">
        <f>Results!D61</f>
        <v>16</v>
      </c>
      <c r="F59" s="237" t="str">
        <f>Results!E61</f>
        <v>R-19</v>
      </c>
      <c r="G59" s="237" t="str">
        <f>Results!F61</f>
        <v>R-38</v>
      </c>
      <c r="H59" s="296" t="str">
        <f>Results!G61</f>
        <v>Heating Zone 2</v>
      </c>
      <c r="I59" s="237" t="str">
        <f>Results!H61</f>
        <v>Multi Family Weatherization - Insulate Floors - R-19 to R-38 - Heating Zone 2</v>
      </c>
      <c r="J59" s="216" t="s">
        <v>516</v>
      </c>
      <c r="K59" s="239">
        <f>Results!I61</f>
        <v>0.26258785689499553</v>
      </c>
      <c r="L59" s="240">
        <f>Results!J61</f>
        <v>-3.2018518329201945E-3</v>
      </c>
      <c r="Q59"/>
      <c r="S59"/>
      <c r="T59"/>
      <c r="U59"/>
      <c r="V59"/>
      <c r="W59"/>
    </row>
    <row r="60" spans="1:23" ht="15.75" thickBot="1">
      <c r="A60" s="27" t="s">
        <v>684</v>
      </c>
      <c r="B60" s="236" t="str">
        <f>Results!A62</f>
        <v>Floor17</v>
      </c>
      <c r="C60" s="237" t="str">
        <f>Results!B62</f>
        <v>Floors17</v>
      </c>
      <c r="D60" s="237" t="str">
        <f>Results!C62</f>
        <v>Floors</v>
      </c>
      <c r="E60" s="237">
        <f>Results!D62</f>
        <v>17</v>
      </c>
      <c r="F60" s="237" t="str">
        <f>Results!E62</f>
        <v>R-11</v>
      </c>
      <c r="G60" s="237" t="str">
        <f>Results!F62</f>
        <v>R-30</v>
      </c>
      <c r="H60" s="296" t="str">
        <f>Results!G62</f>
        <v>Heating Zone 2</v>
      </c>
      <c r="I60" s="237" t="str">
        <f>Results!H62</f>
        <v>Multi Family Weatherization - Insulate Floors - R-11 to R-30 - Heating Zone 2</v>
      </c>
      <c r="J60" s="216" t="s">
        <v>516</v>
      </c>
      <c r="K60" s="239">
        <f>Results!I62</f>
        <v>2.1749172813621627</v>
      </c>
      <c r="L60" s="240">
        <f>Results!J62</f>
        <v>-2.2349939484283422E-2</v>
      </c>
      <c r="Q60"/>
      <c r="S60"/>
      <c r="T60"/>
      <c r="U60"/>
      <c r="V60"/>
      <c r="W60"/>
    </row>
    <row r="61" spans="1:23" ht="15.75" thickBot="1">
      <c r="A61" s="27" t="s">
        <v>677</v>
      </c>
      <c r="B61" s="236" t="str">
        <f>Results!A63</f>
        <v>Floor18</v>
      </c>
      <c r="C61" s="237" t="str">
        <f>Results!B63</f>
        <v>Floors18</v>
      </c>
      <c r="D61" s="237" t="str">
        <f>Results!C63</f>
        <v>Floors</v>
      </c>
      <c r="E61" s="237">
        <f>Results!D63</f>
        <v>18</v>
      </c>
      <c r="F61" s="237" t="str">
        <f>Results!E63</f>
        <v>R-0</v>
      </c>
      <c r="G61" s="237" t="str">
        <f>Results!F63</f>
        <v>R-19</v>
      </c>
      <c r="H61" s="296" t="str">
        <f>Results!G63</f>
        <v>Heating Zone 2</v>
      </c>
      <c r="I61" s="237" t="str">
        <f>Results!H63</f>
        <v>Multi Family Weatherization - Insulate Floors - R-0 to R-19 - Heating Zone 2</v>
      </c>
      <c r="J61" s="216" t="s">
        <v>516</v>
      </c>
      <c r="K61" s="239">
        <f>Results!I63</f>
        <v>0.75659771800754705</v>
      </c>
      <c r="L61" s="240">
        <f>Results!J63</f>
        <v>-8.4288292327183989E-3</v>
      </c>
      <c r="Q61"/>
      <c r="S61"/>
      <c r="T61"/>
      <c r="U61"/>
      <c r="V61"/>
      <c r="W61"/>
    </row>
    <row r="62" spans="1:23" ht="15.75" thickBot="1">
      <c r="A62" s="27" t="s">
        <v>685</v>
      </c>
      <c r="B62" s="280" t="str">
        <f>Results!A64</f>
        <v>Ceili10</v>
      </c>
      <c r="C62" s="281" t="str">
        <f>Results!B64</f>
        <v>Ceiling10</v>
      </c>
      <c r="D62" s="281" t="str">
        <f>Results!C64</f>
        <v>Ceiling</v>
      </c>
      <c r="E62" s="281">
        <f>Results!D64</f>
        <v>10</v>
      </c>
      <c r="F62" s="281" t="str">
        <f>Results!E64</f>
        <v>R-0</v>
      </c>
      <c r="G62" s="281" t="str">
        <f>Results!F64</f>
        <v>R-19</v>
      </c>
      <c r="H62" s="297" t="str">
        <f>Results!G64</f>
        <v>Heating Zone 2</v>
      </c>
      <c r="I62" s="281" t="str">
        <f>Results!H64</f>
        <v>Multi Family Weatherization - Insulate Attic - R-0 to R-19 - Heating Zone 2</v>
      </c>
      <c r="J62" s="216" t="s">
        <v>516</v>
      </c>
      <c r="K62" s="266">
        <f>Results!I64</f>
        <v>0.47960203660850631</v>
      </c>
      <c r="L62" s="267">
        <f>Results!J64</f>
        <v>9.7284950845621908E-3</v>
      </c>
      <c r="Q62"/>
      <c r="S62"/>
      <c r="T62"/>
      <c r="U62"/>
      <c r="V62"/>
      <c r="W62"/>
    </row>
    <row r="63" spans="1:23" ht="15.75" thickBot="1">
      <c r="A63" s="27" t="s">
        <v>686</v>
      </c>
      <c r="B63" s="236" t="str">
        <f>Results!A65</f>
        <v>Ceili11</v>
      </c>
      <c r="C63" s="237" t="str">
        <f>Results!B65</f>
        <v>Ceiling11</v>
      </c>
      <c r="D63" s="237" t="str">
        <f>Results!C65</f>
        <v>Ceiling</v>
      </c>
      <c r="E63" s="237">
        <f>Results!D65</f>
        <v>11</v>
      </c>
      <c r="F63" s="237" t="str">
        <f>Results!E65</f>
        <v>R-0</v>
      </c>
      <c r="G63" s="237" t="str">
        <f>Results!F65</f>
        <v>R-38</v>
      </c>
      <c r="H63" s="296" t="str">
        <f>Results!G65</f>
        <v>Heating Zone 2</v>
      </c>
      <c r="I63" s="237" t="str">
        <f>Results!H65</f>
        <v>Multi Family Weatherization - Insulate Attic - R-0 to R-38 - Heating Zone 2</v>
      </c>
      <c r="J63" s="216" t="s">
        <v>516</v>
      </c>
      <c r="K63" s="230">
        <f>Results!I65</f>
        <v>0.65455374024458046</v>
      </c>
      <c r="L63" s="231">
        <f>Results!J65</f>
        <v>1.3344024847129064E-2</v>
      </c>
      <c r="Q63"/>
      <c r="S63"/>
      <c r="T63"/>
      <c r="U63"/>
      <c r="V63"/>
      <c r="W63"/>
    </row>
    <row r="64" spans="1:23" ht="15.75" thickBot="1">
      <c r="A64" s="27" t="s">
        <v>687</v>
      </c>
      <c r="B64" s="236" t="str">
        <f>Results!A66</f>
        <v>Ceili12</v>
      </c>
      <c r="C64" s="237" t="str">
        <f>Results!B66</f>
        <v>Ceiling12</v>
      </c>
      <c r="D64" s="237" t="str">
        <f>Results!C66</f>
        <v>Ceiling</v>
      </c>
      <c r="E64" s="237">
        <f>Results!D66</f>
        <v>12</v>
      </c>
      <c r="F64" s="237" t="str">
        <f>Results!E66</f>
        <v>R-0</v>
      </c>
      <c r="G64" s="237" t="str">
        <f>Results!F66</f>
        <v>R-49</v>
      </c>
      <c r="H64" s="296" t="str">
        <f>Results!G66</f>
        <v>Heating Zone 2</v>
      </c>
      <c r="I64" s="237" t="str">
        <f>Results!H66</f>
        <v>Multi Family Weatherization - Insulate Attic - R-0 to R-49 - Heating Zone 2</v>
      </c>
      <c r="J64" s="216" t="s">
        <v>516</v>
      </c>
      <c r="K64" s="230">
        <f>Results!I66</f>
        <v>0.69519458994019745</v>
      </c>
      <c r="L64" s="231">
        <f>Results!J66</f>
        <v>1.4192162180539189E-2</v>
      </c>
      <c r="Q64"/>
      <c r="S64"/>
      <c r="T64"/>
      <c r="U64"/>
      <c r="V64"/>
      <c r="W64"/>
    </row>
    <row r="65" spans="1:23" ht="15.75" thickBot="1">
      <c r="A65" s="27" t="s">
        <v>688</v>
      </c>
      <c r="B65" s="236" t="str">
        <f>Results!A67</f>
        <v>Ceili13</v>
      </c>
      <c r="C65" s="237" t="str">
        <f>Results!B67</f>
        <v>Ceiling13</v>
      </c>
      <c r="D65" s="237" t="str">
        <f>Results!C67</f>
        <v>Ceiling</v>
      </c>
      <c r="E65" s="237">
        <f>Results!D67</f>
        <v>13</v>
      </c>
      <c r="F65" s="237" t="str">
        <f>Results!E67</f>
        <v>R-30</v>
      </c>
      <c r="G65" s="237" t="str">
        <f>Results!F67</f>
        <v>R-38</v>
      </c>
      <c r="H65" s="296" t="str">
        <f>Results!G67</f>
        <v>Heating Zone 2</v>
      </c>
      <c r="I65" s="237" t="str">
        <f>Results!H67</f>
        <v>Multi Family Weatherization - Insulate Attic - R-30 to R-38 - Heating Zone 2</v>
      </c>
      <c r="J65" s="216" t="s">
        <v>516</v>
      </c>
      <c r="K65" s="239">
        <f>Results!I67</f>
        <v>4.8215426803049716E-2</v>
      </c>
      <c r="L65" s="240">
        <f>Results!J67</f>
        <v>1.001818086455429E-3</v>
      </c>
      <c r="Q65"/>
      <c r="S65"/>
      <c r="T65"/>
      <c r="U65"/>
      <c r="V65"/>
      <c r="W65"/>
    </row>
    <row r="66" spans="1:23" ht="15.75" thickBot="1">
      <c r="A66" s="27" t="s">
        <v>689</v>
      </c>
      <c r="B66" s="236" t="str">
        <f>Results!A68</f>
        <v>Ceili14</v>
      </c>
      <c r="C66" s="237" t="str">
        <f>Results!B68</f>
        <v>Ceiling14</v>
      </c>
      <c r="D66" s="237" t="str">
        <f>Results!C68</f>
        <v>Ceiling</v>
      </c>
      <c r="E66" s="237">
        <f>Results!D68</f>
        <v>14</v>
      </c>
      <c r="F66" s="237" t="str">
        <f>Results!E68</f>
        <v>R-30</v>
      </c>
      <c r="G66" s="237" t="str">
        <f>Results!F68</f>
        <v>R-49</v>
      </c>
      <c r="H66" s="296" t="str">
        <f>Results!G68</f>
        <v>Heating Zone 2</v>
      </c>
      <c r="I66" s="237" t="str">
        <f>Results!H68</f>
        <v>Multi Family Weatherization - Insulate Attic - R-30 to R-49 - Heating Zone 2</v>
      </c>
      <c r="J66" s="216" t="s">
        <v>516</v>
      </c>
      <c r="K66" s="239">
        <f>Results!I68</f>
        <v>8.8856276498666564E-2</v>
      </c>
      <c r="L66" s="240">
        <f>Results!J68</f>
        <v>1.8499554198655511E-3</v>
      </c>
      <c r="Q66"/>
      <c r="S66"/>
      <c r="T66"/>
      <c r="U66"/>
      <c r="V66"/>
      <c r="W66"/>
    </row>
    <row r="67" spans="1:23" ht="15.75" thickBot="1">
      <c r="A67" s="27" t="s">
        <v>690</v>
      </c>
      <c r="B67" s="236" t="str">
        <f>Results!A69</f>
        <v>Ceili15</v>
      </c>
      <c r="C67" s="237" t="str">
        <f>Results!B69</f>
        <v>Ceiling15</v>
      </c>
      <c r="D67" s="237" t="str">
        <f>Results!C69</f>
        <v>Ceiling</v>
      </c>
      <c r="E67" s="237">
        <f>Results!D69</f>
        <v>15</v>
      </c>
      <c r="F67" s="237" t="str">
        <f>Results!E69</f>
        <v>R-19</v>
      </c>
      <c r="G67" s="237" t="str">
        <f>Results!F69</f>
        <v>R-30</v>
      </c>
      <c r="H67" s="296" t="str">
        <f>Results!G69</f>
        <v>Heating Zone 2</v>
      </c>
      <c r="I67" s="237" t="str">
        <f>Results!H69</f>
        <v>Multi Family Weatherization - Insulate Attic - R-19 to R-30 - Heating Zone 2</v>
      </c>
      <c r="J67" s="216" t="s">
        <v>516</v>
      </c>
      <c r="K67" s="239">
        <f>Results!I69</f>
        <v>0.12673627683302449</v>
      </c>
      <c r="L67" s="240">
        <f>Results!J69</f>
        <v>2.6137116761114454E-3</v>
      </c>
      <c r="Q67"/>
      <c r="S67"/>
      <c r="T67"/>
      <c r="U67"/>
      <c r="V67"/>
      <c r="W67"/>
    </row>
    <row r="68" spans="1:23" ht="15.75" thickBot="1">
      <c r="A68" s="27" t="s">
        <v>691</v>
      </c>
      <c r="B68" s="236" t="str">
        <f>Results!A70</f>
        <v>Ceili16</v>
      </c>
      <c r="C68" s="237" t="str">
        <f>Results!B70</f>
        <v>Ceiling16</v>
      </c>
      <c r="D68" s="237" t="str">
        <f>Results!C70</f>
        <v>Ceiling</v>
      </c>
      <c r="E68" s="237">
        <f>Results!D70</f>
        <v>16</v>
      </c>
      <c r="F68" s="237" t="str">
        <f>Results!E70</f>
        <v>R-19</v>
      </c>
      <c r="G68" s="237" t="str">
        <f>Results!F70</f>
        <v>R-38</v>
      </c>
      <c r="H68" s="296" t="str">
        <f>Results!G70</f>
        <v>Heating Zone 2</v>
      </c>
      <c r="I68" s="237" t="str">
        <f>Results!H70</f>
        <v>Multi Family Weatherization - Insulate Attic - R-19 to R-38 - Heating Zone 2</v>
      </c>
      <c r="J68" s="216" t="s">
        <v>516</v>
      </c>
      <c r="K68" s="230">
        <f>Results!I70</f>
        <v>0.17495170363607421</v>
      </c>
      <c r="L68" s="231">
        <f>Results!J70</f>
        <v>3.6155297625668752E-3</v>
      </c>
      <c r="Q68"/>
      <c r="S68"/>
      <c r="T68"/>
      <c r="U68"/>
      <c r="V68"/>
      <c r="W68"/>
    </row>
    <row r="69" spans="1:23" ht="15.75" thickBot="1">
      <c r="A69" s="27" t="s">
        <v>692</v>
      </c>
      <c r="B69" s="236" t="str">
        <f>Results!A71</f>
        <v>Ceili17</v>
      </c>
      <c r="C69" s="237" t="str">
        <f>Results!B71</f>
        <v>Ceiling17</v>
      </c>
      <c r="D69" s="237" t="str">
        <f>Results!C71</f>
        <v>Ceiling</v>
      </c>
      <c r="E69" s="237">
        <f>Results!D71</f>
        <v>17</v>
      </c>
      <c r="F69" s="237" t="str">
        <f>Results!E71</f>
        <v>R-19</v>
      </c>
      <c r="G69" s="237" t="str">
        <f>Results!F71</f>
        <v>R-49</v>
      </c>
      <c r="H69" s="296" t="str">
        <f>Results!G71</f>
        <v>Heating Zone 2</v>
      </c>
      <c r="I69" s="237" t="str">
        <f>Results!H71</f>
        <v>Multi Family Weatherization - Insulate Attic - R-19 to R-49 - Heating Zone 2</v>
      </c>
      <c r="J69" s="216" t="s">
        <v>516</v>
      </c>
      <c r="K69" s="230">
        <f>Results!I71</f>
        <v>0.21559255333169106</v>
      </c>
      <c r="L69" s="231">
        <f>Results!J71</f>
        <v>4.4636670959769973E-3</v>
      </c>
      <c r="Q69"/>
      <c r="S69"/>
      <c r="T69"/>
      <c r="U69"/>
      <c r="V69"/>
      <c r="W69"/>
    </row>
    <row r="70" spans="1:23" ht="15.75" thickBot="1">
      <c r="A70" s="27" t="s">
        <v>693</v>
      </c>
      <c r="B70" s="273" t="str">
        <f>Results!A72</f>
        <v>Ceili18</v>
      </c>
      <c r="C70" s="274" t="str">
        <f>Results!B72</f>
        <v>Ceiling18</v>
      </c>
      <c r="D70" s="274" t="str">
        <f>Results!C72</f>
        <v>Ceiling</v>
      </c>
      <c r="E70" s="274">
        <f>Results!D72</f>
        <v>18</v>
      </c>
      <c r="F70" s="274" t="str">
        <f>Results!E72</f>
        <v>R-38</v>
      </c>
      <c r="G70" s="274" t="str">
        <f>Results!F72</f>
        <v>R-49</v>
      </c>
      <c r="H70" s="298" t="str">
        <f>Results!G72</f>
        <v>Heating Zone 2</v>
      </c>
      <c r="I70" s="274" t="str">
        <f>Results!H72</f>
        <v>Multi Family Weatherization - Insulate Attic - R-38 to R-49 - Heating Zone 2</v>
      </c>
      <c r="J70" s="216" t="s">
        <v>516</v>
      </c>
      <c r="K70" s="271">
        <f>Results!I72</f>
        <v>4.0640849695616856E-2</v>
      </c>
      <c r="L70" s="272">
        <f>Results!J72</f>
        <v>8.481373334101221E-4</v>
      </c>
      <c r="Q70"/>
      <c r="S70"/>
      <c r="T70"/>
      <c r="U70"/>
      <c r="V70"/>
      <c r="W70"/>
    </row>
    <row r="71" spans="1:23" ht="15.75" thickBot="1">
      <c r="B71" s="236"/>
      <c r="C71" s="237"/>
      <c r="D71" s="237"/>
      <c r="E71" s="237"/>
      <c r="F71" s="237"/>
      <c r="G71" s="237"/>
      <c r="H71" s="296"/>
      <c r="I71" s="237"/>
      <c r="J71" s="216"/>
      <c r="K71" s="239"/>
      <c r="L71" s="240"/>
      <c r="Q71"/>
      <c r="S71"/>
      <c r="T71"/>
      <c r="U71"/>
      <c r="V71"/>
      <c r="W71"/>
    </row>
    <row r="72" spans="1:23" ht="15.75" thickBot="1">
      <c r="B72" s="236"/>
      <c r="C72" s="237"/>
      <c r="D72" s="237"/>
      <c r="E72" s="237"/>
      <c r="F72" s="237"/>
      <c r="G72" s="237"/>
      <c r="H72" s="296"/>
      <c r="I72" s="237"/>
      <c r="J72" s="216"/>
      <c r="K72" s="239"/>
      <c r="L72" s="240"/>
      <c r="Q72"/>
      <c r="S72"/>
      <c r="T72"/>
      <c r="U72"/>
      <c r="V72"/>
      <c r="W72"/>
    </row>
    <row r="73" spans="1:23" ht="15.75" thickBot="1">
      <c r="B73" s="236"/>
      <c r="C73" s="237"/>
      <c r="D73" s="237"/>
      <c r="E73" s="237"/>
      <c r="F73" s="237"/>
      <c r="G73" s="237"/>
      <c r="H73" s="296"/>
      <c r="I73" s="237"/>
      <c r="J73" s="216"/>
      <c r="K73" s="239"/>
      <c r="L73" s="240"/>
      <c r="Q73"/>
      <c r="S73"/>
      <c r="T73"/>
      <c r="U73"/>
      <c r="V73"/>
      <c r="W73"/>
    </row>
    <row r="74" spans="1:23" ht="15.75" thickBot="1">
      <c r="B74" s="236"/>
      <c r="C74" s="237"/>
      <c r="D74" s="237"/>
      <c r="E74" s="237"/>
      <c r="F74" s="237"/>
      <c r="G74" s="237"/>
      <c r="H74" s="296"/>
      <c r="I74" s="237"/>
      <c r="J74" s="216"/>
      <c r="K74" s="239"/>
      <c r="L74" s="240"/>
      <c r="Q74"/>
      <c r="S74"/>
      <c r="T74"/>
      <c r="U74"/>
      <c r="V74"/>
      <c r="W74"/>
    </row>
    <row r="75" spans="1:23" ht="15.75" thickBot="1">
      <c r="B75" s="236"/>
      <c r="C75" s="237"/>
      <c r="D75" s="237"/>
      <c r="E75" s="237"/>
      <c r="F75" s="237"/>
      <c r="G75" s="237"/>
      <c r="H75" s="296"/>
      <c r="I75" s="237"/>
      <c r="J75" s="216"/>
      <c r="K75" s="239"/>
      <c r="L75" s="240"/>
      <c r="Q75"/>
      <c r="S75"/>
      <c r="T75"/>
      <c r="U75"/>
      <c r="V75"/>
      <c r="W75"/>
    </row>
    <row r="76" spans="1:23" ht="15.75" thickBot="1">
      <c r="B76" s="236"/>
      <c r="C76" s="237"/>
      <c r="D76" s="237"/>
      <c r="E76" s="237"/>
      <c r="F76" s="237"/>
      <c r="G76" s="237"/>
      <c r="H76" s="296"/>
      <c r="I76" s="237"/>
      <c r="J76" s="216"/>
      <c r="K76" s="239"/>
      <c r="L76" s="240"/>
      <c r="Q76"/>
      <c r="S76"/>
      <c r="T76"/>
      <c r="U76"/>
      <c r="V76"/>
      <c r="W76"/>
    </row>
    <row r="77" spans="1:23" ht="15.75" thickBot="1">
      <c r="B77" s="236"/>
      <c r="C77" s="237"/>
      <c r="D77" s="237"/>
      <c r="E77" s="237"/>
      <c r="F77" s="237"/>
      <c r="G77" s="237"/>
      <c r="H77" s="296"/>
      <c r="I77" s="237"/>
      <c r="J77" s="216"/>
      <c r="K77" s="239"/>
      <c r="L77" s="240"/>
      <c r="Q77"/>
      <c r="S77"/>
      <c r="T77"/>
      <c r="U77"/>
      <c r="V77"/>
      <c r="W77"/>
    </row>
    <row r="78" spans="1:23" ht="15.75" thickBot="1">
      <c r="B78" s="236"/>
      <c r="C78" s="237"/>
      <c r="D78" s="237"/>
      <c r="E78" s="237"/>
      <c r="F78" s="237"/>
      <c r="G78" s="237"/>
      <c r="H78" s="296"/>
      <c r="I78" s="237"/>
      <c r="J78" s="216"/>
      <c r="K78" s="239"/>
      <c r="L78" s="240"/>
      <c r="Q78"/>
      <c r="S78"/>
      <c r="T78"/>
      <c r="U78"/>
      <c r="V78"/>
      <c r="W78"/>
    </row>
    <row r="79" spans="1:23" ht="15.75" thickBot="1">
      <c r="B79" s="236"/>
      <c r="C79" s="237"/>
      <c r="D79" s="237"/>
      <c r="E79" s="237"/>
      <c r="F79" s="237"/>
      <c r="G79" s="237"/>
      <c r="H79" s="296"/>
      <c r="I79" s="237"/>
      <c r="J79" s="216"/>
      <c r="K79" s="239"/>
      <c r="L79" s="240"/>
      <c r="Q79"/>
      <c r="S79"/>
      <c r="T79"/>
      <c r="U79"/>
      <c r="V79"/>
      <c r="W79"/>
    </row>
    <row r="80" spans="1:23" ht="15.75" thickBot="1">
      <c r="A80" s="27" t="s">
        <v>694</v>
      </c>
      <c r="B80" s="236" t="str">
        <f>Results!A82</f>
        <v>Windo19</v>
      </c>
      <c r="C80" s="237" t="str">
        <f>Results!B82</f>
        <v>Windows19</v>
      </c>
      <c r="D80" s="237" t="str">
        <f>Results!C82</f>
        <v>Windows</v>
      </c>
      <c r="E80" s="237">
        <f>Results!D82</f>
        <v>19</v>
      </c>
      <c r="F80" s="237" t="str">
        <f>Results!E82</f>
        <v>Class 35</v>
      </c>
      <c r="G80" s="237" t="str">
        <f>Results!F82</f>
        <v>Class 22</v>
      </c>
      <c r="H80" s="296" t="str">
        <f>Results!G82</f>
        <v>Heating Zone 2</v>
      </c>
      <c r="I80" s="237" t="str">
        <f>Results!H82</f>
        <v>Windows - Class 35 to Class 22 - Heating Zone 2</v>
      </c>
      <c r="J80" s="216" t="s">
        <v>516</v>
      </c>
      <c r="K80" s="239">
        <f>Results!I82</f>
        <v>4.6670287037313383</v>
      </c>
      <c r="L80" s="240">
        <f>Results!J82</f>
        <v>1.2410916261928641E-2</v>
      </c>
      <c r="Q80"/>
      <c r="S80"/>
      <c r="T80"/>
      <c r="U80"/>
      <c r="V80"/>
      <c r="W80"/>
    </row>
    <row r="81" spans="1:23" ht="15.75" thickBot="1">
      <c r="A81" s="27" t="s">
        <v>695</v>
      </c>
      <c r="B81" s="236" t="str">
        <f>Results!A83</f>
        <v>Windo20</v>
      </c>
      <c r="C81" s="237" t="str">
        <f>Results!B83</f>
        <v>Windows20</v>
      </c>
      <c r="D81" s="237" t="str">
        <f>Results!C83</f>
        <v>Windows</v>
      </c>
      <c r="E81" s="237">
        <f>Results!D83</f>
        <v>20</v>
      </c>
      <c r="F81" s="237" t="str">
        <f>Results!E83</f>
        <v>Single Pane</v>
      </c>
      <c r="G81" s="237" t="str">
        <f>Results!F83</f>
        <v>Class 22</v>
      </c>
      <c r="H81" s="296" t="str">
        <f>Results!G83</f>
        <v>Heating Zone 2</v>
      </c>
      <c r="I81" s="237" t="str">
        <f>Results!H83</f>
        <v>Windows - Single Pane to Class 22 - Heating Zone 2</v>
      </c>
      <c r="J81" s="216" t="s">
        <v>516</v>
      </c>
      <c r="K81" s="239">
        <f>Results!I83</f>
        <v>33.680187501968007</v>
      </c>
      <c r="L81" s="240">
        <f>Results!J83</f>
        <v>0.14902230680011874</v>
      </c>
      <c r="Q81"/>
      <c r="S81"/>
      <c r="T81"/>
      <c r="U81"/>
      <c r="V81"/>
      <c r="W81"/>
    </row>
    <row r="82" spans="1:23" ht="15.75" thickBot="1">
      <c r="A82" s="27" t="s">
        <v>696</v>
      </c>
      <c r="B82" s="236" t="str">
        <f>Results!A84</f>
        <v>Windo21</v>
      </c>
      <c r="C82" s="237" t="str">
        <f>Results!B84</f>
        <v>Windows21</v>
      </c>
      <c r="D82" s="237" t="str">
        <f>Results!C84</f>
        <v>Windows</v>
      </c>
      <c r="E82" s="237">
        <f>Results!D84</f>
        <v>21</v>
      </c>
      <c r="F82" s="237" t="str">
        <f>Results!E84</f>
        <v>Double Pane</v>
      </c>
      <c r="G82" s="237" t="str">
        <f>Results!F84</f>
        <v>Class 22</v>
      </c>
      <c r="H82" s="296" t="str">
        <f>Results!G84</f>
        <v>Heating Zone 2</v>
      </c>
      <c r="I82" s="237" t="str">
        <f>Results!H84</f>
        <v>Windows - Double Pane to Class 22 - Heating Zone 2</v>
      </c>
      <c r="J82" s="216" t="s">
        <v>516</v>
      </c>
      <c r="K82" s="239">
        <f>Results!I84</f>
        <v>20.07921017663417</v>
      </c>
      <c r="L82" s="240">
        <f>Results!J84</f>
        <v>0.19054347516200631</v>
      </c>
      <c r="Q82"/>
      <c r="S82"/>
      <c r="T82"/>
      <c r="U82"/>
      <c r="V82"/>
      <c r="W82"/>
    </row>
    <row r="83" spans="1:23" ht="15.75" thickBot="1">
      <c r="A83" s="27" t="s">
        <v>697</v>
      </c>
      <c r="B83" s="236" t="str">
        <f>Results!A85</f>
        <v>Windo22</v>
      </c>
      <c r="C83" s="237" t="str">
        <f>Results!B85</f>
        <v>Windows22</v>
      </c>
      <c r="D83" s="237" t="str">
        <f>Results!C85</f>
        <v>Windows</v>
      </c>
      <c r="E83" s="237">
        <f>Results!D85</f>
        <v>22</v>
      </c>
      <c r="F83" s="237" t="str">
        <f>Results!E85</f>
        <v>Single Pane</v>
      </c>
      <c r="G83" s="237" t="str">
        <f>Results!F85</f>
        <v>Class 30</v>
      </c>
      <c r="H83" s="296" t="str">
        <f>Results!G85</f>
        <v>Heating Zone 2</v>
      </c>
      <c r="I83" s="237" t="str">
        <f>Results!H85</f>
        <v>Windows - Single Pane to Class 30 - Heating Zone 2</v>
      </c>
      <c r="J83" s="216" t="s">
        <v>516</v>
      </c>
      <c r="K83" s="230">
        <f>Results!I85</f>
        <v>30.89982210802722</v>
      </c>
      <c r="L83" s="231">
        <f>Results!J85</f>
        <v>0.1395906291850664</v>
      </c>
      <c r="Q83"/>
      <c r="S83"/>
      <c r="T83"/>
      <c r="U83"/>
      <c r="V83"/>
      <c r="W83"/>
    </row>
    <row r="84" spans="1:23" ht="15.75" thickBot="1">
      <c r="A84" s="27" t="s">
        <v>698</v>
      </c>
      <c r="B84" s="236" t="str">
        <f>Results!A86</f>
        <v>Windo23</v>
      </c>
      <c r="C84" s="237" t="str">
        <f>Results!B86</f>
        <v>Windows23</v>
      </c>
      <c r="D84" s="237" t="str">
        <f>Results!C86</f>
        <v>Windows</v>
      </c>
      <c r="E84" s="237">
        <f>Results!D86</f>
        <v>23</v>
      </c>
      <c r="F84" s="237" t="str">
        <f>Results!E86</f>
        <v>Double Pane</v>
      </c>
      <c r="G84" s="237" t="str">
        <f>Results!F86</f>
        <v>Class 30</v>
      </c>
      <c r="H84" s="296" t="str">
        <f>Results!G86</f>
        <v>Heating Zone 2</v>
      </c>
      <c r="I84" s="237" t="str">
        <f>Results!H86</f>
        <v>Windows - Double Pane to Class 30 - Heating Zone 2</v>
      </c>
      <c r="J84" s="216" t="s">
        <v>516</v>
      </c>
      <c r="K84" s="230">
        <f>Results!I86</f>
        <v>17.298844782693379</v>
      </c>
      <c r="L84" s="231">
        <f>Results!J86</f>
        <v>0.18111179754695395</v>
      </c>
      <c r="Q84"/>
      <c r="S84"/>
      <c r="T84"/>
      <c r="U84"/>
      <c r="V84"/>
      <c r="W84"/>
    </row>
    <row r="85" spans="1:23" ht="15.75" thickBot="1">
      <c r="A85" s="27" t="s">
        <v>699</v>
      </c>
      <c r="B85" s="236" t="str">
        <f>Results!A87</f>
        <v>Windo24</v>
      </c>
      <c r="C85" s="237" t="str">
        <f>Results!B87</f>
        <v>Windows24</v>
      </c>
      <c r="D85" s="237" t="str">
        <f>Results!C87</f>
        <v>Windows</v>
      </c>
      <c r="E85" s="237">
        <f>Results!D87</f>
        <v>24</v>
      </c>
      <c r="F85" s="237" t="str">
        <f>Results!E87</f>
        <v>Class 35</v>
      </c>
      <c r="G85" s="237" t="str">
        <f>Results!F87</f>
        <v>Class 30</v>
      </c>
      <c r="H85" s="296" t="str">
        <f>Results!G87</f>
        <v>Heating Zone 2</v>
      </c>
      <c r="I85" s="237" t="str">
        <f>Results!H87</f>
        <v>Windows - Class 35 to Class 30 - Heating Zone 2</v>
      </c>
      <c r="J85" s="216" t="s">
        <v>516</v>
      </c>
      <c r="K85" s="230">
        <f>Results!I87</f>
        <v>1.8866633097905505</v>
      </c>
      <c r="L85" s="231">
        <f>Results!J87</f>
        <v>2.9792386468763051E-3</v>
      </c>
      <c r="Q85"/>
      <c r="S85"/>
      <c r="T85"/>
      <c r="U85"/>
      <c r="V85"/>
      <c r="W85"/>
    </row>
    <row r="86" spans="1:23" ht="15.75" thickBot="1">
      <c r="A86" s="27" t="s">
        <v>700</v>
      </c>
      <c r="B86" s="280" t="str">
        <f>Results!A88</f>
        <v>Infil10</v>
      </c>
      <c r="C86" s="281" t="str">
        <f>Results!B88</f>
        <v>Infiltration10</v>
      </c>
      <c r="D86" s="281" t="str">
        <f>Results!C88</f>
        <v>Infiltration</v>
      </c>
      <c r="E86" s="281">
        <f>Results!D88</f>
        <v>10</v>
      </c>
      <c r="F86" s="281" t="str">
        <f>Results!E88</f>
        <v>0.45 ACHn</v>
      </c>
      <c r="G86" s="281" t="str">
        <f>Results!F88</f>
        <v>0.35 ACHn</v>
      </c>
      <c r="H86" s="297" t="str">
        <f>Results!G88</f>
        <v>Heating Zone 2</v>
      </c>
      <c r="I86" s="281" t="str">
        <f>Results!H88</f>
        <v>Infiltration Reduction - 0.45 ACHn to 0.35 ACHn - Heating Zone 2</v>
      </c>
      <c r="J86" s="216" t="s">
        <v>516</v>
      </c>
      <c r="K86" s="266">
        <f>Results!I88</f>
        <v>0</v>
      </c>
      <c r="L86" s="267">
        <f>Results!J88</f>
        <v>0</v>
      </c>
      <c r="Q86"/>
      <c r="S86"/>
      <c r="T86"/>
      <c r="U86"/>
      <c r="V86"/>
      <c r="W86"/>
    </row>
    <row r="87" spans="1:23" ht="15.75" thickBot="1">
      <c r="A87" s="27" t="s">
        <v>701</v>
      </c>
      <c r="B87" s="236" t="str">
        <f>Results!A89</f>
        <v>Infil11</v>
      </c>
      <c r="C87" s="237" t="str">
        <f>Results!B89</f>
        <v>Infiltration11</v>
      </c>
      <c r="D87" s="237" t="str">
        <f>Results!C89</f>
        <v>Infiltration</v>
      </c>
      <c r="E87" s="237">
        <f>Results!D89</f>
        <v>11</v>
      </c>
      <c r="F87" s="237" t="str">
        <f>Results!E89</f>
        <v>0.45 ACHn</v>
      </c>
      <c r="G87" s="237" t="str">
        <f>Results!F89</f>
        <v>0.20 ACHn</v>
      </c>
      <c r="H87" s="296" t="str">
        <f>Results!G89</f>
        <v>Heating Zone 2</v>
      </c>
      <c r="I87" s="237" t="str">
        <f>Results!H89</f>
        <v>Infiltration Reduction - 0.45 ACHn to 0.20 ACHn - Heating Zone 2</v>
      </c>
      <c r="J87" s="216" t="s">
        <v>516</v>
      </c>
      <c r="K87" s="239">
        <f>Results!I89</f>
        <v>0</v>
      </c>
      <c r="L87" s="240">
        <f>Results!J89</f>
        <v>0</v>
      </c>
      <c r="Q87"/>
      <c r="S87"/>
      <c r="T87"/>
      <c r="U87"/>
      <c r="V87"/>
      <c r="W87"/>
    </row>
    <row r="88" spans="1:23" ht="15.75" thickBot="1">
      <c r="A88" s="27" t="s">
        <v>702</v>
      </c>
      <c r="B88" s="273" t="str">
        <f>Results!A90</f>
        <v>Infil12</v>
      </c>
      <c r="C88" s="274" t="str">
        <f>Results!B90</f>
        <v>Infiltration12</v>
      </c>
      <c r="D88" s="274" t="str">
        <f>Results!C90</f>
        <v>Infiltration</v>
      </c>
      <c r="E88" s="274">
        <f>Results!D90</f>
        <v>12</v>
      </c>
      <c r="F88" s="274" t="str">
        <f>Results!E90</f>
        <v>0.35 ACHn</v>
      </c>
      <c r="G88" s="274" t="str">
        <f>Results!F90</f>
        <v>0.20 ACHn</v>
      </c>
      <c r="H88" s="298" t="str">
        <f>Results!G90</f>
        <v>Heating Zone 2</v>
      </c>
      <c r="I88" s="274" t="str">
        <f>Results!H90</f>
        <v>Infiltration Reduction - 0.35 ACHn to 0.20 ACHn - Heating Zone 2</v>
      </c>
      <c r="J88" s="216" t="s">
        <v>516</v>
      </c>
      <c r="K88" s="276">
        <f>Results!I90</f>
        <v>0</v>
      </c>
      <c r="L88" s="277">
        <f>Results!J90</f>
        <v>0</v>
      </c>
      <c r="Q88"/>
      <c r="S88"/>
      <c r="T88"/>
      <c r="U88"/>
      <c r="V88"/>
      <c r="W88"/>
    </row>
    <row r="89" spans="1:23" ht="15.75" thickBot="1">
      <c r="A89" s="27" t="s">
        <v>703</v>
      </c>
      <c r="B89" s="236" t="str">
        <f>Results!A91</f>
        <v>DuctT10</v>
      </c>
      <c r="C89" s="237" t="str">
        <f>Results!B91</f>
        <v>DuctTightness10</v>
      </c>
      <c r="D89" s="237" t="str">
        <f>Results!C91</f>
        <v>DuctTightness</v>
      </c>
      <c r="E89" s="237">
        <f>Results!D91</f>
        <v>10</v>
      </c>
      <c r="F89" s="237" t="str">
        <f>Results!E91</f>
        <v>Std-crawl</v>
      </c>
      <c r="G89" s="237" t="str">
        <f>Results!F91</f>
        <v>PTCS-crawl</v>
      </c>
      <c r="H89" s="237" t="str">
        <f>Results!G91</f>
        <v>Heating Zone 2</v>
      </c>
      <c r="I89" s="237" t="str">
        <f>Results!H91</f>
        <v>DuctTightness - Std-crawl to PTCS-crawl - Heating Zone 2</v>
      </c>
      <c r="J89" s="216" t="s">
        <v>516</v>
      </c>
      <c r="K89" s="278">
        <f>Results!I91</f>
        <v>1573.8375590492565</v>
      </c>
      <c r="L89" s="279">
        <f>Results!J91</f>
        <v>42.581456968813093</v>
      </c>
      <c r="Q89"/>
      <c r="S89"/>
      <c r="T89"/>
      <c r="U89"/>
      <c r="V89"/>
      <c r="W89"/>
    </row>
    <row r="90" spans="1:23" ht="15.75" thickBot="1">
      <c r="A90" s="27" t="s">
        <v>704</v>
      </c>
      <c r="B90" s="280" t="str">
        <f>Results!A92</f>
        <v>DuctI10</v>
      </c>
      <c r="C90" s="281" t="str">
        <f>Results!B92</f>
        <v>DuctInsulation10</v>
      </c>
      <c r="D90" s="281" t="str">
        <f>Results!C92</f>
        <v>DuctInsulation</v>
      </c>
      <c r="E90" s="281">
        <f>Results!D92</f>
        <v>10</v>
      </c>
      <c r="F90" s="281" t="str">
        <f>Results!E92</f>
        <v>R-0</v>
      </c>
      <c r="G90" s="281" t="str">
        <f>Results!F92</f>
        <v>R-4.2</v>
      </c>
      <c r="H90" s="281" t="str">
        <f>Results!G92</f>
        <v>Heating Zone 2</v>
      </c>
      <c r="I90" s="281" t="str">
        <f>Results!H92</f>
        <v>DuctInsulation - R-0 to R-4.2 - Heating Zone 2</v>
      </c>
      <c r="J90" s="216" t="s">
        <v>516</v>
      </c>
      <c r="K90" s="282">
        <f>Results!I92</f>
        <v>113.28378369264576</v>
      </c>
      <c r="L90" s="283">
        <f>Results!J92</f>
        <v>2.7105499735994965</v>
      </c>
      <c r="Q90"/>
      <c r="S90"/>
      <c r="T90"/>
      <c r="U90"/>
      <c r="V90"/>
      <c r="W90"/>
    </row>
    <row r="91" spans="1:23" ht="15.75" thickBot="1">
      <c r="A91" s="27" t="s">
        <v>705</v>
      </c>
      <c r="B91" s="236" t="str">
        <f>Results!A93</f>
        <v>DuctI11</v>
      </c>
      <c r="C91" s="237" t="str">
        <f>Results!B93</f>
        <v>DuctInsulation11</v>
      </c>
      <c r="D91" s="237" t="str">
        <f>Results!C93</f>
        <v>DuctInsulation</v>
      </c>
      <c r="E91" s="237">
        <f>Results!D93</f>
        <v>11</v>
      </c>
      <c r="F91" s="237" t="str">
        <f>Results!E93</f>
        <v>R-0</v>
      </c>
      <c r="G91" s="237" t="str">
        <f>Results!F93</f>
        <v>R-11</v>
      </c>
      <c r="H91" s="237" t="str">
        <f>Results!G93</f>
        <v>Heating Zone 2</v>
      </c>
      <c r="I91" s="237" t="str">
        <f>Results!H93</f>
        <v>DuctInsulation - R-0 to R-11 - Heating Zone 2</v>
      </c>
      <c r="J91" s="216" t="s">
        <v>516</v>
      </c>
      <c r="K91" s="284">
        <f>Results!I93</f>
        <v>156.76698810341202</v>
      </c>
      <c r="L91" s="285">
        <f>Results!J93</f>
        <v>3.7479379652400966</v>
      </c>
      <c r="Q91"/>
      <c r="S91"/>
      <c r="T91"/>
      <c r="U91"/>
      <c r="V91"/>
      <c r="W91"/>
    </row>
    <row r="92" spans="1:23" ht="15.75" thickBot="1">
      <c r="A92" s="27" t="s">
        <v>706</v>
      </c>
      <c r="B92" s="273" t="str">
        <f>Results!A94</f>
        <v>DuctI12</v>
      </c>
      <c r="C92" s="274" t="str">
        <f>Results!B94</f>
        <v>DuctInsulation12</v>
      </c>
      <c r="D92" s="274" t="str">
        <f>Results!C94</f>
        <v>DuctInsulation</v>
      </c>
      <c r="E92" s="274">
        <f>Results!D94</f>
        <v>12</v>
      </c>
      <c r="F92" s="274" t="str">
        <f>Results!E94</f>
        <v>R-4.2</v>
      </c>
      <c r="G92" s="274" t="str">
        <f>Results!F94</f>
        <v>R-11</v>
      </c>
      <c r="H92" s="274" t="str">
        <f>Results!G94</f>
        <v>Heating Zone 2</v>
      </c>
      <c r="I92" s="274" t="str">
        <f>Results!H94</f>
        <v>DuctInsulation - R-4.2 to R-11 - Heating Zone 2</v>
      </c>
      <c r="J92" s="216" t="s">
        <v>516</v>
      </c>
      <c r="K92" s="286">
        <f>Results!I94</f>
        <v>43.483204410766248</v>
      </c>
      <c r="L92" s="287">
        <f>Results!J94</f>
        <v>1.037387991640599</v>
      </c>
      <c r="Q92"/>
      <c r="S92"/>
      <c r="T92"/>
      <c r="U92"/>
      <c r="V92"/>
      <c r="W92"/>
    </row>
    <row r="93" spans="1:23" ht="15.75" thickBot="1">
      <c r="A93" s="27" t="s">
        <v>707</v>
      </c>
      <c r="B93" s="236" t="str">
        <f>Results!A95</f>
        <v>HeatP10</v>
      </c>
      <c r="C93" s="237" t="str">
        <f>Results!B95</f>
        <v>HeatPump10</v>
      </c>
      <c r="D93" s="237" t="str">
        <f>Results!C95</f>
        <v>HeatPump</v>
      </c>
      <c r="E93" s="237">
        <f>Results!D95</f>
        <v>10</v>
      </c>
      <c r="F93" s="237" t="str">
        <f>Results!E95</f>
        <v>7.7/13</v>
      </c>
      <c r="G93" s="237" t="str">
        <f>Results!F95</f>
        <v>8.5/13</v>
      </c>
      <c r="H93" s="237" t="str">
        <f>Results!G95</f>
        <v>Heating Zone 2</v>
      </c>
      <c r="I93" s="237" t="str">
        <f>Results!H95</f>
        <v>HeatPump Upgrade - 7.7/13 to 8.5/13 - Heating Zone 2</v>
      </c>
      <c r="J93" s="216" t="s">
        <v>516</v>
      </c>
      <c r="K93" s="284">
        <f>Results!I95</f>
        <v>0</v>
      </c>
      <c r="L93" s="285">
        <f>Results!J95</f>
        <v>0</v>
      </c>
      <c r="Q93"/>
      <c r="S93"/>
      <c r="T93"/>
      <c r="U93"/>
      <c r="V93"/>
      <c r="W93"/>
    </row>
    <row r="94" spans="1:23" ht="15.75" thickBot="1">
      <c r="A94" s="27" t="s">
        <v>708</v>
      </c>
      <c r="B94" s="236" t="str">
        <f>Results!A96</f>
        <v>HeatP11</v>
      </c>
      <c r="C94" s="237" t="str">
        <f>Results!B96</f>
        <v>HeatPump11</v>
      </c>
      <c r="D94" s="237" t="str">
        <f>Results!C96</f>
        <v>HeatPump</v>
      </c>
      <c r="E94" s="237">
        <f>Results!D96</f>
        <v>11</v>
      </c>
      <c r="F94" s="237" t="str">
        <f>Results!E96</f>
        <v>7.7/13</v>
      </c>
      <c r="G94" s="237" t="str">
        <f>Results!F96</f>
        <v>9.0/14</v>
      </c>
      <c r="H94" s="237" t="str">
        <f>Results!G96</f>
        <v>Heating Zone 2</v>
      </c>
      <c r="I94" s="237" t="str">
        <f>Results!H96</f>
        <v>HeatPump Upgrade - 7.7/13 to 9.0/14 - Heating Zone 2</v>
      </c>
      <c r="J94" s="216" t="s">
        <v>516</v>
      </c>
      <c r="K94" s="284">
        <f>Results!I96</f>
        <v>0</v>
      </c>
      <c r="L94" s="285">
        <f>Results!J96</f>
        <v>0</v>
      </c>
      <c r="Q94"/>
      <c r="S94"/>
      <c r="T94"/>
      <c r="U94"/>
      <c r="V94"/>
      <c r="W94"/>
    </row>
    <row r="95" spans="1:23" ht="15.75" thickBot="1">
      <c r="A95" s="27" t="s">
        <v>709</v>
      </c>
      <c r="B95" s="236" t="str">
        <f>Results!A97</f>
        <v>HeatP12</v>
      </c>
      <c r="C95" s="237" t="str">
        <f>Results!B97</f>
        <v>HeatPump12</v>
      </c>
      <c r="D95" s="237" t="str">
        <f>Results!C97</f>
        <v>HeatPump</v>
      </c>
      <c r="E95" s="237">
        <f>Results!D97</f>
        <v>12</v>
      </c>
      <c r="F95" s="237" t="str">
        <f>Results!E97</f>
        <v>7.7/13</v>
      </c>
      <c r="G95" s="237" t="str">
        <f>Results!F97</f>
        <v>8.2/13</v>
      </c>
      <c r="H95" s="237" t="str">
        <f>Results!G97</f>
        <v>Heating Zone 2</v>
      </c>
      <c r="I95" s="237" t="str">
        <f>Results!H97</f>
        <v>HeatPump Upgrade - 7.7/13 to 8.2/13 - Heating Zone 2</v>
      </c>
      <c r="J95" s="216" t="s">
        <v>516</v>
      </c>
      <c r="K95" s="284">
        <f>Results!I97</f>
        <v>0</v>
      </c>
      <c r="L95" s="285">
        <f>Results!J97</f>
        <v>0</v>
      </c>
      <c r="Q95"/>
      <c r="S95"/>
      <c r="T95"/>
      <c r="U95"/>
      <c r="V95"/>
      <c r="W95"/>
    </row>
    <row r="96" spans="1:23" ht="15.75" thickBot="1">
      <c r="A96" s="27" t="s">
        <v>710</v>
      </c>
      <c r="B96" s="299" t="str">
        <f>Results!A98</f>
        <v>HPCnt10</v>
      </c>
      <c r="C96" s="300" t="str">
        <f>Results!B98</f>
        <v>HPCntrls10</v>
      </c>
      <c r="D96" s="300" t="str">
        <f>Results!C98</f>
        <v>HPCntrls</v>
      </c>
      <c r="E96" s="300">
        <f>Results!D98</f>
        <v>10</v>
      </c>
      <c r="F96" s="300" t="str">
        <f>Results!E98</f>
        <v>Standard</v>
      </c>
      <c r="G96" s="300" t="str">
        <f>Results!F98</f>
        <v>PTCS</v>
      </c>
      <c r="H96" s="300" t="str">
        <f>Results!G98</f>
        <v>Heating Zone 2</v>
      </c>
      <c r="I96" s="300" t="str">
        <f>Results!H98</f>
        <v>HPCntrls Upgrade - Standard to PTCS - Heating Zone 2</v>
      </c>
      <c r="J96" s="216" t="s">
        <v>516</v>
      </c>
      <c r="K96" s="301">
        <f>Results!I98</f>
        <v>0</v>
      </c>
      <c r="L96" s="302">
        <f>Results!J98</f>
        <v>0</v>
      </c>
      <c r="Q96"/>
      <c r="S96"/>
      <c r="T96"/>
      <c r="U96"/>
      <c r="V96"/>
      <c r="W96"/>
    </row>
    <row r="97" spans="1:23" ht="15.75" thickBot="1">
      <c r="A97" s="27" t="s">
        <v>711</v>
      </c>
      <c r="B97" s="292" t="str">
        <f>Results!A99</f>
        <v>Walls10</v>
      </c>
      <c r="C97" s="293" t="str">
        <f>Results!B99</f>
        <v>Walls10</v>
      </c>
      <c r="D97" s="293" t="str">
        <f>Results!C99</f>
        <v>Walls</v>
      </c>
      <c r="E97" s="293">
        <f>Results!D99</f>
        <v>10</v>
      </c>
      <c r="F97" s="293" t="str">
        <f>Results!E99</f>
        <v>R-0</v>
      </c>
      <c r="G97" s="293" t="str">
        <f>Results!F99</f>
        <v>R-11</v>
      </c>
      <c r="H97" s="303" t="str">
        <f>Results!G99</f>
        <v>Heating Zone 3</v>
      </c>
      <c r="I97" s="293" t="str">
        <f>Results!H99</f>
        <v>Multi Family Weatherization - Insulate Walls - R-0 to R-11 - Heating Zone 3</v>
      </c>
      <c r="J97" s="216" t="s">
        <v>516</v>
      </c>
      <c r="K97" s="218">
        <f>Results!I99</f>
        <v>2.2192391956351711</v>
      </c>
      <c r="L97" s="219">
        <f>Results!J99</f>
        <v>-1.2183909619249513E-3</v>
      </c>
      <c r="Q97"/>
      <c r="S97"/>
      <c r="T97"/>
      <c r="U97"/>
      <c r="V97"/>
      <c r="W97"/>
    </row>
    <row r="98" spans="1:23" ht="15.75" thickBot="1">
      <c r="A98" s="27" t="s">
        <v>712</v>
      </c>
      <c r="B98" s="222" t="str">
        <f>Results!A100</f>
        <v>BGWal10</v>
      </c>
      <c r="C98" s="223" t="str">
        <f>Results!B100</f>
        <v>BGWalls10</v>
      </c>
      <c r="D98" s="223" t="str">
        <f>Results!C100</f>
        <v>BGWalls</v>
      </c>
      <c r="E98" s="223">
        <f>Results!D100</f>
        <v>10</v>
      </c>
      <c r="F98" s="223" t="str">
        <f>Results!E100</f>
        <v>R-0</v>
      </c>
      <c r="G98" s="223" t="str">
        <f>Results!F100</f>
        <v>R-11</v>
      </c>
      <c r="H98" s="304" t="str">
        <f>Results!G100</f>
        <v>Heating Zone 3</v>
      </c>
      <c r="I98" s="223" t="str">
        <f>Results!H100</f>
        <v>Multi Family Weatherization - Insulate BGWalls - R-0 to R-11 - Heating Zone 3</v>
      </c>
      <c r="J98" s="216" t="s">
        <v>516</v>
      </c>
      <c r="K98" s="225">
        <f>Results!I100</f>
        <v>0</v>
      </c>
      <c r="L98" s="226">
        <f>Results!J100</f>
        <v>0</v>
      </c>
      <c r="Q98"/>
      <c r="S98"/>
      <c r="T98"/>
      <c r="U98"/>
      <c r="V98"/>
      <c r="W98"/>
    </row>
    <row r="99" spans="1:23" ht="15.75" thickBot="1">
      <c r="A99" s="27" t="s">
        <v>713</v>
      </c>
      <c r="B99" s="236" t="str">
        <f>Results!A101</f>
        <v>Floor10</v>
      </c>
      <c r="C99" s="237" t="str">
        <f>Results!B101</f>
        <v>Floors10</v>
      </c>
      <c r="D99" s="237" t="str">
        <f>Results!C101</f>
        <v>Floors</v>
      </c>
      <c r="E99" s="237">
        <f>Results!D101</f>
        <v>10</v>
      </c>
      <c r="F99" s="237" t="str">
        <f>Results!E101</f>
        <v>R-0</v>
      </c>
      <c r="G99" s="237" t="str">
        <f>Results!F101</f>
        <v>R-19</v>
      </c>
      <c r="H99" s="305" t="str">
        <f>Results!G101</f>
        <v>Heating Zone 3</v>
      </c>
      <c r="I99" s="237" t="str">
        <f>Results!H101</f>
        <v>Multi Family Weatherization - Insulate Floors - R-0 to R-19 - Heating Zone 3</v>
      </c>
      <c r="J99" s="216" t="s">
        <v>516</v>
      </c>
      <c r="K99" s="230">
        <f>Results!I101</f>
        <v>0.87781434572724071</v>
      </c>
      <c r="L99" s="231">
        <f>Results!J101</f>
        <v>-8.3155143486764727E-3</v>
      </c>
      <c r="Q99"/>
      <c r="S99"/>
      <c r="T99"/>
      <c r="U99"/>
      <c r="V99"/>
      <c r="W99"/>
    </row>
    <row r="100" spans="1:23" ht="15.75" thickBot="1">
      <c r="A100" s="27" t="s">
        <v>714</v>
      </c>
      <c r="B100" s="236" t="str">
        <f>Results!A102</f>
        <v>Floor11</v>
      </c>
      <c r="C100" s="237" t="str">
        <f>Results!B102</f>
        <v>Floors11</v>
      </c>
      <c r="D100" s="237" t="str">
        <f>Results!C102</f>
        <v>Floors</v>
      </c>
      <c r="E100" s="237">
        <f>Results!D102</f>
        <v>11</v>
      </c>
      <c r="F100" s="237" t="str">
        <f>Results!E102</f>
        <v>R-0</v>
      </c>
      <c r="G100" s="237" t="str">
        <f>Results!F102</f>
        <v>R-25</v>
      </c>
      <c r="H100" s="305" t="str">
        <f>Results!G102</f>
        <v>Heating Zone 3</v>
      </c>
      <c r="I100" s="237" t="str">
        <f>Results!H102</f>
        <v>Multi Family Weatherization - Insulate Floors - R-0 to R-25 - Heating Zone 3</v>
      </c>
      <c r="J100" s="216" t="s">
        <v>516</v>
      </c>
      <c r="K100" s="239">
        <f>Results!I102</f>
        <v>1.0078877306981222</v>
      </c>
      <c r="L100" s="240">
        <f>Results!J102</f>
        <v>-9.6653240338565646E-3</v>
      </c>
      <c r="Q100"/>
      <c r="S100"/>
      <c r="T100"/>
      <c r="U100"/>
      <c r="V100"/>
      <c r="W100"/>
    </row>
    <row r="101" spans="1:23" ht="15.75" thickBot="1">
      <c r="A101" s="27" t="s">
        <v>715</v>
      </c>
      <c r="B101" s="236" t="str">
        <f>Results!A103</f>
        <v>Floor12</v>
      </c>
      <c r="C101" s="237" t="str">
        <f>Results!B103</f>
        <v>Floors12</v>
      </c>
      <c r="D101" s="237" t="str">
        <f>Results!C103</f>
        <v>Floors</v>
      </c>
      <c r="E101" s="237">
        <f>Results!D103</f>
        <v>12</v>
      </c>
      <c r="F101" s="237" t="str">
        <f>Results!E103</f>
        <v>R-0</v>
      </c>
      <c r="G101" s="237" t="str">
        <f>Results!F103</f>
        <v>R-30</v>
      </c>
      <c r="H101" s="305" t="str">
        <f>Results!G103</f>
        <v>Heating Zone 3</v>
      </c>
      <c r="I101" s="237" t="str">
        <f>Results!H103</f>
        <v>Multi Family Weatherization - Insulate Floors - R-0 to R-30 - Heating Zone 3</v>
      </c>
      <c r="J101" s="216" t="s">
        <v>516</v>
      </c>
      <c r="K101" s="230">
        <f>Results!I103</f>
        <v>1.1455593689656125</v>
      </c>
      <c r="L101" s="231">
        <f>Results!J103</f>
        <v>-1.1128709345584874E-2</v>
      </c>
      <c r="Q101"/>
      <c r="S101"/>
      <c r="T101"/>
      <c r="U101"/>
      <c r="V101"/>
      <c r="W101"/>
    </row>
    <row r="102" spans="1:23" ht="15.75" thickBot="1">
      <c r="A102" s="27" t="s">
        <v>716</v>
      </c>
      <c r="B102" s="236" t="str">
        <f>Results!A104</f>
        <v>Floor13</v>
      </c>
      <c r="C102" s="237" t="str">
        <f>Results!B104</f>
        <v>Floors13</v>
      </c>
      <c r="D102" s="237" t="str">
        <f>Results!C104</f>
        <v>Floors</v>
      </c>
      <c r="E102" s="237">
        <f>Results!D104</f>
        <v>13</v>
      </c>
      <c r="F102" s="237" t="str">
        <f>Results!E104</f>
        <v>R-0</v>
      </c>
      <c r="G102" s="237" t="str">
        <f>Results!F104</f>
        <v>R-38</v>
      </c>
      <c r="H102" s="305" t="str">
        <f>Results!G104</f>
        <v>Heating Zone 3</v>
      </c>
      <c r="I102" s="237" t="str">
        <f>Results!H104</f>
        <v>Multi Family Weatherization - Insulate Floors - R-0 to R-38 - Heating Zone 3</v>
      </c>
      <c r="J102" s="216" t="s">
        <v>516</v>
      </c>
      <c r="K102" s="239">
        <f>Results!I104</f>
        <v>1.1822957706115718</v>
      </c>
      <c r="L102" s="240">
        <f>Results!J104</f>
        <v>-1.1524572227190943E-2</v>
      </c>
      <c r="Q102"/>
      <c r="S102"/>
      <c r="T102"/>
      <c r="U102"/>
      <c r="V102"/>
      <c r="W102"/>
    </row>
    <row r="103" spans="1:23" ht="15.75" thickBot="1">
      <c r="A103" s="27" t="s">
        <v>717</v>
      </c>
      <c r="B103" s="236" t="str">
        <f>Results!A105</f>
        <v>Floor14</v>
      </c>
      <c r="C103" s="237" t="str">
        <f>Results!B105</f>
        <v>Floors14</v>
      </c>
      <c r="D103" s="237" t="str">
        <f>Results!C105</f>
        <v>Floors</v>
      </c>
      <c r="E103" s="237">
        <f>Results!D105</f>
        <v>14</v>
      </c>
      <c r="F103" s="237" t="str">
        <f>Results!E105</f>
        <v>R-19</v>
      </c>
      <c r="G103" s="237" t="str">
        <f>Results!F105</f>
        <v>R-25</v>
      </c>
      <c r="H103" s="305" t="str">
        <f>Results!G105</f>
        <v>Heating Zone 3</v>
      </c>
      <c r="I103" s="237" t="str">
        <f>Results!H105</f>
        <v>Multi Family Weatherization - Insulate Floors - R-19 to R-25 - Heating Zone 3</v>
      </c>
      <c r="J103" s="216" t="s">
        <v>516</v>
      </c>
      <c r="K103" s="239">
        <f>Results!I105</f>
        <v>0.13007338497088153</v>
      </c>
      <c r="L103" s="240">
        <f>Results!J105</f>
        <v>-1.3498096851800915E-3</v>
      </c>
      <c r="Q103"/>
      <c r="S103"/>
      <c r="T103"/>
      <c r="U103"/>
      <c r="V103"/>
      <c r="W103"/>
    </row>
    <row r="104" spans="1:23" ht="15.75" thickBot="1">
      <c r="A104" s="27" t="s">
        <v>718</v>
      </c>
      <c r="B104" s="236" t="str">
        <f>Results!A106</f>
        <v>Floor15</v>
      </c>
      <c r="C104" s="237" t="str">
        <f>Results!B106</f>
        <v>Floors15</v>
      </c>
      <c r="D104" s="237" t="str">
        <f>Results!C106</f>
        <v>Floors</v>
      </c>
      <c r="E104" s="237">
        <f>Results!D106</f>
        <v>15</v>
      </c>
      <c r="F104" s="237" t="str">
        <f>Results!E106</f>
        <v>R-19</v>
      </c>
      <c r="G104" s="237" t="str">
        <f>Results!F106</f>
        <v>R-30</v>
      </c>
      <c r="H104" s="305" t="str">
        <f>Results!G106</f>
        <v>Heating Zone 3</v>
      </c>
      <c r="I104" s="237" t="str">
        <f>Results!H106</f>
        <v>Multi Family Weatherization - Insulate Floors - R-19 to R-30 - Heating Zone 3</v>
      </c>
      <c r="J104" s="216" t="s">
        <v>516</v>
      </c>
      <c r="K104" s="230">
        <f>Results!I106</f>
        <v>0.2677450232383719</v>
      </c>
      <c r="L104" s="231">
        <f>Results!J106</f>
        <v>-2.8131949969084006E-3</v>
      </c>
      <c r="Q104"/>
      <c r="S104"/>
      <c r="T104"/>
      <c r="U104"/>
      <c r="V104"/>
      <c r="W104"/>
    </row>
    <row r="105" spans="1:23" ht="15.75" thickBot="1">
      <c r="A105" s="27" t="s">
        <v>719</v>
      </c>
      <c r="B105" s="236" t="str">
        <f>Results!A107</f>
        <v>Floor16</v>
      </c>
      <c r="C105" s="237" t="str">
        <f>Results!B107</f>
        <v>Floors16</v>
      </c>
      <c r="D105" s="237" t="str">
        <f>Results!C107</f>
        <v>Floors</v>
      </c>
      <c r="E105" s="237">
        <f>Results!D107</f>
        <v>16</v>
      </c>
      <c r="F105" s="237" t="str">
        <f>Results!E107</f>
        <v>R-19</v>
      </c>
      <c r="G105" s="237" t="str">
        <f>Results!F107</f>
        <v>R-38</v>
      </c>
      <c r="H105" s="305" t="str">
        <f>Results!G107</f>
        <v>Heating Zone 3</v>
      </c>
      <c r="I105" s="237" t="str">
        <f>Results!H107</f>
        <v>Multi Family Weatherization - Insulate Floors - R-19 to R-38 - Heating Zone 3</v>
      </c>
      <c r="J105" s="216" t="s">
        <v>516</v>
      </c>
      <c r="K105" s="239">
        <f>Results!I107</f>
        <v>0.30448142488433083</v>
      </c>
      <c r="L105" s="240">
        <f>Results!J107</f>
        <v>-3.2090578785144703E-3</v>
      </c>
      <c r="Q105"/>
      <c r="S105"/>
      <c r="T105"/>
      <c r="U105"/>
      <c r="V105"/>
      <c r="W105"/>
    </row>
    <row r="106" spans="1:23" ht="15.75" thickBot="1">
      <c r="A106" s="27" t="s">
        <v>720</v>
      </c>
      <c r="B106" s="236" t="str">
        <f>Results!A108</f>
        <v>Floor17</v>
      </c>
      <c r="C106" s="237" t="str">
        <f>Results!B108</f>
        <v>Floors17</v>
      </c>
      <c r="D106" s="237" t="str">
        <f>Results!C108</f>
        <v>Floors</v>
      </c>
      <c r="E106" s="237">
        <f>Results!D108</f>
        <v>17</v>
      </c>
      <c r="F106" s="237" t="str">
        <f>Results!E108</f>
        <v>R-11</v>
      </c>
      <c r="G106" s="237" t="str">
        <f>Results!F108</f>
        <v>R-30</v>
      </c>
      <c r="H106" s="305" t="str">
        <f>Results!G108</f>
        <v>Heating Zone 3</v>
      </c>
      <c r="I106" s="237" t="str">
        <f>Results!H108</f>
        <v>Multi Family Weatherization - Insulate Floors - R-11 to R-30 - Heating Zone 3</v>
      </c>
      <c r="J106" s="216" t="s">
        <v>516</v>
      </c>
      <c r="K106" s="239">
        <f>Results!I108</f>
        <v>2.5250254137254768</v>
      </c>
      <c r="L106" s="240">
        <f>Results!J108</f>
        <v>-2.1853660973660857E-2</v>
      </c>
      <c r="Q106"/>
      <c r="S106"/>
      <c r="T106"/>
      <c r="U106"/>
      <c r="V106"/>
      <c r="W106"/>
    </row>
    <row r="107" spans="1:23" ht="15.75" thickBot="1">
      <c r="A107" s="27" t="s">
        <v>713</v>
      </c>
      <c r="B107" s="236" t="str">
        <f>Results!A109</f>
        <v>Floor18</v>
      </c>
      <c r="C107" s="237" t="str">
        <f>Results!B109</f>
        <v>Floors18</v>
      </c>
      <c r="D107" s="237" t="str">
        <f>Results!C109</f>
        <v>Floors</v>
      </c>
      <c r="E107" s="237">
        <f>Results!D109</f>
        <v>18</v>
      </c>
      <c r="F107" s="237" t="str">
        <f>Results!E109</f>
        <v>R-0</v>
      </c>
      <c r="G107" s="237" t="str">
        <f>Results!F109</f>
        <v>R-19</v>
      </c>
      <c r="H107" s="305" t="str">
        <f>Results!G109</f>
        <v>Heating Zone 3</v>
      </c>
      <c r="I107" s="237" t="str">
        <f>Results!H109</f>
        <v>Multi Family Weatherization - Insulate Floors - R-0 to R-19 - Heating Zone 3</v>
      </c>
      <c r="J107" s="216" t="s">
        <v>516</v>
      </c>
      <c r="K107" s="239">
        <f>Results!I109</f>
        <v>0.87781434572724071</v>
      </c>
      <c r="L107" s="240">
        <f>Results!J109</f>
        <v>-8.3155143486764727E-3</v>
      </c>
      <c r="Q107"/>
      <c r="S107"/>
      <c r="T107"/>
      <c r="U107"/>
      <c r="V107"/>
      <c r="W107"/>
    </row>
    <row r="108" spans="1:23" ht="15.75" thickBot="1">
      <c r="A108" s="27" t="s">
        <v>721</v>
      </c>
      <c r="B108" s="280" t="str">
        <f>Results!A110</f>
        <v>Ceili10</v>
      </c>
      <c r="C108" s="281" t="str">
        <f>Results!B110</f>
        <v>Ceiling10</v>
      </c>
      <c r="D108" s="281" t="str">
        <f>Results!C110</f>
        <v>Ceiling</v>
      </c>
      <c r="E108" s="281">
        <f>Results!D110</f>
        <v>10</v>
      </c>
      <c r="F108" s="281" t="str">
        <f>Results!E110</f>
        <v>R-0</v>
      </c>
      <c r="G108" s="281" t="str">
        <f>Results!F110</f>
        <v>R-19</v>
      </c>
      <c r="H108" s="306" t="str">
        <f>Results!G110</f>
        <v>Heating Zone 3</v>
      </c>
      <c r="I108" s="281" t="str">
        <f>Results!H110</f>
        <v>Multi Family Weatherization - Insulate Attic - R-0 to R-19 - Heating Zone 3</v>
      </c>
      <c r="J108" s="216" t="s">
        <v>516</v>
      </c>
      <c r="K108" s="266">
        <f>Results!I110</f>
        <v>0.42664993336602086</v>
      </c>
      <c r="L108" s="267">
        <f>Results!J110</f>
        <v>8.0849091070378572E-3</v>
      </c>
      <c r="Q108"/>
      <c r="S108"/>
      <c r="T108"/>
      <c r="U108"/>
      <c r="V108"/>
      <c r="W108"/>
    </row>
    <row r="109" spans="1:23" ht="15.75" thickBot="1">
      <c r="A109" s="27" t="s">
        <v>722</v>
      </c>
      <c r="B109" s="236" t="str">
        <f>Results!A111</f>
        <v>Ceili11</v>
      </c>
      <c r="C109" s="237" t="str">
        <f>Results!B111</f>
        <v>Ceiling11</v>
      </c>
      <c r="D109" s="237" t="str">
        <f>Results!C111</f>
        <v>Ceiling</v>
      </c>
      <c r="E109" s="237">
        <f>Results!D111</f>
        <v>11</v>
      </c>
      <c r="F109" s="237" t="str">
        <f>Results!E111</f>
        <v>R-0</v>
      </c>
      <c r="G109" s="237" t="str">
        <f>Results!F111</f>
        <v>R-38</v>
      </c>
      <c r="H109" s="305" t="str">
        <f>Results!G111</f>
        <v>Heating Zone 3</v>
      </c>
      <c r="I109" s="237" t="str">
        <f>Results!H111</f>
        <v>Multi Family Weatherization - Insulate Attic - R-0 to R-38 - Heating Zone 3</v>
      </c>
      <c r="J109" s="216" t="s">
        <v>516</v>
      </c>
      <c r="K109" s="230">
        <f>Results!I111</f>
        <v>0.58244754332923432</v>
      </c>
      <c r="L109" s="231">
        <f>Results!J111</f>
        <v>1.1075518258404962E-2</v>
      </c>
      <c r="Q109"/>
      <c r="S109"/>
      <c r="T109"/>
      <c r="U109"/>
      <c r="V109"/>
      <c r="W109"/>
    </row>
    <row r="110" spans="1:23" ht="15.75" thickBot="1">
      <c r="A110" s="27" t="s">
        <v>723</v>
      </c>
      <c r="B110" s="236" t="str">
        <f>Results!A112</f>
        <v>Ceili12</v>
      </c>
      <c r="C110" s="237" t="str">
        <f>Results!B112</f>
        <v>Ceiling12</v>
      </c>
      <c r="D110" s="237" t="str">
        <f>Results!C112</f>
        <v>Ceiling</v>
      </c>
      <c r="E110" s="237">
        <f>Results!D112</f>
        <v>12</v>
      </c>
      <c r="F110" s="237" t="str">
        <f>Results!E112</f>
        <v>R-0</v>
      </c>
      <c r="G110" s="237" t="str">
        <f>Results!F112</f>
        <v>R-49</v>
      </c>
      <c r="H110" s="305" t="str">
        <f>Results!G112</f>
        <v>Heating Zone 3</v>
      </c>
      <c r="I110" s="237" t="str">
        <f>Results!H112</f>
        <v>Multi Family Weatherization - Insulate Attic - R-0 to R-49 - Heating Zone 3</v>
      </c>
      <c r="J110" s="216" t="s">
        <v>516</v>
      </c>
      <c r="K110" s="230">
        <f>Results!I112</f>
        <v>0.61870004698925685</v>
      </c>
      <c r="L110" s="231">
        <f>Results!J112</f>
        <v>1.1775656372504424E-2</v>
      </c>
      <c r="Q110"/>
      <c r="S110"/>
      <c r="T110"/>
      <c r="U110"/>
      <c r="V110"/>
      <c r="W110"/>
    </row>
    <row r="111" spans="1:23" ht="15.75" thickBot="1">
      <c r="A111" s="27" t="s">
        <v>724</v>
      </c>
      <c r="B111" s="236" t="str">
        <f>Results!A113</f>
        <v>Ceili13</v>
      </c>
      <c r="C111" s="237" t="str">
        <f>Results!B113</f>
        <v>Ceiling13</v>
      </c>
      <c r="D111" s="237" t="str">
        <f>Results!C113</f>
        <v>Ceiling</v>
      </c>
      <c r="E111" s="237">
        <f>Results!D113</f>
        <v>13</v>
      </c>
      <c r="F111" s="237" t="str">
        <f>Results!E113</f>
        <v>R-30</v>
      </c>
      <c r="G111" s="237" t="str">
        <f>Results!F113</f>
        <v>R-38</v>
      </c>
      <c r="H111" s="305" t="str">
        <f>Results!G113</f>
        <v>Heating Zone 3</v>
      </c>
      <c r="I111" s="237" t="str">
        <f>Results!H113</f>
        <v>Multi Family Weatherization - Insulate Attic - R-30 to R-38 - Heating Zone 3</v>
      </c>
      <c r="J111" s="216" t="s">
        <v>516</v>
      </c>
      <c r="K111" s="239">
        <f>Results!I113</f>
        <v>4.299124974459223E-2</v>
      </c>
      <c r="L111" s="240">
        <f>Results!J113</f>
        <v>8.2753266476954417E-4</v>
      </c>
      <c r="Q111"/>
      <c r="S111"/>
      <c r="T111"/>
      <c r="U111"/>
      <c r="V111"/>
      <c r="W111"/>
    </row>
    <row r="112" spans="1:23" ht="15.75" thickBot="1">
      <c r="A112" s="27" t="s">
        <v>725</v>
      </c>
      <c r="B112" s="236" t="str">
        <f>Results!A114</f>
        <v>Ceili14</v>
      </c>
      <c r="C112" s="237" t="str">
        <f>Results!B114</f>
        <v>Ceiling14</v>
      </c>
      <c r="D112" s="237" t="str">
        <f>Results!C114</f>
        <v>Ceiling</v>
      </c>
      <c r="E112" s="237">
        <f>Results!D114</f>
        <v>14</v>
      </c>
      <c r="F112" s="237" t="str">
        <f>Results!E114</f>
        <v>R-30</v>
      </c>
      <c r="G112" s="237" t="str">
        <f>Results!F114</f>
        <v>R-49</v>
      </c>
      <c r="H112" s="305" t="str">
        <f>Results!G114</f>
        <v>Heating Zone 3</v>
      </c>
      <c r="I112" s="237" t="str">
        <f>Results!H114</f>
        <v>Multi Family Weatherization - Insulate Attic - R-30 to R-49 - Heating Zone 3</v>
      </c>
      <c r="J112" s="216" t="s">
        <v>516</v>
      </c>
      <c r="K112" s="239">
        <f>Results!I114</f>
        <v>7.9243753404614745E-2</v>
      </c>
      <c r="L112" s="240">
        <f>Results!J114</f>
        <v>1.5276707788690045E-3</v>
      </c>
      <c r="Q112"/>
      <c r="S112"/>
      <c r="T112"/>
      <c r="U112"/>
      <c r="V112"/>
      <c r="W112"/>
    </row>
    <row r="113" spans="1:23" ht="15.75" thickBot="1">
      <c r="A113" s="27" t="s">
        <v>726</v>
      </c>
      <c r="B113" s="236" t="str">
        <f>Results!A115</f>
        <v>Ceili15</v>
      </c>
      <c r="C113" s="237" t="str">
        <f>Results!B115</f>
        <v>Ceiling15</v>
      </c>
      <c r="D113" s="237" t="str">
        <f>Results!C115</f>
        <v>Ceiling</v>
      </c>
      <c r="E113" s="237">
        <f>Results!D115</f>
        <v>15</v>
      </c>
      <c r="F113" s="237" t="str">
        <f>Results!E115</f>
        <v>R-19</v>
      </c>
      <c r="G113" s="237" t="str">
        <f>Results!F115</f>
        <v>R-30</v>
      </c>
      <c r="H113" s="305" t="str">
        <f>Results!G115</f>
        <v>Heating Zone 3</v>
      </c>
      <c r="I113" s="237" t="str">
        <f>Results!H115</f>
        <v>Multi Family Weatherization - Insulate Attic - R-19 to R-30 - Heating Zone 3</v>
      </c>
      <c r="J113" s="216" t="s">
        <v>516</v>
      </c>
      <c r="K113" s="239">
        <f>Results!I115</f>
        <v>0.11280636021862124</v>
      </c>
      <c r="L113" s="240">
        <f>Results!J115</f>
        <v>2.1630764865975599E-3</v>
      </c>
      <c r="Q113"/>
      <c r="S113"/>
      <c r="T113"/>
      <c r="U113"/>
      <c r="V113"/>
      <c r="W113"/>
    </row>
    <row r="114" spans="1:23" ht="15.75" thickBot="1">
      <c r="A114" s="27" t="s">
        <v>727</v>
      </c>
      <c r="B114" s="236" t="str">
        <f>Results!A116</f>
        <v>Ceili16</v>
      </c>
      <c r="C114" s="237" t="str">
        <f>Results!B116</f>
        <v>Ceiling16</v>
      </c>
      <c r="D114" s="237" t="str">
        <f>Results!C116</f>
        <v>Ceiling</v>
      </c>
      <c r="E114" s="237">
        <f>Results!D116</f>
        <v>16</v>
      </c>
      <c r="F114" s="237" t="str">
        <f>Results!E116</f>
        <v>R-19</v>
      </c>
      <c r="G114" s="237" t="str">
        <f>Results!F116</f>
        <v>R-38</v>
      </c>
      <c r="H114" s="305" t="str">
        <f>Results!G116</f>
        <v>Heating Zone 3</v>
      </c>
      <c r="I114" s="237" t="str">
        <f>Results!H116</f>
        <v>Multi Family Weatherization - Insulate Attic - R-19 to R-38 - Heating Zone 3</v>
      </c>
      <c r="J114" s="216" t="s">
        <v>516</v>
      </c>
      <c r="K114" s="230">
        <f>Results!I116</f>
        <v>0.15579760996321346</v>
      </c>
      <c r="L114" s="231">
        <f>Results!J116</f>
        <v>2.9906091513671042E-3</v>
      </c>
      <c r="Q114"/>
      <c r="S114"/>
      <c r="T114"/>
      <c r="U114"/>
      <c r="V114"/>
      <c r="W114"/>
    </row>
    <row r="115" spans="1:23" ht="15.75" thickBot="1">
      <c r="A115" s="27" t="s">
        <v>728</v>
      </c>
      <c r="B115" s="236" t="str">
        <f>Results!A117</f>
        <v>Ceili17</v>
      </c>
      <c r="C115" s="237" t="str">
        <f>Results!B117</f>
        <v>Ceiling17</v>
      </c>
      <c r="D115" s="237" t="str">
        <f>Results!C117</f>
        <v>Ceiling</v>
      </c>
      <c r="E115" s="237">
        <f>Results!D117</f>
        <v>17</v>
      </c>
      <c r="F115" s="237" t="str">
        <f>Results!E117</f>
        <v>R-19</v>
      </c>
      <c r="G115" s="237" t="str">
        <f>Results!F117</f>
        <v>R-49</v>
      </c>
      <c r="H115" s="305" t="str">
        <f>Results!G117</f>
        <v>Heating Zone 3</v>
      </c>
      <c r="I115" s="237" t="str">
        <f>Results!H117</f>
        <v>Multi Family Weatherization - Insulate Attic - R-19 to R-49 - Heating Zone 3</v>
      </c>
      <c r="J115" s="216" t="s">
        <v>516</v>
      </c>
      <c r="K115" s="230">
        <f>Results!I117</f>
        <v>0.19205011362323596</v>
      </c>
      <c r="L115" s="231">
        <f>Results!J117</f>
        <v>3.6907472654665648E-3</v>
      </c>
      <c r="Q115"/>
      <c r="S115"/>
      <c r="T115"/>
      <c r="U115"/>
      <c r="V115"/>
      <c r="W115"/>
    </row>
    <row r="116" spans="1:23" ht="15.75" thickBot="1">
      <c r="A116" s="27" t="s">
        <v>729</v>
      </c>
      <c r="B116" s="273" t="str">
        <f>Results!A118</f>
        <v>Ceili18</v>
      </c>
      <c r="C116" s="274" t="str">
        <f>Results!B118</f>
        <v>Ceiling18</v>
      </c>
      <c r="D116" s="274" t="str">
        <f>Results!C118</f>
        <v>Ceiling</v>
      </c>
      <c r="E116" s="274">
        <f>Results!D118</f>
        <v>18</v>
      </c>
      <c r="F116" s="274" t="str">
        <f>Results!E118</f>
        <v>R-38</v>
      </c>
      <c r="G116" s="274" t="str">
        <f>Results!F118</f>
        <v>R-49</v>
      </c>
      <c r="H116" s="307" t="str">
        <f>Results!G118</f>
        <v>Heating Zone 3</v>
      </c>
      <c r="I116" s="274" t="str">
        <f>Results!H118</f>
        <v>Multi Family Weatherization - Insulate Attic - R-38 to R-49 - Heating Zone 3</v>
      </c>
      <c r="J116" s="216" t="s">
        <v>516</v>
      </c>
      <c r="K116" s="271">
        <f>Results!I118</f>
        <v>3.6252503660022507E-2</v>
      </c>
      <c r="L116" s="272">
        <f>Results!J118</f>
        <v>7.0013811409946013E-4</v>
      </c>
      <c r="Q116"/>
      <c r="S116"/>
      <c r="T116"/>
      <c r="U116"/>
      <c r="V116"/>
      <c r="W116"/>
    </row>
    <row r="117" spans="1:23" ht="15.75" thickBot="1">
      <c r="B117" s="236"/>
      <c r="C117" s="237"/>
      <c r="D117" s="237"/>
      <c r="E117" s="237"/>
      <c r="F117" s="237"/>
      <c r="G117" s="237"/>
      <c r="H117" s="305"/>
      <c r="I117" s="237"/>
      <c r="J117" s="216"/>
      <c r="K117" s="239"/>
      <c r="L117" s="240"/>
      <c r="Q117"/>
      <c r="S117"/>
      <c r="T117"/>
      <c r="U117"/>
      <c r="V117"/>
      <c r="W117"/>
    </row>
    <row r="118" spans="1:23" ht="15.75" thickBot="1">
      <c r="B118" s="236"/>
      <c r="C118" s="237"/>
      <c r="D118" s="237"/>
      <c r="E118" s="237"/>
      <c r="F118" s="237"/>
      <c r="G118" s="237"/>
      <c r="H118" s="305"/>
      <c r="I118" s="237"/>
      <c r="J118" s="216"/>
      <c r="K118" s="239"/>
      <c r="L118" s="240"/>
      <c r="Q118"/>
      <c r="S118"/>
      <c r="T118"/>
      <c r="U118"/>
      <c r="V118"/>
      <c r="W118"/>
    </row>
    <row r="119" spans="1:23" ht="15.75" thickBot="1">
      <c r="B119" s="236"/>
      <c r="C119" s="237"/>
      <c r="D119" s="237"/>
      <c r="E119" s="237"/>
      <c r="F119" s="237"/>
      <c r="G119" s="237"/>
      <c r="H119" s="305"/>
      <c r="I119" s="237"/>
      <c r="J119" s="216"/>
      <c r="K119" s="239"/>
      <c r="L119" s="240"/>
      <c r="Q119"/>
      <c r="S119"/>
      <c r="T119"/>
      <c r="U119"/>
      <c r="V119"/>
      <c r="W119"/>
    </row>
    <row r="120" spans="1:23" ht="15.75" thickBot="1">
      <c r="B120" s="236"/>
      <c r="C120" s="237"/>
      <c r="D120" s="237"/>
      <c r="E120" s="237"/>
      <c r="F120" s="237"/>
      <c r="G120" s="237"/>
      <c r="H120" s="305"/>
      <c r="I120" s="237"/>
      <c r="J120" s="216"/>
      <c r="K120" s="239"/>
      <c r="L120" s="240"/>
      <c r="Q120"/>
      <c r="S120"/>
      <c r="T120"/>
      <c r="U120"/>
      <c r="V120"/>
      <c r="W120"/>
    </row>
    <row r="121" spans="1:23" ht="15.75" thickBot="1">
      <c r="B121" s="236"/>
      <c r="C121" s="237"/>
      <c r="D121" s="237"/>
      <c r="E121" s="237"/>
      <c r="F121" s="237"/>
      <c r="G121" s="237"/>
      <c r="H121" s="305"/>
      <c r="I121" s="237"/>
      <c r="J121" s="216"/>
      <c r="K121" s="239"/>
      <c r="L121" s="240"/>
      <c r="Q121"/>
      <c r="S121"/>
      <c r="T121"/>
      <c r="U121"/>
      <c r="V121"/>
      <c r="W121"/>
    </row>
    <row r="122" spans="1:23" ht="15.75" thickBot="1">
      <c r="B122" s="236"/>
      <c r="C122" s="237"/>
      <c r="D122" s="237"/>
      <c r="E122" s="237"/>
      <c r="F122" s="237"/>
      <c r="G122" s="237"/>
      <c r="H122" s="305"/>
      <c r="I122" s="237"/>
      <c r="J122" s="216"/>
      <c r="K122" s="239"/>
      <c r="L122" s="240"/>
      <c r="Q122"/>
      <c r="S122"/>
      <c r="T122"/>
      <c r="U122"/>
      <c r="V122"/>
      <c r="W122"/>
    </row>
    <row r="123" spans="1:23" ht="15.75" thickBot="1">
      <c r="B123" s="236"/>
      <c r="C123" s="237"/>
      <c r="D123" s="237"/>
      <c r="E123" s="237"/>
      <c r="F123" s="237"/>
      <c r="G123" s="237"/>
      <c r="H123" s="305"/>
      <c r="I123" s="237"/>
      <c r="J123" s="216"/>
      <c r="K123" s="239"/>
      <c r="L123" s="240"/>
      <c r="Q123"/>
      <c r="S123"/>
      <c r="T123"/>
      <c r="U123"/>
      <c r="V123"/>
      <c r="W123"/>
    </row>
    <row r="124" spans="1:23" ht="15.75" thickBot="1">
      <c r="B124" s="236"/>
      <c r="C124" s="237"/>
      <c r="D124" s="237"/>
      <c r="E124" s="237"/>
      <c r="F124" s="237"/>
      <c r="G124" s="237"/>
      <c r="H124" s="305"/>
      <c r="I124" s="237"/>
      <c r="J124" s="216"/>
      <c r="K124" s="239"/>
      <c r="L124" s="240"/>
      <c r="Q124"/>
      <c r="S124"/>
      <c r="T124"/>
      <c r="U124"/>
      <c r="V124"/>
      <c r="W124"/>
    </row>
    <row r="125" spans="1:23" ht="15.75" thickBot="1">
      <c r="B125" s="236"/>
      <c r="C125" s="237"/>
      <c r="D125" s="237"/>
      <c r="E125" s="237"/>
      <c r="F125" s="237"/>
      <c r="G125" s="237"/>
      <c r="H125" s="305"/>
      <c r="I125" s="237"/>
      <c r="J125" s="216"/>
      <c r="K125" s="239"/>
      <c r="L125" s="240"/>
      <c r="Q125"/>
      <c r="S125"/>
      <c r="T125"/>
      <c r="U125"/>
      <c r="V125"/>
      <c r="W125"/>
    </row>
    <row r="126" spans="1:23" ht="15.75" thickBot="1">
      <c r="A126" s="27" t="s">
        <v>730</v>
      </c>
      <c r="B126" s="236" t="str">
        <f>Results!A128</f>
        <v>Windo19</v>
      </c>
      <c r="C126" s="237" t="str">
        <f>Results!B128</f>
        <v>Windows19</v>
      </c>
      <c r="D126" s="237" t="str">
        <f>Results!C128</f>
        <v>Windows</v>
      </c>
      <c r="E126" s="237">
        <f>Results!D128</f>
        <v>19</v>
      </c>
      <c r="F126" s="237" t="str">
        <f>Results!E128</f>
        <v>Class 35</v>
      </c>
      <c r="G126" s="237" t="str">
        <f>Results!F128</f>
        <v>Class 22</v>
      </c>
      <c r="H126" s="305" t="str">
        <f>Results!G128</f>
        <v>Heating Zone 3</v>
      </c>
      <c r="I126" s="237" t="str">
        <f>Results!H128</f>
        <v>Windows - Class 35 to Class 22 - Heating Zone 3</v>
      </c>
      <c r="J126" s="216" t="s">
        <v>516</v>
      </c>
      <c r="K126" s="239">
        <f>Results!I128</f>
        <v>5.6638317498215178</v>
      </c>
      <c r="L126" s="240">
        <f>Results!J128</f>
        <v>6.4535002087659429E-3</v>
      </c>
      <c r="Q126"/>
      <c r="S126"/>
      <c r="T126"/>
      <c r="U126"/>
      <c r="V126"/>
      <c r="W126"/>
    </row>
    <row r="127" spans="1:23" ht="15.75" thickBot="1">
      <c r="A127" s="27" t="s">
        <v>731</v>
      </c>
      <c r="B127" s="236" t="str">
        <f>Results!A129</f>
        <v>Windo20</v>
      </c>
      <c r="C127" s="237" t="str">
        <f>Results!B129</f>
        <v>Windows20</v>
      </c>
      <c r="D127" s="237" t="str">
        <f>Results!C129</f>
        <v>Windows</v>
      </c>
      <c r="E127" s="237">
        <f>Results!D129</f>
        <v>20</v>
      </c>
      <c r="F127" s="237" t="str">
        <f>Results!E129</f>
        <v>Single Pane</v>
      </c>
      <c r="G127" s="237" t="str">
        <f>Results!F129</f>
        <v>Class 22</v>
      </c>
      <c r="H127" s="305" t="str">
        <f>Results!G129</f>
        <v>Heating Zone 3</v>
      </c>
      <c r="I127" s="237" t="str">
        <f>Results!H129</f>
        <v>Windows - Single Pane to Class 22 - Heating Zone 3</v>
      </c>
      <c r="J127" s="216" t="s">
        <v>516</v>
      </c>
      <c r="K127" s="239">
        <f>Results!I129</f>
        <v>40.786648667650496</v>
      </c>
      <c r="L127" s="240">
        <f>Results!J129</f>
        <v>0.11294822180098626</v>
      </c>
      <c r="Q127"/>
      <c r="S127"/>
      <c r="T127"/>
      <c r="U127"/>
      <c r="V127"/>
      <c r="W127"/>
    </row>
    <row r="128" spans="1:23" ht="15.75" thickBot="1">
      <c r="A128" s="27" t="s">
        <v>732</v>
      </c>
      <c r="B128" s="236" t="str">
        <f>Results!A130</f>
        <v>Windo21</v>
      </c>
      <c r="C128" s="237" t="str">
        <f>Results!B130</f>
        <v>Windows21</v>
      </c>
      <c r="D128" s="237" t="str">
        <f>Results!C130</f>
        <v>Windows</v>
      </c>
      <c r="E128" s="237">
        <f>Results!D130</f>
        <v>21</v>
      </c>
      <c r="F128" s="237" t="str">
        <f>Results!E130</f>
        <v>Double Pane</v>
      </c>
      <c r="G128" s="237" t="str">
        <f>Results!F130</f>
        <v>Class 22</v>
      </c>
      <c r="H128" s="305" t="str">
        <f>Results!G130</f>
        <v>Heating Zone 3</v>
      </c>
      <c r="I128" s="237" t="str">
        <f>Results!H130</f>
        <v>Windows - Double Pane to Class 22 - Heating Zone 3</v>
      </c>
      <c r="J128" s="216" t="s">
        <v>516</v>
      </c>
      <c r="K128" s="239">
        <f>Results!I130</f>
        <v>24.636664840955845</v>
      </c>
      <c r="L128" s="240">
        <f>Results!J130</f>
        <v>0.15215933097871262</v>
      </c>
      <c r="Q128"/>
      <c r="S128"/>
      <c r="T128"/>
      <c r="U128"/>
      <c r="V128"/>
      <c r="W128"/>
    </row>
    <row r="129" spans="1:23" ht="15.75" thickBot="1">
      <c r="A129" s="27" t="s">
        <v>733</v>
      </c>
      <c r="B129" s="236" t="str">
        <f>Results!A131</f>
        <v>Windo22</v>
      </c>
      <c r="C129" s="237" t="str">
        <f>Results!B131</f>
        <v>Windows22</v>
      </c>
      <c r="D129" s="237" t="str">
        <f>Results!C131</f>
        <v>Windows</v>
      </c>
      <c r="E129" s="237">
        <f>Results!D131</f>
        <v>22</v>
      </c>
      <c r="F129" s="237" t="str">
        <f>Results!E131</f>
        <v>Single Pane</v>
      </c>
      <c r="G129" s="237" t="str">
        <f>Results!F131</f>
        <v>Class 30</v>
      </c>
      <c r="H129" s="305" t="str">
        <f>Results!G131</f>
        <v>Heating Zone 3</v>
      </c>
      <c r="I129" s="237" t="str">
        <f>Results!H131</f>
        <v>Windows - Single Pane to Class 30 - Heating Zone 3</v>
      </c>
      <c r="J129" s="216" t="s">
        <v>516</v>
      </c>
      <c r="K129" s="230">
        <f>Results!I131</f>
        <v>37.399505500675247</v>
      </c>
      <c r="L129" s="231">
        <f>Results!J131</f>
        <v>0.10750098117002868</v>
      </c>
      <c r="Q129"/>
      <c r="S129"/>
      <c r="T129"/>
      <c r="U129"/>
      <c r="V129"/>
      <c r="W129"/>
    </row>
    <row r="130" spans="1:23" ht="15.75" thickBot="1">
      <c r="A130" s="27" t="s">
        <v>734</v>
      </c>
      <c r="B130" s="236" t="str">
        <f>Results!A132</f>
        <v>Windo23</v>
      </c>
      <c r="C130" s="237" t="str">
        <f>Results!B132</f>
        <v>Windows23</v>
      </c>
      <c r="D130" s="237" t="str">
        <f>Results!C132</f>
        <v>Windows</v>
      </c>
      <c r="E130" s="237">
        <f>Results!D132</f>
        <v>23</v>
      </c>
      <c r="F130" s="237" t="str">
        <f>Results!E132</f>
        <v>Double Pane</v>
      </c>
      <c r="G130" s="237" t="str">
        <f>Results!F132</f>
        <v>Class 30</v>
      </c>
      <c r="H130" s="305" t="str">
        <f>Results!G132</f>
        <v>Heating Zone 3</v>
      </c>
      <c r="I130" s="237" t="str">
        <f>Results!H132</f>
        <v>Windows - Double Pane to Class 30 - Heating Zone 3</v>
      </c>
      <c r="J130" s="216" t="s">
        <v>516</v>
      </c>
      <c r="K130" s="230">
        <f>Results!I132</f>
        <v>21.249521673980595</v>
      </c>
      <c r="L130" s="231">
        <f>Results!J132</f>
        <v>0.14671209034775501</v>
      </c>
      <c r="Q130"/>
      <c r="S130"/>
      <c r="T130"/>
      <c r="U130"/>
      <c r="V130"/>
      <c r="W130"/>
    </row>
    <row r="131" spans="1:23" ht="15.75" thickBot="1">
      <c r="A131" s="27" t="s">
        <v>735</v>
      </c>
      <c r="B131" s="236" t="str">
        <f>Results!A133</f>
        <v>Windo24</v>
      </c>
      <c r="C131" s="237" t="str">
        <f>Results!B133</f>
        <v>Windows24</v>
      </c>
      <c r="D131" s="237" t="str">
        <f>Results!C133</f>
        <v>Windows</v>
      </c>
      <c r="E131" s="237">
        <f>Results!D133</f>
        <v>24</v>
      </c>
      <c r="F131" s="237" t="str">
        <f>Results!E133</f>
        <v>Class 35</v>
      </c>
      <c r="G131" s="237" t="str">
        <f>Results!F133</f>
        <v>Class 30</v>
      </c>
      <c r="H131" s="305" t="str">
        <f>Results!G133</f>
        <v>Heating Zone 3</v>
      </c>
      <c r="I131" s="237" t="str">
        <f>Results!H133</f>
        <v>Windows - Class 35 to Class 30 - Heating Zone 3</v>
      </c>
      <c r="J131" s="216" t="s">
        <v>516</v>
      </c>
      <c r="K131" s="230">
        <f>Results!I133</f>
        <v>2.2766885828462637</v>
      </c>
      <c r="L131" s="231">
        <f>Results!J133</f>
        <v>1.0062595778083613E-3</v>
      </c>
      <c r="Q131"/>
      <c r="S131"/>
      <c r="T131"/>
      <c r="U131"/>
      <c r="V131"/>
      <c r="W131"/>
    </row>
    <row r="132" spans="1:23" ht="15.75" thickBot="1">
      <c r="A132" s="27" t="s">
        <v>736</v>
      </c>
      <c r="B132" s="280" t="str">
        <f>Results!A134</f>
        <v>Infil10</v>
      </c>
      <c r="C132" s="281" t="str">
        <f>Results!B134</f>
        <v>Infiltration10</v>
      </c>
      <c r="D132" s="281" t="str">
        <f>Results!C134</f>
        <v>Infiltration</v>
      </c>
      <c r="E132" s="281">
        <f>Results!D134</f>
        <v>10</v>
      </c>
      <c r="F132" s="281" t="str">
        <f>Results!E134</f>
        <v>0.45 ACHn</v>
      </c>
      <c r="G132" s="281" t="str">
        <f>Results!F134</f>
        <v>0.35 ACHn</v>
      </c>
      <c r="H132" s="306" t="str">
        <f>Results!G134</f>
        <v>Heating Zone 3</v>
      </c>
      <c r="I132" s="281" t="str">
        <f>Results!H134</f>
        <v>Infiltration Reduction - 0.45 ACHn to 0.35 ACHn - Heating Zone 3</v>
      </c>
      <c r="J132" s="216" t="s">
        <v>516</v>
      </c>
      <c r="K132" s="266">
        <f>Results!I134</f>
        <v>0</v>
      </c>
      <c r="L132" s="267">
        <f>Results!J134</f>
        <v>0</v>
      </c>
      <c r="Q132"/>
      <c r="S132"/>
      <c r="T132"/>
      <c r="U132"/>
      <c r="V132"/>
      <c r="W132"/>
    </row>
    <row r="133" spans="1:23" ht="15.75" thickBot="1">
      <c r="A133" s="27" t="s">
        <v>737</v>
      </c>
      <c r="B133" s="236" t="str">
        <f>Results!A135</f>
        <v>Infil11</v>
      </c>
      <c r="C133" s="237" t="str">
        <f>Results!B135</f>
        <v>Infiltration11</v>
      </c>
      <c r="D133" s="237" t="str">
        <f>Results!C135</f>
        <v>Infiltration</v>
      </c>
      <c r="E133" s="237">
        <f>Results!D135</f>
        <v>11</v>
      </c>
      <c r="F133" s="237" t="str">
        <f>Results!E135</f>
        <v>0.45 ACHn</v>
      </c>
      <c r="G133" s="237" t="str">
        <f>Results!F135</f>
        <v>0.20 ACHn</v>
      </c>
      <c r="H133" s="305" t="str">
        <f>Results!G135</f>
        <v>Heating Zone 3</v>
      </c>
      <c r="I133" s="237" t="str">
        <f>Results!H135</f>
        <v>Infiltration Reduction - 0.45 ACHn to 0.20 ACHn - Heating Zone 3</v>
      </c>
      <c r="J133" s="216" t="s">
        <v>516</v>
      </c>
      <c r="K133" s="239">
        <f>Results!I135</f>
        <v>0</v>
      </c>
      <c r="L133" s="240">
        <f>Results!J135</f>
        <v>0</v>
      </c>
      <c r="Q133"/>
      <c r="S133"/>
      <c r="T133"/>
      <c r="U133"/>
      <c r="V133"/>
      <c r="W133"/>
    </row>
    <row r="134" spans="1:23" ht="15.75" thickBot="1">
      <c r="A134" s="27" t="s">
        <v>738</v>
      </c>
      <c r="B134" s="273" t="str">
        <f>Results!A136</f>
        <v>Infil12</v>
      </c>
      <c r="C134" s="274" t="str">
        <f>Results!B136</f>
        <v>Infiltration12</v>
      </c>
      <c r="D134" s="274" t="str">
        <f>Results!C136</f>
        <v>Infiltration</v>
      </c>
      <c r="E134" s="274">
        <f>Results!D136</f>
        <v>12</v>
      </c>
      <c r="F134" s="274" t="str">
        <f>Results!E136</f>
        <v>0.35 ACHn</v>
      </c>
      <c r="G134" s="274" t="str">
        <f>Results!F136</f>
        <v>0.20 ACHn</v>
      </c>
      <c r="H134" s="307" t="str">
        <f>Results!G136</f>
        <v>Heating Zone 3</v>
      </c>
      <c r="I134" s="274" t="str">
        <f>Results!H136</f>
        <v>Infiltration Reduction - 0.35 ACHn to 0.20 ACHn - Heating Zone 3</v>
      </c>
      <c r="J134" s="216" t="s">
        <v>516</v>
      </c>
      <c r="K134" s="276">
        <f>Results!I136</f>
        <v>0</v>
      </c>
      <c r="L134" s="277">
        <f>Results!J136</f>
        <v>0</v>
      </c>
      <c r="Q134"/>
      <c r="S134"/>
      <c r="T134"/>
      <c r="U134"/>
      <c r="V134"/>
      <c r="W134"/>
    </row>
    <row r="135" spans="1:23" ht="15.75" thickBot="1">
      <c r="A135" s="27" t="s">
        <v>739</v>
      </c>
      <c r="B135" s="236" t="str">
        <f>Results!A137</f>
        <v>DuctT10</v>
      </c>
      <c r="C135" s="237" t="str">
        <f>Results!B137</f>
        <v>DuctTightness10</v>
      </c>
      <c r="D135" s="237" t="str">
        <f>Results!C137</f>
        <v>DuctTightness</v>
      </c>
      <c r="E135" s="237">
        <f>Results!D137</f>
        <v>10</v>
      </c>
      <c r="F135" s="237" t="str">
        <f>Results!E137</f>
        <v>Std-crawl</v>
      </c>
      <c r="G135" s="237" t="str">
        <f>Results!F137</f>
        <v>PTCS-crawl</v>
      </c>
      <c r="H135" s="237" t="str">
        <f>Results!G137</f>
        <v>Heating Zone 3</v>
      </c>
      <c r="I135" s="237" t="str">
        <f>Results!H137</f>
        <v>DuctTightness - Std-crawl to PTCS-crawl - Heating Zone 3</v>
      </c>
      <c r="J135" s="216" t="s">
        <v>516</v>
      </c>
      <c r="K135" s="278">
        <f>Results!I137</f>
        <v>2315.1063670239541</v>
      </c>
      <c r="L135" s="279">
        <f>Results!J137</f>
        <v>26.784718342261296</v>
      </c>
      <c r="Q135"/>
      <c r="S135"/>
      <c r="T135"/>
      <c r="U135"/>
      <c r="V135"/>
      <c r="W135"/>
    </row>
    <row r="136" spans="1:23" ht="15.75" thickBot="1">
      <c r="A136" s="27" t="s">
        <v>740</v>
      </c>
      <c r="B136" s="280" t="str">
        <f>Results!A138</f>
        <v>DuctI10</v>
      </c>
      <c r="C136" s="281" t="str">
        <f>Results!B138</f>
        <v>DuctInsulation10</v>
      </c>
      <c r="D136" s="281" t="str">
        <f>Results!C138</f>
        <v>DuctInsulation</v>
      </c>
      <c r="E136" s="281">
        <f>Results!D138</f>
        <v>10</v>
      </c>
      <c r="F136" s="281" t="str">
        <f>Results!E138</f>
        <v>R-0</v>
      </c>
      <c r="G136" s="281" t="str">
        <f>Results!F138</f>
        <v>R-4.2</v>
      </c>
      <c r="H136" s="281" t="str">
        <f>Results!G138</f>
        <v>Heating Zone 3</v>
      </c>
      <c r="I136" s="281" t="str">
        <f>Results!H138</f>
        <v>DuctInsulation - R-0 to R-4.2 - Heating Zone 3</v>
      </c>
      <c r="J136" s="216" t="s">
        <v>516</v>
      </c>
      <c r="K136" s="282">
        <f>Results!I138</f>
        <v>141.89240135659409</v>
      </c>
      <c r="L136" s="283">
        <f>Results!J138</f>
        <v>1.7957795234653462</v>
      </c>
      <c r="Q136"/>
      <c r="S136"/>
      <c r="T136"/>
      <c r="U136"/>
      <c r="V136"/>
      <c r="W136"/>
    </row>
    <row r="137" spans="1:23" ht="15.75" thickBot="1">
      <c r="A137" s="27" t="s">
        <v>741</v>
      </c>
      <c r="B137" s="236" t="str">
        <f>Results!A139</f>
        <v>DuctI11</v>
      </c>
      <c r="C137" s="237" t="str">
        <f>Results!B139</f>
        <v>DuctInsulation11</v>
      </c>
      <c r="D137" s="237" t="str">
        <f>Results!C139</f>
        <v>DuctInsulation</v>
      </c>
      <c r="E137" s="237">
        <f>Results!D139</f>
        <v>11</v>
      </c>
      <c r="F137" s="237" t="str">
        <f>Results!E139</f>
        <v>R-0</v>
      </c>
      <c r="G137" s="237" t="str">
        <f>Results!F139</f>
        <v>R-11</v>
      </c>
      <c r="H137" s="237" t="str">
        <f>Results!G139</f>
        <v>Heating Zone 3</v>
      </c>
      <c r="I137" s="237" t="str">
        <f>Results!H139</f>
        <v>DuctInsulation - R-0 to R-11 - Heating Zone 3</v>
      </c>
      <c r="J137" s="216" t="s">
        <v>516</v>
      </c>
      <c r="K137" s="284">
        <f>Results!I139</f>
        <v>197.02839890763579</v>
      </c>
      <c r="L137" s="285">
        <f>Results!J139</f>
        <v>2.4723543367876459</v>
      </c>
      <c r="Q137"/>
      <c r="S137"/>
      <c r="T137"/>
      <c r="U137"/>
      <c r="V137"/>
      <c r="W137"/>
    </row>
    <row r="138" spans="1:23" ht="15.75" thickBot="1">
      <c r="A138" s="27" t="s">
        <v>742</v>
      </c>
      <c r="B138" s="273" t="str">
        <f>Results!A140</f>
        <v>DuctI12</v>
      </c>
      <c r="C138" s="274" t="str">
        <f>Results!B140</f>
        <v>DuctInsulation12</v>
      </c>
      <c r="D138" s="274" t="str">
        <f>Results!C140</f>
        <v>DuctInsulation</v>
      </c>
      <c r="E138" s="274">
        <f>Results!D140</f>
        <v>12</v>
      </c>
      <c r="F138" s="274" t="str">
        <f>Results!E140</f>
        <v>R-4.2</v>
      </c>
      <c r="G138" s="274" t="str">
        <f>Results!F140</f>
        <v>R-11</v>
      </c>
      <c r="H138" s="274" t="str">
        <f>Results!G140</f>
        <v>Heating Zone 3</v>
      </c>
      <c r="I138" s="274" t="str">
        <f>Results!H140</f>
        <v>DuctInsulation - R-4.2 to R-11 - Heating Zone 3</v>
      </c>
      <c r="J138" s="216" t="s">
        <v>516</v>
      </c>
      <c r="K138" s="286">
        <f>Results!I140</f>
        <v>55.135997551041726</v>
      </c>
      <c r="L138" s="287">
        <f>Results!J140</f>
        <v>0.67657481332229963</v>
      </c>
      <c r="Q138"/>
      <c r="S138"/>
      <c r="T138"/>
      <c r="U138"/>
      <c r="V138"/>
      <c r="W138"/>
    </row>
    <row r="139" spans="1:23" ht="15.75" thickBot="1">
      <c r="A139" s="27" t="s">
        <v>743</v>
      </c>
      <c r="B139" s="236" t="str">
        <f>Results!A141</f>
        <v>HeatP10</v>
      </c>
      <c r="C139" s="237" t="str">
        <f>Results!B141</f>
        <v>HeatPump10</v>
      </c>
      <c r="D139" s="237" t="str">
        <f>Results!C141</f>
        <v>HeatPump</v>
      </c>
      <c r="E139" s="237">
        <f>Results!D141</f>
        <v>10</v>
      </c>
      <c r="F139" s="237" t="str">
        <f>Results!E141</f>
        <v>7.7/13</v>
      </c>
      <c r="G139" s="237" t="str">
        <f>Results!F141</f>
        <v>8.5/13</v>
      </c>
      <c r="H139" s="237" t="str">
        <f>Results!G141</f>
        <v>Heating Zone 3</v>
      </c>
      <c r="I139" s="237" t="str">
        <f>Results!H141</f>
        <v>HeatPump Upgrade - 7.7/13 to 8.5/13 - Heating Zone 3</v>
      </c>
      <c r="J139" s="216" t="s">
        <v>516</v>
      </c>
      <c r="K139" s="284">
        <f>Results!I141</f>
        <v>0</v>
      </c>
      <c r="L139" s="285">
        <f>Results!J141</f>
        <v>0</v>
      </c>
      <c r="Q139"/>
      <c r="S139"/>
      <c r="T139"/>
      <c r="U139"/>
      <c r="V139"/>
      <c r="W139"/>
    </row>
    <row r="140" spans="1:23" ht="15.75" thickBot="1">
      <c r="A140" s="27" t="s">
        <v>744</v>
      </c>
      <c r="B140" s="236" t="str">
        <f>Results!A142</f>
        <v>HeatP11</v>
      </c>
      <c r="C140" s="237" t="str">
        <f>Results!B142</f>
        <v>HeatPump11</v>
      </c>
      <c r="D140" s="237" t="str">
        <f>Results!C142</f>
        <v>HeatPump</v>
      </c>
      <c r="E140" s="237">
        <f>Results!D142</f>
        <v>11</v>
      </c>
      <c r="F140" s="237" t="str">
        <f>Results!E142</f>
        <v>7.7/13</v>
      </c>
      <c r="G140" s="237" t="str">
        <f>Results!F142</f>
        <v>9.0/14</v>
      </c>
      <c r="H140" s="237" t="str">
        <f>Results!G142</f>
        <v>Heating Zone 3</v>
      </c>
      <c r="I140" s="237" t="str">
        <f>Results!H142</f>
        <v>HeatPump Upgrade - 7.7/13 to 9.0/14 - Heating Zone 3</v>
      </c>
      <c r="J140" s="216" t="s">
        <v>516</v>
      </c>
      <c r="K140" s="284">
        <f>Results!I142</f>
        <v>0</v>
      </c>
      <c r="L140" s="285">
        <f>Results!J142</f>
        <v>0</v>
      </c>
      <c r="Q140"/>
      <c r="S140"/>
      <c r="T140"/>
      <c r="U140"/>
      <c r="V140"/>
      <c r="W140"/>
    </row>
    <row r="141" spans="1:23" ht="15.75" thickBot="1">
      <c r="A141" s="27" t="s">
        <v>745</v>
      </c>
      <c r="B141" s="236" t="str">
        <f>Results!A143</f>
        <v>HeatP12</v>
      </c>
      <c r="C141" s="237" t="str">
        <f>Results!B143</f>
        <v>HeatPump12</v>
      </c>
      <c r="D141" s="237" t="str">
        <f>Results!C143</f>
        <v>HeatPump</v>
      </c>
      <c r="E141" s="237">
        <f>Results!D143</f>
        <v>12</v>
      </c>
      <c r="F141" s="237" t="str">
        <f>Results!E143</f>
        <v>7.7/13</v>
      </c>
      <c r="G141" s="237" t="str">
        <f>Results!F143</f>
        <v>8.2/13</v>
      </c>
      <c r="H141" s="237" t="str">
        <f>Results!G143</f>
        <v>Heating Zone 3</v>
      </c>
      <c r="I141" s="237" t="str">
        <f>Results!H143</f>
        <v>HeatPump Upgrade - 7.7/13 to 8.2/13 - Heating Zone 3</v>
      </c>
      <c r="J141" s="216" t="s">
        <v>516</v>
      </c>
      <c r="K141" s="284">
        <f>Results!I143</f>
        <v>0</v>
      </c>
      <c r="L141" s="285">
        <f>Results!J143</f>
        <v>0</v>
      </c>
      <c r="Q141"/>
      <c r="S141"/>
      <c r="T141"/>
      <c r="U141"/>
      <c r="V141"/>
      <c r="W141"/>
    </row>
    <row r="142" spans="1:23" ht="15.75" thickBot="1">
      <c r="A142" s="27" t="s">
        <v>746</v>
      </c>
      <c r="B142" s="299" t="str">
        <f>Results!A144</f>
        <v>HPCnt10</v>
      </c>
      <c r="C142" s="300" t="str">
        <f>Results!B144</f>
        <v>HPCntrls10</v>
      </c>
      <c r="D142" s="300" t="str">
        <f>Results!C144</f>
        <v>HPCntrls</v>
      </c>
      <c r="E142" s="300">
        <f>Results!D144</f>
        <v>10</v>
      </c>
      <c r="F142" s="300" t="str">
        <f>Results!E144</f>
        <v>Standard</v>
      </c>
      <c r="G142" s="300" t="str">
        <f>Results!F144</f>
        <v>PTCS</v>
      </c>
      <c r="H142" s="300" t="str">
        <f>Results!G144</f>
        <v>Heating Zone 3</v>
      </c>
      <c r="I142" s="300" t="str">
        <f>Results!H144</f>
        <v>HPCntrls Upgrade - Standard to PTCS - Heating Zone 3</v>
      </c>
      <c r="J142" s="216" t="s">
        <v>516</v>
      </c>
      <c r="K142" s="301">
        <f>Results!I144</f>
        <v>0</v>
      </c>
      <c r="L142" s="302">
        <f>Results!J144</f>
        <v>0</v>
      </c>
      <c r="Q142"/>
      <c r="S142"/>
      <c r="T142"/>
      <c r="U142"/>
      <c r="V142"/>
      <c r="W142"/>
    </row>
    <row r="143" spans="1:23" ht="15.75" thickBot="1">
      <c r="A143" s="27" t="s">
        <v>747</v>
      </c>
      <c r="B143" s="215" t="str">
        <f>B5</f>
        <v>Walls10</v>
      </c>
      <c r="C143" s="215" t="str">
        <f t="shared" ref="C143:I143" si="0">C5</f>
        <v>Walls10</v>
      </c>
      <c r="D143" s="215" t="str">
        <f t="shared" si="0"/>
        <v>Walls</v>
      </c>
      <c r="E143" s="215">
        <f t="shared" si="0"/>
        <v>10</v>
      </c>
      <c r="F143" s="215" t="str">
        <f t="shared" si="0"/>
        <v>R-0</v>
      </c>
      <c r="G143" s="215" t="str">
        <f t="shared" si="0"/>
        <v>R-11</v>
      </c>
      <c r="H143" s="215" t="str">
        <f t="shared" si="0"/>
        <v>Heating Zone 1</v>
      </c>
      <c r="I143" s="215" t="str">
        <f t="shared" si="0"/>
        <v>Multi Family Weatherization - Insulate Walls - R-0 to R-11 - Heating Zone 1</v>
      </c>
      <c r="J143" s="215" t="s">
        <v>748</v>
      </c>
      <c r="K143" s="218">
        <f>Results!K7</f>
        <v>1.3619811756822695</v>
      </c>
      <c r="L143" s="202">
        <v>0</v>
      </c>
      <c r="M143"/>
      <c r="N143"/>
      <c r="O143"/>
      <c r="P143"/>
      <c r="Q143"/>
      <c r="S143"/>
      <c r="T143"/>
      <c r="U143"/>
      <c r="V143"/>
      <c r="W143"/>
    </row>
    <row r="144" spans="1:23" ht="15.75" thickBot="1">
      <c r="A144" s="27" t="s">
        <v>749</v>
      </c>
      <c r="B144" s="215" t="str">
        <f t="shared" ref="B144:I159" si="1">B6</f>
        <v>BGWal10</v>
      </c>
      <c r="C144" s="215" t="str">
        <f t="shared" si="1"/>
        <v>BGWalls10</v>
      </c>
      <c r="D144" s="215" t="str">
        <f t="shared" si="1"/>
        <v>BGWalls</v>
      </c>
      <c r="E144" s="215">
        <f t="shared" si="1"/>
        <v>10</v>
      </c>
      <c r="F144" s="215" t="str">
        <f t="shared" si="1"/>
        <v>R-0</v>
      </c>
      <c r="G144" s="215" t="str">
        <f t="shared" si="1"/>
        <v>R-11</v>
      </c>
      <c r="H144" s="215" t="str">
        <f t="shared" si="1"/>
        <v>Heating Zone 1</v>
      </c>
      <c r="I144" s="215" t="str">
        <f t="shared" si="1"/>
        <v>Multi Family Weatherization - Insulate BGWalls - R-0 to R-11 - Heating Zone 1</v>
      </c>
      <c r="J144" s="215" t="s">
        <v>748</v>
      </c>
      <c r="K144" s="225">
        <f>Results!K8</f>
        <v>0</v>
      </c>
      <c r="L144" s="202">
        <v>0</v>
      </c>
      <c r="M144"/>
      <c r="N144"/>
      <c r="O144"/>
      <c r="P144"/>
      <c r="Q144"/>
      <c r="S144"/>
      <c r="T144"/>
      <c r="U144"/>
      <c r="V144"/>
      <c r="W144"/>
    </row>
    <row r="145" spans="1:23" ht="15.75" thickBot="1">
      <c r="A145" s="27" t="s">
        <v>750</v>
      </c>
      <c r="B145" s="215" t="str">
        <f t="shared" si="1"/>
        <v>Floor10</v>
      </c>
      <c r="C145" s="215" t="str">
        <f t="shared" si="1"/>
        <v>Floors10</v>
      </c>
      <c r="D145" s="215" t="str">
        <f t="shared" si="1"/>
        <v>Floors</v>
      </c>
      <c r="E145" s="215">
        <f t="shared" si="1"/>
        <v>10</v>
      </c>
      <c r="F145" s="215" t="str">
        <f t="shared" si="1"/>
        <v>R-0</v>
      </c>
      <c r="G145" s="215" t="str">
        <f t="shared" si="1"/>
        <v>R-19</v>
      </c>
      <c r="H145" s="215" t="str">
        <f t="shared" si="1"/>
        <v>Heating Zone 1</v>
      </c>
      <c r="I145" s="215" t="str">
        <f t="shared" si="1"/>
        <v>Multi Family Weatherization - Insulate Floors - R-0 to R-19 - Heating Zone 1</v>
      </c>
      <c r="J145" s="215" t="s">
        <v>748</v>
      </c>
      <c r="K145" s="230">
        <f>Results!K9</f>
        <v>0.61745309474478649</v>
      </c>
      <c r="L145" s="202">
        <v>0</v>
      </c>
      <c r="M145"/>
      <c r="N145"/>
      <c r="O145"/>
      <c r="P145"/>
      <c r="Q145"/>
      <c r="S145"/>
      <c r="T145"/>
      <c r="U145"/>
      <c r="V145"/>
      <c r="W145"/>
    </row>
    <row r="146" spans="1:23" ht="15.75" thickBot="1">
      <c r="A146" s="27" t="s">
        <v>751</v>
      </c>
      <c r="B146" s="215" t="str">
        <f t="shared" si="1"/>
        <v>Floor11</v>
      </c>
      <c r="C146" s="215" t="str">
        <f t="shared" si="1"/>
        <v>Floors11</v>
      </c>
      <c r="D146" s="215" t="str">
        <f t="shared" si="1"/>
        <v>Floors</v>
      </c>
      <c r="E146" s="215">
        <f t="shared" si="1"/>
        <v>11</v>
      </c>
      <c r="F146" s="215" t="str">
        <f t="shared" si="1"/>
        <v>R-0</v>
      </c>
      <c r="G146" s="215" t="str">
        <f t="shared" si="1"/>
        <v>R-25</v>
      </c>
      <c r="H146" s="215" t="str">
        <f t="shared" si="1"/>
        <v>Heating Zone 1</v>
      </c>
      <c r="I146" s="215" t="str">
        <f t="shared" si="1"/>
        <v>Multi Family Weatherization - Insulate Floors - R-0 to R-25 - Heating Zone 1</v>
      </c>
      <c r="J146" s="215" t="s">
        <v>748</v>
      </c>
      <c r="K146" s="239">
        <f>Results!K10</f>
        <v>0.70811413490441177</v>
      </c>
      <c r="L146" s="202">
        <v>0</v>
      </c>
    </row>
    <row r="147" spans="1:23" ht="15.75" thickBot="1">
      <c r="A147" s="27" t="s">
        <v>752</v>
      </c>
      <c r="B147" s="215" t="str">
        <f t="shared" si="1"/>
        <v>Floor12</v>
      </c>
      <c r="C147" s="215" t="str">
        <f t="shared" si="1"/>
        <v>Floors12</v>
      </c>
      <c r="D147" s="215" t="str">
        <f t="shared" si="1"/>
        <v>Floors</v>
      </c>
      <c r="E147" s="215">
        <f t="shared" si="1"/>
        <v>12</v>
      </c>
      <c r="F147" s="215" t="str">
        <f t="shared" si="1"/>
        <v>R-0</v>
      </c>
      <c r="G147" s="215" t="str">
        <f t="shared" si="1"/>
        <v>R-30</v>
      </c>
      <c r="H147" s="215" t="str">
        <f t="shared" si="1"/>
        <v>Heating Zone 1</v>
      </c>
      <c r="I147" s="215" t="str">
        <f t="shared" si="1"/>
        <v>Multi Family Weatherization - Insulate Floors - R-0 to R-30 - Heating Zone 1</v>
      </c>
      <c r="J147" s="215" t="s">
        <v>748</v>
      </c>
      <c r="K147" s="230">
        <f>Results!K11</f>
        <v>0.80371456332005364</v>
      </c>
      <c r="L147" s="202">
        <v>0</v>
      </c>
    </row>
    <row r="148" spans="1:23" ht="15.75" thickBot="1">
      <c r="A148" s="27" t="s">
        <v>753</v>
      </c>
      <c r="B148" s="215" t="str">
        <f t="shared" si="1"/>
        <v>Floor13</v>
      </c>
      <c r="C148" s="215" t="str">
        <f t="shared" si="1"/>
        <v>Floors13</v>
      </c>
      <c r="D148" s="215" t="str">
        <f t="shared" si="1"/>
        <v>Floors</v>
      </c>
      <c r="E148" s="215">
        <f t="shared" si="1"/>
        <v>13</v>
      </c>
      <c r="F148" s="215" t="str">
        <f t="shared" si="1"/>
        <v>R-0</v>
      </c>
      <c r="G148" s="215" t="str">
        <f t="shared" si="1"/>
        <v>R-38</v>
      </c>
      <c r="H148" s="215" t="str">
        <f t="shared" si="1"/>
        <v>Heating Zone 1</v>
      </c>
      <c r="I148" s="215" t="str">
        <f t="shared" si="1"/>
        <v>Multi Family Weatherization - Insulate Floors - R-0 to R-38 - Heating Zone 1</v>
      </c>
      <c r="J148" s="215" t="s">
        <v>748</v>
      </c>
      <c r="K148" s="239">
        <f>Results!K12</f>
        <v>0.82915530461323583</v>
      </c>
      <c r="L148" s="202">
        <v>0</v>
      </c>
    </row>
    <row r="149" spans="1:23" ht="15.75" thickBot="1">
      <c r="A149" s="27" t="s">
        <v>754</v>
      </c>
      <c r="B149" s="215" t="str">
        <f t="shared" si="1"/>
        <v>Floor14</v>
      </c>
      <c r="C149" s="215" t="str">
        <f t="shared" si="1"/>
        <v>Floors14</v>
      </c>
      <c r="D149" s="215" t="str">
        <f t="shared" si="1"/>
        <v>Floors</v>
      </c>
      <c r="E149" s="215">
        <f t="shared" si="1"/>
        <v>14</v>
      </c>
      <c r="F149" s="215" t="str">
        <f t="shared" si="1"/>
        <v>R-19</v>
      </c>
      <c r="G149" s="215" t="str">
        <f t="shared" si="1"/>
        <v>R-25</v>
      </c>
      <c r="H149" s="215" t="str">
        <f t="shared" si="1"/>
        <v>Heating Zone 1</v>
      </c>
      <c r="I149" s="215" t="str">
        <f t="shared" si="1"/>
        <v>Multi Family Weatherization - Insulate Floors - R-19 to R-25 - Heating Zone 1</v>
      </c>
      <c r="J149" s="215" t="s">
        <v>748</v>
      </c>
      <c r="K149" s="239">
        <f>Results!K13</f>
        <v>9.0661040159625256E-2</v>
      </c>
      <c r="L149" s="202">
        <v>0</v>
      </c>
    </row>
    <row r="150" spans="1:23" ht="15.75" thickBot="1">
      <c r="A150" s="27" t="s">
        <v>755</v>
      </c>
      <c r="B150" s="215" t="str">
        <f t="shared" si="1"/>
        <v>Floor15</v>
      </c>
      <c r="C150" s="215" t="str">
        <f t="shared" si="1"/>
        <v>Floors15</v>
      </c>
      <c r="D150" s="215" t="str">
        <f t="shared" si="1"/>
        <v>Floors</v>
      </c>
      <c r="E150" s="215">
        <f t="shared" si="1"/>
        <v>15</v>
      </c>
      <c r="F150" s="215" t="str">
        <f t="shared" si="1"/>
        <v>R-19</v>
      </c>
      <c r="G150" s="215" t="str">
        <f t="shared" si="1"/>
        <v>R-30</v>
      </c>
      <c r="H150" s="215" t="str">
        <f t="shared" si="1"/>
        <v>Heating Zone 1</v>
      </c>
      <c r="I150" s="215" t="str">
        <f t="shared" si="1"/>
        <v>Multi Family Weatherization - Insulate Floors - R-19 to R-30 - Heating Zone 1</v>
      </c>
      <c r="J150" s="215" t="s">
        <v>748</v>
      </c>
      <c r="K150" s="230">
        <f>Results!K14</f>
        <v>0.18626146857526715</v>
      </c>
      <c r="L150" s="202">
        <v>0</v>
      </c>
    </row>
    <row r="151" spans="1:23" ht="15.75" thickBot="1">
      <c r="A151" s="27" t="s">
        <v>756</v>
      </c>
      <c r="B151" s="215" t="str">
        <f t="shared" si="1"/>
        <v>Floor16</v>
      </c>
      <c r="C151" s="215" t="str">
        <f t="shared" si="1"/>
        <v>Floors16</v>
      </c>
      <c r="D151" s="215" t="str">
        <f t="shared" si="1"/>
        <v>Floors</v>
      </c>
      <c r="E151" s="215">
        <f t="shared" si="1"/>
        <v>16</v>
      </c>
      <c r="F151" s="215" t="str">
        <f t="shared" si="1"/>
        <v>R-19</v>
      </c>
      <c r="G151" s="215" t="str">
        <f t="shared" si="1"/>
        <v>R-38</v>
      </c>
      <c r="H151" s="215" t="str">
        <f t="shared" si="1"/>
        <v>Heating Zone 1</v>
      </c>
      <c r="I151" s="215" t="str">
        <f t="shared" si="1"/>
        <v>Multi Family Weatherization - Insulate Floors - R-19 to R-38 - Heating Zone 1</v>
      </c>
      <c r="J151" s="215" t="s">
        <v>748</v>
      </c>
      <c r="K151" s="239">
        <f>Results!K15</f>
        <v>0.21170220986844923</v>
      </c>
      <c r="L151" s="202">
        <v>0</v>
      </c>
    </row>
    <row r="152" spans="1:23" ht="15.75" thickBot="1">
      <c r="A152" s="27" t="s">
        <v>757</v>
      </c>
      <c r="B152" s="215" t="str">
        <f t="shared" si="1"/>
        <v>Floor17</v>
      </c>
      <c r="C152" s="215" t="str">
        <f t="shared" si="1"/>
        <v>Floors17</v>
      </c>
      <c r="D152" s="215" t="str">
        <f t="shared" si="1"/>
        <v>Floors</v>
      </c>
      <c r="E152" s="215">
        <f t="shared" si="1"/>
        <v>17</v>
      </c>
      <c r="F152" s="215" t="str">
        <f t="shared" si="1"/>
        <v>R-11</v>
      </c>
      <c r="G152" s="215" t="str">
        <f t="shared" si="1"/>
        <v>R-30</v>
      </c>
      <c r="H152" s="215" t="str">
        <f t="shared" si="1"/>
        <v>Heating Zone 1</v>
      </c>
      <c r="I152" s="215" t="str">
        <f t="shared" si="1"/>
        <v>Multi Family Weatherization - Insulate Floors - R-11 to R-30 - Heating Zone 1</v>
      </c>
      <c r="J152" s="215" t="s">
        <v>748</v>
      </c>
      <c r="K152" s="239">
        <f>Results!K16</f>
        <v>1.7943711995411764</v>
      </c>
      <c r="L152" s="202">
        <v>0</v>
      </c>
    </row>
    <row r="153" spans="1:23" ht="15.75" thickBot="1">
      <c r="A153" s="27" t="s">
        <v>750</v>
      </c>
      <c r="B153" s="215" t="str">
        <f t="shared" si="1"/>
        <v>Floor18</v>
      </c>
      <c r="C153" s="215" t="str">
        <f t="shared" si="1"/>
        <v>Floors18</v>
      </c>
      <c r="D153" s="215" t="str">
        <f t="shared" si="1"/>
        <v>Floors</v>
      </c>
      <c r="E153" s="215">
        <f t="shared" si="1"/>
        <v>18</v>
      </c>
      <c r="F153" s="215" t="str">
        <f t="shared" si="1"/>
        <v>R-0</v>
      </c>
      <c r="G153" s="215" t="str">
        <f t="shared" si="1"/>
        <v>R-19</v>
      </c>
      <c r="H153" s="215" t="str">
        <f t="shared" si="1"/>
        <v>Heating Zone 1</v>
      </c>
      <c r="I153" s="215" t="str">
        <f t="shared" si="1"/>
        <v>Multi Family Weatherization - Insulate Floors - R-0 to R-19 - Heating Zone 1</v>
      </c>
      <c r="J153" s="215" t="s">
        <v>748</v>
      </c>
      <c r="K153" s="239">
        <f>Results!K17</f>
        <v>0.61745309474478649</v>
      </c>
      <c r="L153" s="202">
        <v>0</v>
      </c>
    </row>
    <row r="154" spans="1:23" ht="15.75" thickBot="1">
      <c r="A154" s="27" t="s">
        <v>758</v>
      </c>
      <c r="B154" s="215" t="str">
        <f t="shared" si="1"/>
        <v>Ceili10</v>
      </c>
      <c r="C154" s="215" t="str">
        <f t="shared" si="1"/>
        <v>Ceiling10</v>
      </c>
      <c r="D154" s="215" t="str">
        <f t="shared" si="1"/>
        <v>Ceiling</v>
      </c>
      <c r="E154" s="215">
        <f t="shared" si="1"/>
        <v>10</v>
      </c>
      <c r="F154" s="215" t="str">
        <f t="shared" si="1"/>
        <v>R-0</v>
      </c>
      <c r="G154" s="215" t="str">
        <f t="shared" si="1"/>
        <v>R-19</v>
      </c>
      <c r="H154" s="215" t="str">
        <f t="shared" si="1"/>
        <v>Heating Zone 1</v>
      </c>
      <c r="I154" s="215" t="str">
        <f t="shared" si="1"/>
        <v>Multi Family Weatherization - Insulate Attic - R-0 to R-19 - Heating Zone 1</v>
      </c>
      <c r="J154" s="215" t="s">
        <v>748</v>
      </c>
      <c r="K154" s="266">
        <f>Results!K18</f>
        <v>0.4856782402243181</v>
      </c>
      <c r="L154" s="202">
        <v>0</v>
      </c>
    </row>
    <row r="155" spans="1:23" ht="15.75" thickBot="1">
      <c r="A155" s="27" t="s">
        <v>759</v>
      </c>
      <c r="B155" s="215" t="str">
        <f t="shared" si="1"/>
        <v>Ceili11</v>
      </c>
      <c r="C155" s="215" t="str">
        <f t="shared" si="1"/>
        <v>Ceiling11</v>
      </c>
      <c r="D155" s="215" t="str">
        <f t="shared" si="1"/>
        <v>Ceiling</v>
      </c>
      <c r="E155" s="215">
        <f t="shared" si="1"/>
        <v>11</v>
      </c>
      <c r="F155" s="215" t="str">
        <f t="shared" si="1"/>
        <v>R-0</v>
      </c>
      <c r="G155" s="215" t="str">
        <f t="shared" si="1"/>
        <v>R-38</v>
      </c>
      <c r="H155" s="215" t="str">
        <f t="shared" si="1"/>
        <v>Heating Zone 1</v>
      </c>
      <c r="I155" s="215" t="str">
        <f t="shared" si="1"/>
        <v>Multi Family Weatherization - Insulate Attic - R-0 to R-38 - Heating Zone 1</v>
      </c>
      <c r="J155" s="215" t="s">
        <v>748</v>
      </c>
      <c r="K155" s="230">
        <f>Results!K19</f>
        <v>0.66141462946318141</v>
      </c>
      <c r="L155" s="202">
        <v>0</v>
      </c>
    </row>
    <row r="156" spans="1:23" ht="15.75" thickBot="1">
      <c r="A156" s="27" t="s">
        <v>760</v>
      </c>
      <c r="B156" s="215" t="str">
        <f t="shared" si="1"/>
        <v>Ceili12</v>
      </c>
      <c r="C156" s="215" t="str">
        <f t="shared" si="1"/>
        <v>Ceiling12</v>
      </c>
      <c r="D156" s="215" t="str">
        <f t="shared" si="1"/>
        <v>Ceiling</v>
      </c>
      <c r="E156" s="215">
        <f t="shared" si="1"/>
        <v>12</v>
      </c>
      <c r="F156" s="215" t="str">
        <f t="shared" si="1"/>
        <v>R-0</v>
      </c>
      <c r="G156" s="215" t="str">
        <f t="shared" si="1"/>
        <v>R-49</v>
      </c>
      <c r="H156" s="215" t="str">
        <f t="shared" si="1"/>
        <v>Heating Zone 1</v>
      </c>
      <c r="I156" s="215" t="str">
        <f t="shared" si="1"/>
        <v>Multi Family Weatherization - Insulate Attic - R-0 to R-49 - Heating Zone 1</v>
      </c>
      <c r="J156" s="215" t="s">
        <v>748</v>
      </c>
      <c r="K156" s="230">
        <f>Results!K20</f>
        <v>0.7021594817529544</v>
      </c>
      <c r="L156" s="202">
        <v>0</v>
      </c>
    </row>
    <row r="157" spans="1:23" ht="15.75" thickBot="1">
      <c r="A157" s="27" t="s">
        <v>761</v>
      </c>
      <c r="B157" s="215" t="str">
        <f t="shared" si="1"/>
        <v>Ceili13</v>
      </c>
      <c r="C157" s="215" t="str">
        <f t="shared" si="1"/>
        <v>Ceiling13</v>
      </c>
      <c r="D157" s="215" t="str">
        <f t="shared" si="1"/>
        <v>Ceiling</v>
      </c>
      <c r="E157" s="215">
        <f t="shared" si="1"/>
        <v>13</v>
      </c>
      <c r="F157" s="215" t="str">
        <f t="shared" si="1"/>
        <v>R-30</v>
      </c>
      <c r="G157" s="215" t="str">
        <f t="shared" si="1"/>
        <v>R-38</v>
      </c>
      <c r="H157" s="215" t="str">
        <f t="shared" si="1"/>
        <v>Heating Zone 1</v>
      </c>
      <c r="I157" s="215" t="str">
        <f t="shared" si="1"/>
        <v>Multi Family Weatherization - Insulate Attic - R-30 to R-38 - Heating Zone 1</v>
      </c>
      <c r="J157" s="215" t="s">
        <v>748</v>
      </c>
      <c r="K157" s="230">
        <f>Results!K21</f>
        <v>4.8372927102272541E-2</v>
      </c>
      <c r="L157" s="202">
        <v>0</v>
      </c>
    </row>
    <row r="158" spans="1:23" ht="15.75" thickBot="1">
      <c r="A158" s="27" t="s">
        <v>762</v>
      </c>
      <c r="B158" s="215" t="str">
        <f t="shared" si="1"/>
        <v>Ceili14</v>
      </c>
      <c r="C158" s="215" t="str">
        <f t="shared" si="1"/>
        <v>Ceiling14</v>
      </c>
      <c r="D158" s="215" t="str">
        <f t="shared" si="1"/>
        <v>Ceiling</v>
      </c>
      <c r="E158" s="215">
        <f t="shared" si="1"/>
        <v>14</v>
      </c>
      <c r="F158" s="215" t="str">
        <f t="shared" si="1"/>
        <v>R-30</v>
      </c>
      <c r="G158" s="215" t="str">
        <f t="shared" si="1"/>
        <v>R-49</v>
      </c>
      <c r="H158" s="215" t="str">
        <f t="shared" si="1"/>
        <v>Heating Zone 1</v>
      </c>
      <c r="I158" s="215" t="str">
        <f t="shared" si="1"/>
        <v>Multi Family Weatherization - Insulate Attic - R-30 to R-49 - Heating Zone 1</v>
      </c>
      <c r="J158" s="215" t="s">
        <v>748</v>
      </c>
      <c r="K158" s="230">
        <f>Results!K22</f>
        <v>8.9117779392045307E-2</v>
      </c>
      <c r="L158" s="202">
        <v>0</v>
      </c>
    </row>
    <row r="159" spans="1:23" ht="15.75" thickBot="1">
      <c r="A159" s="27" t="s">
        <v>763</v>
      </c>
      <c r="B159" s="215" t="str">
        <f t="shared" si="1"/>
        <v>Ceili15</v>
      </c>
      <c r="C159" s="215" t="str">
        <f t="shared" si="1"/>
        <v>Ceiling15</v>
      </c>
      <c r="D159" s="215" t="str">
        <f t="shared" si="1"/>
        <v>Ceiling</v>
      </c>
      <c r="E159" s="215">
        <f t="shared" si="1"/>
        <v>15</v>
      </c>
      <c r="F159" s="215" t="str">
        <f t="shared" si="1"/>
        <v>R-19</v>
      </c>
      <c r="G159" s="215" t="str">
        <f t="shared" si="1"/>
        <v>R-30</v>
      </c>
      <c r="H159" s="215" t="str">
        <f t="shared" si="1"/>
        <v>Heating Zone 1</v>
      </c>
      <c r="I159" s="215" t="str">
        <f t="shared" si="1"/>
        <v>Multi Family Weatherization - Insulate Attic - R-19 to R-30 - Heating Zone 1</v>
      </c>
      <c r="J159" s="215" t="s">
        <v>748</v>
      </c>
      <c r="K159" s="239">
        <f>Results!K23</f>
        <v>0.12736346213659086</v>
      </c>
      <c r="L159" s="202">
        <v>0</v>
      </c>
    </row>
    <row r="160" spans="1:23" ht="15.75" thickBot="1">
      <c r="A160" s="27" t="s">
        <v>764</v>
      </c>
      <c r="B160" s="215" t="str">
        <f t="shared" ref="B160:I175" si="2">B22</f>
        <v>Ceili16</v>
      </c>
      <c r="C160" s="215" t="str">
        <f t="shared" si="2"/>
        <v>Ceiling16</v>
      </c>
      <c r="D160" s="215" t="str">
        <f t="shared" si="2"/>
        <v>Ceiling</v>
      </c>
      <c r="E160" s="215">
        <f t="shared" si="2"/>
        <v>16</v>
      </c>
      <c r="F160" s="215" t="str">
        <f t="shared" si="2"/>
        <v>R-19</v>
      </c>
      <c r="G160" s="215" t="str">
        <f t="shared" si="2"/>
        <v>R-38</v>
      </c>
      <c r="H160" s="215" t="str">
        <f t="shared" si="2"/>
        <v>Heating Zone 1</v>
      </c>
      <c r="I160" s="215" t="str">
        <f t="shared" si="2"/>
        <v>Multi Family Weatherization - Insulate Attic - R-19 to R-38 - Heating Zone 1</v>
      </c>
      <c r="J160" s="215" t="s">
        <v>748</v>
      </c>
      <c r="K160" s="230">
        <f>Results!K24</f>
        <v>0.17573638923886342</v>
      </c>
      <c r="L160" s="202">
        <v>0</v>
      </c>
    </row>
    <row r="161" spans="1:12" ht="15.75" thickBot="1">
      <c r="A161" s="27" t="s">
        <v>765</v>
      </c>
      <c r="B161" s="215" t="str">
        <f t="shared" si="2"/>
        <v>Ceili17</v>
      </c>
      <c r="C161" s="215" t="str">
        <f t="shared" si="2"/>
        <v>Ceiling17</v>
      </c>
      <c r="D161" s="215" t="str">
        <f t="shared" si="2"/>
        <v>Ceiling</v>
      </c>
      <c r="E161" s="215">
        <f t="shared" si="2"/>
        <v>17</v>
      </c>
      <c r="F161" s="215" t="str">
        <f t="shared" si="2"/>
        <v>R-19</v>
      </c>
      <c r="G161" s="215" t="str">
        <f t="shared" si="2"/>
        <v>R-49</v>
      </c>
      <c r="H161" s="215" t="str">
        <f t="shared" si="2"/>
        <v>Heating Zone 1</v>
      </c>
      <c r="I161" s="215" t="str">
        <f t="shared" si="2"/>
        <v>Multi Family Weatherization - Insulate Attic - R-19 to R-49 - Heating Zone 1</v>
      </c>
      <c r="J161" s="215" t="s">
        <v>748</v>
      </c>
      <c r="K161" s="230">
        <f>Results!K25</f>
        <v>0.21648124152863615</v>
      </c>
      <c r="L161" s="202">
        <v>0</v>
      </c>
    </row>
    <row r="162" spans="1:12" ht="15.75" thickBot="1">
      <c r="A162" s="27" t="s">
        <v>766</v>
      </c>
      <c r="B162" s="215" t="str">
        <f t="shared" si="2"/>
        <v>Ceili18</v>
      </c>
      <c r="C162" s="215" t="str">
        <f t="shared" si="2"/>
        <v>Ceiling18</v>
      </c>
      <c r="D162" s="215" t="str">
        <f t="shared" si="2"/>
        <v>Ceiling</v>
      </c>
      <c r="E162" s="215">
        <f t="shared" si="2"/>
        <v>18</v>
      </c>
      <c r="F162" s="215" t="str">
        <f t="shared" si="2"/>
        <v>R-38</v>
      </c>
      <c r="G162" s="215" t="str">
        <f t="shared" si="2"/>
        <v>R-49</v>
      </c>
      <c r="H162" s="215" t="str">
        <f t="shared" si="2"/>
        <v>Heating Zone 1</v>
      </c>
      <c r="I162" s="215" t="str">
        <f t="shared" si="2"/>
        <v>Multi Family Weatherization - Insulate Attic - R-38 to R-49 - Heating Zone 1</v>
      </c>
      <c r="J162" s="215" t="s">
        <v>748</v>
      </c>
      <c r="K162" s="271">
        <f>Results!K26</f>
        <v>4.0744852289772766E-2</v>
      </c>
      <c r="L162" s="202">
        <v>0</v>
      </c>
    </row>
    <row r="163" spans="1:12" ht="15.75" thickBot="1">
      <c r="B163" s="215"/>
      <c r="C163" s="215"/>
      <c r="D163" s="215"/>
      <c r="E163" s="215"/>
      <c r="F163" s="215"/>
      <c r="G163" s="215"/>
      <c r="H163" s="215"/>
      <c r="I163" s="215"/>
      <c r="J163" s="215"/>
      <c r="K163" s="239"/>
      <c r="L163" s="202"/>
    </row>
    <row r="164" spans="1:12" ht="15.75" thickBot="1">
      <c r="B164" s="215"/>
      <c r="C164" s="215"/>
      <c r="D164" s="215"/>
      <c r="E164" s="215"/>
      <c r="F164" s="215"/>
      <c r="G164" s="215"/>
      <c r="H164" s="215"/>
      <c r="I164" s="215"/>
      <c r="J164" s="215"/>
      <c r="K164" s="239"/>
      <c r="L164" s="202"/>
    </row>
    <row r="165" spans="1:12" ht="15.75" thickBot="1">
      <c r="B165" s="215"/>
      <c r="C165" s="215"/>
      <c r="D165" s="215"/>
      <c r="E165" s="215"/>
      <c r="F165" s="215"/>
      <c r="G165" s="215"/>
      <c r="H165" s="215"/>
      <c r="I165" s="215"/>
      <c r="J165" s="215"/>
      <c r="K165" s="239"/>
      <c r="L165" s="202"/>
    </row>
    <row r="166" spans="1:12" ht="15.75" thickBot="1">
      <c r="B166" s="215"/>
      <c r="C166" s="215"/>
      <c r="D166" s="215"/>
      <c r="E166" s="215"/>
      <c r="F166" s="215"/>
      <c r="G166" s="215"/>
      <c r="H166" s="215"/>
      <c r="I166" s="215"/>
      <c r="J166" s="215"/>
      <c r="K166" s="239"/>
      <c r="L166" s="202"/>
    </row>
    <row r="167" spans="1:12" ht="15.75" thickBot="1">
      <c r="B167" s="215"/>
      <c r="C167" s="215"/>
      <c r="D167" s="215"/>
      <c r="E167" s="215"/>
      <c r="F167" s="215"/>
      <c r="G167" s="215"/>
      <c r="H167" s="215"/>
      <c r="I167" s="215"/>
      <c r="J167" s="215"/>
      <c r="K167" s="239"/>
      <c r="L167" s="202"/>
    </row>
    <row r="168" spans="1:12" ht="15.75" thickBot="1">
      <c r="B168" s="215"/>
      <c r="C168" s="215"/>
      <c r="D168" s="215"/>
      <c r="E168" s="215"/>
      <c r="F168" s="215"/>
      <c r="G168" s="215"/>
      <c r="H168" s="215"/>
      <c r="I168" s="215"/>
      <c r="J168" s="215"/>
      <c r="K168" s="239"/>
      <c r="L168" s="202"/>
    </row>
    <row r="169" spans="1:12" ht="15.75" thickBot="1">
      <c r="B169" s="215"/>
      <c r="C169" s="215"/>
      <c r="D169" s="215"/>
      <c r="E169" s="215"/>
      <c r="F169" s="215"/>
      <c r="G169" s="215"/>
      <c r="H169" s="215"/>
      <c r="I169" s="215"/>
      <c r="J169" s="215"/>
      <c r="K169" s="239"/>
      <c r="L169" s="202"/>
    </row>
    <row r="170" spans="1:12" ht="15.75" thickBot="1">
      <c r="B170" s="215"/>
      <c r="C170" s="215"/>
      <c r="D170" s="215"/>
      <c r="E170" s="215"/>
      <c r="F170" s="215"/>
      <c r="G170" s="215"/>
      <c r="H170" s="215"/>
      <c r="I170" s="215"/>
      <c r="J170" s="215"/>
      <c r="K170" s="239"/>
      <c r="L170" s="202"/>
    </row>
    <row r="171" spans="1:12" ht="15.75" thickBot="1">
      <c r="B171" s="215"/>
      <c r="C171" s="215"/>
      <c r="D171" s="215"/>
      <c r="E171" s="215"/>
      <c r="F171" s="215"/>
      <c r="G171" s="215"/>
      <c r="H171" s="215"/>
      <c r="I171" s="215"/>
      <c r="J171" s="215"/>
      <c r="K171" s="239"/>
      <c r="L171" s="202"/>
    </row>
    <row r="172" spans="1:12" ht="15.75" thickBot="1">
      <c r="A172" s="27" t="s">
        <v>767</v>
      </c>
      <c r="B172" s="215" t="str">
        <f t="shared" si="2"/>
        <v>Windo19</v>
      </c>
      <c r="C172" s="215" t="str">
        <f t="shared" si="2"/>
        <v>Windows19</v>
      </c>
      <c r="D172" s="215" t="str">
        <f t="shared" si="2"/>
        <v>Windows</v>
      </c>
      <c r="E172" s="215">
        <f t="shared" si="2"/>
        <v>19</v>
      </c>
      <c r="F172" s="215" t="str">
        <f t="shared" si="2"/>
        <v>Class 35</v>
      </c>
      <c r="G172" s="215" t="str">
        <f t="shared" si="2"/>
        <v>Class 22</v>
      </c>
      <c r="H172" s="215" t="str">
        <f t="shared" si="2"/>
        <v>Heating Zone 1</v>
      </c>
      <c r="I172" s="215" t="str">
        <f t="shared" si="2"/>
        <v>Windows - Class 35 to Class 22 - Heating Zone 1</v>
      </c>
      <c r="J172" s="215" t="s">
        <v>748</v>
      </c>
      <c r="K172" s="239">
        <f>Results!K36</f>
        <v>3.3923562099096731</v>
      </c>
      <c r="L172" s="202">
        <v>0</v>
      </c>
    </row>
    <row r="173" spans="1:12" ht="15.75" thickBot="1">
      <c r="A173" s="27" t="s">
        <v>768</v>
      </c>
      <c r="B173" s="215" t="str">
        <f t="shared" si="2"/>
        <v>Windo20</v>
      </c>
      <c r="C173" s="215" t="str">
        <f t="shared" si="2"/>
        <v>Windows20</v>
      </c>
      <c r="D173" s="215" t="str">
        <f t="shared" si="2"/>
        <v>Windows</v>
      </c>
      <c r="E173" s="215">
        <f t="shared" si="2"/>
        <v>20</v>
      </c>
      <c r="F173" s="215" t="str">
        <f t="shared" si="2"/>
        <v>Single Pane</v>
      </c>
      <c r="G173" s="215" t="str">
        <f t="shared" si="2"/>
        <v>Class 22</v>
      </c>
      <c r="H173" s="215" t="str">
        <f t="shared" si="2"/>
        <v>Heating Zone 1</v>
      </c>
      <c r="I173" s="215" t="str">
        <f t="shared" si="2"/>
        <v>Windows - Single Pane to Class 22 - Heating Zone 1</v>
      </c>
      <c r="J173" s="215" t="s">
        <v>748</v>
      </c>
      <c r="K173" s="239">
        <f>Results!K37</f>
        <v>25.063764899824584</v>
      </c>
      <c r="L173" s="202">
        <v>0</v>
      </c>
    </row>
    <row r="174" spans="1:12" ht="15.75" thickBot="1">
      <c r="A174" s="27" t="s">
        <v>769</v>
      </c>
      <c r="B174" s="215" t="str">
        <f t="shared" si="2"/>
        <v>Windo21</v>
      </c>
      <c r="C174" s="215" t="str">
        <f t="shared" si="2"/>
        <v>Windows21</v>
      </c>
      <c r="D174" s="215" t="str">
        <f t="shared" si="2"/>
        <v>Windows</v>
      </c>
      <c r="E174" s="215">
        <f t="shared" si="2"/>
        <v>21</v>
      </c>
      <c r="F174" s="215" t="str">
        <f t="shared" si="2"/>
        <v>Double Pane</v>
      </c>
      <c r="G174" s="215" t="str">
        <f t="shared" si="2"/>
        <v>Class 22</v>
      </c>
      <c r="H174" s="215" t="str">
        <f t="shared" si="2"/>
        <v>Heating Zone 1</v>
      </c>
      <c r="I174" s="215" t="str">
        <f t="shared" si="2"/>
        <v>Windows - Double Pane to Class 22 - Heating Zone 1</v>
      </c>
      <c r="J174" s="215" t="s">
        <v>748</v>
      </c>
      <c r="K174" s="239">
        <f>Results!K38</f>
        <v>14.717901643645687</v>
      </c>
      <c r="L174" s="202">
        <v>0</v>
      </c>
    </row>
    <row r="175" spans="1:12" ht="15.75" thickBot="1">
      <c r="A175" s="27" t="s">
        <v>770</v>
      </c>
      <c r="B175" s="215" t="str">
        <f t="shared" si="2"/>
        <v>Windo22</v>
      </c>
      <c r="C175" s="215" t="str">
        <f t="shared" si="2"/>
        <v>Windows22</v>
      </c>
      <c r="D175" s="215" t="str">
        <f t="shared" si="2"/>
        <v>Windows</v>
      </c>
      <c r="E175" s="215">
        <f t="shared" si="2"/>
        <v>22</v>
      </c>
      <c r="F175" s="215" t="str">
        <f t="shared" si="2"/>
        <v>Single Pane</v>
      </c>
      <c r="G175" s="215" t="str">
        <f t="shared" si="2"/>
        <v>Class 30</v>
      </c>
      <c r="H175" s="215" t="str">
        <f t="shared" si="2"/>
        <v>Heating Zone 1</v>
      </c>
      <c r="I175" s="215" t="str">
        <f t="shared" si="2"/>
        <v>Windows - Single Pane to Class 30 - Heating Zone 1</v>
      </c>
      <c r="J175" s="215" t="s">
        <v>748</v>
      </c>
      <c r="K175" s="230">
        <f>Results!K39</f>
        <v>23.0506223914796</v>
      </c>
      <c r="L175" s="202">
        <v>0</v>
      </c>
    </row>
    <row r="176" spans="1:12" ht="15.75" thickBot="1">
      <c r="A176" s="27" t="s">
        <v>771</v>
      </c>
      <c r="B176" s="215" t="str">
        <f t="shared" ref="B176:I191" si="3">B38</f>
        <v>Windo23</v>
      </c>
      <c r="C176" s="215" t="str">
        <f t="shared" si="3"/>
        <v>Windows23</v>
      </c>
      <c r="D176" s="215" t="str">
        <f t="shared" si="3"/>
        <v>Windows</v>
      </c>
      <c r="E176" s="215">
        <f t="shared" si="3"/>
        <v>23</v>
      </c>
      <c r="F176" s="215" t="str">
        <f t="shared" si="3"/>
        <v>Double Pane</v>
      </c>
      <c r="G176" s="215" t="str">
        <f t="shared" si="3"/>
        <v>Class 30</v>
      </c>
      <c r="H176" s="215" t="str">
        <f t="shared" si="3"/>
        <v>Heating Zone 1</v>
      </c>
      <c r="I176" s="215" t="str">
        <f t="shared" si="3"/>
        <v>Windows - Double Pane to Class 30 - Heating Zone 1</v>
      </c>
      <c r="J176" s="215" t="s">
        <v>748</v>
      </c>
      <c r="K176" s="230">
        <f>Results!K40</f>
        <v>12.704759135300696</v>
      </c>
      <c r="L176" s="202">
        <v>0</v>
      </c>
    </row>
    <row r="177" spans="1:12" ht="15.75" thickBot="1">
      <c r="A177" s="27" t="s">
        <v>772</v>
      </c>
      <c r="B177" s="215" t="str">
        <f t="shared" si="3"/>
        <v>Windo24</v>
      </c>
      <c r="C177" s="215" t="str">
        <f t="shared" si="3"/>
        <v>Windows24</v>
      </c>
      <c r="D177" s="215" t="str">
        <f t="shared" si="3"/>
        <v>Windows</v>
      </c>
      <c r="E177" s="215">
        <f t="shared" si="3"/>
        <v>24</v>
      </c>
      <c r="F177" s="215" t="str">
        <f t="shared" si="3"/>
        <v>Class 35</v>
      </c>
      <c r="G177" s="215" t="str">
        <f t="shared" si="3"/>
        <v>Class 30</v>
      </c>
      <c r="H177" s="215" t="str">
        <f t="shared" si="3"/>
        <v>Heating Zone 1</v>
      </c>
      <c r="I177" s="215" t="str">
        <f t="shared" si="3"/>
        <v>Windows - Class 35 to Class 30 - Heating Zone 1</v>
      </c>
      <c r="J177" s="215" t="s">
        <v>748</v>
      </c>
      <c r="K177" s="230">
        <f>Results!K41</f>
        <v>1.3792137015646844</v>
      </c>
      <c r="L177" s="202">
        <v>0</v>
      </c>
    </row>
    <row r="178" spans="1:12" ht="15.75" thickBot="1">
      <c r="A178" s="27" t="s">
        <v>773</v>
      </c>
      <c r="B178" s="215" t="str">
        <f t="shared" si="3"/>
        <v>Infil10</v>
      </c>
      <c r="C178" s="215" t="str">
        <f t="shared" si="3"/>
        <v>Infiltration10</v>
      </c>
      <c r="D178" s="215" t="str">
        <f t="shared" si="3"/>
        <v>Infiltration</v>
      </c>
      <c r="E178" s="215">
        <f t="shared" si="3"/>
        <v>10</v>
      </c>
      <c r="F178" s="215" t="str">
        <f t="shared" si="3"/>
        <v>0.45 ACHn</v>
      </c>
      <c r="G178" s="215" t="str">
        <f t="shared" si="3"/>
        <v>0.35 ACHn</v>
      </c>
      <c r="H178" s="215" t="str">
        <f t="shared" si="3"/>
        <v>Heating Zone 1</v>
      </c>
      <c r="I178" s="215" t="str">
        <f t="shared" si="3"/>
        <v>Infiltration Reduction - 0.45 ACHn to 0.35 ACHn - Heating Zone 1</v>
      </c>
      <c r="J178" s="215" t="s">
        <v>748</v>
      </c>
      <c r="K178" s="266">
        <f>Results!K42</f>
        <v>0</v>
      </c>
      <c r="L178" s="202">
        <v>0</v>
      </c>
    </row>
    <row r="179" spans="1:12" ht="15.75" thickBot="1">
      <c r="A179" s="27" t="s">
        <v>774</v>
      </c>
      <c r="B179" s="215" t="str">
        <f t="shared" si="3"/>
        <v>Infil11</v>
      </c>
      <c r="C179" s="215" t="str">
        <f t="shared" si="3"/>
        <v>Infiltration11</v>
      </c>
      <c r="D179" s="215" t="str">
        <f t="shared" si="3"/>
        <v>Infiltration</v>
      </c>
      <c r="E179" s="215">
        <f t="shared" si="3"/>
        <v>11</v>
      </c>
      <c r="F179" s="215" t="str">
        <f t="shared" si="3"/>
        <v>0.45 ACHn</v>
      </c>
      <c r="G179" s="215" t="str">
        <f t="shared" si="3"/>
        <v>0.20 ACHn</v>
      </c>
      <c r="H179" s="215" t="str">
        <f t="shared" si="3"/>
        <v>Heating Zone 1</v>
      </c>
      <c r="I179" s="215" t="str">
        <f t="shared" si="3"/>
        <v>Infiltration Reduction - 0.45 ACHn to 0.20 ACHn - Heating Zone 1</v>
      </c>
      <c r="J179" s="215" t="s">
        <v>748</v>
      </c>
      <c r="K179" s="239">
        <f>Results!K43</f>
        <v>0</v>
      </c>
      <c r="L179" s="202">
        <v>0</v>
      </c>
    </row>
    <row r="180" spans="1:12" ht="15.75" thickBot="1">
      <c r="A180" s="27" t="s">
        <v>775</v>
      </c>
      <c r="B180" s="215" t="str">
        <f t="shared" si="3"/>
        <v>Infil12</v>
      </c>
      <c r="C180" s="215" t="str">
        <f t="shared" si="3"/>
        <v>Infiltration12</v>
      </c>
      <c r="D180" s="215" t="str">
        <f t="shared" si="3"/>
        <v>Infiltration</v>
      </c>
      <c r="E180" s="215">
        <f t="shared" si="3"/>
        <v>12</v>
      </c>
      <c r="F180" s="215" t="str">
        <f t="shared" si="3"/>
        <v>0.35 ACHn</v>
      </c>
      <c r="G180" s="215" t="str">
        <f t="shared" si="3"/>
        <v>0.20 ACHn</v>
      </c>
      <c r="H180" s="215" t="str">
        <f t="shared" si="3"/>
        <v>Heating Zone 1</v>
      </c>
      <c r="I180" s="215" t="str">
        <f t="shared" si="3"/>
        <v>Infiltration Reduction - 0.35 ACHn to 0.20 ACHn - Heating Zone 1</v>
      </c>
      <c r="J180" s="215" t="s">
        <v>748</v>
      </c>
      <c r="K180" s="276">
        <f>Results!K44</f>
        <v>0</v>
      </c>
      <c r="L180" s="202">
        <v>0</v>
      </c>
    </row>
    <row r="181" spans="1:12" ht="15.75" thickBot="1">
      <c r="A181" s="27" t="s">
        <v>776</v>
      </c>
      <c r="B181" s="215" t="str">
        <f t="shared" si="3"/>
        <v>DuctT10</v>
      </c>
      <c r="C181" s="215" t="str">
        <f t="shared" si="3"/>
        <v>DuctTightness10</v>
      </c>
      <c r="D181" s="215" t="str">
        <f t="shared" si="3"/>
        <v>DuctTightness</v>
      </c>
      <c r="E181" s="215">
        <f t="shared" si="3"/>
        <v>10</v>
      </c>
      <c r="F181" s="215" t="str">
        <f t="shared" si="3"/>
        <v>Std-crawl</v>
      </c>
      <c r="G181" s="215" t="str">
        <f t="shared" si="3"/>
        <v>PTCS-crawl</v>
      </c>
      <c r="H181" s="215" t="str">
        <f t="shared" si="3"/>
        <v>Heating Zone 1</v>
      </c>
      <c r="I181" s="215" t="str">
        <f t="shared" si="3"/>
        <v>DuctTightness - Std-crawl to PTCS-crawl - Heating Zone 1</v>
      </c>
      <c r="J181" s="215" t="s">
        <v>748</v>
      </c>
      <c r="K181" s="278">
        <f>Results!K45</f>
        <v>0</v>
      </c>
      <c r="L181" s="202">
        <v>0</v>
      </c>
    </row>
    <row r="182" spans="1:12" ht="15.75" thickBot="1">
      <c r="A182" s="27" t="s">
        <v>777</v>
      </c>
      <c r="B182" s="215" t="str">
        <f t="shared" si="3"/>
        <v>DuctI10</v>
      </c>
      <c r="C182" s="215" t="str">
        <f t="shared" si="3"/>
        <v>DuctInsulation10</v>
      </c>
      <c r="D182" s="215" t="str">
        <f t="shared" si="3"/>
        <v>DuctInsulation</v>
      </c>
      <c r="E182" s="215">
        <f t="shared" si="3"/>
        <v>10</v>
      </c>
      <c r="F182" s="215" t="str">
        <f t="shared" si="3"/>
        <v>R-0</v>
      </c>
      <c r="G182" s="215" t="str">
        <f t="shared" si="3"/>
        <v>R-4.2</v>
      </c>
      <c r="H182" s="215" t="str">
        <f t="shared" si="3"/>
        <v>Heating Zone 1</v>
      </c>
      <c r="I182" s="215" t="str">
        <f t="shared" si="3"/>
        <v>DuctInsulation - R-0 to R-4.2 - Heating Zone 1</v>
      </c>
      <c r="J182" s="215" t="s">
        <v>748</v>
      </c>
      <c r="K182" s="282">
        <f>Results!K46</f>
        <v>0</v>
      </c>
      <c r="L182" s="202">
        <v>0</v>
      </c>
    </row>
    <row r="183" spans="1:12" ht="15.75" thickBot="1">
      <c r="A183" s="27" t="s">
        <v>778</v>
      </c>
      <c r="B183" s="215" t="str">
        <f t="shared" si="3"/>
        <v>DuctI11</v>
      </c>
      <c r="C183" s="215" t="str">
        <f t="shared" si="3"/>
        <v>DuctInsulation11</v>
      </c>
      <c r="D183" s="215" t="str">
        <f t="shared" si="3"/>
        <v>DuctInsulation</v>
      </c>
      <c r="E183" s="215">
        <f t="shared" si="3"/>
        <v>11</v>
      </c>
      <c r="F183" s="215" t="str">
        <f t="shared" si="3"/>
        <v>R-0</v>
      </c>
      <c r="G183" s="215" t="str">
        <f t="shared" si="3"/>
        <v>R-11</v>
      </c>
      <c r="H183" s="215" t="str">
        <f t="shared" si="3"/>
        <v>Heating Zone 1</v>
      </c>
      <c r="I183" s="215" t="str">
        <f t="shared" si="3"/>
        <v>DuctInsulation - R-0 to R-11 - Heating Zone 1</v>
      </c>
      <c r="J183" s="215" t="s">
        <v>748</v>
      </c>
      <c r="K183" s="284">
        <f>Results!K47</f>
        <v>0</v>
      </c>
      <c r="L183" s="202">
        <v>0</v>
      </c>
    </row>
    <row r="184" spans="1:12" ht="15.75" thickBot="1">
      <c r="A184" s="27" t="s">
        <v>779</v>
      </c>
      <c r="B184" s="215" t="str">
        <f t="shared" si="3"/>
        <v>DuctI12</v>
      </c>
      <c r="C184" s="215" t="str">
        <f t="shared" si="3"/>
        <v>DuctInsulation12</v>
      </c>
      <c r="D184" s="215" t="str">
        <f t="shared" si="3"/>
        <v>DuctInsulation</v>
      </c>
      <c r="E184" s="215">
        <f t="shared" si="3"/>
        <v>12</v>
      </c>
      <c r="F184" s="215" t="str">
        <f t="shared" si="3"/>
        <v>R-4.2</v>
      </c>
      <c r="G184" s="215" t="str">
        <f t="shared" si="3"/>
        <v>R-11</v>
      </c>
      <c r="H184" s="215" t="str">
        <f t="shared" si="3"/>
        <v>Heating Zone 1</v>
      </c>
      <c r="I184" s="215" t="str">
        <f t="shared" si="3"/>
        <v>DuctInsulation - R-4.2 to R-11 - Heating Zone 1</v>
      </c>
      <c r="J184" s="215" t="s">
        <v>748</v>
      </c>
      <c r="K184" s="286">
        <f>Results!K48</f>
        <v>0</v>
      </c>
      <c r="L184" s="202">
        <v>0</v>
      </c>
    </row>
    <row r="185" spans="1:12" ht="15.75" thickBot="1">
      <c r="A185" s="27" t="s">
        <v>780</v>
      </c>
      <c r="B185" s="215" t="str">
        <f t="shared" si="3"/>
        <v>HeatP10</v>
      </c>
      <c r="C185" s="215" t="str">
        <f t="shared" si="3"/>
        <v>HeatPump10</v>
      </c>
      <c r="D185" s="215" t="str">
        <f t="shared" si="3"/>
        <v>HeatPump</v>
      </c>
      <c r="E185" s="215">
        <f t="shared" si="3"/>
        <v>10</v>
      </c>
      <c r="F185" s="215" t="str">
        <f t="shared" si="3"/>
        <v>7.7/13</v>
      </c>
      <c r="G185" s="215" t="str">
        <f t="shared" si="3"/>
        <v>8.5/13</v>
      </c>
      <c r="H185" s="215" t="str">
        <f t="shared" si="3"/>
        <v>Heating Zone 1</v>
      </c>
      <c r="I185" s="215" t="str">
        <f t="shared" si="3"/>
        <v>HeatPump Upgrade - 7.7/13 to 8.5/13 - Heating Zone 1</v>
      </c>
      <c r="J185" s="215" t="s">
        <v>748</v>
      </c>
      <c r="K185" s="284">
        <f>Results!K49</f>
        <v>0</v>
      </c>
      <c r="L185" s="202">
        <v>0</v>
      </c>
    </row>
    <row r="186" spans="1:12" ht="15.75" thickBot="1">
      <c r="A186" s="27" t="s">
        <v>781</v>
      </c>
      <c r="B186" s="215" t="str">
        <f t="shared" si="3"/>
        <v>HeatP11</v>
      </c>
      <c r="C186" s="215" t="str">
        <f t="shared" si="3"/>
        <v>HeatPump11</v>
      </c>
      <c r="D186" s="215" t="str">
        <f t="shared" si="3"/>
        <v>HeatPump</v>
      </c>
      <c r="E186" s="215">
        <f t="shared" si="3"/>
        <v>11</v>
      </c>
      <c r="F186" s="215" t="str">
        <f t="shared" si="3"/>
        <v>7.7/13</v>
      </c>
      <c r="G186" s="215" t="str">
        <f t="shared" si="3"/>
        <v>9.0/14</v>
      </c>
      <c r="H186" s="215" t="str">
        <f t="shared" si="3"/>
        <v>Heating Zone 1</v>
      </c>
      <c r="I186" s="215" t="str">
        <f t="shared" si="3"/>
        <v>HeatPump Upgrade - 7.7/13 to 9.0/14 - Heating Zone 1</v>
      </c>
      <c r="J186" s="215" t="s">
        <v>748</v>
      </c>
      <c r="K186" s="284">
        <f>Results!K50</f>
        <v>0</v>
      </c>
      <c r="L186" s="202">
        <v>0</v>
      </c>
    </row>
    <row r="187" spans="1:12" ht="15.75" thickBot="1">
      <c r="A187" s="27" t="s">
        <v>782</v>
      </c>
      <c r="B187" s="215" t="str">
        <f t="shared" si="3"/>
        <v>HeatP12</v>
      </c>
      <c r="C187" s="215" t="str">
        <f t="shared" si="3"/>
        <v>HeatPump12</v>
      </c>
      <c r="D187" s="215" t="str">
        <f t="shared" si="3"/>
        <v>HeatPump</v>
      </c>
      <c r="E187" s="215">
        <f t="shared" si="3"/>
        <v>12</v>
      </c>
      <c r="F187" s="215" t="str">
        <f t="shared" si="3"/>
        <v>7.7/13</v>
      </c>
      <c r="G187" s="215" t="str">
        <f t="shared" si="3"/>
        <v>8.2/13</v>
      </c>
      <c r="H187" s="215" t="str">
        <f t="shared" si="3"/>
        <v>Heating Zone 1</v>
      </c>
      <c r="I187" s="215" t="str">
        <f t="shared" si="3"/>
        <v>HeatPump Upgrade - 7.7/13 to 8.2/13 - Heating Zone 1</v>
      </c>
      <c r="J187" s="215" t="s">
        <v>748</v>
      </c>
      <c r="K187" s="286">
        <f>Results!K51</f>
        <v>0</v>
      </c>
      <c r="L187" s="202">
        <v>0</v>
      </c>
    </row>
    <row r="188" spans="1:12" ht="15.75" thickBot="1">
      <c r="A188" s="27" t="s">
        <v>783</v>
      </c>
      <c r="B188" s="215" t="str">
        <f t="shared" si="3"/>
        <v>HPCnt10</v>
      </c>
      <c r="C188" s="215" t="str">
        <f t="shared" si="3"/>
        <v>HPCntrls10</v>
      </c>
      <c r="D188" s="215" t="str">
        <f t="shared" si="3"/>
        <v>HPCntrls</v>
      </c>
      <c r="E188" s="215">
        <f t="shared" si="3"/>
        <v>10</v>
      </c>
      <c r="F188" s="215" t="str">
        <f t="shared" si="3"/>
        <v>Standard</v>
      </c>
      <c r="G188" s="215" t="str">
        <f t="shared" si="3"/>
        <v>PTCS</v>
      </c>
      <c r="H188" s="215" t="str">
        <f t="shared" si="3"/>
        <v>Heating Zone 1</v>
      </c>
      <c r="I188" s="215" t="str">
        <f t="shared" si="3"/>
        <v>HPCntrls Upgrade - Standard to PTCS - Heating Zone 1</v>
      </c>
      <c r="J188" s="215" t="s">
        <v>748</v>
      </c>
      <c r="K188" s="290">
        <f>Results!K52</f>
        <v>0</v>
      </c>
      <c r="L188" s="202">
        <v>0</v>
      </c>
    </row>
    <row r="189" spans="1:12" ht="15.75" thickBot="1">
      <c r="A189" s="27" t="s">
        <v>784</v>
      </c>
      <c r="B189" s="215" t="str">
        <f t="shared" si="3"/>
        <v>Walls10</v>
      </c>
      <c r="C189" s="215" t="str">
        <f t="shared" si="3"/>
        <v>Walls10</v>
      </c>
      <c r="D189" s="215" t="str">
        <f t="shared" si="3"/>
        <v>Walls</v>
      </c>
      <c r="E189" s="215">
        <f t="shared" si="3"/>
        <v>10</v>
      </c>
      <c r="F189" s="215" t="str">
        <f t="shared" si="3"/>
        <v>R-0</v>
      </c>
      <c r="G189" s="215" t="str">
        <f t="shared" si="3"/>
        <v>R-11</v>
      </c>
      <c r="H189" s="215" t="str">
        <f t="shared" si="3"/>
        <v>Heating Zone 2</v>
      </c>
      <c r="I189" s="215" t="str">
        <f t="shared" si="3"/>
        <v>Multi Family Weatherization - Insulate Walls - R-0 to R-11 - Heating Zone 2</v>
      </c>
      <c r="J189" s="215" t="s">
        <v>748</v>
      </c>
      <c r="K189" s="218">
        <f>Results!K53</f>
        <v>1.859176348801709</v>
      </c>
      <c r="L189" s="202">
        <v>0</v>
      </c>
    </row>
    <row r="190" spans="1:12" ht="15.75" thickBot="1">
      <c r="A190" s="27" t="s">
        <v>785</v>
      </c>
      <c r="B190" s="215" t="str">
        <f t="shared" si="3"/>
        <v>BGWal10</v>
      </c>
      <c r="C190" s="215" t="str">
        <f t="shared" si="3"/>
        <v>BGWalls10</v>
      </c>
      <c r="D190" s="215" t="str">
        <f t="shared" si="3"/>
        <v>BGWalls</v>
      </c>
      <c r="E190" s="215">
        <f t="shared" si="3"/>
        <v>10</v>
      </c>
      <c r="F190" s="215" t="str">
        <f t="shared" si="3"/>
        <v>R-0</v>
      </c>
      <c r="G190" s="215" t="str">
        <f t="shared" si="3"/>
        <v>R-11</v>
      </c>
      <c r="H190" s="215" t="str">
        <f t="shared" si="3"/>
        <v>Heating Zone 2</v>
      </c>
      <c r="I190" s="215" t="str">
        <f t="shared" si="3"/>
        <v>Multi Family Weatherization - Insulate BGWalls - R-0 to R-11 - Heating Zone 2</v>
      </c>
      <c r="J190" s="215" t="s">
        <v>748</v>
      </c>
      <c r="K190" s="225">
        <f>Results!K54</f>
        <v>0</v>
      </c>
      <c r="L190" s="202">
        <v>0</v>
      </c>
    </row>
    <row r="191" spans="1:12" ht="15.75" thickBot="1">
      <c r="A191" s="27" t="s">
        <v>786</v>
      </c>
      <c r="B191" s="215" t="str">
        <f t="shared" si="3"/>
        <v>Floor10</v>
      </c>
      <c r="C191" s="215" t="str">
        <f t="shared" si="3"/>
        <v>Floors10</v>
      </c>
      <c r="D191" s="215" t="str">
        <f t="shared" si="3"/>
        <v>Floors</v>
      </c>
      <c r="E191" s="215">
        <f t="shared" si="3"/>
        <v>10</v>
      </c>
      <c r="F191" s="215" t="str">
        <f t="shared" si="3"/>
        <v>R-0</v>
      </c>
      <c r="G191" s="215" t="str">
        <f t="shared" si="3"/>
        <v>R-19</v>
      </c>
      <c r="H191" s="215" t="str">
        <f t="shared" si="3"/>
        <v>Heating Zone 2</v>
      </c>
      <c r="I191" s="215" t="str">
        <f t="shared" si="3"/>
        <v>Multi Family Weatherization - Insulate Floors - R-0 to R-19 - Heating Zone 2</v>
      </c>
      <c r="J191" s="215" t="s">
        <v>748</v>
      </c>
      <c r="K191" s="230">
        <f>Results!K55</f>
        <v>0.76270627381911749</v>
      </c>
      <c r="L191" s="202">
        <v>0</v>
      </c>
    </row>
    <row r="192" spans="1:12" ht="15.75" thickBot="1">
      <c r="A192" s="27" t="s">
        <v>787</v>
      </c>
      <c r="B192" s="215" t="str">
        <f t="shared" ref="B192:I207" si="4">B54</f>
        <v>Floor11</v>
      </c>
      <c r="C192" s="215" t="str">
        <f t="shared" si="4"/>
        <v>Floors11</v>
      </c>
      <c r="D192" s="215" t="str">
        <f t="shared" si="4"/>
        <v>Floors</v>
      </c>
      <c r="E192" s="215">
        <f t="shared" si="4"/>
        <v>11</v>
      </c>
      <c r="F192" s="215" t="str">
        <f t="shared" si="4"/>
        <v>R-0</v>
      </c>
      <c r="G192" s="215" t="str">
        <f t="shared" si="4"/>
        <v>R-25</v>
      </c>
      <c r="H192" s="215" t="str">
        <f t="shared" si="4"/>
        <v>Heating Zone 2</v>
      </c>
      <c r="I192" s="215" t="str">
        <f t="shared" si="4"/>
        <v>Multi Family Weatherization - Insulate Floors - R-0 to R-25 - Heating Zone 2</v>
      </c>
      <c r="J192" s="215" t="s">
        <v>748</v>
      </c>
      <c r="K192" s="239">
        <f>Results!K56</f>
        <v>0.87587266196684432</v>
      </c>
      <c r="L192" s="202">
        <v>0</v>
      </c>
    </row>
    <row r="193" spans="1:12" ht="15.75" thickBot="1">
      <c r="A193" s="27" t="s">
        <v>788</v>
      </c>
      <c r="B193" s="215" t="str">
        <f t="shared" si="4"/>
        <v>Floor12</v>
      </c>
      <c r="C193" s="215" t="str">
        <f t="shared" si="4"/>
        <v>Floors12</v>
      </c>
      <c r="D193" s="215" t="str">
        <f t="shared" si="4"/>
        <v>Floors</v>
      </c>
      <c r="E193" s="215">
        <f t="shared" si="4"/>
        <v>12</v>
      </c>
      <c r="F193" s="215" t="str">
        <f t="shared" si="4"/>
        <v>R-0</v>
      </c>
      <c r="G193" s="215" t="str">
        <f t="shared" si="4"/>
        <v>R-30</v>
      </c>
      <c r="H193" s="215" t="str">
        <f t="shared" si="4"/>
        <v>Heating Zone 2</v>
      </c>
      <c r="I193" s="215" t="str">
        <f t="shared" si="4"/>
        <v>Multi Family Weatherization - Insulate Floors - R-0 to R-30 - Heating Zone 2</v>
      </c>
      <c r="J193" s="215" t="s">
        <v>748</v>
      </c>
      <c r="K193" s="230">
        <f>Results!K57</f>
        <v>0.99549709654184426</v>
      </c>
      <c r="L193" s="202">
        <v>0</v>
      </c>
    </row>
    <row r="194" spans="1:12" ht="15.75" thickBot="1">
      <c r="A194" s="27" t="s">
        <v>789</v>
      </c>
      <c r="B194" s="215" t="str">
        <f t="shared" si="4"/>
        <v>Floor13</v>
      </c>
      <c r="C194" s="215" t="str">
        <f t="shared" si="4"/>
        <v>Floors13</v>
      </c>
      <c r="D194" s="215" t="str">
        <f t="shared" si="4"/>
        <v>Floors</v>
      </c>
      <c r="E194" s="215">
        <f t="shared" si="4"/>
        <v>13</v>
      </c>
      <c r="F194" s="215" t="str">
        <f t="shared" si="4"/>
        <v>R-0</v>
      </c>
      <c r="G194" s="215" t="str">
        <f t="shared" si="4"/>
        <v>R-38</v>
      </c>
      <c r="H194" s="215" t="str">
        <f t="shared" si="4"/>
        <v>Heating Zone 2</v>
      </c>
      <c r="I194" s="215" t="str">
        <f t="shared" si="4"/>
        <v>Multi Family Weatherization - Insulate Floors - R-0 to R-38 - Heating Zone 2</v>
      </c>
      <c r="J194" s="215" t="s">
        <v>748</v>
      </c>
      <c r="K194" s="239">
        <f>Results!K58</f>
        <v>1.0273941716431814</v>
      </c>
      <c r="L194" s="202">
        <v>0</v>
      </c>
    </row>
    <row r="195" spans="1:12" ht="15.75" thickBot="1">
      <c r="A195" s="27" t="s">
        <v>790</v>
      </c>
      <c r="B195" s="215" t="str">
        <f t="shared" si="4"/>
        <v>Floor14</v>
      </c>
      <c r="C195" s="215" t="str">
        <f t="shared" si="4"/>
        <v>Floors14</v>
      </c>
      <c r="D195" s="215" t="str">
        <f t="shared" si="4"/>
        <v>Floors</v>
      </c>
      <c r="E195" s="215">
        <f t="shared" si="4"/>
        <v>14</v>
      </c>
      <c r="F195" s="215" t="str">
        <f t="shared" si="4"/>
        <v>R-19</v>
      </c>
      <c r="G195" s="215" t="str">
        <f t="shared" si="4"/>
        <v>R-25</v>
      </c>
      <c r="H195" s="215" t="str">
        <f t="shared" si="4"/>
        <v>Heating Zone 2</v>
      </c>
      <c r="I195" s="215" t="str">
        <f t="shared" si="4"/>
        <v>Multi Family Weatherization - Insulate Floors - R-19 to R-25 - Heating Zone 2</v>
      </c>
      <c r="J195" s="215" t="s">
        <v>748</v>
      </c>
      <c r="K195" s="239">
        <f>Results!K59</f>
        <v>0.11316638814772687</v>
      </c>
      <c r="L195" s="202">
        <v>0</v>
      </c>
    </row>
    <row r="196" spans="1:12" ht="15.75" thickBot="1">
      <c r="A196" s="27" t="s">
        <v>791</v>
      </c>
      <c r="B196" s="215" t="str">
        <f t="shared" si="4"/>
        <v>Floor15</v>
      </c>
      <c r="C196" s="215" t="str">
        <f t="shared" si="4"/>
        <v>Floors15</v>
      </c>
      <c r="D196" s="215" t="str">
        <f t="shared" si="4"/>
        <v>Floors</v>
      </c>
      <c r="E196" s="215">
        <f t="shared" si="4"/>
        <v>15</v>
      </c>
      <c r="F196" s="215" t="str">
        <f t="shared" si="4"/>
        <v>R-19</v>
      </c>
      <c r="G196" s="215" t="str">
        <f t="shared" si="4"/>
        <v>R-30</v>
      </c>
      <c r="H196" s="215" t="str">
        <f t="shared" si="4"/>
        <v>Heating Zone 2</v>
      </c>
      <c r="I196" s="215" t="str">
        <f t="shared" si="4"/>
        <v>Multi Family Weatherization - Insulate Floors - R-19 to R-30 - Heating Zone 2</v>
      </c>
      <c r="J196" s="215" t="s">
        <v>748</v>
      </c>
      <c r="K196" s="230">
        <f>Results!K60</f>
        <v>0.23279082272272686</v>
      </c>
      <c r="L196" s="202">
        <v>0</v>
      </c>
    </row>
    <row r="197" spans="1:12" ht="15.75" thickBot="1">
      <c r="A197" s="27" t="s">
        <v>792</v>
      </c>
      <c r="B197" s="215" t="str">
        <f t="shared" si="4"/>
        <v>Floor16</v>
      </c>
      <c r="C197" s="215" t="str">
        <f t="shared" si="4"/>
        <v>Floors16</v>
      </c>
      <c r="D197" s="215" t="str">
        <f t="shared" si="4"/>
        <v>Floors</v>
      </c>
      <c r="E197" s="215">
        <f t="shared" si="4"/>
        <v>16</v>
      </c>
      <c r="F197" s="215" t="str">
        <f t="shared" si="4"/>
        <v>R-19</v>
      </c>
      <c r="G197" s="215" t="str">
        <f t="shared" si="4"/>
        <v>R-38</v>
      </c>
      <c r="H197" s="215" t="str">
        <f t="shared" si="4"/>
        <v>Heating Zone 2</v>
      </c>
      <c r="I197" s="215" t="str">
        <f t="shared" si="4"/>
        <v>Multi Family Weatherization - Insulate Floors - R-19 to R-38 - Heating Zone 2</v>
      </c>
      <c r="J197" s="215" t="s">
        <v>748</v>
      </c>
      <c r="K197" s="239">
        <f>Results!K61</f>
        <v>0.2646878978240636</v>
      </c>
      <c r="L197" s="202">
        <v>0</v>
      </c>
    </row>
    <row r="198" spans="1:12" ht="15.75" thickBot="1">
      <c r="A198" s="27" t="s">
        <v>793</v>
      </c>
      <c r="B198" s="215" t="str">
        <f t="shared" si="4"/>
        <v>Floor17</v>
      </c>
      <c r="C198" s="215" t="str">
        <f t="shared" si="4"/>
        <v>Floors17</v>
      </c>
      <c r="D198" s="215" t="str">
        <f t="shared" si="4"/>
        <v>Floors</v>
      </c>
      <c r="E198" s="215">
        <f t="shared" si="4"/>
        <v>17</v>
      </c>
      <c r="F198" s="215" t="str">
        <f t="shared" si="4"/>
        <v>R-11</v>
      </c>
      <c r="G198" s="215" t="str">
        <f t="shared" si="4"/>
        <v>R-30</v>
      </c>
      <c r="H198" s="215" t="str">
        <f t="shared" si="4"/>
        <v>Heating Zone 2</v>
      </c>
      <c r="I198" s="215" t="str">
        <f t="shared" si="4"/>
        <v>Multi Family Weatherization - Insulate Floors - R-11 to R-30 - Heating Zone 2</v>
      </c>
      <c r="J198" s="215" t="s">
        <v>748</v>
      </c>
      <c r="K198" s="239">
        <f>Results!K62</f>
        <v>2.1925980571217916</v>
      </c>
      <c r="L198" s="202">
        <v>0</v>
      </c>
    </row>
    <row r="199" spans="1:12" ht="15.75" thickBot="1">
      <c r="A199" s="27" t="s">
        <v>786</v>
      </c>
      <c r="B199" s="215" t="str">
        <f t="shared" si="4"/>
        <v>Floor18</v>
      </c>
      <c r="C199" s="215" t="str">
        <f t="shared" si="4"/>
        <v>Floors18</v>
      </c>
      <c r="D199" s="215" t="str">
        <f t="shared" si="4"/>
        <v>Floors</v>
      </c>
      <c r="E199" s="215">
        <f t="shared" si="4"/>
        <v>18</v>
      </c>
      <c r="F199" s="215" t="str">
        <f t="shared" si="4"/>
        <v>R-0</v>
      </c>
      <c r="G199" s="215" t="str">
        <f t="shared" si="4"/>
        <v>R-19</v>
      </c>
      <c r="H199" s="215" t="str">
        <f t="shared" si="4"/>
        <v>Heating Zone 2</v>
      </c>
      <c r="I199" s="215" t="str">
        <f t="shared" si="4"/>
        <v>Multi Family Weatherization - Insulate Floors - R-0 to R-19 - Heating Zone 2</v>
      </c>
      <c r="J199" s="215" t="s">
        <v>748</v>
      </c>
      <c r="K199" s="239">
        <f>Results!K63</f>
        <v>0.76270627381911749</v>
      </c>
      <c r="L199" s="202">
        <v>0</v>
      </c>
    </row>
    <row r="200" spans="1:12" ht="15.75" thickBot="1">
      <c r="A200" s="27" t="s">
        <v>794</v>
      </c>
      <c r="B200" s="215" t="str">
        <f t="shared" si="4"/>
        <v>Ceili10</v>
      </c>
      <c r="C200" s="215" t="str">
        <f t="shared" si="4"/>
        <v>Ceiling10</v>
      </c>
      <c r="D200" s="215" t="str">
        <f t="shared" si="4"/>
        <v>Ceiling</v>
      </c>
      <c r="E200" s="215">
        <f t="shared" si="4"/>
        <v>10</v>
      </c>
      <c r="F200" s="215" t="str">
        <f t="shared" si="4"/>
        <v>R-0</v>
      </c>
      <c r="G200" s="215" t="str">
        <f t="shared" si="4"/>
        <v>R-19</v>
      </c>
      <c r="H200" s="215" t="str">
        <f t="shared" si="4"/>
        <v>Heating Zone 2</v>
      </c>
      <c r="I200" s="215" t="str">
        <f t="shared" si="4"/>
        <v>Multi Family Weatherization - Insulate Attic - R-0 to R-19 - Heating Zone 2</v>
      </c>
      <c r="J200" s="215" t="s">
        <v>748</v>
      </c>
      <c r="K200" s="266">
        <f>Results!K64</f>
        <v>0.48317606585602269</v>
      </c>
      <c r="L200" s="202">
        <v>0</v>
      </c>
    </row>
    <row r="201" spans="1:12" ht="15.75" thickBot="1">
      <c r="A201" s="27" t="s">
        <v>795</v>
      </c>
      <c r="B201" s="215" t="str">
        <f t="shared" si="4"/>
        <v>Ceili11</v>
      </c>
      <c r="C201" s="215" t="str">
        <f t="shared" si="4"/>
        <v>Ceiling11</v>
      </c>
      <c r="D201" s="215" t="str">
        <f t="shared" si="4"/>
        <v>Ceiling</v>
      </c>
      <c r="E201" s="215">
        <f t="shared" si="4"/>
        <v>11</v>
      </c>
      <c r="F201" s="215" t="str">
        <f t="shared" si="4"/>
        <v>R-0</v>
      </c>
      <c r="G201" s="215" t="str">
        <f t="shared" si="4"/>
        <v>R-38</v>
      </c>
      <c r="H201" s="215" t="str">
        <f t="shared" si="4"/>
        <v>Heating Zone 2</v>
      </c>
      <c r="I201" s="215" t="str">
        <f t="shared" si="4"/>
        <v>Multi Family Weatherization - Insulate Attic - R-0 to R-38 - Heating Zone 2</v>
      </c>
      <c r="J201" s="215" t="s">
        <v>748</v>
      </c>
      <c r="K201" s="230">
        <f>Results!K65</f>
        <v>0.65943074865693219</v>
      </c>
      <c r="L201" s="202">
        <v>0</v>
      </c>
    </row>
    <row r="202" spans="1:12" ht="15.75" thickBot="1">
      <c r="A202" s="27" t="s">
        <v>796</v>
      </c>
      <c r="B202" s="215" t="str">
        <f t="shared" si="4"/>
        <v>Ceili12</v>
      </c>
      <c r="C202" s="215" t="str">
        <f t="shared" si="4"/>
        <v>Ceiling12</v>
      </c>
      <c r="D202" s="215" t="str">
        <f t="shared" si="4"/>
        <v>Ceiling</v>
      </c>
      <c r="E202" s="215">
        <f t="shared" si="4"/>
        <v>12</v>
      </c>
      <c r="F202" s="215" t="str">
        <f t="shared" si="4"/>
        <v>R-0</v>
      </c>
      <c r="G202" s="215" t="str">
        <f t="shared" si="4"/>
        <v>R-49</v>
      </c>
      <c r="H202" s="215" t="str">
        <f t="shared" si="4"/>
        <v>Heating Zone 2</v>
      </c>
      <c r="I202" s="215" t="str">
        <f t="shared" si="4"/>
        <v>Multi Family Weatherization - Insulate Attic - R-0 to R-49 - Heating Zone 2</v>
      </c>
      <c r="J202" s="215" t="s">
        <v>748</v>
      </c>
      <c r="K202" s="230">
        <f>Results!K66</f>
        <v>0.70037432234965902</v>
      </c>
      <c r="L202" s="202">
        <v>0</v>
      </c>
    </row>
    <row r="203" spans="1:12" ht="15.75" thickBot="1">
      <c r="A203" s="27" t="s">
        <v>797</v>
      </c>
      <c r="B203" s="215" t="str">
        <f t="shared" si="4"/>
        <v>Ceili13</v>
      </c>
      <c r="C203" s="215" t="str">
        <f t="shared" si="4"/>
        <v>Ceiling13</v>
      </c>
      <c r="D203" s="215" t="str">
        <f t="shared" si="4"/>
        <v>Ceiling</v>
      </c>
      <c r="E203" s="215">
        <f t="shared" si="4"/>
        <v>13</v>
      </c>
      <c r="F203" s="215" t="str">
        <f t="shared" si="4"/>
        <v>R-30</v>
      </c>
      <c r="G203" s="215" t="str">
        <f t="shared" si="4"/>
        <v>R-38</v>
      </c>
      <c r="H203" s="215" t="str">
        <f t="shared" si="4"/>
        <v>Heating Zone 2</v>
      </c>
      <c r="I203" s="215" t="str">
        <f t="shared" si="4"/>
        <v>Multi Family Weatherization - Insulate Attic - R-30 to R-38 - Heating Zone 2</v>
      </c>
      <c r="J203" s="215" t="s">
        <v>748</v>
      </c>
      <c r="K203" s="239">
        <f>Results!K67</f>
        <v>4.8575276758636633E-2</v>
      </c>
      <c r="L203" s="202">
        <v>0</v>
      </c>
    </row>
    <row r="204" spans="1:12" ht="15.75" thickBot="1">
      <c r="A204" s="27" t="s">
        <v>798</v>
      </c>
      <c r="B204" s="215" t="str">
        <f t="shared" si="4"/>
        <v>Ceili14</v>
      </c>
      <c r="C204" s="215" t="str">
        <f t="shared" si="4"/>
        <v>Ceiling14</v>
      </c>
      <c r="D204" s="215" t="str">
        <f t="shared" si="4"/>
        <v>Ceiling</v>
      </c>
      <c r="E204" s="215">
        <f t="shared" si="4"/>
        <v>14</v>
      </c>
      <c r="F204" s="215" t="str">
        <f t="shared" si="4"/>
        <v>R-30</v>
      </c>
      <c r="G204" s="215" t="str">
        <f t="shared" si="4"/>
        <v>R-49</v>
      </c>
      <c r="H204" s="215" t="str">
        <f t="shared" si="4"/>
        <v>Heating Zone 2</v>
      </c>
      <c r="I204" s="215" t="str">
        <f t="shared" si="4"/>
        <v>Multi Family Weatherization - Insulate Attic - R-30 to R-49 - Heating Zone 2</v>
      </c>
      <c r="J204" s="215" t="s">
        <v>748</v>
      </c>
      <c r="K204" s="239">
        <f>Results!K68</f>
        <v>8.951885045136343E-2</v>
      </c>
      <c r="L204" s="202">
        <v>0</v>
      </c>
    </row>
    <row r="205" spans="1:12" ht="15.75" thickBot="1">
      <c r="A205" s="27" t="s">
        <v>799</v>
      </c>
      <c r="B205" s="215" t="str">
        <f t="shared" si="4"/>
        <v>Ceili15</v>
      </c>
      <c r="C205" s="215" t="str">
        <f t="shared" si="4"/>
        <v>Ceiling15</v>
      </c>
      <c r="D205" s="215" t="str">
        <f t="shared" si="4"/>
        <v>Ceiling</v>
      </c>
      <c r="E205" s="215">
        <f t="shared" si="4"/>
        <v>15</v>
      </c>
      <c r="F205" s="215" t="str">
        <f t="shared" si="4"/>
        <v>R-19</v>
      </c>
      <c r="G205" s="215" t="str">
        <f t="shared" si="4"/>
        <v>R-30</v>
      </c>
      <c r="H205" s="215" t="str">
        <f t="shared" si="4"/>
        <v>Heating Zone 2</v>
      </c>
      <c r="I205" s="215" t="str">
        <f t="shared" si="4"/>
        <v>Multi Family Weatherization - Insulate Attic - R-19 to R-30 - Heating Zone 2</v>
      </c>
      <c r="J205" s="215" t="s">
        <v>748</v>
      </c>
      <c r="K205" s="239">
        <f>Results!K69</f>
        <v>0.12767940604227285</v>
      </c>
      <c r="L205" s="202">
        <v>0</v>
      </c>
    </row>
    <row r="206" spans="1:12" ht="15.75" thickBot="1">
      <c r="A206" s="27" t="s">
        <v>800</v>
      </c>
      <c r="B206" s="215" t="str">
        <f t="shared" si="4"/>
        <v>Ceili16</v>
      </c>
      <c r="C206" s="215" t="str">
        <f t="shared" si="4"/>
        <v>Ceiling16</v>
      </c>
      <c r="D206" s="215" t="str">
        <f t="shared" si="4"/>
        <v>Ceiling</v>
      </c>
      <c r="E206" s="215">
        <f t="shared" si="4"/>
        <v>16</v>
      </c>
      <c r="F206" s="215" t="str">
        <f t="shared" si="4"/>
        <v>R-19</v>
      </c>
      <c r="G206" s="215" t="str">
        <f t="shared" si="4"/>
        <v>R-38</v>
      </c>
      <c r="H206" s="215" t="str">
        <f t="shared" si="4"/>
        <v>Heating Zone 2</v>
      </c>
      <c r="I206" s="215" t="str">
        <f t="shared" si="4"/>
        <v>Multi Family Weatherization - Insulate Attic - R-19 to R-38 - Heating Zone 2</v>
      </c>
      <c r="J206" s="215" t="s">
        <v>748</v>
      </c>
      <c r="K206" s="230">
        <f>Results!K70</f>
        <v>0.17625468280090947</v>
      </c>
      <c r="L206" s="202">
        <v>0</v>
      </c>
    </row>
    <row r="207" spans="1:12" ht="15.75" thickBot="1">
      <c r="A207" s="27" t="s">
        <v>801</v>
      </c>
      <c r="B207" s="215" t="str">
        <f t="shared" si="4"/>
        <v>Ceili17</v>
      </c>
      <c r="C207" s="215" t="str">
        <f t="shared" si="4"/>
        <v>Ceiling17</v>
      </c>
      <c r="D207" s="215" t="str">
        <f t="shared" si="4"/>
        <v>Ceiling</v>
      </c>
      <c r="E207" s="215">
        <f t="shared" si="4"/>
        <v>17</v>
      </c>
      <c r="F207" s="215" t="str">
        <f t="shared" si="4"/>
        <v>R-19</v>
      </c>
      <c r="G207" s="215" t="str">
        <f t="shared" si="4"/>
        <v>R-49</v>
      </c>
      <c r="H207" s="215" t="str">
        <f t="shared" si="4"/>
        <v>Heating Zone 2</v>
      </c>
      <c r="I207" s="215" t="str">
        <f t="shared" si="4"/>
        <v>Multi Family Weatherization - Insulate Attic - R-19 to R-49 - Heating Zone 2</v>
      </c>
      <c r="J207" s="215" t="s">
        <v>748</v>
      </c>
      <c r="K207" s="230">
        <f>Results!K71</f>
        <v>0.21719825649363625</v>
      </c>
      <c r="L207" s="202">
        <v>0</v>
      </c>
    </row>
    <row r="208" spans="1:12" ht="15.75" thickBot="1">
      <c r="A208" s="27" t="s">
        <v>802</v>
      </c>
      <c r="B208" s="215" t="str">
        <f t="shared" ref="B208:I223" si="5">B70</f>
        <v>Ceili18</v>
      </c>
      <c r="C208" s="215" t="str">
        <f t="shared" si="5"/>
        <v>Ceiling18</v>
      </c>
      <c r="D208" s="215" t="str">
        <f t="shared" si="5"/>
        <v>Ceiling</v>
      </c>
      <c r="E208" s="215">
        <f t="shared" si="5"/>
        <v>18</v>
      </c>
      <c r="F208" s="215" t="str">
        <f t="shared" si="5"/>
        <v>R-38</v>
      </c>
      <c r="G208" s="215" t="str">
        <f t="shared" si="5"/>
        <v>R-49</v>
      </c>
      <c r="H208" s="215" t="str">
        <f t="shared" si="5"/>
        <v>Heating Zone 2</v>
      </c>
      <c r="I208" s="215" t="str">
        <f t="shared" si="5"/>
        <v>Multi Family Weatherization - Insulate Attic - R-38 to R-49 - Heating Zone 2</v>
      </c>
      <c r="J208" s="215" t="s">
        <v>748</v>
      </c>
      <c r="K208" s="271">
        <f>Results!K72</f>
        <v>4.094357369272679E-2</v>
      </c>
      <c r="L208" s="202">
        <v>0</v>
      </c>
    </row>
    <row r="209" spans="1:12" ht="15.75" thickBot="1">
      <c r="B209" s="215"/>
      <c r="C209" s="215"/>
      <c r="D209" s="215"/>
      <c r="E209" s="215"/>
      <c r="F209" s="215"/>
      <c r="G209" s="215"/>
      <c r="H209" s="215"/>
      <c r="I209" s="215"/>
      <c r="J209" s="215"/>
      <c r="K209" s="239"/>
      <c r="L209" s="202"/>
    </row>
    <row r="210" spans="1:12" ht="15.75" thickBot="1">
      <c r="B210" s="215"/>
      <c r="C210" s="215"/>
      <c r="D210" s="215"/>
      <c r="E210" s="215"/>
      <c r="F210" s="215"/>
      <c r="G210" s="215"/>
      <c r="H210" s="215"/>
      <c r="I210" s="215"/>
      <c r="J210" s="215"/>
      <c r="K210" s="239"/>
      <c r="L210" s="202"/>
    </row>
    <row r="211" spans="1:12" ht="15.75" thickBot="1">
      <c r="B211" s="215"/>
      <c r="C211" s="215"/>
      <c r="D211" s="215"/>
      <c r="E211" s="215"/>
      <c r="F211" s="215"/>
      <c r="G211" s="215"/>
      <c r="H211" s="215"/>
      <c r="I211" s="215"/>
      <c r="J211" s="215"/>
      <c r="K211" s="239"/>
      <c r="L211" s="202"/>
    </row>
    <row r="212" spans="1:12" ht="15.75" thickBot="1">
      <c r="B212" s="215"/>
      <c r="C212" s="215"/>
      <c r="D212" s="215"/>
      <c r="E212" s="215"/>
      <c r="F212" s="215"/>
      <c r="G212" s="215"/>
      <c r="H212" s="215"/>
      <c r="I212" s="215"/>
      <c r="J212" s="215"/>
      <c r="K212" s="239"/>
      <c r="L212" s="202"/>
    </row>
    <row r="213" spans="1:12" ht="15.75" thickBot="1">
      <c r="B213" s="215"/>
      <c r="C213" s="215"/>
      <c r="D213" s="215"/>
      <c r="E213" s="215"/>
      <c r="F213" s="215"/>
      <c r="G213" s="215"/>
      <c r="H213" s="215"/>
      <c r="I213" s="215"/>
      <c r="J213" s="215"/>
      <c r="K213" s="239"/>
      <c r="L213" s="202"/>
    </row>
    <row r="214" spans="1:12" ht="15.75" thickBot="1">
      <c r="B214" s="215"/>
      <c r="C214" s="215"/>
      <c r="D214" s="215"/>
      <c r="E214" s="215"/>
      <c r="F214" s="215"/>
      <c r="G214" s="215"/>
      <c r="H214" s="215"/>
      <c r="I214" s="215"/>
      <c r="J214" s="215"/>
      <c r="K214" s="239"/>
      <c r="L214" s="202"/>
    </row>
    <row r="215" spans="1:12" ht="15.75" thickBot="1">
      <c r="B215" s="215"/>
      <c r="C215" s="215"/>
      <c r="D215" s="215"/>
      <c r="E215" s="215"/>
      <c r="F215" s="215"/>
      <c r="G215" s="215"/>
      <c r="H215" s="215"/>
      <c r="I215" s="215"/>
      <c r="J215" s="215"/>
      <c r="K215" s="239"/>
      <c r="L215" s="202"/>
    </row>
    <row r="216" spans="1:12" ht="15.75" thickBot="1">
      <c r="B216" s="215"/>
      <c r="C216" s="215"/>
      <c r="D216" s="215"/>
      <c r="E216" s="215"/>
      <c r="F216" s="215"/>
      <c r="G216" s="215"/>
      <c r="H216" s="215"/>
      <c r="I216" s="215"/>
      <c r="J216" s="215"/>
      <c r="K216" s="239"/>
      <c r="L216" s="202"/>
    </row>
    <row r="217" spans="1:12" ht="15.75" thickBot="1">
      <c r="B217" s="215"/>
      <c r="C217" s="215"/>
      <c r="D217" s="215"/>
      <c r="E217" s="215"/>
      <c r="F217" s="215"/>
      <c r="G217" s="215"/>
      <c r="H217" s="215"/>
      <c r="I217" s="215"/>
      <c r="J217" s="215"/>
      <c r="K217" s="239"/>
      <c r="L217" s="202"/>
    </row>
    <row r="218" spans="1:12" ht="15.75" thickBot="1">
      <c r="A218" s="27" t="s">
        <v>803</v>
      </c>
      <c r="B218" s="215" t="str">
        <f t="shared" si="5"/>
        <v>Windo19</v>
      </c>
      <c r="C218" s="215" t="str">
        <f t="shared" si="5"/>
        <v>Windows19</v>
      </c>
      <c r="D218" s="215" t="str">
        <f t="shared" si="5"/>
        <v>Windows</v>
      </c>
      <c r="E218" s="215">
        <f t="shared" si="5"/>
        <v>19</v>
      </c>
      <c r="F218" s="215" t="str">
        <f t="shared" si="5"/>
        <v>Class 35</v>
      </c>
      <c r="G218" s="215" t="str">
        <f t="shared" si="5"/>
        <v>Class 22</v>
      </c>
      <c r="H218" s="215" t="str">
        <f t="shared" si="5"/>
        <v>Heating Zone 2</v>
      </c>
      <c r="I218" s="215" t="str">
        <f t="shared" si="5"/>
        <v>Windows - Class 35 to Class 22 - Heating Zone 2</v>
      </c>
      <c r="J218" s="215" t="s">
        <v>748</v>
      </c>
      <c r="K218" s="239">
        <f>Results!K82</f>
        <v>4.6984118641552062</v>
      </c>
      <c r="L218" s="202">
        <v>0</v>
      </c>
    </row>
    <row r="219" spans="1:12" ht="15.75" thickBot="1">
      <c r="A219" s="27" t="s">
        <v>804</v>
      </c>
      <c r="B219" s="215" t="str">
        <f t="shared" si="5"/>
        <v>Windo20</v>
      </c>
      <c r="C219" s="215" t="str">
        <f t="shared" si="5"/>
        <v>Windows20</v>
      </c>
      <c r="D219" s="215" t="str">
        <f t="shared" si="5"/>
        <v>Windows</v>
      </c>
      <c r="E219" s="215">
        <f t="shared" si="5"/>
        <v>20</v>
      </c>
      <c r="F219" s="215" t="str">
        <f t="shared" si="5"/>
        <v>Single Pane</v>
      </c>
      <c r="G219" s="215" t="str">
        <f t="shared" si="5"/>
        <v>Class 22</v>
      </c>
      <c r="H219" s="215" t="str">
        <f t="shared" si="5"/>
        <v>Heating Zone 2</v>
      </c>
      <c r="I219" s="215" t="str">
        <f t="shared" si="5"/>
        <v>Windows - Single Pane to Class 22 - Heating Zone 2</v>
      </c>
      <c r="J219" s="215" t="s">
        <v>748</v>
      </c>
      <c r="K219" s="239">
        <f>Results!K83</f>
        <v>33.880879731729017</v>
      </c>
      <c r="L219" s="202">
        <v>0</v>
      </c>
    </row>
    <row r="220" spans="1:12" ht="15.75" thickBot="1">
      <c r="A220" s="27" t="s">
        <v>805</v>
      </c>
      <c r="B220" s="215" t="str">
        <f t="shared" si="5"/>
        <v>Windo21</v>
      </c>
      <c r="C220" s="215" t="str">
        <f t="shared" si="5"/>
        <v>Windows21</v>
      </c>
      <c r="D220" s="215" t="str">
        <f t="shared" si="5"/>
        <v>Windows</v>
      </c>
      <c r="E220" s="215">
        <f t="shared" si="5"/>
        <v>21</v>
      </c>
      <c r="F220" s="215" t="str">
        <f t="shared" si="5"/>
        <v>Double Pane</v>
      </c>
      <c r="G220" s="215" t="str">
        <f t="shared" si="5"/>
        <v>Class 22</v>
      </c>
      <c r="H220" s="215" t="str">
        <f t="shared" si="5"/>
        <v>Heating Zone 2</v>
      </c>
      <c r="I220" s="215" t="str">
        <f t="shared" si="5"/>
        <v>Windows - Double Pane to Class 22 - Heating Zone 2</v>
      </c>
      <c r="J220" s="215" t="s">
        <v>748</v>
      </c>
      <c r="K220" s="239">
        <f>Results!K84</f>
        <v>20.204047936502523</v>
      </c>
      <c r="L220" s="202">
        <v>0</v>
      </c>
    </row>
    <row r="221" spans="1:12" ht="15.75" thickBot="1">
      <c r="A221" s="27" t="s">
        <v>806</v>
      </c>
      <c r="B221" s="215" t="str">
        <f t="shared" si="5"/>
        <v>Windo22</v>
      </c>
      <c r="C221" s="215" t="str">
        <f t="shared" si="5"/>
        <v>Windows22</v>
      </c>
      <c r="D221" s="215" t="str">
        <f t="shared" si="5"/>
        <v>Windows</v>
      </c>
      <c r="E221" s="215">
        <f t="shared" si="5"/>
        <v>22</v>
      </c>
      <c r="F221" s="215" t="str">
        <f t="shared" si="5"/>
        <v>Single Pane</v>
      </c>
      <c r="G221" s="215" t="str">
        <f t="shared" si="5"/>
        <v>Class 30</v>
      </c>
      <c r="H221" s="215" t="str">
        <f t="shared" si="5"/>
        <v>Heating Zone 2</v>
      </c>
      <c r="I221" s="215" t="str">
        <f t="shared" si="5"/>
        <v>Windows - Single Pane to Class 30 - Heating Zone 2</v>
      </c>
      <c r="J221" s="215" t="s">
        <v>748</v>
      </c>
      <c r="K221" s="230">
        <f>Results!K85</f>
        <v>31.081808636926379</v>
      </c>
      <c r="L221" s="202">
        <v>0</v>
      </c>
    </row>
    <row r="222" spans="1:12" ht="15.75" thickBot="1">
      <c r="A222" s="27" t="s">
        <v>807</v>
      </c>
      <c r="B222" s="215" t="str">
        <f t="shared" si="5"/>
        <v>Windo23</v>
      </c>
      <c r="C222" s="215" t="str">
        <f t="shared" si="5"/>
        <v>Windows23</v>
      </c>
      <c r="D222" s="215" t="str">
        <f t="shared" si="5"/>
        <v>Windows</v>
      </c>
      <c r="E222" s="215">
        <f t="shared" si="5"/>
        <v>23</v>
      </c>
      <c r="F222" s="215" t="str">
        <f t="shared" si="5"/>
        <v>Double Pane</v>
      </c>
      <c r="G222" s="215" t="str">
        <f t="shared" si="5"/>
        <v>Class 30</v>
      </c>
      <c r="H222" s="215" t="str">
        <f t="shared" si="5"/>
        <v>Heating Zone 2</v>
      </c>
      <c r="I222" s="215" t="str">
        <f t="shared" si="5"/>
        <v>Windows - Double Pane to Class 30 - Heating Zone 2</v>
      </c>
      <c r="J222" s="215" t="s">
        <v>748</v>
      </c>
      <c r="K222" s="230">
        <f>Results!K86</f>
        <v>17.404976841699881</v>
      </c>
      <c r="L222" s="202">
        <v>0</v>
      </c>
    </row>
    <row r="223" spans="1:12" ht="15.75" thickBot="1">
      <c r="A223" s="27" t="s">
        <v>808</v>
      </c>
      <c r="B223" s="215" t="str">
        <f t="shared" si="5"/>
        <v>Windo24</v>
      </c>
      <c r="C223" s="215" t="str">
        <f t="shared" si="5"/>
        <v>Windows24</v>
      </c>
      <c r="D223" s="215" t="str">
        <f t="shared" si="5"/>
        <v>Windows</v>
      </c>
      <c r="E223" s="215">
        <f t="shared" si="5"/>
        <v>24</v>
      </c>
      <c r="F223" s="215" t="str">
        <f t="shared" si="5"/>
        <v>Class 35</v>
      </c>
      <c r="G223" s="215" t="str">
        <f t="shared" si="5"/>
        <v>Class 30</v>
      </c>
      <c r="H223" s="215" t="str">
        <f t="shared" si="5"/>
        <v>Heating Zone 2</v>
      </c>
      <c r="I223" s="215" t="str">
        <f t="shared" si="5"/>
        <v>Windows - Class 35 to Class 30 - Heating Zone 2</v>
      </c>
      <c r="J223" s="215" t="s">
        <v>748</v>
      </c>
      <c r="K223" s="230">
        <f>Results!K87</f>
        <v>1.8993407693525641</v>
      </c>
      <c r="L223" s="202">
        <v>0</v>
      </c>
    </row>
    <row r="224" spans="1:12" ht="15.75" thickBot="1">
      <c r="A224" s="27" t="s">
        <v>809</v>
      </c>
      <c r="B224" s="215" t="str">
        <f t="shared" ref="B224:I239" si="6">B86</f>
        <v>Infil10</v>
      </c>
      <c r="C224" s="215" t="str">
        <f t="shared" si="6"/>
        <v>Infiltration10</v>
      </c>
      <c r="D224" s="215" t="str">
        <f t="shared" si="6"/>
        <v>Infiltration</v>
      </c>
      <c r="E224" s="215">
        <f t="shared" si="6"/>
        <v>10</v>
      </c>
      <c r="F224" s="215" t="str">
        <f t="shared" si="6"/>
        <v>0.45 ACHn</v>
      </c>
      <c r="G224" s="215" t="str">
        <f t="shared" si="6"/>
        <v>0.35 ACHn</v>
      </c>
      <c r="H224" s="215" t="str">
        <f t="shared" si="6"/>
        <v>Heating Zone 2</v>
      </c>
      <c r="I224" s="215" t="str">
        <f t="shared" si="6"/>
        <v>Infiltration Reduction - 0.45 ACHn to 0.35 ACHn - Heating Zone 2</v>
      </c>
      <c r="J224" s="215" t="s">
        <v>748</v>
      </c>
      <c r="K224" s="266">
        <f>Results!K88</f>
        <v>0</v>
      </c>
      <c r="L224" s="202">
        <v>0</v>
      </c>
    </row>
    <row r="225" spans="1:12" ht="15.75" thickBot="1">
      <c r="A225" s="27" t="s">
        <v>810</v>
      </c>
      <c r="B225" s="215" t="str">
        <f t="shared" si="6"/>
        <v>Infil11</v>
      </c>
      <c r="C225" s="215" t="str">
        <f t="shared" si="6"/>
        <v>Infiltration11</v>
      </c>
      <c r="D225" s="215" t="str">
        <f t="shared" si="6"/>
        <v>Infiltration</v>
      </c>
      <c r="E225" s="215">
        <f t="shared" si="6"/>
        <v>11</v>
      </c>
      <c r="F225" s="215" t="str">
        <f t="shared" si="6"/>
        <v>0.45 ACHn</v>
      </c>
      <c r="G225" s="215" t="str">
        <f t="shared" si="6"/>
        <v>0.20 ACHn</v>
      </c>
      <c r="H225" s="215" t="str">
        <f t="shared" si="6"/>
        <v>Heating Zone 2</v>
      </c>
      <c r="I225" s="215" t="str">
        <f t="shared" si="6"/>
        <v>Infiltration Reduction - 0.45 ACHn to 0.20 ACHn - Heating Zone 2</v>
      </c>
      <c r="J225" s="215" t="s">
        <v>748</v>
      </c>
      <c r="K225" s="239">
        <f>Results!K89</f>
        <v>0</v>
      </c>
      <c r="L225" s="202">
        <v>0</v>
      </c>
    </row>
    <row r="226" spans="1:12" ht="15.75" thickBot="1">
      <c r="A226" s="27" t="s">
        <v>811</v>
      </c>
      <c r="B226" s="215" t="str">
        <f t="shared" si="6"/>
        <v>Infil12</v>
      </c>
      <c r="C226" s="215" t="str">
        <f t="shared" si="6"/>
        <v>Infiltration12</v>
      </c>
      <c r="D226" s="215" t="str">
        <f t="shared" si="6"/>
        <v>Infiltration</v>
      </c>
      <c r="E226" s="215">
        <f t="shared" si="6"/>
        <v>12</v>
      </c>
      <c r="F226" s="215" t="str">
        <f t="shared" si="6"/>
        <v>0.35 ACHn</v>
      </c>
      <c r="G226" s="215" t="str">
        <f t="shared" si="6"/>
        <v>0.20 ACHn</v>
      </c>
      <c r="H226" s="215" t="str">
        <f t="shared" si="6"/>
        <v>Heating Zone 2</v>
      </c>
      <c r="I226" s="215" t="str">
        <f t="shared" si="6"/>
        <v>Infiltration Reduction - 0.35 ACHn to 0.20 ACHn - Heating Zone 2</v>
      </c>
      <c r="J226" s="215" t="s">
        <v>748</v>
      </c>
      <c r="K226" s="276">
        <f>Results!K90</f>
        <v>0</v>
      </c>
      <c r="L226" s="202">
        <v>0</v>
      </c>
    </row>
    <row r="227" spans="1:12" ht="15.75" thickBot="1">
      <c r="A227" s="27" t="s">
        <v>812</v>
      </c>
      <c r="B227" s="215" t="str">
        <f t="shared" si="6"/>
        <v>DuctT10</v>
      </c>
      <c r="C227" s="215" t="str">
        <f t="shared" si="6"/>
        <v>DuctTightness10</v>
      </c>
      <c r="D227" s="215" t="str">
        <f t="shared" si="6"/>
        <v>DuctTightness</v>
      </c>
      <c r="E227" s="215">
        <f t="shared" si="6"/>
        <v>10</v>
      </c>
      <c r="F227" s="215" t="str">
        <f t="shared" si="6"/>
        <v>Std-crawl</v>
      </c>
      <c r="G227" s="215" t="str">
        <f t="shared" si="6"/>
        <v>PTCS-crawl</v>
      </c>
      <c r="H227" s="215" t="str">
        <f t="shared" si="6"/>
        <v>Heating Zone 2</v>
      </c>
      <c r="I227" s="215" t="str">
        <f t="shared" si="6"/>
        <v>DuctTightness - Std-crawl to PTCS-crawl - Heating Zone 2</v>
      </c>
      <c r="J227" s="215" t="s">
        <v>748</v>
      </c>
      <c r="K227" s="278">
        <f>Results!K91</f>
        <v>0</v>
      </c>
      <c r="L227" s="202">
        <v>0</v>
      </c>
    </row>
    <row r="228" spans="1:12" ht="15.75" thickBot="1">
      <c r="A228" s="27" t="s">
        <v>813</v>
      </c>
      <c r="B228" s="215" t="str">
        <f t="shared" si="6"/>
        <v>DuctI10</v>
      </c>
      <c r="C228" s="215" t="str">
        <f t="shared" si="6"/>
        <v>DuctInsulation10</v>
      </c>
      <c r="D228" s="215" t="str">
        <f t="shared" si="6"/>
        <v>DuctInsulation</v>
      </c>
      <c r="E228" s="215">
        <f t="shared" si="6"/>
        <v>10</v>
      </c>
      <c r="F228" s="215" t="str">
        <f t="shared" si="6"/>
        <v>R-0</v>
      </c>
      <c r="G228" s="215" t="str">
        <f t="shared" si="6"/>
        <v>R-4.2</v>
      </c>
      <c r="H228" s="215" t="str">
        <f t="shared" si="6"/>
        <v>Heating Zone 2</v>
      </c>
      <c r="I228" s="215" t="str">
        <f t="shared" si="6"/>
        <v>DuctInsulation - R-0 to R-4.2 - Heating Zone 2</v>
      </c>
      <c r="J228" s="215" t="s">
        <v>748</v>
      </c>
      <c r="K228" s="282">
        <f>Results!K92</f>
        <v>0</v>
      </c>
      <c r="L228" s="202">
        <v>0</v>
      </c>
    </row>
    <row r="229" spans="1:12" ht="15.75" thickBot="1">
      <c r="A229" s="27" t="s">
        <v>814</v>
      </c>
      <c r="B229" s="215" t="str">
        <f t="shared" si="6"/>
        <v>DuctI11</v>
      </c>
      <c r="C229" s="215" t="str">
        <f t="shared" si="6"/>
        <v>DuctInsulation11</v>
      </c>
      <c r="D229" s="215" t="str">
        <f t="shared" si="6"/>
        <v>DuctInsulation</v>
      </c>
      <c r="E229" s="215">
        <f t="shared" si="6"/>
        <v>11</v>
      </c>
      <c r="F229" s="215" t="str">
        <f t="shared" si="6"/>
        <v>R-0</v>
      </c>
      <c r="G229" s="215" t="str">
        <f t="shared" si="6"/>
        <v>R-11</v>
      </c>
      <c r="H229" s="215" t="str">
        <f t="shared" si="6"/>
        <v>Heating Zone 2</v>
      </c>
      <c r="I229" s="215" t="str">
        <f t="shared" si="6"/>
        <v>DuctInsulation - R-0 to R-11 - Heating Zone 2</v>
      </c>
      <c r="J229" s="215" t="s">
        <v>748</v>
      </c>
      <c r="K229" s="284">
        <f>Results!K93</f>
        <v>0</v>
      </c>
      <c r="L229" s="202">
        <v>0</v>
      </c>
    </row>
    <row r="230" spans="1:12" ht="15.75" thickBot="1">
      <c r="A230" s="27" t="s">
        <v>815</v>
      </c>
      <c r="B230" s="215" t="str">
        <f t="shared" si="6"/>
        <v>DuctI12</v>
      </c>
      <c r="C230" s="215" t="str">
        <f t="shared" si="6"/>
        <v>DuctInsulation12</v>
      </c>
      <c r="D230" s="215" t="str">
        <f t="shared" si="6"/>
        <v>DuctInsulation</v>
      </c>
      <c r="E230" s="215">
        <f t="shared" si="6"/>
        <v>12</v>
      </c>
      <c r="F230" s="215" t="str">
        <f t="shared" si="6"/>
        <v>R-4.2</v>
      </c>
      <c r="G230" s="215" t="str">
        <f t="shared" si="6"/>
        <v>R-11</v>
      </c>
      <c r="H230" s="215" t="str">
        <f t="shared" si="6"/>
        <v>Heating Zone 2</v>
      </c>
      <c r="I230" s="215" t="str">
        <f t="shared" si="6"/>
        <v>DuctInsulation - R-4.2 to R-11 - Heating Zone 2</v>
      </c>
      <c r="J230" s="215" t="s">
        <v>748</v>
      </c>
      <c r="K230" s="286">
        <f>Results!K94</f>
        <v>0</v>
      </c>
      <c r="L230" s="202">
        <v>0</v>
      </c>
    </row>
    <row r="231" spans="1:12" ht="15.75" thickBot="1">
      <c r="A231" s="27" t="s">
        <v>816</v>
      </c>
      <c r="B231" s="215" t="str">
        <f t="shared" si="6"/>
        <v>HeatP10</v>
      </c>
      <c r="C231" s="215" t="str">
        <f t="shared" si="6"/>
        <v>HeatPump10</v>
      </c>
      <c r="D231" s="215" t="str">
        <f t="shared" si="6"/>
        <v>HeatPump</v>
      </c>
      <c r="E231" s="215">
        <f t="shared" si="6"/>
        <v>10</v>
      </c>
      <c r="F231" s="215" t="str">
        <f t="shared" si="6"/>
        <v>7.7/13</v>
      </c>
      <c r="G231" s="215" t="str">
        <f t="shared" si="6"/>
        <v>8.5/13</v>
      </c>
      <c r="H231" s="215" t="str">
        <f t="shared" si="6"/>
        <v>Heating Zone 2</v>
      </c>
      <c r="I231" s="215" t="str">
        <f t="shared" si="6"/>
        <v>HeatPump Upgrade - 7.7/13 to 8.5/13 - Heating Zone 2</v>
      </c>
      <c r="J231" s="215" t="s">
        <v>748</v>
      </c>
      <c r="K231" s="284">
        <f>Results!K95</f>
        <v>0</v>
      </c>
      <c r="L231" s="202">
        <v>0</v>
      </c>
    </row>
    <row r="232" spans="1:12" ht="15.75" thickBot="1">
      <c r="A232" s="27" t="s">
        <v>817</v>
      </c>
      <c r="B232" s="215" t="str">
        <f t="shared" si="6"/>
        <v>HeatP11</v>
      </c>
      <c r="C232" s="215" t="str">
        <f t="shared" si="6"/>
        <v>HeatPump11</v>
      </c>
      <c r="D232" s="215" t="str">
        <f t="shared" si="6"/>
        <v>HeatPump</v>
      </c>
      <c r="E232" s="215">
        <f t="shared" si="6"/>
        <v>11</v>
      </c>
      <c r="F232" s="215" t="str">
        <f t="shared" si="6"/>
        <v>7.7/13</v>
      </c>
      <c r="G232" s="215" t="str">
        <f t="shared" si="6"/>
        <v>9.0/14</v>
      </c>
      <c r="H232" s="215" t="str">
        <f t="shared" si="6"/>
        <v>Heating Zone 2</v>
      </c>
      <c r="I232" s="215" t="str">
        <f t="shared" si="6"/>
        <v>HeatPump Upgrade - 7.7/13 to 9.0/14 - Heating Zone 2</v>
      </c>
      <c r="J232" s="215" t="s">
        <v>748</v>
      </c>
      <c r="K232" s="284">
        <f>Results!K96</f>
        <v>0</v>
      </c>
      <c r="L232" s="202">
        <v>0</v>
      </c>
    </row>
    <row r="233" spans="1:12" ht="15.75" thickBot="1">
      <c r="A233" s="27" t="s">
        <v>818</v>
      </c>
      <c r="B233" s="215" t="str">
        <f t="shared" si="6"/>
        <v>HeatP12</v>
      </c>
      <c r="C233" s="215" t="str">
        <f t="shared" si="6"/>
        <v>HeatPump12</v>
      </c>
      <c r="D233" s="215" t="str">
        <f t="shared" si="6"/>
        <v>HeatPump</v>
      </c>
      <c r="E233" s="215">
        <f t="shared" si="6"/>
        <v>12</v>
      </c>
      <c r="F233" s="215" t="str">
        <f t="shared" si="6"/>
        <v>7.7/13</v>
      </c>
      <c r="G233" s="215" t="str">
        <f t="shared" si="6"/>
        <v>8.2/13</v>
      </c>
      <c r="H233" s="215" t="str">
        <f t="shared" si="6"/>
        <v>Heating Zone 2</v>
      </c>
      <c r="I233" s="215" t="str">
        <f t="shared" si="6"/>
        <v>HeatPump Upgrade - 7.7/13 to 8.2/13 - Heating Zone 2</v>
      </c>
      <c r="J233" s="215" t="s">
        <v>748</v>
      </c>
      <c r="K233" s="284">
        <f>Results!K97</f>
        <v>0</v>
      </c>
      <c r="L233" s="202">
        <v>0</v>
      </c>
    </row>
    <row r="234" spans="1:12" ht="15.75" thickBot="1">
      <c r="A234" s="27" t="s">
        <v>819</v>
      </c>
      <c r="B234" s="215" t="str">
        <f t="shared" si="6"/>
        <v>HPCnt10</v>
      </c>
      <c r="C234" s="215" t="str">
        <f t="shared" si="6"/>
        <v>HPCntrls10</v>
      </c>
      <c r="D234" s="215" t="str">
        <f t="shared" si="6"/>
        <v>HPCntrls</v>
      </c>
      <c r="E234" s="215">
        <f t="shared" si="6"/>
        <v>10</v>
      </c>
      <c r="F234" s="215" t="str">
        <f t="shared" si="6"/>
        <v>Standard</v>
      </c>
      <c r="G234" s="215" t="str">
        <f t="shared" si="6"/>
        <v>PTCS</v>
      </c>
      <c r="H234" s="215" t="str">
        <f t="shared" si="6"/>
        <v>Heating Zone 2</v>
      </c>
      <c r="I234" s="215" t="str">
        <f t="shared" si="6"/>
        <v>HPCntrls Upgrade - Standard to PTCS - Heating Zone 2</v>
      </c>
      <c r="J234" s="215" t="s">
        <v>748</v>
      </c>
      <c r="K234" s="301">
        <f>Results!K98</f>
        <v>0</v>
      </c>
      <c r="L234" s="202">
        <v>0</v>
      </c>
    </row>
    <row r="235" spans="1:12" ht="15.75" thickBot="1">
      <c r="A235" s="27" t="s">
        <v>820</v>
      </c>
      <c r="B235" s="215" t="str">
        <f t="shared" si="6"/>
        <v>Walls10</v>
      </c>
      <c r="C235" s="215" t="str">
        <f t="shared" si="6"/>
        <v>Walls10</v>
      </c>
      <c r="D235" s="215" t="str">
        <f t="shared" si="6"/>
        <v>Walls</v>
      </c>
      <c r="E235" s="215">
        <f t="shared" si="6"/>
        <v>10</v>
      </c>
      <c r="F235" s="215" t="str">
        <f t="shared" si="6"/>
        <v>R-0</v>
      </c>
      <c r="G235" s="215" t="str">
        <f t="shared" si="6"/>
        <v>R-11</v>
      </c>
      <c r="H235" s="215" t="str">
        <f t="shared" si="6"/>
        <v>Heating Zone 3</v>
      </c>
      <c r="I235" s="215" t="str">
        <f t="shared" si="6"/>
        <v>Multi Family Weatherization - Insulate Walls - R-0 to R-11 - Heating Zone 3</v>
      </c>
      <c r="J235" s="215" t="s">
        <v>748</v>
      </c>
      <c r="K235" s="218">
        <f>Results!K99</f>
        <v>2.2317370823219416</v>
      </c>
      <c r="L235" s="202">
        <v>0</v>
      </c>
    </row>
    <row r="236" spans="1:12" ht="15.75" thickBot="1">
      <c r="A236" s="27" t="s">
        <v>821</v>
      </c>
      <c r="B236" s="215" t="str">
        <f t="shared" si="6"/>
        <v>BGWal10</v>
      </c>
      <c r="C236" s="215" t="str">
        <f t="shared" si="6"/>
        <v>BGWalls10</v>
      </c>
      <c r="D236" s="215" t="str">
        <f t="shared" si="6"/>
        <v>BGWalls</v>
      </c>
      <c r="E236" s="215">
        <f t="shared" si="6"/>
        <v>10</v>
      </c>
      <c r="F236" s="215" t="str">
        <f t="shared" si="6"/>
        <v>R-0</v>
      </c>
      <c r="G236" s="215" t="str">
        <f t="shared" si="6"/>
        <v>R-11</v>
      </c>
      <c r="H236" s="215" t="str">
        <f t="shared" si="6"/>
        <v>Heating Zone 3</v>
      </c>
      <c r="I236" s="215" t="str">
        <f t="shared" si="6"/>
        <v>Multi Family Weatherization - Insulate BGWalls - R-0 to R-11 - Heating Zone 3</v>
      </c>
      <c r="J236" s="215" t="s">
        <v>748</v>
      </c>
      <c r="K236" s="225">
        <f>Results!K100</f>
        <v>0</v>
      </c>
      <c r="L236" s="202">
        <v>0</v>
      </c>
    </row>
    <row r="237" spans="1:12" ht="15.75" thickBot="1">
      <c r="A237" s="27" t="s">
        <v>822</v>
      </c>
      <c r="B237" s="215" t="str">
        <f t="shared" si="6"/>
        <v>Floor10</v>
      </c>
      <c r="C237" s="215" t="str">
        <f t="shared" si="6"/>
        <v>Floors10</v>
      </c>
      <c r="D237" s="215" t="str">
        <f t="shared" si="6"/>
        <v>Floors</v>
      </c>
      <c r="E237" s="215">
        <f t="shared" si="6"/>
        <v>10</v>
      </c>
      <c r="F237" s="215" t="str">
        <f t="shared" si="6"/>
        <v>R-0</v>
      </c>
      <c r="G237" s="215" t="str">
        <f t="shared" si="6"/>
        <v>R-19</v>
      </c>
      <c r="H237" s="215" t="str">
        <f t="shared" si="6"/>
        <v>Heating Zone 3</v>
      </c>
      <c r="I237" s="215" t="str">
        <f t="shared" si="6"/>
        <v>Multi Family Weatherization - Insulate Floors - R-0 to R-19 - Heating Zone 3</v>
      </c>
      <c r="J237" s="215" t="s">
        <v>748</v>
      </c>
      <c r="K237" s="230">
        <f>Results!K101</f>
        <v>0.88466842380214095</v>
      </c>
      <c r="L237" s="202">
        <v>0</v>
      </c>
    </row>
    <row r="238" spans="1:12" ht="15.75" thickBot="1">
      <c r="A238" s="27" t="s">
        <v>823</v>
      </c>
      <c r="B238" s="215" t="str">
        <f t="shared" si="6"/>
        <v>Floor11</v>
      </c>
      <c r="C238" s="215" t="str">
        <f t="shared" si="6"/>
        <v>Floors11</v>
      </c>
      <c r="D238" s="215" t="str">
        <f t="shared" si="6"/>
        <v>Floors</v>
      </c>
      <c r="E238" s="215">
        <f t="shared" si="6"/>
        <v>11</v>
      </c>
      <c r="F238" s="215" t="str">
        <f t="shared" si="6"/>
        <v>R-0</v>
      </c>
      <c r="G238" s="215" t="str">
        <f t="shared" si="6"/>
        <v>R-25</v>
      </c>
      <c r="H238" s="215" t="str">
        <f t="shared" si="6"/>
        <v>Heating Zone 3</v>
      </c>
      <c r="I238" s="215" t="str">
        <f t="shared" si="6"/>
        <v>Multi Family Weatherization - Insulate Floors - R-0 to R-25 - Heating Zone 3</v>
      </c>
      <c r="J238" s="215" t="s">
        <v>748</v>
      </c>
      <c r="K238" s="239">
        <f>Results!K102</f>
        <v>1.0157472710294122</v>
      </c>
      <c r="L238" s="202">
        <v>0</v>
      </c>
    </row>
    <row r="239" spans="1:12" ht="15.75" thickBot="1">
      <c r="A239" s="27" t="s">
        <v>824</v>
      </c>
      <c r="B239" s="215" t="str">
        <f t="shared" si="6"/>
        <v>Floor12</v>
      </c>
      <c r="C239" s="215" t="str">
        <f t="shared" si="6"/>
        <v>Floors12</v>
      </c>
      <c r="D239" s="215" t="str">
        <f t="shared" si="6"/>
        <v>Floors</v>
      </c>
      <c r="E239" s="215">
        <f t="shared" si="6"/>
        <v>12</v>
      </c>
      <c r="F239" s="215" t="str">
        <f t="shared" si="6"/>
        <v>R-0</v>
      </c>
      <c r="G239" s="215" t="str">
        <f t="shared" si="6"/>
        <v>R-30</v>
      </c>
      <c r="H239" s="215" t="str">
        <f t="shared" si="6"/>
        <v>Heating Zone 3</v>
      </c>
      <c r="I239" s="215" t="str">
        <f t="shared" si="6"/>
        <v>Multi Family Weatherization - Insulate Floors - R-0 to R-30 - Heating Zone 3</v>
      </c>
      <c r="J239" s="215" t="s">
        <v>748</v>
      </c>
      <c r="K239" s="230">
        <f>Results!K103</f>
        <v>1.1544904382566858</v>
      </c>
      <c r="L239" s="202">
        <v>0</v>
      </c>
    </row>
    <row r="240" spans="1:12" ht="15.75" thickBot="1">
      <c r="A240" s="27" t="s">
        <v>825</v>
      </c>
      <c r="B240" s="215" t="str">
        <f t="shared" ref="B240:I254" si="7">B102</f>
        <v>Floor13</v>
      </c>
      <c r="C240" s="215" t="str">
        <f t="shared" si="7"/>
        <v>Floors13</v>
      </c>
      <c r="D240" s="215" t="str">
        <f t="shared" si="7"/>
        <v>Floors</v>
      </c>
      <c r="E240" s="215">
        <f t="shared" si="7"/>
        <v>13</v>
      </c>
      <c r="F240" s="215" t="str">
        <f t="shared" si="7"/>
        <v>R-0</v>
      </c>
      <c r="G240" s="215" t="str">
        <f t="shared" si="7"/>
        <v>R-38</v>
      </c>
      <c r="H240" s="215" t="str">
        <f t="shared" si="7"/>
        <v>Heating Zone 3</v>
      </c>
      <c r="I240" s="215" t="str">
        <f t="shared" si="7"/>
        <v>Multi Family Weatherization - Insulate Floors - R-0 to R-38 - Heating Zone 3</v>
      </c>
      <c r="J240" s="215" t="s">
        <v>748</v>
      </c>
      <c r="K240" s="239">
        <f>Results!K104</f>
        <v>1.1915138943395736</v>
      </c>
      <c r="L240" s="202">
        <v>0</v>
      </c>
    </row>
    <row r="241" spans="1:12" ht="15.75" thickBot="1">
      <c r="A241" s="27" t="s">
        <v>826</v>
      </c>
      <c r="B241" s="215" t="str">
        <f t="shared" si="7"/>
        <v>Floor14</v>
      </c>
      <c r="C241" s="215" t="str">
        <f t="shared" si="7"/>
        <v>Floors14</v>
      </c>
      <c r="D241" s="215" t="str">
        <f t="shared" si="7"/>
        <v>Floors</v>
      </c>
      <c r="E241" s="215">
        <f t="shared" si="7"/>
        <v>14</v>
      </c>
      <c r="F241" s="215" t="str">
        <f t="shared" si="7"/>
        <v>R-19</v>
      </c>
      <c r="G241" s="215" t="str">
        <f t="shared" si="7"/>
        <v>R-25</v>
      </c>
      <c r="H241" s="215" t="str">
        <f t="shared" si="7"/>
        <v>Heating Zone 3</v>
      </c>
      <c r="I241" s="215" t="str">
        <f t="shared" si="7"/>
        <v>Multi Family Weatherization - Insulate Floors - R-19 to R-25 - Heating Zone 3</v>
      </c>
      <c r="J241" s="215" t="s">
        <v>748</v>
      </c>
      <c r="K241" s="239">
        <f>Results!K105</f>
        <v>0.13107884722727128</v>
      </c>
      <c r="L241" s="202">
        <v>0</v>
      </c>
    </row>
    <row r="242" spans="1:12" ht="15.75" thickBot="1">
      <c r="A242" s="27" t="s">
        <v>827</v>
      </c>
      <c r="B242" s="215" t="str">
        <f t="shared" si="7"/>
        <v>Floor15</v>
      </c>
      <c r="C242" s="215" t="str">
        <f t="shared" si="7"/>
        <v>Floors15</v>
      </c>
      <c r="D242" s="215" t="str">
        <f t="shared" si="7"/>
        <v>Floors</v>
      </c>
      <c r="E242" s="215">
        <f t="shared" si="7"/>
        <v>15</v>
      </c>
      <c r="F242" s="215" t="str">
        <f t="shared" si="7"/>
        <v>R-19</v>
      </c>
      <c r="G242" s="215" t="str">
        <f t="shared" si="7"/>
        <v>R-30</v>
      </c>
      <c r="H242" s="215" t="str">
        <f t="shared" si="7"/>
        <v>Heating Zone 3</v>
      </c>
      <c r="I242" s="215" t="str">
        <f t="shared" si="7"/>
        <v>Multi Family Weatherization - Insulate Floors - R-19 to R-30 - Heating Zone 3</v>
      </c>
      <c r="J242" s="215" t="s">
        <v>748</v>
      </c>
      <c r="K242" s="230">
        <f>Results!K106</f>
        <v>0.26982201445454501</v>
      </c>
      <c r="L242" s="202">
        <v>0</v>
      </c>
    </row>
    <row r="243" spans="1:12" ht="15.75" thickBot="1">
      <c r="A243" s="27" t="s">
        <v>828</v>
      </c>
      <c r="B243" s="215" t="str">
        <f t="shared" si="7"/>
        <v>Floor16</v>
      </c>
      <c r="C243" s="215" t="str">
        <f t="shared" si="7"/>
        <v>Floors16</v>
      </c>
      <c r="D243" s="215" t="str">
        <f t="shared" si="7"/>
        <v>Floors</v>
      </c>
      <c r="E243" s="215">
        <f t="shared" si="7"/>
        <v>16</v>
      </c>
      <c r="F243" s="215" t="str">
        <f t="shared" si="7"/>
        <v>R-19</v>
      </c>
      <c r="G243" s="215" t="str">
        <f t="shared" si="7"/>
        <v>R-38</v>
      </c>
      <c r="H243" s="215" t="str">
        <f t="shared" si="7"/>
        <v>Heating Zone 3</v>
      </c>
      <c r="I243" s="215" t="str">
        <f t="shared" si="7"/>
        <v>Multi Family Weatherization - Insulate Floors - R-19 to R-38 - Heating Zone 3</v>
      </c>
      <c r="J243" s="215" t="s">
        <v>748</v>
      </c>
      <c r="K243" s="239">
        <f>Results!K107</f>
        <v>0.30684547053743255</v>
      </c>
      <c r="L243" s="202">
        <v>0</v>
      </c>
    </row>
    <row r="244" spans="1:12" ht="15.75" thickBot="1">
      <c r="A244" s="27" t="s">
        <v>829</v>
      </c>
      <c r="B244" s="215" t="str">
        <f t="shared" si="7"/>
        <v>Floor17</v>
      </c>
      <c r="C244" s="215" t="str">
        <f t="shared" si="7"/>
        <v>Floors17</v>
      </c>
      <c r="D244" s="215" t="str">
        <f t="shared" si="7"/>
        <v>Floors</v>
      </c>
      <c r="E244" s="215">
        <f t="shared" si="7"/>
        <v>17</v>
      </c>
      <c r="F244" s="215" t="str">
        <f t="shared" si="7"/>
        <v>R-11</v>
      </c>
      <c r="G244" s="215" t="str">
        <f t="shared" si="7"/>
        <v>R-30</v>
      </c>
      <c r="H244" s="215" t="str">
        <f t="shared" si="7"/>
        <v>Heating Zone 3</v>
      </c>
      <c r="I244" s="215" t="str">
        <f t="shared" si="7"/>
        <v>Multi Family Weatherization - Insulate Floors - R-11 to R-30 - Heating Zone 3</v>
      </c>
      <c r="J244" s="215" t="s">
        <v>748</v>
      </c>
      <c r="K244" s="239">
        <f>Results!K108</f>
        <v>2.5448553316042783</v>
      </c>
      <c r="L244" s="202">
        <v>0</v>
      </c>
    </row>
    <row r="245" spans="1:12" ht="15.75" thickBot="1">
      <c r="A245" s="27" t="s">
        <v>822</v>
      </c>
      <c r="B245" s="215" t="str">
        <f t="shared" si="7"/>
        <v>Floor18</v>
      </c>
      <c r="C245" s="215" t="str">
        <f t="shared" si="7"/>
        <v>Floors18</v>
      </c>
      <c r="D245" s="215" t="str">
        <f t="shared" si="7"/>
        <v>Floors</v>
      </c>
      <c r="E245" s="215">
        <f t="shared" si="7"/>
        <v>18</v>
      </c>
      <c r="F245" s="215" t="str">
        <f t="shared" si="7"/>
        <v>R-0</v>
      </c>
      <c r="G245" s="215" t="str">
        <f t="shared" si="7"/>
        <v>R-19</v>
      </c>
      <c r="H245" s="215" t="str">
        <f t="shared" si="7"/>
        <v>Heating Zone 3</v>
      </c>
      <c r="I245" s="215" t="str">
        <f t="shared" si="7"/>
        <v>Multi Family Weatherization - Insulate Floors - R-0 to R-19 - Heating Zone 3</v>
      </c>
      <c r="J245" s="215" t="s">
        <v>748</v>
      </c>
      <c r="K245" s="239">
        <f>Results!K109</f>
        <v>0.88466842380214095</v>
      </c>
      <c r="L245" s="202">
        <v>0</v>
      </c>
    </row>
    <row r="246" spans="1:12" ht="15.75" thickBot="1">
      <c r="A246" s="27" t="s">
        <v>830</v>
      </c>
      <c r="B246" s="215" t="str">
        <f t="shared" si="7"/>
        <v>Ceili10</v>
      </c>
      <c r="C246" s="215" t="str">
        <f t="shared" si="7"/>
        <v>Ceiling10</v>
      </c>
      <c r="D246" s="215" t="str">
        <f t="shared" si="7"/>
        <v>Ceiling</v>
      </c>
      <c r="E246" s="215">
        <f t="shared" si="7"/>
        <v>10</v>
      </c>
      <c r="F246" s="215" t="str">
        <f t="shared" si="7"/>
        <v>R-0</v>
      </c>
      <c r="G246" s="215" t="str">
        <f t="shared" si="7"/>
        <v>R-19</v>
      </c>
      <c r="H246" s="215" t="str">
        <f t="shared" si="7"/>
        <v>Heating Zone 3</v>
      </c>
      <c r="I246" s="215" t="str">
        <f t="shared" si="7"/>
        <v>Multi Family Weatherization - Insulate Attic - R-0 to R-19 - Heating Zone 3</v>
      </c>
      <c r="J246" s="215" t="s">
        <v>748</v>
      </c>
      <c r="K246" s="266">
        <f>Results!K110</f>
        <v>0.42976654735909225</v>
      </c>
      <c r="L246" s="202">
        <v>0</v>
      </c>
    </row>
    <row r="247" spans="1:12" ht="15.75" thickBot="1">
      <c r="A247" s="27" t="s">
        <v>831</v>
      </c>
      <c r="B247" s="215" t="str">
        <f t="shared" si="7"/>
        <v>Ceili11</v>
      </c>
      <c r="C247" s="215" t="str">
        <f t="shared" si="7"/>
        <v>Ceiling11</v>
      </c>
      <c r="D247" s="215" t="str">
        <f t="shared" si="7"/>
        <v>Ceiling</v>
      </c>
      <c r="E247" s="215">
        <f t="shared" si="7"/>
        <v>11</v>
      </c>
      <c r="F247" s="215" t="str">
        <f t="shared" si="7"/>
        <v>R-0</v>
      </c>
      <c r="G247" s="215" t="str">
        <f t="shared" si="7"/>
        <v>R-38</v>
      </c>
      <c r="H247" s="215" t="str">
        <f t="shared" si="7"/>
        <v>Heating Zone 3</v>
      </c>
      <c r="I247" s="215" t="str">
        <f t="shared" si="7"/>
        <v>Multi Family Weatherization - Insulate Attic - R-0 to R-38 - Heating Zone 3</v>
      </c>
      <c r="J247" s="215" t="s">
        <v>748</v>
      </c>
      <c r="K247" s="230">
        <f>Results!K111</f>
        <v>0.58669332392045492</v>
      </c>
      <c r="L247" s="202">
        <v>0</v>
      </c>
    </row>
    <row r="248" spans="1:12" ht="15.75" thickBot="1">
      <c r="A248" s="27" t="s">
        <v>832</v>
      </c>
      <c r="B248" s="215" t="str">
        <f t="shared" si="7"/>
        <v>Ceili12</v>
      </c>
      <c r="C248" s="215" t="str">
        <f t="shared" si="7"/>
        <v>Ceiling12</v>
      </c>
      <c r="D248" s="215" t="str">
        <f t="shared" si="7"/>
        <v>Ceiling</v>
      </c>
      <c r="E248" s="215">
        <f t="shared" si="7"/>
        <v>12</v>
      </c>
      <c r="F248" s="215" t="str">
        <f t="shared" si="7"/>
        <v>R-0</v>
      </c>
      <c r="G248" s="215" t="str">
        <f t="shared" si="7"/>
        <v>R-49</v>
      </c>
      <c r="H248" s="215" t="str">
        <f t="shared" si="7"/>
        <v>Heating Zone 3</v>
      </c>
      <c r="I248" s="215" t="str">
        <f t="shared" si="7"/>
        <v>Multi Family Weatherization - Insulate Attic - R-0 to R-49 - Heating Zone 3</v>
      </c>
      <c r="J248" s="215" t="s">
        <v>748</v>
      </c>
      <c r="K248" s="230">
        <f>Results!K112</f>
        <v>0.6232113780090921</v>
      </c>
      <c r="L248" s="202">
        <v>0</v>
      </c>
    </row>
    <row r="249" spans="1:12" ht="15.75" thickBot="1">
      <c r="A249" s="27" t="s">
        <v>833</v>
      </c>
      <c r="B249" s="215" t="str">
        <f t="shared" si="7"/>
        <v>Ceili13</v>
      </c>
      <c r="C249" s="215" t="str">
        <f t="shared" si="7"/>
        <v>Ceiling13</v>
      </c>
      <c r="D249" s="215" t="str">
        <f t="shared" si="7"/>
        <v>Ceiling</v>
      </c>
      <c r="E249" s="215">
        <f t="shared" si="7"/>
        <v>13</v>
      </c>
      <c r="F249" s="215" t="str">
        <f t="shared" si="7"/>
        <v>R-30</v>
      </c>
      <c r="G249" s="215" t="str">
        <f t="shared" si="7"/>
        <v>R-38</v>
      </c>
      <c r="H249" s="215" t="str">
        <f t="shared" si="7"/>
        <v>Heating Zone 3</v>
      </c>
      <c r="I249" s="215" t="str">
        <f t="shared" si="7"/>
        <v>Multi Family Weatherization - Insulate Attic - R-30 to R-38 - Heating Zone 3</v>
      </c>
      <c r="J249" s="215" t="s">
        <v>748</v>
      </c>
      <c r="K249" s="239">
        <f>Results!K113</f>
        <v>4.3304056838635613E-2</v>
      </c>
      <c r="L249" s="202">
        <v>0</v>
      </c>
    </row>
    <row r="250" spans="1:12" ht="15.75" thickBot="1">
      <c r="A250" s="27" t="s">
        <v>834</v>
      </c>
      <c r="B250" s="215" t="str">
        <f t="shared" si="7"/>
        <v>Ceili14</v>
      </c>
      <c r="C250" s="215" t="str">
        <f t="shared" si="7"/>
        <v>Ceiling14</v>
      </c>
      <c r="D250" s="215" t="str">
        <f t="shared" si="7"/>
        <v>Ceiling</v>
      </c>
      <c r="E250" s="215">
        <f t="shared" si="7"/>
        <v>14</v>
      </c>
      <c r="F250" s="215" t="str">
        <f t="shared" si="7"/>
        <v>R-30</v>
      </c>
      <c r="G250" s="215" t="str">
        <f t="shared" si="7"/>
        <v>R-49</v>
      </c>
      <c r="H250" s="215" t="str">
        <f t="shared" si="7"/>
        <v>Heating Zone 3</v>
      </c>
      <c r="I250" s="215" t="str">
        <f t="shared" si="7"/>
        <v>Multi Family Weatherization - Insulate Attic - R-30 to R-49 - Heating Zone 3</v>
      </c>
      <c r="J250" s="215" t="s">
        <v>748</v>
      </c>
      <c r="K250" s="239">
        <f>Results!K114</f>
        <v>7.9822110927272844E-2</v>
      </c>
      <c r="L250" s="202">
        <v>0</v>
      </c>
    </row>
    <row r="251" spans="1:12" ht="15.75" thickBot="1">
      <c r="A251" s="27" t="s">
        <v>835</v>
      </c>
      <c r="B251" s="215" t="str">
        <f t="shared" si="7"/>
        <v>Ceili15</v>
      </c>
      <c r="C251" s="215" t="str">
        <f t="shared" si="7"/>
        <v>Ceiling15</v>
      </c>
      <c r="D251" s="215" t="str">
        <f t="shared" si="7"/>
        <v>Ceiling</v>
      </c>
      <c r="E251" s="215">
        <f t="shared" si="7"/>
        <v>15</v>
      </c>
      <c r="F251" s="215" t="str">
        <f t="shared" si="7"/>
        <v>R-19</v>
      </c>
      <c r="G251" s="215" t="str">
        <f t="shared" si="7"/>
        <v>R-30</v>
      </c>
      <c r="H251" s="215" t="str">
        <f t="shared" si="7"/>
        <v>Heating Zone 3</v>
      </c>
      <c r="I251" s="215" t="str">
        <f t="shared" si="7"/>
        <v>Multi Family Weatherization - Insulate Attic - R-19 to R-30 - Heating Zone 3</v>
      </c>
      <c r="J251" s="215" t="s">
        <v>748</v>
      </c>
      <c r="K251" s="239">
        <f>Results!K115</f>
        <v>0.11362271972272704</v>
      </c>
      <c r="L251" s="202">
        <v>0</v>
      </c>
    </row>
    <row r="252" spans="1:12" ht="15.75" thickBot="1">
      <c r="A252" s="27" t="s">
        <v>836</v>
      </c>
      <c r="B252" s="215" t="str">
        <f t="shared" si="7"/>
        <v>Ceili16</v>
      </c>
      <c r="C252" s="215" t="str">
        <f t="shared" si="7"/>
        <v>Ceiling16</v>
      </c>
      <c r="D252" s="215" t="str">
        <f t="shared" si="7"/>
        <v>Ceiling</v>
      </c>
      <c r="E252" s="215">
        <f t="shared" si="7"/>
        <v>16</v>
      </c>
      <c r="F252" s="215" t="str">
        <f t="shared" si="7"/>
        <v>R-19</v>
      </c>
      <c r="G252" s="215" t="str">
        <f t="shared" si="7"/>
        <v>R-38</v>
      </c>
      <c r="H252" s="215" t="str">
        <f t="shared" si="7"/>
        <v>Heating Zone 3</v>
      </c>
      <c r="I252" s="215" t="str">
        <f t="shared" si="7"/>
        <v>Multi Family Weatherization - Insulate Attic - R-19 to R-38 - Heating Zone 3</v>
      </c>
      <c r="J252" s="215" t="s">
        <v>748</v>
      </c>
      <c r="K252" s="230">
        <f>Results!K116</f>
        <v>0.15692677656136267</v>
      </c>
      <c r="L252" s="202">
        <v>0</v>
      </c>
    </row>
    <row r="253" spans="1:12" ht="15.75" thickBot="1">
      <c r="A253" s="27" t="s">
        <v>837</v>
      </c>
      <c r="B253" s="215" t="str">
        <f t="shared" si="7"/>
        <v>Ceili17</v>
      </c>
      <c r="C253" s="215" t="str">
        <f t="shared" si="7"/>
        <v>Ceiling17</v>
      </c>
      <c r="D253" s="215" t="str">
        <f t="shared" si="7"/>
        <v>Ceiling</v>
      </c>
      <c r="E253" s="215">
        <f t="shared" si="7"/>
        <v>17</v>
      </c>
      <c r="F253" s="215" t="str">
        <f t="shared" si="7"/>
        <v>R-19</v>
      </c>
      <c r="G253" s="215" t="str">
        <f t="shared" si="7"/>
        <v>R-49</v>
      </c>
      <c r="H253" s="215" t="str">
        <f t="shared" si="7"/>
        <v>Heating Zone 3</v>
      </c>
      <c r="I253" s="215" t="str">
        <f t="shared" si="7"/>
        <v>Multi Family Weatherization - Insulate Attic - R-19 to R-49 - Heating Zone 3</v>
      </c>
      <c r="J253" s="215" t="s">
        <v>748</v>
      </c>
      <c r="K253" s="230">
        <f>Results!K117</f>
        <v>0.19344483064999987</v>
      </c>
      <c r="L253" s="202">
        <v>0</v>
      </c>
    </row>
    <row r="254" spans="1:12" ht="15.75" thickBot="1">
      <c r="A254" s="27" t="s">
        <v>838</v>
      </c>
      <c r="B254" s="215" t="str">
        <f t="shared" si="7"/>
        <v>Ceili18</v>
      </c>
      <c r="C254" s="215" t="str">
        <f t="shared" si="7"/>
        <v>Ceiling18</v>
      </c>
      <c r="D254" s="215" t="str">
        <f t="shared" si="7"/>
        <v>Ceiling</v>
      </c>
      <c r="E254" s="215">
        <f t="shared" si="7"/>
        <v>18</v>
      </c>
      <c r="F254" s="215" t="str">
        <f t="shared" si="7"/>
        <v>R-38</v>
      </c>
      <c r="G254" s="215" t="str">
        <f t="shared" si="7"/>
        <v>R-49</v>
      </c>
      <c r="H254" s="215" t="str">
        <f t="shared" si="7"/>
        <v>Heating Zone 3</v>
      </c>
      <c r="I254" s="215" t="str">
        <f t="shared" si="7"/>
        <v>Multi Family Weatherization - Insulate Attic - R-38 to R-49 - Heating Zone 3</v>
      </c>
      <c r="J254" s="215" t="s">
        <v>748</v>
      </c>
      <c r="K254" s="271">
        <f>Results!K118</f>
        <v>3.6518054088637224E-2</v>
      </c>
      <c r="L254" s="202">
        <v>0</v>
      </c>
    </row>
    <row r="255" spans="1:12" ht="15.75" thickBot="1">
      <c r="B255" s="215"/>
      <c r="C255" s="215"/>
      <c r="D255" s="215"/>
      <c r="E255" s="215"/>
      <c r="F255" s="215"/>
      <c r="G255" s="215"/>
      <c r="H255" s="215"/>
      <c r="I255" s="215"/>
      <c r="J255" s="215"/>
      <c r="K255" s="239"/>
      <c r="L255" s="202"/>
    </row>
    <row r="256" spans="1:12" ht="15.75" thickBot="1">
      <c r="B256" s="215"/>
      <c r="C256" s="215"/>
      <c r="D256" s="215"/>
      <c r="E256" s="215"/>
      <c r="F256" s="215"/>
      <c r="G256" s="215"/>
      <c r="H256" s="215"/>
      <c r="I256" s="215"/>
      <c r="J256" s="215"/>
      <c r="K256" s="239"/>
      <c r="L256" s="202"/>
    </row>
    <row r="257" spans="1:12" ht="15.75" thickBot="1">
      <c r="B257" s="215"/>
      <c r="C257" s="215"/>
      <c r="D257" s="215"/>
      <c r="E257" s="215"/>
      <c r="F257" s="215"/>
      <c r="G257" s="215"/>
      <c r="H257" s="215"/>
      <c r="I257" s="215"/>
      <c r="J257" s="215"/>
      <c r="K257" s="239"/>
      <c r="L257" s="202"/>
    </row>
    <row r="258" spans="1:12" ht="15.75" thickBot="1">
      <c r="B258" s="215"/>
      <c r="C258" s="215"/>
      <c r="D258" s="215"/>
      <c r="E258" s="215"/>
      <c r="F258" s="215"/>
      <c r="G258" s="215"/>
      <c r="H258" s="215"/>
      <c r="I258" s="215"/>
      <c r="J258" s="215"/>
      <c r="K258" s="239"/>
      <c r="L258" s="202"/>
    </row>
    <row r="259" spans="1:12" ht="15.75" thickBot="1">
      <c r="B259" s="215"/>
      <c r="C259" s="215"/>
      <c r="D259" s="215"/>
      <c r="E259" s="215"/>
      <c r="F259" s="215"/>
      <c r="G259" s="215"/>
      <c r="H259" s="215"/>
      <c r="I259" s="215"/>
      <c r="J259" s="215"/>
      <c r="K259" s="239"/>
      <c r="L259" s="202"/>
    </row>
    <row r="260" spans="1:12" ht="15.75" thickBot="1">
      <c r="B260" s="215"/>
      <c r="C260" s="215"/>
      <c r="D260" s="215"/>
      <c r="E260" s="215"/>
      <c r="F260" s="215"/>
      <c r="G260" s="215"/>
      <c r="H260" s="215"/>
      <c r="I260" s="215"/>
      <c r="J260" s="215"/>
      <c r="K260" s="239"/>
      <c r="L260" s="202"/>
    </row>
    <row r="261" spans="1:12" ht="15.75" thickBot="1">
      <c r="B261" s="215"/>
      <c r="C261" s="215"/>
      <c r="D261" s="215"/>
      <c r="E261" s="215"/>
      <c r="F261" s="215"/>
      <c r="G261" s="215"/>
      <c r="H261" s="215"/>
      <c r="I261" s="215"/>
      <c r="J261" s="215"/>
      <c r="K261" s="239"/>
      <c r="L261" s="202"/>
    </row>
    <row r="262" spans="1:12" ht="15.75" thickBot="1">
      <c r="B262" s="215"/>
      <c r="C262" s="215"/>
      <c r="D262" s="215"/>
      <c r="E262" s="215"/>
      <c r="F262" s="215"/>
      <c r="G262" s="215"/>
      <c r="H262" s="215"/>
      <c r="I262" s="215"/>
      <c r="J262" s="215"/>
      <c r="K262" s="239"/>
      <c r="L262" s="202"/>
    </row>
    <row r="263" spans="1:12" ht="15.75" thickBot="1">
      <c r="B263" s="215"/>
      <c r="C263" s="215"/>
      <c r="D263" s="215"/>
      <c r="E263" s="215"/>
      <c r="F263" s="215"/>
      <c r="G263" s="215"/>
      <c r="H263" s="215"/>
      <c r="I263" s="215"/>
      <c r="J263" s="215"/>
      <c r="K263" s="239"/>
      <c r="L263" s="202"/>
    </row>
    <row r="264" spans="1:12" ht="15.75" thickBot="1">
      <c r="A264" s="27" t="s">
        <v>839</v>
      </c>
      <c r="B264" s="215" t="str">
        <f t="shared" ref="B264:I271" si="8">B126</f>
        <v>Windo19</v>
      </c>
      <c r="C264" s="215" t="str">
        <f t="shared" si="8"/>
        <v>Windows19</v>
      </c>
      <c r="D264" s="215" t="str">
        <f t="shared" si="8"/>
        <v>Windows</v>
      </c>
      <c r="E264" s="215">
        <f t="shared" si="8"/>
        <v>19</v>
      </c>
      <c r="F264" s="215" t="str">
        <f t="shared" si="8"/>
        <v>Class 35</v>
      </c>
      <c r="G264" s="215" t="str">
        <f t="shared" si="8"/>
        <v>Class 22</v>
      </c>
      <c r="H264" s="215" t="str">
        <f t="shared" si="8"/>
        <v>Heating Zone 3</v>
      </c>
      <c r="I264" s="215" t="str">
        <f t="shared" si="8"/>
        <v>Windows - Class 35 to Class 22 - Heating Zone 3</v>
      </c>
      <c r="J264" s="215" t="s">
        <v>748</v>
      </c>
      <c r="K264" s="239">
        <f>Results!K128</f>
        <v>5.6976120782498043</v>
      </c>
      <c r="L264" s="202">
        <v>0</v>
      </c>
    </row>
    <row r="265" spans="1:12" ht="15.75" thickBot="1">
      <c r="A265" s="27" t="s">
        <v>840</v>
      </c>
      <c r="B265" s="215" t="str">
        <f t="shared" si="8"/>
        <v>Windo20</v>
      </c>
      <c r="C265" s="215" t="str">
        <f t="shared" si="8"/>
        <v>Windows20</v>
      </c>
      <c r="D265" s="215" t="str">
        <f t="shared" si="8"/>
        <v>Windows</v>
      </c>
      <c r="E265" s="215">
        <f t="shared" si="8"/>
        <v>20</v>
      </c>
      <c r="F265" s="215" t="str">
        <f t="shared" si="8"/>
        <v>Single Pane</v>
      </c>
      <c r="G265" s="215" t="str">
        <f t="shared" si="8"/>
        <v>Class 22</v>
      </c>
      <c r="H265" s="215" t="str">
        <f t="shared" si="8"/>
        <v>Heating Zone 3</v>
      </c>
      <c r="I265" s="215" t="str">
        <f t="shared" si="8"/>
        <v>Windows - Single Pane to Class 22 - Heating Zone 3</v>
      </c>
      <c r="J265" s="215" t="s">
        <v>748</v>
      </c>
      <c r="K265" s="239">
        <f>Results!K129</f>
        <v>40.981028357385391</v>
      </c>
      <c r="L265" s="202">
        <v>0</v>
      </c>
    </row>
    <row r="266" spans="1:12" ht="15.75" thickBot="1">
      <c r="A266" s="27" t="s">
        <v>841</v>
      </c>
      <c r="B266" s="215" t="str">
        <f t="shared" si="8"/>
        <v>Windo21</v>
      </c>
      <c r="C266" s="215" t="str">
        <f t="shared" si="8"/>
        <v>Windows21</v>
      </c>
      <c r="D266" s="215" t="str">
        <f t="shared" si="8"/>
        <v>Windows</v>
      </c>
      <c r="E266" s="215">
        <f t="shared" si="8"/>
        <v>21</v>
      </c>
      <c r="F266" s="215" t="str">
        <f t="shared" si="8"/>
        <v>Double Pane</v>
      </c>
      <c r="G266" s="215" t="str">
        <f t="shared" si="8"/>
        <v>Class 22</v>
      </c>
      <c r="H266" s="215" t="str">
        <f t="shared" si="8"/>
        <v>Heating Zone 3</v>
      </c>
      <c r="I266" s="215" t="str">
        <f t="shared" si="8"/>
        <v>Windows - Double Pane to Class 22 - Heating Zone 3</v>
      </c>
      <c r="J266" s="215" t="s">
        <v>748</v>
      </c>
      <c r="K266" s="239">
        <f>Results!K130</f>
        <v>24.760995799935891</v>
      </c>
      <c r="L266" s="202">
        <v>0</v>
      </c>
    </row>
    <row r="267" spans="1:12" ht="15.75" thickBot="1">
      <c r="A267" s="27" t="s">
        <v>842</v>
      </c>
      <c r="B267" s="215" t="str">
        <f t="shared" si="8"/>
        <v>Windo22</v>
      </c>
      <c r="C267" s="215" t="str">
        <f t="shared" si="8"/>
        <v>Windows22</v>
      </c>
      <c r="D267" s="215" t="str">
        <f t="shared" si="8"/>
        <v>Windows</v>
      </c>
      <c r="E267" s="215">
        <f t="shared" si="8"/>
        <v>22</v>
      </c>
      <c r="F267" s="215" t="str">
        <f t="shared" si="8"/>
        <v>Single Pane</v>
      </c>
      <c r="G267" s="215" t="str">
        <f t="shared" si="8"/>
        <v>Class 30</v>
      </c>
      <c r="H267" s="215" t="str">
        <f t="shared" si="8"/>
        <v>Heating Zone 3</v>
      </c>
      <c r="I267" s="215" t="str">
        <f t="shared" si="8"/>
        <v>Windows - Single Pane to Class 30 - Heating Zone 3</v>
      </c>
      <c r="J267" s="215" t="s">
        <v>748</v>
      </c>
      <c r="K267" s="230">
        <f>Results!K131</f>
        <v>37.57358426914918</v>
      </c>
      <c r="L267" s="202">
        <v>0</v>
      </c>
    </row>
    <row r="268" spans="1:12" ht="15.75" thickBot="1">
      <c r="A268" s="27" t="s">
        <v>843</v>
      </c>
      <c r="B268" s="215" t="str">
        <f t="shared" si="8"/>
        <v>Windo23</v>
      </c>
      <c r="C268" s="215" t="str">
        <f t="shared" si="8"/>
        <v>Windows23</v>
      </c>
      <c r="D268" s="215" t="str">
        <f t="shared" si="8"/>
        <v>Windows</v>
      </c>
      <c r="E268" s="215">
        <f t="shared" si="8"/>
        <v>23</v>
      </c>
      <c r="F268" s="215" t="str">
        <f t="shared" si="8"/>
        <v>Double Pane</v>
      </c>
      <c r="G268" s="215" t="str">
        <f t="shared" si="8"/>
        <v>Class 30</v>
      </c>
      <c r="H268" s="215" t="str">
        <f t="shared" si="8"/>
        <v>Heating Zone 3</v>
      </c>
      <c r="I268" s="215" t="str">
        <f t="shared" si="8"/>
        <v>Windows - Double Pane to Class 30 - Heating Zone 3</v>
      </c>
      <c r="J268" s="215" t="s">
        <v>748</v>
      </c>
      <c r="K268" s="230">
        <f>Results!K132</f>
        <v>21.353551711699687</v>
      </c>
      <c r="L268" s="202">
        <v>0</v>
      </c>
    </row>
    <row r="269" spans="1:12" ht="15.75" thickBot="1">
      <c r="A269" s="27" t="s">
        <v>844</v>
      </c>
      <c r="B269" s="215" t="str">
        <f t="shared" si="8"/>
        <v>Windo24</v>
      </c>
      <c r="C269" s="215" t="str">
        <f t="shared" si="8"/>
        <v>Windows24</v>
      </c>
      <c r="D269" s="215" t="str">
        <f t="shared" si="8"/>
        <v>Windows</v>
      </c>
      <c r="E269" s="215">
        <f t="shared" si="8"/>
        <v>24</v>
      </c>
      <c r="F269" s="215" t="str">
        <f t="shared" si="8"/>
        <v>Class 35</v>
      </c>
      <c r="G269" s="215" t="str">
        <f t="shared" si="8"/>
        <v>Class 30</v>
      </c>
      <c r="H269" s="215" t="str">
        <f t="shared" si="8"/>
        <v>Heating Zone 3</v>
      </c>
      <c r="I269" s="215" t="str">
        <f t="shared" si="8"/>
        <v>Windows - Class 35 to Class 30 - Heating Zone 3</v>
      </c>
      <c r="J269" s="215" t="s">
        <v>748</v>
      </c>
      <c r="K269" s="230">
        <f>Results!K133</f>
        <v>2.2901679900135967</v>
      </c>
      <c r="L269" s="202">
        <v>0</v>
      </c>
    </row>
    <row r="270" spans="1:12" ht="15.75" thickBot="1">
      <c r="A270" s="27" t="s">
        <v>845</v>
      </c>
      <c r="B270" s="215" t="str">
        <f t="shared" si="8"/>
        <v>Infil10</v>
      </c>
      <c r="C270" s="215" t="str">
        <f t="shared" si="8"/>
        <v>Infiltration10</v>
      </c>
      <c r="D270" s="215" t="str">
        <f t="shared" si="8"/>
        <v>Infiltration</v>
      </c>
      <c r="E270" s="215">
        <f t="shared" si="8"/>
        <v>10</v>
      </c>
      <c r="F270" s="215" t="str">
        <f t="shared" si="8"/>
        <v>0.45 ACHn</v>
      </c>
      <c r="G270" s="215" t="str">
        <f t="shared" si="8"/>
        <v>0.35 ACHn</v>
      </c>
      <c r="H270" s="215" t="str">
        <f t="shared" si="8"/>
        <v>Heating Zone 3</v>
      </c>
      <c r="I270" s="215" t="str">
        <f t="shared" si="8"/>
        <v>Infiltration Reduction - 0.45 ACHn to 0.35 ACHn - Heating Zone 3</v>
      </c>
      <c r="J270" s="215" t="s">
        <v>748</v>
      </c>
      <c r="K270" s="266">
        <f>Results!K134</f>
        <v>0</v>
      </c>
      <c r="L270" s="202">
        <v>0</v>
      </c>
    </row>
    <row r="271" spans="1:12" ht="15.75" thickBot="1">
      <c r="A271" s="27" t="s">
        <v>846</v>
      </c>
      <c r="B271" s="215" t="str">
        <f t="shared" si="8"/>
        <v>Infil11</v>
      </c>
      <c r="C271" s="215" t="str">
        <f t="shared" si="8"/>
        <v>Infiltration11</v>
      </c>
      <c r="D271" s="215" t="str">
        <f t="shared" si="8"/>
        <v>Infiltration</v>
      </c>
      <c r="E271" s="215">
        <f t="shared" si="8"/>
        <v>11</v>
      </c>
      <c r="F271" s="215" t="str">
        <f t="shared" si="8"/>
        <v>0.45 ACHn</v>
      </c>
      <c r="G271" s="215" t="str">
        <f t="shared" si="8"/>
        <v>0.20 ACHn</v>
      </c>
      <c r="H271" s="215" t="str">
        <f t="shared" si="8"/>
        <v>Heating Zone 3</v>
      </c>
      <c r="I271" s="215" t="str">
        <f t="shared" si="8"/>
        <v>Infiltration Reduction - 0.45 ACHn to 0.20 ACHn - Heating Zone 3</v>
      </c>
      <c r="J271" s="215" t="s">
        <v>748</v>
      </c>
      <c r="K271" s="239">
        <f>Results!K135</f>
        <v>0</v>
      </c>
      <c r="L271" s="202">
        <v>0</v>
      </c>
    </row>
    <row r="272" spans="1:12" ht="15.75" thickBot="1">
      <c r="A272" s="27" t="s">
        <v>847</v>
      </c>
      <c r="B272" s="215" t="str">
        <f t="shared" ref="B272:I281" si="9">B134</f>
        <v>Infil12</v>
      </c>
      <c r="C272" s="215" t="str">
        <f t="shared" si="9"/>
        <v>Infiltration12</v>
      </c>
      <c r="D272" s="215" t="str">
        <f t="shared" si="9"/>
        <v>Infiltration</v>
      </c>
      <c r="E272" s="215">
        <f t="shared" si="9"/>
        <v>12</v>
      </c>
      <c r="F272" s="215" t="str">
        <f t="shared" si="9"/>
        <v>0.35 ACHn</v>
      </c>
      <c r="G272" s="215" t="str">
        <f t="shared" si="9"/>
        <v>0.20 ACHn</v>
      </c>
      <c r="H272" s="215" t="str">
        <f t="shared" si="9"/>
        <v>Heating Zone 3</v>
      </c>
      <c r="I272" s="215" t="str">
        <f t="shared" si="9"/>
        <v>Infiltration Reduction - 0.35 ACHn to 0.20 ACHn - Heating Zone 3</v>
      </c>
      <c r="J272" s="215" t="s">
        <v>748</v>
      </c>
      <c r="K272" s="276">
        <f>Results!K136</f>
        <v>0</v>
      </c>
      <c r="L272" s="202">
        <v>0</v>
      </c>
    </row>
    <row r="273" spans="1:12" ht="15.75" thickBot="1">
      <c r="A273" s="27" t="s">
        <v>848</v>
      </c>
      <c r="B273" s="215" t="str">
        <f t="shared" si="9"/>
        <v>DuctT10</v>
      </c>
      <c r="C273" s="215" t="str">
        <f t="shared" si="9"/>
        <v>DuctTightness10</v>
      </c>
      <c r="D273" s="215" t="str">
        <f t="shared" si="9"/>
        <v>DuctTightness</v>
      </c>
      <c r="E273" s="215">
        <f t="shared" si="9"/>
        <v>10</v>
      </c>
      <c r="F273" s="215" t="str">
        <f t="shared" si="9"/>
        <v>Std-crawl</v>
      </c>
      <c r="G273" s="215" t="str">
        <f t="shared" si="9"/>
        <v>PTCS-crawl</v>
      </c>
      <c r="H273" s="215" t="str">
        <f t="shared" si="9"/>
        <v>Heating Zone 3</v>
      </c>
      <c r="I273" s="215" t="str">
        <f t="shared" si="9"/>
        <v>DuctTightness - Std-crawl to PTCS-crawl - Heating Zone 3</v>
      </c>
      <c r="J273" s="215" t="s">
        <v>748</v>
      </c>
      <c r="K273" s="278">
        <f>Results!K137</f>
        <v>0</v>
      </c>
      <c r="L273" s="202">
        <v>0</v>
      </c>
    </row>
    <row r="274" spans="1:12" ht="15.75" thickBot="1">
      <c r="A274" s="27" t="s">
        <v>849</v>
      </c>
      <c r="B274" s="215" t="str">
        <f t="shared" si="9"/>
        <v>DuctI10</v>
      </c>
      <c r="C274" s="215" t="str">
        <f t="shared" si="9"/>
        <v>DuctInsulation10</v>
      </c>
      <c r="D274" s="215" t="str">
        <f t="shared" si="9"/>
        <v>DuctInsulation</v>
      </c>
      <c r="E274" s="215">
        <f t="shared" si="9"/>
        <v>10</v>
      </c>
      <c r="F274" s="215" t="str">
        <f t="shared" si="9"/>
        <v>R-0</v>
      </c>
      <c r="G274" s="215" t="str">
        <f t="shared" si="9"/>
        <v>R-4.2</v>
      </c>
      <c r="H274" s="215" t="str">
        <f t="shared" si="9"/>
        <v>Heating Zone 3</v>
      </c>
      <c r="I274" s="215" t="str">
        <f t="shared" si="9"/>
        <v>DuctInsulation - R-0 to R-4.2 - Heating Zone 3</v>
      </c>
      <c r="J274" s="215" t="s">
        <v>748</v>
      </c>
      <c r="K274" s="282">
        <f>Results!K138</f>
        <v>0</v>
      </c>
      <c r="L274" s="202">
        <v>0</v>
      </c>
    </row>
    <row r="275" spans="1:12" ht="15.75" thickBot="1">
      <c r="A275" s="27" t="s">
        <v>850</v>
      </c>
      <c r="B275" s="215" t="str">
        <f t="shared" si="9"/>
        <v>DuctI11</v>
      </c>
      <c r="C275" s="215" t="str">
        <f t="shared" si="9"/>
        <v>DuctInsulation11</v>
      </c>
      <c r="D275" s="215" t="str">
        <f t="shared" si="9"/>
        <v>DuctInsulation</v>
      </c>
      <c r="E275" s="215">
        <f t="shared" si="9"/>
        <v>11</v>
      </c>
      <c r="F275" s="215" t="str">
        <f t="shared" si="9"/>
        <v>R-0</v>
      </c>
      <c r="G275" s="215" t="str">
        <f t="shared" si="9"/>
        <v>R-11</v>
      </c>
      <c r="H275" s="215" t="str">
        <f t="shared" si="9"/>
        <v>Heating Zone 3</v>
      </c>
      <c r="I275" s="215" t="str">
        <f t="shared" si="9"/>
        <v>DuctInsulation - R-0 to R-11 - Heating Zone 3</v>
      </c>
      <c r="J275" s="215" t="s">
        <v>748</v>
      </c>
      <c r="K275" s="284">
        <f>Results!K139</f>
        <v>0</v>
      </c>
      <c r="L275" s="202">
        <v>0</v>
      </c>
    </row>
    <row r="276" spans="1:12" ht="15.75" thickBot="1">
      <c r="A276" s="27" t="s">
        <v>851</v>
      </c>
      <c r="B276" s="215" t="str">
        <f t="shared" si="9"/>
        <v>DuctI12</v>
      </c>
      <c r="C276" s="215" t="str">
        <f t="shared" si="9"/>
        <v>DuctInsulation12</v>
      </c>
      <c r="D276" s="215" t="str">
        <f t="shared" si="9"/>
        <v>DuctInsulation</v>
      </c>
      <c r="E276" s="215">
        <f t="shared" si="9"/>
        <v>12</v>
      </c>
      <c r="F276" s="215" t="str">
        <f t="shared" si="9"/>
        <v>R-4.2</v>
      </c>
      <c r="G276" s="215" t="str">
        <f t="shared" si="9"/>
        <v>R-11</v>
      </c>
      <c r="H276" s="215" t="str">
        <f t="shared" si="9"/>
        <v>Heating Zone 3</v>
      </c>
      <c r="I276" s="215" t="str">
        <f t="shared" si="9"/>
        <v>DuctInsulation - R-4.2 to R-11 - Heating Zone 3</v>
      </c>
      <c r="J276" s="215" t="s">
        <v>748</v>
      </c>
      <c r="K276" s="286">
        <f>Results!K140</f>
        <v>0</v>
      </c>
      <c r="L276" s="202">
        <v>0</v>
      </c>
    </row>
    <row r="277" spans="1:12" ht="15.75" thickBot="1">
      <c r="A277" s="27" t="s">
        <v>852</v>
      </c>
      <c r="B277" s="215" t="str">
        <f t="shared" si="9"/>
        <v>HeatP10</v>
      </c>
      <c r="C277" s="215" t="str">
        <f t="shared" si="9"/>
        <v>HeatPump10</v>
      </c>
      <c r="D277" s="215" t="str">
        <f t="shared" si="9"/>
        <v>HeatPump</v>
      </c>
      <c r="E277" s="215">
        <f t="shared" si="9"/>
        <v>10</v>
      </c>
      <c r="F277" s="215" t="str">
        <f t="shared" si="9"/>
        <v>7.7/13</v>
      </c>
      <c r="G277" s="215" t="str">
        <f t="shared" si="9"/>
        <v>8.5/13</v>
      </c>
      <c r="H277" s="215" t="str">
        <f t="shared" si="9"/>
        <v>Heating Zone 3</v>
      </c>
      <c r="I277" s="215" t="str">
        <f t="shared" si="9"/>
        <v>HeatPump Upgrade - 7.7/13 to 8.5/13 - Heating Zone 3</v>
      </c>
      <c r="J277" s="215" t="s">
        <v>748</v>
      </c>
      <c r="K277" s="284">
        <f>Results!K141</f>
        <v>0</v>
      </c>
      <c r="L277" s="202">
        <v>0</v>
      </c>
    </row>
    <row r="278" spans="1:12" ht="15.75" thickBot="1">
      <c r="A278" s="27" t="s">
        <v>853</v>
      </c>
      <c r="B278" s="215" t="str">
        <f t="shared" si="9"/>
        <v>HeatP11</v>
      </c>
      <c r="C278" s="215" t="str">
        <f t="shared" si="9"/>
        <v>HeatPump11</v>
      </c>
      <c r="D278" s="215" t="str">
        <f t="shared" si="9"/>
        <v>HeatPump</v>
      </c>
      <c r="E278" s="215">
        <f t="shared" si="9"/>
        <v>11</v>
      </c>
      <c r="F278" s="215" t="str">
        <f t="shared" si="9"/>
        <v>7.7/13</v>
      </c>
      <c r="G278" s="215" t="str">
        <f t="shared" si="9"/>
        <v>9.0/14</v>
      </c>
      <c r="H278" s="215" t="str">
        <f t="shared" si="9"/>
        <v>Heating Zone 3</v>
      </c>
      <c r="I278" s="215" t="str">
        <f t="shared" si="9"/>
        <v>HeatPump Upgrade - 7.7/13 to 9.0/14 - Heating Zone 3</v>
      </c>
      <c r="J278" s="215" t="s">
        <v>748</v>
      </c>
      <c r="K278" s="284">
        <f>Results!K142</f>
        <v>0</v>
      </c>
      <c r="L278" s="202">
        <v>0</v>
      </c>
    </row>
    <row r="279" spans="1:12" ht="15.75" thickBot="1">
      <c r="A279" s="27" t="s">
        <v>854</v>
      </c>
      <c r="B279" s="215" t="str">
        <f t="shared" si="9"/>
        <v>HeatP12</v>
      </c>
      <c r="C279" s="215" t="str">
        <f t="shared" si="9"/>
        <v>HeatPump12</v>
      </c>
      <c r="D279" s="215" t="str">
        <f t="shared" si="9"/>
        <v>HeatPump</v>
      </c>
      <c r="E279" s="215">
        <f t="shared" si="9"/>
        <v>12</v>
      </c>
      <c r="F279" s="215" t="str">
        <f t="shared" si="9"/>
        <v>7.7/13</v>
      </c>
      <c r="G279" s="215" t="str">
        <f t="shared" si="9"/>
        <v>8.2/13</v>
      </c>
      <c r="H279" s="215" t="str">
        <f t="shared" si="9"/>
        <v>Heating Zone 3</v>
      </c>
      <c r="I279" s="215" t="str">
        <f t="shared" si="9"/>
        <v>HeatPump Upgrade - 7.7/13 to 8.2/13 - Heating Zone 3</v>
      </c>
      <c r="J279" s="215" t="s">
        <v>748</v>
      </c>
      <c r="K279" s="284">
        <f>Results!K143</f>
        <v>0</v>
      </c>
      <c r="L279" s="202">
        <v>0</v>
      </c>
    </row>
    <row r="280" spans="1:12" ht="15.75" thickBot="1">
      <c r="A280" s="27" t="s">
        <v>855</v>
      </c>
      <c r="B280" s="215" t="str">
        <f t="shared" si="9"/>
        <v>HPCnt10</v>
      </c>
      <c r="C280" s="215" t="str">
        <f t="shared" si="9"/>
        <v>HPCntrls10</v>
      </c>
      <c r="D280" s="215" t="str">
        <f t="shared" si="9"/>
        <v>HPCntrls</v>
      </c>
      <c r="E280" s="215">
        <f t="shared" si="9"/>
        <v>10</v>
      </c>
      <c r="F280" s="215" t="str">
        <f t="shared" si="9"/>
        <v>Standard</v>
      </c>
      <c r="G280" s="215" t="str">
        <f t="shared" si="9"/>
        <v>PTCS</v>
      </c>
      <c r="H280" s="215" t="str">
        <f t="shared" si="9"/>
        <v>Heating Zone 3</v>
      </c>
      <c r="I280" s="215" t="str">
        <f t="shared" si="9"/>
        <v>HPCntrls Upgrade - Standard to PTCS - Heating Zone 3</v>
      </c>
      <c r="J280" s="215" t="s">
        <v>748</v>
      </c>
      <c r="K280" s="301">
        <f>Results!K144</f>
        <v>0</v>
      </c>
      <c r="L280" s="202">
        <v>0</v>
      </c>
    </row>
    <row r="281" spans="1:12" ht="15">
      <c r="A281" s="27" t="s">
        <v>856</v>
      </c>
      <c r="B281" s="308" t="str">
        <f>B143</f>
        <v>Walls10</v>
      </c>
      <c r="C281" s="308" t="str">
        <f t="shared" si="9"/>
        <v>Walls10</v>
      </c>
      <c r="D281" s="308" t="str">
        <f t="shared" si="9"/>
        <v>Walls</v>
      </c>
      <c r="E281" s="308">
        <f t="shared" si="9"/>
        <v>10</v>
      </c>
      <c r="F281" s="308" t="str">
        <f t="shared" si="9"/>
        <v>R-0</v>
      </c>
      <c r="G281" s="308" t="str">
        <f t="shared" si="9"/>
        <v>R-11</v>
      </c>
      <c r="H281" s="308" t="str">
        <f t="shared" si="9"/>
        <v>Heating Zone 1</v>
      </c>
      <c r="I281" s="308" t="str">
        <f t="shared" si="9"/>
        <v>Multi Family Weatherization - Insulate Walls - R-0 to R-11 - Heating Zone 1</v>
      </c>
      <c r="J281" s="308" t="s">
        <v>857</v>
      </c>
      <c r="K281" s="218">
        <f>Results!L7</f>
        <v>1.3941850139456249</v>
      </c>
      <c r="L281" s="202">
        <v>0</v>
      </c>
    </row>
    <row r="282" spans="1:12" ht="15">
      <c r="A282" s="27" t="s">
        <v>858</v>
      </c>
      <c r="B282" s="308" t="str">
        <f t="shared" ref="B282:I297" si="10">B144</f>
        <v>BGWal10</v>
      </c>
      <c r="C282" s="308" t="str">
        <f t="shared" si="10"/>
        <v>BGWalls10</v>
      </c>
      <c r="D282" s="308" t="str">
        <f t="shared" si="10"/>
        <v>BGWalls</v>
      </c>
      <c r="E282" s="308">
        <f t="shared" si="10"/>
        <v>10</v>
      </c>
      <c r="F282" s="308" t="str">
        <f t="shared" si="10"/>
        <v>R-0</v>
      </c>
      <c r="G282" s="308" t="str">
        <f t="shared" si="10"/>
        <v>R-11</v>
      </c>
      <c r="H282" s="308" t="str">
        <f t="shared" si="10"/>
        <v>Heating Zone 1</v>
      </c>
      <c r="I282" s="308" t="str">
        <f t="shared" si="10"/>
        <v>Multi Family Weatherization - Insulate BGWalls - R-0 to R-11 - Heating Zone 1</v>
      </c>
      <c r="J282" s="308" t="s">
        <v>857</v>
      </c>
      <c r="K282" s="225">
        <f>Results!L8</f>
        <v>0</v>
      </c>
      <c r="L282" s="202">
        <v>0</v>
      </c>
    </row>
    <row r="283" spans="1:12" ht="15">
      <c r="A283" s="27" t="s">
        <v>859</v>
      </c>
      <c r="B283" s="308" t="str">
        <f t="shared" si="10"/>
        <v>Floor10</v>
      </c>
      <c r="C283" s="308" t="str">
        <f t="shared" si="10"/>
        <v>Floors10</v>
      </c>
      <c r="D283" s="308" t="str">
        <f t="shared" si="10"/>
        <v>Floors</v>
      </c>
      <c r="E283" s="308">
        <f t="shared" si="10"/>
        <v>10</v>
      </c>
      <c r="F283" s="308" t="str">
        <f t="shared" si="10"/>
        <v>R-0</v>
      </c>
      <c r="G283" s="308" t="str">
        <f t="shared" si="10"/>
        <v>R-19</v>
      </c>
      <c r="H283" s="308" t="str">
        <f t="shared" si="10"/>
        <v>Heating Zone 1</v>
      </c>
      <c r="I283" s="308" t="str">
        <f t="shared" si="10"/>
        <v>Multi Family Weatherization - Insulate Floors - R-0 to R-19 - Heating Zone 1</v>
      </c>
      <c r="J283" s="308" t="s">
        <v>857</v>
      </c>
      <c r="K283" s="230">
        <f>Results!L9</f>
        <v>0.61473698631310125</v>
      </c>
      <c r="L283" s="202">
        <v>0</v>
      </c>
    </row>
    <row r="284" spans="1:12" ht="15">
      <c r="A284" s="27" t="s">
        <v>860</v>
      </c>
      <c r="B284" s="308" t="str">
        <f t="shared" si="10"/>
        <v>Floor11</v>
      </c>
      <c r="C284" s="308" t="str">
        <f t="shared" si="10"/>
        <v>Floors11</v>
      </c>
      <c r="D284" s="308" t="str">
        <f t="shared" si="10"/>
        <v>Floors</v>
      </c>
      <c r="E284" s="308">
        <f t="shared" si="10"/>
        <v>11</v>
      </c>
      <c r="F284" s="308" t="str">
        <f t="shared" si="10"/>
        <v>R-0</v>
      </c>
      <c r="G284" s="308" t="str">
        <f t="shared" si="10"/>
        <v>R-25</v>
      </c>
      <c r="H284" s="308" t="str">
        <f t="shared" si="10"/>
        <v>Heating Zone 1</v>
      </c>
      <c r="I284" s="308" t="str">
        <f t="shared" si="10"/>
        <v>Multi Family Weatherization - Insulate Floors - R-0 to R-25 - Heating Zone 1</v>
      </c>
      <c r="J284" s="308" t="s">
        <v>857</v>
      </c>
      <c r="K284" s="239">
        <f>Results!L10</f>
        <v>0.70515791252499993</v>
      </c>
      <c r="L284" s="202">
        <v>0</v>
      </c>
    </row>
    <row r="285" spans="1:12" ht="15">
      <c r="A285" s="27" t="s">
        <v>861</v>
      </c>
      <c r="B285" s="308" t="str">
        <f t="shared" si="10"/>
        <v>Floor12</v>
      </c>
      <c r="C285" s="308" t="str">
        <f t="shared" si="10"/>
        <v>Floors12</v>
      </c>
      <c r="D285" s="308" t="str">
        <f t="shared" si="10"/>
        <v>Floors</v>
      </c>
      <c r="E285" s="308">
        <f t="shared" si="10"/>
        <v>12</v>
      </c>
      <c r="F285" s="308" t="str">
        <f t="shared" si="10"/>
        <v>R-0</v>
      </c>
      <c r="G285" s="308" t="str">
        <f t="shared" si="10"/>
        <v>R-30</v>
      </c>
      <c r="H285" s="308" t="str">
        <f t="shared" si="10"/>
        <v>Heating Zone 1</v>
      </c>
      <c r="I285" s="308" t="str">
        <f t="shared" si="10"/>
        <v>Multi Family Weatherization - Insulate Floors - R-0 to R-30 - Heating Zone 1</v>
      </c>
      <c r="J285" s="308" t="s">
        <v>857</v>
      </c>
      <c r="K285" s="230">
        <f>Results!L11</f>
        <v>0.80054358999946484</v>
      </c>
      <c r="L285" s="202">
        <v>0</v>
      </c>
    </row>
    <row r="286" spans="1:12" ht="15">
      <c r="A286" s="27" t="s">
        <v>862</v>
      </c>
      <c r="B286" s="308" t="str">
        <f t="shared" si="10"/>
        <v>Floor13</v>
      </c>
      <c r="C286" s="308" t="str">
        <f t="shared" si="10"/>
        <v>Floors13</v>
      </c>
      <c r="D286" s="308" t="str">
        <f t="shared" si="10"/>
        <v>Floors</v>
      </c>
      <c r="E286" s="308">
        <f t="shared" si="10"/>
        <v>13</v>
      </c>
      <c r="F286" s="308" t="str">
        <f t="shared" si="10"/>
        <v>R-0</v>
      </c>
      <c r="G286" s="308" t="str">
        <f t="shared" si="10"/>
        <v>R-38</v>
      </c>
      <c r="H286" s="308" t="str">
        <f t="shared" si="10"/>
        <v>Heating Zone 1</v>
      </c>
      <c r="I286" s="308" t="str">
        <f t="shared" si="10"/>
        <v>Multi Family Weatherization - Insulate Floors - R-0 to R-38 - Heating Zone 1</v>
      </c>
      <c r="J286" s="308" t="s">
        <v>857</v>
      </c>
      <c r="K286" s="239">
        <f>Results!L12</f>
        <v>0.82593209463770034</v>
      </c>
      <c r="L286" s="202">
        <v>0</v>
      </c>
    </row>
    <row r="287" spans="1:12" ht="15">
      <c r="A287" s="27" t="s">
        <v>863</v>
      </c>
      <c r="B287" s="308" t="str">
        <f t="shared" si="10"/>
        <v>Floor14</v>
      </c>
      <c r="C287" s="308" t="str">
        <f t="shared" si="10"/>
        <v>Floors14</v>
      </c>
      <c r="D287" s="308" t="str">
        <f t="shared" si="10"/>
        <v>Floors</v>
      </c>
      <c r="E287" s="308">
        <f t="shared" si="10"/>
        <v>14</v>
      </c>
      <c r="F287" s="308" t="str">
        <f t="shared" si="10"/>
        <v>R-19</v>
      </c>
      <c r="G287" s="308" t="str">
        <f t="shared" si="10"/>
        <v>R-25</v>
      </c>
      <c r="H287" s="308" t="str">
        <f t="shared" si="10"/>
        <v>Heating Zone 1</v>
      </c>
      <c r="I287" s="308" t="str">
        <f t="shared" si="10"/>
        <v>Multi Family Weatherization - Insulate Floors - R-19 to R-25 - Heating Zone 1</v>
      </c>
      <c r="J287" s="308" t="s">
        <v>857</v>
      </c>
      <c r="K287" s="239">
        <f>Results!L13</f>
        <v>9.042092621189865E-2</v>
      </c>
      <c r="L287" s="202">
        <v>0</v>
      </c>
    </row>
    <row r="288" spans="1:12" ht="15">
      <c r="A288" s="27" t="s">
        <v>864</v>
      </c>
      <c r="B288" s="308" t="str">
        <f t="shared" si="10"/>
        <v>Floor15</v>
      </c>
      <c r="C288" s="308" t="str">
        <f t="shared" si="10"/>
        <v>Floors15</v>
      </c>
      <c r="D288" s="308" t="str">
        <f t="shared" si="10"/>
        <v>Floors</v>
      </c>
      <c r="E288" s="308">
        <f t="shared" si="10"/>
        <v>15</v>
      </c>
      <c r="F288" s="308" t="str">
        <f t="shared" si="10"/>
        <v>R-19</v>
      </c>
      <c r="G288" s="308" t="str">
        <f t="shared" si="10"/>
        <v>R-30</v>
      </c>
      <c r="H288" s="308" t="str">
        <f t="shared" si="10"/>
        <v>Heating Zone 1</v>
      </c>
      <c r="I288" s="308" t="str">
        <f t="shared" si="10"/>
        <v>Multi Family Weatherization - Insulate Floors - R-19 to R-30 - Heating Zone 1</v>
      </c>
      <c r="J288" s="308" t="s">
        <v>857</v>
      </c>
      <c r="K288" s="230">
        <f>Results!L14</f>
        <v>0.18580660368636359</v>
      </c>
      <c r="L288" s="202">
        <v>0</v>
      </c>
    </row>
    <row r="289" spans="1:12" ht="15">
      <c r="A289" s="27" t="s">
        <v>865</v>
      </c>
      <c r="B289" s="308" t="str">
        <f t="shared" si="10"/>
        <v>Floor16</v>
      </c>
      <c r="C289" s="308" t="str">
        <f t="shared" si="10"/>
        <v>Floors16</v>
      </c>
      <c r="D289" s="308" t="str">
        <f t="shared" si="10"/>
        <v>Floors</v>
      </c>
      <c r="E289" s="308">
        <f t="shared" si="10"/>
        <v>16</v>
      </c>
      <c r="F289" s="308" t="str">
        <f t="shared" si="10"/>
        <v>R-19</v>
      </c>
      <c r="G289" s="308" t="str">
        <f t="shared" si="10"/>
        <v>R-38</v>
      </c>
      <c r="H289" s="308" t="str">
        <f t="shared" si="10"/>
        <v>Heating Zone 1</v>
      </c>
      <c r="I289" s="308" t="str">
        <f t="shared" si="10"/>
        <v>Multi Family Weatherization - Insulate Floors - R-19 to R-38 - Heating Zone 1</v>
      </c>
      <c r="J289" s="308" t="s">
        <v>857</v>
      </c>
      <c r="K289" s="239">
        <f>Results!L15</f>
        <v>0.21119510832459892</v>
      </c>
      <c r="L289" s="202">
        <v>0</v>
      </c>
    </row>
    <row r="290" spans="1:12" ht="15">
      <c r="A290" s="27" t="s">
        <v>866</v>
      </c>
      <c r="B290" s="308" t="str">
        <f t="shared" si="10"/>
        <v>Floor17</v>
      </c>
      <c r="C290" s="308" t="str">
        <f t="shared" si="10"/>
        <v>Floors17</v>
      </c>
      <c r="D290" s="308" t="str">
        <f t="shared" si="10"/>
        <v>Floors</v>
      </c>
      <c r="E290" s="308">
        <f t="shared" si="10"/>
        <v>17</v>
      </c>
      <c r="F290" s="308" t="str">
        <f t="shared" si="10"/>
        <v>R-11</v>
      </c>
      <c r="G290" s="308" t="str">
        <f t="shared" si="10"/>
        <v>R-30</v>
      </c>
      <c r="H290" s="308" t="str">
        <f t="shared" si="10"/>
        <v>Heating Zone 1</v>
      </c>
      <c r="I290" s="308" t="str">
        <f t="shared" si="10"/>
        <v>Multi Family Weatherization - Insulate Floors - R-11 to R-30 - Heating Zone 1</v>
      </c>
      <c r="J290" s="308" t="s">
        <v>857</v>
      </c>
      <c r="K290" s="239">
        <f>Results!L16</f>
        <v>1.7826137513046794</v>
      </c>
      <c r="L290" s="202">
        <v>0</v>
      </c>
    </row>
    <row r="291" spans="1:12" ht="15">
      <c r="A291" s="27" t="s">
        <v>859</v>
      </c>
      <c r="B291" s="308" t="str">
        <f t="shared" si="10"/>
        <v>Floor18</v>
      </c>
      <c r="C291" s="308" t="str">
        <f t="shared" si="10"/>
        <v>Floors18</v>
      </c>
      <c r="D291" s="308" t="str">
        <f t="shared" si="10"/>
        <v>Floors</v>
      </c>
      <c r="E291" s="308">
        <f t="shared" si="10"/>
        <v>18</v>
      </c>
      <c r="F291" s="308" t="str">
        <f t="shared" si="10"/>
        <v>R-0</v>
      </c>
      <c r="G291" s="308" t="str">
        <f t="shared" si="10"/>
        <v>R-19</v>
      </c>
      <c r="H291" s="308" t="str">
        <f t="shared" si="10"/>
        <v>Heating Zone 1</v>
      </c>
      <c r="I291" s="308" t="str">
        <f t="shared" si="10"/>
        <v>Multi Family Weatherization - Insulate Floors - R-0 to R-19 - Heating Zone 1</v>
      </c>
      <c r="J291" s="308" t="s">
        <v>857</v>
      </c>
      <c r="K291" s="239">
        <f>Results!L17</f>
        <v>0.61473698631310125</v>
      </c>
      <c r="L291" s="202">
        <v>0</v>
      </c>
    </row>
    <row r="292" spans="1:12" ht="15">
      <c r="A292" s="27" t="s">
        <v>867</v>
      </c>
      <c r="B292" s="308" t="str">
        <f t="shared" si="10"/>
        <v>Ceili10</v>
      </c>
      <c r="C292" s="308" t="str">
        <f t="shared" si="10"/>
        <v>Ceiling10</v>
      </c>
      <c r="D292" s="308" t="str">
        <f t="shared" si="10"/>
        <v>Ceiling</v>
      </c>
      <c r="E292" s="308">
        <f t="shared" si="10"/>
        <v>10</v>
      </c>
      <c r="F292" s="308" t="str">
        <f t="shared" si="10"/>
        <v>R-0</v>
      </c>
      <c r="G292" s="308" t="str">
        <f t="shared" si="10"/>
        <v>R-19</v>
      </c>
      <c r="H292" s="308" t="str">
        <f t="shared" si="10"/>
        <v>Heating Zone 1</v>
      </c>
      <c r="I292" s="308" t="str">
        <f t="shared" si="10"/>
        <v>Multi Family Weatherization - Insulate Attic - R-0 to R-19 - Heating Zone 1</v>
      </c>
      <c r="J292" s="308" t="s">
        <v>857</v>
      </c>
      <c r="K292" s="266">
        <f>Results!L18</f>
        <v>0.49665947495840923</v>
      </c>
      <c r="L292" s="202">
        <v>0</v>
      </c>
    </row>
    <row r="293" spans="1:12" ht="15">
      <c r="A293" s="27" t="s">
        <v>868</v>
      </c>
      <c r="B293" s="308" t="str">
        <f t="shared" si="10"/>
        <v>Ceili11</v>
      </c>
      <c r="C293" s="308" t="str">
        <f t="shared" si="10"/>
        <v>Ceiling11</v>
      </c>
      <c r="D293" s="308" t="str">
        <f t="shared" si="10"/>
        <v>Ceiling</v>
      </c>
      <c r="E293" s="308">
        <f t="shared" si="10"/>
        <v>11</v>
      </c>
      <c r="F293" s="308" t="str">
        <f t="shared" si="10"/>
        <v>R-0</v>
      </c>
      <c r="G293" s="308" t="str">
        <f t="shared" si="10"/>
        <v>R-38</v>
      </c>
      <c r="H293" s="308" t="str">
        <f t="shared" si="10"/>
        <v>Heating Zone 1</v>
      </c>
      <c r="I293" s="308" t="str">
        <f t="shared" si="10"/>
        <v>Multi Family Weatherization - Insulate Attic - R-0 to R-38 - Heating Zone 1</v>
      </c>
      <c r="J293" s="308" t="s">
        <v>857</v>
      </c>
      <c r="K293" s="230">
        <f>Results!L19</f>
        <v>0.6764269730438639</v>
      </c>
      <c r="L293" s="202">
        <v>0</v>
      </c>
    </row>
    <row r="294" spans="1:12" ht="15">
      <c r="A294" s="27" t="s">
        <v>869</v>
      </c>
      <c r="B294" s="308" t="str">
        <f t="shared" si="10"/>
        <v>Ceili12</v>
      </c>
      <c r="C294" s="308" t="str">
        <f t="shared" si="10"/>
        <v>Ceiling12</v>
      </c>
      <c r="D294" s="308" t="str">
        <f t="shared" si="10"/>
        <v>Ceiling</v>
      </c>
      <c r="E294" s="308">
        <f t="shared" si="10"/>
        <v>12</v>
      </c>
      <c r="F294" s="308" t="str">
        <f t="shared" si="10"/>
        <v>R-0</v>
      </c>
      <c r="G294" s="308" t="str">
        <f t="shared" si="10"/>
        <v>R-49</v>
      </c>
      <c r="H294" s="308" t="str">
        <f t="shared" si="10"/>
        <v>Heating Zone 1</v>
      </c>
      <c r="I294" s="308" t="str">
        <f t="shared" si="10"/>
        <v>Multi Family Weatherization - Insulate Attic - R-0 to R-49 - Heating Zone 1</v>
      </c>
      <c r="J294" s="308" t="s">
        <v>857</v>
      </c>
      <c r="K294" s="230">
        <f>Results!L20</f>
        <v>0.71811130680556834</v>
      </c>
      <c r="L294" s="202">
        <v>0</v>
      </c>
    </row>
    <row r="295" spans="1:12" ht="15">
      <c r="A295" s="27" t="s">
        <v>870</v>
      </c>
      <c r="B295" s="308" t="str">
        <f t="shared" si="10"/>
        <v>Ceili13</v>
      </c>
      <c r="C295" s="308" t="str">
        <f t="shared" si="10"/>
        <v>Ceiling13</v>
      </c>
      <c r="D295" s="308" t="str">
        <f t="shared" si="10"/>
        <v>Ceiling</v>
      </c>
      <c r="E295" s="308">
        <f t="shared" si="10"/>
        <v>13</v>
      </c>
      <c r="F295" s="308" t="str">
        <f t="shared" si="10"/>
        <v>R-30</v>
      </c>
      <c r="G295" s="308" t="str">
        <f t="shared" si="10"/>
        <v>R-38</v>
      </c>
      <c r="H295" s="308" t="str">
        <f t="shared" si="10"/>
        <v>Heating Zone 1</v>
      </c>
      <c r="I295" s="308" t="str">
        <f t="shared" si="10"/>
        <v>Multi Family Weatherization - Insulate Attic - R-30 to R-38 - Heating Zone 1</v>
      </c>
      <c r="J295" s="308" t="s">
        <v>857</v>
      </c>
      <c r="K295" s="230">
        <f>Results!L21</f>
        <v>4.9484923774318491E-2</v>
      </c>
      <c r="L295" s="202">
        <v>0</v>
      </c>
    </row>
    <row r="296" spans="1:12" ht="15">
      <c r="A296" s="27" t="s">
        <v>871</v>
      </c>
      <c r="B296" s="308" t="str">
        <f t="shared" si="10"/>
        <v>Ceili14</v>
      </c>
      <c r="C296" s="308" t="str">
        <f t="shared" si="10"/>
        <v>Ceiling14</v>
      </c>
      <c r="D296" s="308" t="str">
        <f t="shared" si="10"/>
        <v>Ceiling</v>
      </c>
      <c r="E296" s="308">
        <f t="shared" si="10"/>
        <v>14</v>
      </c>
      <c r="F296" s="308" t="str">
        <f t="shared" si="10"/>
        <v>R-30</v>
      </c>
      <c r="G296" s="308" t="str">
        <f t="shared" si="10"/>
        <v>R-49</v>
      </c>
      <c r="H296" s="308" t="str">
        <f t="shared" si="10"/>
        <v>Heating Zone 1</v>
      </c>
      <c r="I296" s="308" t="str">
        <f t="shared" si="10"/>
        <v>Multi Family Weatherization - Insulate Attic - R-30 to R-49 - Heating Zone 1</v>
      </c>
      <c r="J296" s="308" t="s">
        <v>857</v>
      </c>
      <c r="K296" s="230">
        <f>Results!L22</f>
        <v>9.1169257536022924E-2</v>
      </c>
      <c r="L296" s="202">
        <v>0</v>
      </c>
    </row>
    <row r="297" spans="1:12" ht="15">
      <c r="A297" s="27" t="s">
        <v>872</v>
      </c>
      <c r="B297" s="308" t="str">
        <f t="shared" si="10"/>
        <v>Ceili15</v>
      </c>
      <c r="C297" s="308" t="str">
        <f t="shared" si="10"/>
        <v>Ceiling15</v>
      </c>
      <c r="D297" s="308" t="str">
        <f t="shared" si="10"/>
        <v>Ceiling</v>
      </c>
      <c r="E297" s="308">
        <f t="shared" si="10"/>
        <v>15</v>
      </c>
      <c r="F297" s="308" t="str">
        <f t="shared" si="10"/>
        <v>R-19</v>
      </c>
      <c r="G297" s="308" t="str">
        <f t="shared" si="10"/>
        <v>R-30</v>
      </c>
      <c r="H297" s="308" t="str">
        <f t="shared" si="10"/>
        <v>Heating Zone 1</v>
      </c>
      <c r="I297" s="308" t="str">
        <f t="shared" si="10"/>
        <v>Multi Family Weatherization - Insulate Attic - R-19 to R-30 - Heating Zone 1</v>
      </c>
      <c r="J297" s="308" t="s">
        <v>857</v>
      </c>
      <c r="K297" s="239">
        <f>Results!L23</f>
        <v>0.13028257431113613</v>
      </c>
      <c r="L297" s="202">
        <v>0</v>
      </c>
    </row>
    <row r="298" spans="1:12" ht="15">
      <c r="A298" s="27" t="s">
        <v>873</v>
      </c>
      <c r="B298" s="308" t="str">
        <f t="shared" ref="B298:I313" si="11">B160</f>
        <v>Ceili16</v>
      </c>
      <c r="C298" s="308" t="str">
        <f t="shared" si="11"/>
        <v>Ceiling16</v>
      </c>
      <c r="D298" s="308" t="str">
        <f t="shared" si="11"/>
        <v>Ceiling</v>
      </c>
      <c r="E298" s="308">
        <f t="shared" si="11"/>
        <v>16</v>
      </c>
      <c r="F298" s="308" t="str">
        <f t="shared" si="11"/>
        <v>R-19</v>
      </c>
      <c r="G298" s="308" t="str">
        <f t="shared" si="11"/>
        <v>R-38</v>
      </c>
      <c r="H298" s="308" t="str">
        <f t="shared" si="11"/>
        <v>Heating Zone 1</v>
      </c>
      <c r="I298" s="308" t="str">
        <f t="shared" si="11"/>
        <v>Multi Family Weatherization - Insulate Attic - R-19 to R-38 - Heating Zone 1</v>
      </c>
      <c r="J298" s="308" t="s">
        <v>857</v>
      </c>
      <c r="K298" s="230">
        <f>Results!L24</f>
        <v>0.17976749808545464</v>
      </c>
      <c r="L298" s="202">
        <v>0</v>
      </c>
    </row>
    <row r="299" spans="1:12" ht="15">
      <c r="A299" s="27" t="s">
        <v>874</v>
      </c>
      <c r="B299" s="308" t="str">
        <f t="shared" si="11"/>
        <v>Ceili17</v>
      </c>
      <c r="C299" s="308" t="str">
        <f t="shared" si="11"/>
        <v>Ceiling17</v>
      </c>
      <c r="D299" s="308" t="str">
        <f t="shared" si="11"/>
        <v>Ceiling</v>
      </c>
      <c r="E299" s="308">
        <f t="shared" si="11"/>
        <v>17</v>
      </c>
      <c r="F299" s="308" t="str">
        <f t="shared" si="11"/>
        <v>R-19</v>
      </c>
      <c r="G299" s="308" t="str">
        <f t="shared" si="11"/>
        <v>R-49</v>
      </c>
      <c r="H299" s="308" t="str">
        <f t="shared" si="11"/>
        <v>Heating Zone 1</v>
      </c>
      <c r="I299" s="308" t="str">
        <f t="shared" si="11"/>
        <v>Multi Family Weatherization - Insulate Attic - R-19 to R-49 - Heating Zone 1</v>
      </c>
      <c r="J299" s="308" t="s">
        <v>857</v>
      </c>
      <c r="K299" s="230">
        <f>Results!L25</f>
        <v>0.22145183184715905</v>
      </c>
      <c r="L299" s="202">
        <v>0</v>
      </c>
    </row>
    <row r="300" spans="1:12" ht="15">
      <c r="A300" s="27" t="s">
        <v>875</v>
      </c>
      <c r="B300" s="308" t="str">
        <f t="shared" si="11"/>
        <v>Ceili18</v>
      </c>
      <c r="C300" s="308" t="str">
        <f t="shared" si="11"/>
        <v>Ceiling18</v>
      </c>
      <c r="D300" s="308" t="str">
        <f t="shared" si="11"/>
        <v>Ceiling</v>
      </c>
      <c r="E300" s="308">
        <f t="shared" si="11"/>
        <v>18</v>
      </c>
      <c r="F300" s="308" t="str">
        <f t="shared" si="11"/>
        <v>R-38</v>
      </c>
      <c r="G300" s="308" t="str">
        <f t="shared" si="11"/>
        <v>R-49</v>
      </c>
      <c r="H300" s="308" t="str">
        <f t="shared" si="11"/>
        <v>Heating Zone 1</v>
      </c>
      <c r="I300" s="308" t="str">
        <f t="shared" si="11"/>
        <v>Multi Family Weatherization - Insulate Attic - R-38 to R-49 - Heating Zone 1</v>
      </c>
      <c r="J300" s="308" t="s">
        <v>857</v>
      </c>
      <c r="K300" s="271">
        <f>Results!L26</f>
        <v>4.1684333761704419E-2</v>
      </c>
      <c r="L300" s="202">
        <v>0</v>
      </c>
    </row>
    <row r="301" spans="1:12" ht="15">
      <c r="B301" s="308"/>
      <c r="C301" s="308"/>
      <c r="D301" s="308"/>
      <c r="E301" s="308"/>
      <c r="F301" s="308"/>
      <c r="G301" s="308"/>
      <c r="H301" s="308"/>
      <c r="I301" s="308"/>
      <c r="J301" s="308"/>
      <c r="K301" s="239"/>
      <c r="L301" s="202"/>
    </row>
    <row r="302" spans="1:12" ht="15">
      <c r="B302" s="308"/>
      <c r="C302" s="308"/>
      <c r="D302" s="308"/>
      <c r="E302" s="308"/>
      <c r="F302" s="308"/>
      <c r="G302" s="308"/>
      <c r="H302" s="308"/>
      <c r="I302" s="308"/>
      <c r="J302" s="308"/>
      <c r="K302" s="239"/>
      <c r="L302" s="202"/>
    </row>
    <row r="303" spans="1:12" ht="15">
      <c r="B303" s="308"/>
      <c r="C303" s="308"/>
      <c r="D303" s="308"/>
      <c r="E303" s="308"/>
      <c r="F303" s="308"/>
      <c r="G303" s="308"/>
      <c r="H303" s="308"/>
      <c r="I303" s="308"/>
      <c r="J303" s="308"/>
      <c r="K303" s="239"/>
      <c r="L303" s="202"/>
    </row>
    <row r="304" spans="1:12" ht="15">
      <c r="B304" s="308"/>
      <c r="C304" s="308"/>
      <c r="D304" s="308"/>
      <c r="E304" s="308"/>
      <c r="F304" s="308"/>
      <c r="G304" s="308"/>
      <c r="H304" s="308"/>
      <c r="I304" s="308"/>
      <c r="J304" s="308"/>
      <c r="K304" s="239"/>
      <c r="L304" s="202"/>
    </row>
    <row r="305" spans="1:12" ht="15">
      <c r="B305" s="308"/>
      <c r="C305" s="308"/>
      <c r="D305" s="308"/>
      <c r="E305" s="308"/>
      <c r="F305" s="308"/>
      <c r="G305" s="308"/>
      <c r="H305" s="308"/>
      <c r="I305" s="308"/>
      <c r="J305" s="308"/>
      <c r="K305" s="239"/>
      <c r="L305" s="202"/>
    </row>
    <row r="306" spans="1:12" ht="15">
      <c r="B306" s="308"/>
      <c r="C306" s="308"/>
      <c r="D306" s="308"/>
      <c r="E306" s="308"/>
      <c r="F306" s="308"/>
      <c r="G306" s="308"/>
      <c r="H306" s="308"/>
      <c r="I306" s="308"/>
      <c r="J306" s="308"/>
      <c r="K306" s="239"/>
      <c r="L306" s="202"/>
    </row>
    <row r="307" spans="1:12" ht="15">
      <c r="B307" s="308"/>
      <c r="C307" s="308"/>
      <c r="D307" s="308"/>
      <c r="E307" s="308"/>
      <c r="F307" s="308"/>
      <c r="G307" s="308"/>
      <c r="H307" s="308"/>
      <c r="I307" s="308"/>
      <c r="J307" s="308"/>
      <c r="K307" s="239"/>
      <c r="L307" s="202"/>
    </row>
    <row r="308" spans="1:12" ht="15">
      <c r="B308" s="308"/>
      <c r="C308" s="308"/>
      <c r="D308" s="308"/>
      <c r="E308" s="308"/>
      <c r="F308" s="308"/>
      <c r="G308" s="308"/>
      <c r="H308" s="308"/>
      <c r="I308" s="308"/>
      <c r="J308" s="308"/>
      <c r="K308" s="239"/>
      <c r="L308" s="202"/>
    </row>
    <row r="309" spans="1:12" ht="15">
      <c r="B309" s="308"/>
      <c r="C309" s="308"/>
      <c r="D309" s="308"/>
      <c r="E309" s="308"/>
      <c r="F309" s="308"/>
      <c r="G309" s="308"/>
      <c r="H309" s="308"/>
      <c r="I309" s="308"/>
      <c r="J309" s="308"/>
      <c r="K309" s="239"/>
      <c r="L309" s="202"/>
    </row>
    <row r="310" spans="1:12" ht="15">
      <c r="A310" s="27" t="s">
        <v>876</v>
      </c>
      <c r="B310" s="308" t="str">
        <f t="shared" si="11"/>
        <v>Windo19</v>
      </c>
      <c r="C310" s="308" t="str">
        <f t="shared" si="11"/>
        <v>Windows19</v>
      </c>
      <c r="D310" s="308" t="str">
        <f t="shared" si="11"/>
        <v>Windows</v>
      </c>
      <c r="E310" s="308">
        <f t="shared" si="11"/>
        <v>19</v>
      </c>
      <c r="F310" s="308" t="str">
        <f t="shared" si="11"/>
        <v>Class 35</v>
      </c>
      <c r="G310" s="308" t="str">
        <f t="shared" si="11"/>
        <v>Class 22</v>
      </c>
      <c r="H310" s="308" t="str">
        <f t="shared" si="11"/>
        <v>Heating Zone 1</v>
      </c>
      <c r="I310" s="308" t="str">
        <f t="shared" si="11"/>
        <v>Windows - Class 35 to Class 22 - Heating Zone 1</v>
      </c>
      <c r="J310" s="308" t="s">
        <v>857</v>
      </c>
      <c r="K310" s="239">
        <f>Results!L36</f>
        <v>3.4629926737190164</v>
      </c>
      <c r="L310" s="202">
        <v>0</v>
      </c>
    </row>
    <row r="311" spans="1:12" ht="15">
      <c r="A311" s="27" t="s">
        <v>877</v>
      </c>
      <c r="B311" s="308" t="str">
        <f t="shared" si="11"/>
        <v>Windo20</v>
      </c>
      <c r="C311" s="308" t="str">
        <f t="shared" si="11"/>
        <v>Windows20</v>
      </c>
      <c r="D311" s="308" t="str">
        <f t="shared" si="11"/>
        <v>Windows</v>
      </c>
      <c r="E311" s="308">
        <f t="shared" si="11"/>
        <v>20</v>
      </c>
      <c r="F311" s="308" t="str">
        <f t="shared" si="11"/>
        <v>Single Pane</v>
      </c>
      <c r="G311" s="308" t="str">
        <f t="shared" si="11"/>
        <v>Class 22</v>
      </c>
      <c r="H311" s="308" t="str">
        <f t="shared" si="11"/>
        <v>Heating Zone 1</v>
      </c>
      <c r="I311" s="308" t="str">
        <f t="shared" si="11"/>
        <v>Windows - Single Pane to Class 22 - Heating Zone 1</v>
      </c>
      <c r="J311" s="308" t="s">
        <v>857</v>
      </c>
      <c r="K311" s="239">
        <f>Results!L37</f>
        <v>25.523466294305265</v>
      </c>
      <c r="L311" s="202">
        <v>0</v>
      </c>
    </row>
    <row r="312" spans="1:12" ht="15">
      <c r="A312" s="27" t="s">
        <v>878</v>
      </c>
      <c r="B312" s="308" t="str">
        <f t="shared" si="11"/>
        <v>Windo21</v>
      </c>
      <c r="C312" s="308" t="str">
        <f t="shared" si="11"/>
        <v>Windows21</v>
      </c>
      <c r="D312" s="308" t="str">
        <f t="shared" si="11"/>
        <v>Windows</v>
      </c>
      <c r="E312" s="308">
        <f t="shared" si="11"/>
        <v>21</v>
      </c>
      <c r="F312" s="308" t="str">
        <f t="shared" si="11"/>
        <v>Double Pane</v>
      </c>
      <c r="G312" s="308" t="str">
        <f t="shared" si="11"/>
        <v>Class 22</v>
      </c>
      <c r="H312" s="308" t="str">
        <f t="shared" si="11"/>
        <v>Heating Zone 1</v>
      </c>
      <c r="I312" s="308" t="str">
        <f t="shared" si="11"/>
        <v>Windows - Double Pane to Class 22 - Heating Zone 1</v>
      </c>
      <c r="J312" s="308" t="s">
        <v>857</v>
      </c>
      <c r="K312" s="239">
        <f>Results!L38</f>
        <v>14.991558405652484</v>
      </c>
      <c r="L312" s="202">
        <v>0</v>
      </c>
    </row>
    <row r="313" spans="1:12" ht="15">
      <c r="A313" s="27" t="s">
        <v>879</v>
      </c>
      <c r="B313" s="308" t="str">
        <f t="shared" si="11"/>
        <v>Windo22</v>
      </c>
      <c r="C313" s="308" t="str">
        <f t="shared" si="11"/>
        <v>Windows22</v>
      </c>
      <c r="D313" s="308" t="str">
        <f t="shared" si="11"/>
        <v>Windows</v>
      </c>
      <c r="E313" s="308">
        <f t="shared" si="11"/>
        <v>22</v>
      </c>
      <c r="F313" s="308" t="str">
        <f t="shared" si="11"/>
        <v>Single Pane</v>
      </c>
      <c r="G313" s="308" t="str">
        <f t="shared" si="11"/>
        <v>Class 30</v>
      </c>
      <c r="H313" s="308" t="str">
        <f t="shared" si="11"/>
        <v>Heating Zone 1</v>
      </c>
      <c r="I313" s="308" t="str">
        <f t="shared" si="11"/>
        <v>Windows - Single Pane to Class 30 - Heating Zone 1</v>
      </c>
      <c r="J313" s="308" t="s">
        <v>857</v>
      </c>
      <c r="K313" s="230">
        <f>Results!L39</f>
        <v>23.467902941309831</v>
      </c>
      <c r="L313" s="202">
        <v>0</v>
      </c>
    </row>
    <row r="314" spans="1:12" ht="15">
      <c r="A314" s="27" t="s">
        <v>880</v>
      </c>
      <c r="B314" s="308" t="str">
        <f t="shared" ref="B314:I329" si="12">B176</f>
        <v>Windo23</v>
      </c>
      <c r="C314" s="308" t="str">
        <f t="shared" si="12"/>
        <v>Windows23</v>
      </c>
      <c r="D314" s="308" t="str">
        <f t="shared" si="12"/>
        <v>Windows</v>
      </c>
      <c r="E314" s="308">
        <f t="shared" si="12"/>
        <v>23</v>
      </c>
      <c r="F314" s="308" t="str">
        <f t="shared" si="12"/>
        <v>Double Pane</v>
      </c>
      <c r="G314" s="308" t="str">
        <f t="shared" si="12"/>
        <v>Class 30</v>
      </c>
      <c r="H314" s="308" t="str">
        <f t="shared" si="12"/>
        <v>Heating Zone 1</v>
      </c>
      <c r="I314" s="308" t="str">
        <f t="shared" si="12"/>
        <v>Windows - Double Pane to Class 30 - Heating Zone 1</v>
      </c>
      <c r="J314" s="308" t="s">
        <v>857</v>
      </c>
      <c r="K314" s="230">
        <f>Results!L40</f>
        <v>12.93599505265705</v>
      </c>
      <c r="L314" s="202">
        <v>0</v>
      </c>
    </row>
    <row r="315" spans="1:12" ht="15">
      <c r="A315" s="27" t="s">
        <v>881</v>
      </c>
      <c r="B315" s="308" t="str">
        <f t="shared" si="12"/>
        <v>Windo24</v>
      </c>
      <c r="C315" s="308" t="str">
        <f t="shared" si="12"/>
        <v>Windows24</v>
      </c>
      <c r="D315" s="308" t="str">
        <f t="shared" si="12"/>
        <v>Windows</v>
      </c>
      <c r="E315" s="308">
        <f t="shared" si="12"/>
        <v>24</v>
      </c>
      <c r="F315" s="308" t="str">
        <f t="shared" si="12"/>
        <v>Class 35</v>
      </c>
      <c r="G315" s="308" t="str">
        <f t="shared" si="12"/>
        <v>Class 30</v>
      </c>
      <c r="H315" s="308" t="str">
        <f t="shared" si="12"/>
        <v>Heating Zone 1</v>
      </c>
      <c r="I315" s="308" t="str">
        <f t="shared" si="12"/>
        <v>Windows - Class 35 to Class 30 - Heating Zone 1</v>
      </c>
      <c r="J315" s="308" t="s">
        <v>857</v>
      </c>
      <c r="K315" s="230">
        <f>Results!L41</f>
        <v>1.407429320723582</v>
      </c>
      <c r="L315" s="202">
        <v>0</v>
      </c>
    </row>
    <row r="316" spans="1:12" ht="15">
      <c r="A316" s="27" t="s">
        <v>882</v>
      </c>
      <c r="B316" s="308" t="str">
        <f t="shared" si="12"/>
        <v>Infil10</v>
      </c>
      <c r="C316" s="308" t="str">
        <f t="shared" si="12"/>
        <v>Infiltration10</v>
      </c>
      <c r="D316" s="308" t="str">
        <f t="shared" si="12"/>
        <v>Infiltration</v>
      </c>
      <c r="E316" s="308">
        <f t="shared" si="12"/>
        <v>10</v>
      </c>
      <c r="F316" s="308" t="str">
        <f t="shared" si="12"/>
        <v>0.45 ACHn</v>
      </c>
      <c r="G316" s="308" t="str">
        <f t="shared" si="12"/>
        <v>0.35 ACHn</v>
      </c>
      <c r="H316" s="308" t="str">
        <f t="shared" si="12"/>
        <v>Heating Zone 1</v>
      </c>
      <c r="I316" s="308" t="str">
        <f t="shared" si="12"/>
        <v>Infiltration Reduction - 0.45 ACHn to 0.35 ACHn - Heating Zone 1</v>
      </c>
      <c r="J316" s="308" t="s">
        <v>857</v>
      </c>
      <c r="K316" s="266">
        <f>Results!L42</f>
        <v>0</v>
      </c>
      <c r="L316" s="202">
        <v>0</v>
      </c>
    </row>
    <row r="317" spans="1:12" ht="15">
      <c r="A317" s="27" t="s">
        <v>883</v>
      </c>
      <c r="B317" s="308" t="str">
        <f t="shared" si="12"/>
        <v>Infil11</v>
      </c>
      <c r="C317" s="308" t="str">
        <f t="shared" si="12"/>
        <v>Infiltration11</v>
      </c>
      <c r="D317" s="308" t="str">
        <f t="shared" si="12"/>
        <v>Infiltration</v>
      </c>
      <c r="E317" s="308">
        <f t="shared" si="12"/>
        <v>11</v>
      </c>
      <c r="F317" s="308" t="str">
        <f t="shared" si="12"/>
        <v>0.45 ACHn</v>
      </c>
      <c r="G317" s="308" t="str">
        <f t="shared" si="12"/>
        <v>0.20 ACHn</v>
      </c>
      <c r="H317" s="308" t="str">
        <f t="shared" si="12"/>
        <v>Heating Zone 1</v>
      </c>
      <c r="I317" s="308" t="str">
        <f t="shared" si="12"/>
        <v>Infiltration Reduction - 0.45 ACHn to 0.20 ACHn - Heating Zone 1</v>
      </c>
      <c r="J317" s="308" t="s">
        <v>857</v>
      </c>
      <c r="K317" s="239">
        <f>Results!L43</f>
        <v>0</v>
      </c>
      <c r="L317" s="202">
        <v>0</v>
      </c>
    </row>
    <row r="318" spans="1:12" ht="15">
      <c r="A318" s="27" t="s">
        <v>884</v>
      </c>
      <c r="B318" s="308" t="str">
        <f t="shared" si="12"/>
        <v>Infil12</v>
      </c>
      <c r="C318" s="308" t="str">
        <f t="shared" si="12"/>
        <v>Infiltration12</v>
      </c>
      <c r="D318" s="308" t="str">
        <f t="shared" si="12"/>
        <v>Infiltration</v>
      </c>
      <c r="E318" s="308">
        <f t="shared" si="12"/>
        <v>12</v>
      </c>
      <c r="F318" s="308" t="str">
        <f t="shared" si="12"/>
        <v>0.35 ACHn</v>
      </c>
      <c r="G318" s="308" t="str">
        <f t="shared" si="12"/>
        <v>0.20 ACHn</v>
      </c>
      <c r="H318" s="308" t="str">
        <f t="shared" si="12"/>
        <v>Heating Zone 1</v>
      </c>
      <c r="I318" s="308" t="str">
        <f t="shared" si="12"/>
        <v>Infiltration Reduction - 0.35 ACHn to 0.20 ACHn - Heating Zone 1</v>
      </c>
      <c r="J318" s="308" t="s">
        <v>857</v>
      </c>
      <c r="K318" s="276">
        <f>Results!L44</f>
        <v>0</v>
      </c>
      <c r="L318" s="202">
        <v>0</v>
      </c>
    </row>
    <row r="319" spans="1:12" ht="15">
      <c r="A319" s="27" t="s">
        <v>885</v>
      </c>
      <c r="B319" s="308" t="str">
        <f t="shared" si="12"/>
        <v>DuctT10</v>
      </c>
      <c r="C319" s="308" t="str">
        <f t="shared" si="12"/>
        <v>DuctTightness10</v>
      </c>
      <c r="D319" s="308" t="str">
        <f t="shared" si="12"/>
        <v>DuctTightness</v>
      </c>
      <c r="E319" s="308">
        <f t="shared" si="12"/>
        <v>10</v>
      </c>
      <c r="F319" s="308" t="str">
        <f t="shared" si="12"/>
        <v>Std-crawl</v>
      </c>
      <c r="G319" s="308" t="str">
        <f t="shared" si="12"/>
        <v>PTCS-crawl</v>
      </c>
      <c r="H319" s="308" t="str">
        <f t="shared" si="12"/>
        <v>Heating Zone 1</v>
      </c>
      <c r="I319" s="308" t="str">
        <f t="shared" si="12"/>
        <v>DuctTightness - Std-crawl to PTCS-crawl - Heating Zone 1</v>
      </c>
      <c r="J319" s="308" t="s">
        <v>857</v>
      </c>
      <c r="K319" s="278">
        <f>Results!L45</f>
        <v>383.90250975000157</v>
      </c>
      <c r="L319" s="202">
        <v>0</v>
      </c>
    </row>
    <row r="320" spans="1:12" ht="15">
      <c r="A320" s="27" t="s">
        <v>886</v>
      </c>
      <c r="B320" s="308" t="str">
        <f t="shared" si="12"/>
        <v>DuctI10</v>
      </c>
      <c r="C320" s="308" t="str">
        <f t="shared" si="12"/>
        <v>DuctInsulation10</v>
      </c>
      <c r="D320" s="308" t="str">
        <f t="shared" si="12"/>
        <v>DuctInsulation</v>
      </c>
      <c r="E320" s="308">
        <f t="shared" si="12"/>
        <v>10</v>
      </c>
      <c r="F320" s="308" t="str">
        <f t="shared" si="12"/>
        <v>R-0</v>
      </c>
      <c r="G320" s="308" t="str">
        <f t="shared" si="12"/>
        <v>R-4.2</v>
      </c>
      <c r="H320" s="308" t="str">
        <f t="shared" si="12"/>
        <v>Heating Zone 1</v>
      </c>
      <c r="I320" s="308" t="str">
        <f t="shared" si="12"/>
        <v>DuctInsulation - R-0 to R-4.2 - Heating Zone 1</v>
      </c>
      <c r="J320" s="308" t="s">
        <v>857</v>
      </c>
      <c r="K320" s="282">
        <f>Results!L46</f>
        <v>74.943054970000247</v>
      </c>
      <c r="L320" s="202">
        <v>0</v>
      </c>
    </row>
    <row r="321" spans="1:12" ht="15">
      <c r="A321" s="27" t="s">
        <v>887</v>
      </c>
      <c r="B321" s="308" t="str">
        <f t="shared" si="12"/>
        <v>DuctI11</v>
      </c>
      <c r="C321" s="308" t="str">
        <f t="shared" si="12"/>
        <v>DuctInsulation11</v>
      </c>
      <c r="D321" s="308" t="str">
        <f t="shared" si="12"/>
        <v>DuctInsulation</v>
      </c>
      <c r="E321" s="308">
        <f t="shared" si="12"/>
        <v>11</v>
      </c>
      <c r="F321" s="308" t="str">
        <f t="shared" si="12"/>
        <v>R-0</v>
      </c>
      <c r="G321" s="308" t="str">
        <f t="shared" si="12"/>
        <v>R-11</v>
      </c>
      <c r="H321" s="308" t="str">
        <f t="shared" si="12"/>
        <v>Heating Zone 1</v>
      </c>
      <c r="I321" s="308" t="str">
        <f t="shared" si="12"/>
        <v>DuctInsulation - R-0 to R-11 - Heating Zone 1</v>
      </c>
      <c r="J321" s="308" t="s">
        <v>857</v>
      </c>
      <c r="K321" s="284">
        <f>Results!L47</f>
        <v>102.62606221999783</v>
      </c>
      <c r="L321" s="202">
        <v>0</v>
      </c>
    </row>
    <row r="322" spans="1:12" ht="15">
      <c r="A322" s="27" t="s">
        <v>888</v>
      </c>
      <c r="B322" s="308" t="str">
        <f t="shared" si="12"/>
        <v>DuctI12</v>
      </c>
      <c r="C322" s="308" t="str">
        <f t="shared" si="12"/>
        <v>DuctInsulation12</v>
      </c>
      <c r="D322" s="308" t="str">
        <f t="shared" si="12"/>
        <v>DuctInsulation</v>
      </c>
      <c r="E322" s="308">
        <f t="shared" si="12"/>
        <v>12</v>
      </c>
      <c r="F322" s="308" t="str">
        <f t="shared" si="12"/>
        <v>R-4.2</v>
      </c>
      <c r="G322" s="308" t="str">
        <f t="shared" si="12"/>
        <v>R-11</v>
      </c>
      <c r="H322" s="308" t="str">
        <f t="shared" si="12"/>
        <v>Heating Zone 1</v>
      </c>
      <c r="I322" s="308" t="str">
        <f t="shared" si="12"/>
        <v>DuctInsulation - R-4.2 to R-11 - Heating Zone 1</v>
      </c>
      <c r="J322" s="308" t="s">
        <v>857</v>
      </c>
      <c r="K322" s="286">
        <f>Results!L48</f>
        <v>27.683007249997601</v>
      </c>
      <c r="L322" s="202">
        <v>0</v>
      </c>
    </row>
    <row r="323" spans="1:12" ht="15">
      <c r="A323" s="27" t="s">
        <v>889</v>
      </c>
      <c r="B323" s="308" t="str">
        <f t="shared" si="12"/>
        <v>HeatP10</v>
      </c>
      <c r="C323" s="308" t="str">
        <f t="shared" si="12"/>
        <v>HeatPump10</v>
      </c>
      <c r="D323" s="308" t="str">
        <f t="shared" si="12"/>
        <v>HeatPump</v>
      </c>
      <c r="E323" s="308">
        <f t="shared" si="12"/>
        <v>10</v>
      </c>
      <c r="F323" s="308" t="str">
        <f t="shared" si="12"/>
        <v>7.7/13</v>
      </c>
      <c r="G323" s="308" t="str">
        <f t="shared" si="12"/>
        <v>8.5/13</v>
      </c>
      <c r="H323" s="308" t="str">
        <f t="shared" si="12"/>
        <v>Heating Zone 1</v>
      </c>
      <c r="I323" s="308" t="str">
        <f t="shared" si="12"/>
        <v>HeatPump Upgrade - 7.7/13 to 8.5/13 - Heating Zone 1</v>
      </c>
      <c r="J323" s="308" t="s">
        <v>857</v>
      </c>
      <c r="K323" s="284">
        <f>Results!L49</f>
        <v>0</v>
      </c>
      <c r="L323" s="202">
        <v>0</v>
      </c>
    </row>
    <row r="324" spans="1:12" ht="15">
      <c r="A324" s="27" t="s">
        <v>890</v>
      </c>
      <c r="B324" s="308" t="str">
        <f t="shared" si="12"/>
        <v>HeatP11</v>
      </c>
      <c r="C324" s="308" t="str">
        <f t="shared" si="12"/>
        <v>HeatPump11</v>
      </c>
      <c r="D324" s="308" t="str">
        <f t="shared" si="12"/>
        <v>HeatPump</v>
      </c>
      <c r="E324" s="308">
        <f t="shared" si="12"/>
        <v>11</v>
      </c>
      <c r="F324" s="308" t="str">
        <f t="shared" si="12"/>
        <v>7.7/13</v>
      </c>
      <c r="G324" s="308" t="str">
        <f t="shared" si="12"/>
        <v>9.0/14</v>
      </c>
      <c r="H324" s="308" t="str">
        <f t="shared" si="12"/>
        <v>Heating Zone 1</v>
      </c>
      <c r="I324" s="308" t="str">
        <f t="shared" si="12"/>
        <v>HeatPump Upgrade - 7.7/13 to 9.0/14 - Heating Zone 1</v>
      </c>
      <c r="J324" s="308" t="s">
        <v>857</v>
      </c>
      <c r="K324" s="284">
        <f>Results!L50</f>
        <v>0</v>
      </c>
      <c r="L324" s="202">
        <v>0</v>
      </c>
    </row>
    <row r="325" spans="1:12" ht="15">
      <c r="A325" s="27" t="s">
        <v>891</v>
      </c>
      <c r="B325" s="308" t="str">
        <f t="shared" si="12"/>
        <v>HeatP12</v>
      </c>
      <c r="C325" s="308" t="str">
        <f t="shared" si="12"/>
        <v>HeatPump12</v>
      </c>
      <c r="D325" s="308" t="str">
        <f t="shared" si="12"/>
        <v>HeatPump</v>
      </c>
      <c r="E325" s="308">
        <f t="shared" si="12"/>
        <v>12</v>
      </c>
      <c r="F325" s="308" t="str">
        <f t="shared" si="12"/>
        <v>7.7/13</v>
      </c>
      <c r="G325" s="308" t="str">
        <f t="shared" si="12"/>
        <v>8.2/13</v>
      </c>
      <c r="H325" s="308" t="str">
        <f t="shared" si="12"/>
        <v>Heating Zone 1</v>
      </c>
      <c r="I325" s="308" t="str">
        <f t="shared" si="12"/>
        <v>HeatPump Upgrade - 7.7/13 to 8.2/13 - Heating Zone 1</v>
      </c>
      <c r="J325" s="308" t="s">
        <v>857</v>
      </c>
      <c r="K325" s="286">
        <f>Results!L51</f>
        <v>0</v>
      </c>
      <c r="L325" s="202">
        <v>0</v>
      </c>
    </row>
    <row r="326" spans="1:12" ht="15.75" thickBot="1">
      <c r="A326" s="27" t="s">
        <v>892</v>
      </c>
      <c r="B326" s="308" t="str">
        <f t="shared" si="12"/>
        <v>HPCnt10</v>
      </c>
      <c r="C326" s="308" t="str">
        <f t="shared" si="12"/>
        <v>HPCntrls10</v>
      </c>
      <c r="D326" s="308" t="str">
        <f t="shared" si="12"/>
        <v>HPCntrls</v>
      </c>
      <c r="E326" s="308">
        <f t="shared" si="12"/>
        <v>10</v>
      </c>
      <c r="F326" s="308" t="str">
        <f t="shared" si="12"/>
        <v>Standard</v>
      </c>
      <c r="G326" s="308" t="str">
        <f t="shared" si="12"/>
        <v>PTCS</v>
      </c>
      <c r="H326" s="308" t="str">
        <f t="shared" si="12"/>
        <v>Heating Zone 1</v>
      </c>
      <c r="I326" s="308" t="str">
        <f t="shared" si="12"/>
        <v>HPCntrls Upgrade - Standard to PTCS - Heating Zone 1</v>
      </c>
      <c r="J326" s="308" t="s">
        <v>857</v>
      </c>
      <c r="K326" s="290">
        <f>Results!L52</f>
        <v>0</v>
      </c>
      <c r="L326" s="202">
        <v>0</v>
      </c>
    </row>
    <row r="327" spans="1:12" ht="15">
      <c r="A327" s="27" t="s">
        <v>893</v>
      </c>
      <c r="B327" s="308" t="str">
        <f t="shared" si="12"/>
        <v>Walls10</v>
      </c>
      <c r="C327" s="308" t="str">
        <f t="shared" si="12"/>
        <v>Walls10</v>
      </c>
      <c r="D327" s="308" t="str">
        <f t="shared" si="12"/>
        <v>Walls</v>
      </c>
      <c r="E327" s="308">
        <f t="shared" si="12"/>
        <v>10</v>
      </c>
      <c r="F327" s="308" t="str">
        <f t="shared" si="12"/>
        <v>R-0</v>
      </c>
      <c r="G327" s="308" t="str">
        <f t="shared" si="12"/>
        <v>R-11</v>
      </c>
      <c r="H327" s="308" t="str">
        <f t="shared" si="12"/>
        <v>Heating Zone 2</v>
      </c>
      <c r="I327" s="308" t="str">
        <f t="shared" si="12"/>
        <v>Multi Family Weatherization - Insulate Walls - R-0 to R-11 - Heating Zone 2</v>
      </c>
      <c r="J327" s="308" t="s">
        <v>857</v>
      </c>
      <c r="K327" s="218">
        <f>Results!L53</f>
        <v>1.8981031007016897</v>
      </c>
      <c r="L327" s="202">
        <v>0</v>
      </c>
    </row>
    <row r="328" spans="1:12" ht="15">
      <c r="A328" s="27" t="s">
        <v>894</v>
      </c>
      <c r="B328" s="308" t="str">
        <f t="shared" si="12"/>
        <v>BGWal10</v>
      </c>
      <c r="C328" s="308" t="str">
        <f t="shared" si="12"/>
        <v>BGWalls10</v>
      </c>
      <c r="D328" s="308" t="str">
        <f t="shared" si="12"/>
        <v>BGWalls</v>
      </c>
      <c r="E328" s="308">
        <f t="shared" si="12"/>
        <v>10</v>
      </c>
      <c r="F328" s="308" t="str">
        <f t="shared" si="12"/>
        <v>R-0</v>
      </c>
      <c r="G328" s="308" t="str">
        <f t="shared" si="12"/>
        <v>R-11</v>
      </c>
      <c r="H328" s="308" t="str">
        <f t="shared" si="12"/>
        <v>Heating Zone 2</v>
      </c>
      <c r="I328" s="308" t="str">
        <f t="shared" si="12"/>
        <v>Multi Family Weatherization - Insulate BGWalls - R-0 to R-11 - Heating Zone 2</v>
      </c>
      <c r="J328" s="308" t="s">
        <v>857</v>
      </c>
      <c r="K328" s="225">
        <f>Results!L54</f>
        <v>0</v>
      </c>
      <c r="L328" s="202">
        <v>0</v>
      </c>
    </row>
    <row r="329" spans="1:12" ht="15">
      <c r="A329" s="27" t="s">
        <v>895</v>
      </c>
      <c r="B329" s="308" t="str">
        <f t="shared" si="12"/>
        <v>Floor10</v>
      </c>
      <c r="C329" s="308" t="str">
        <f t="shared" si="12"/>
        <v>Floors10</v>
      </c>
      <c r="D329" s="308" t="str">
        <f t="shared" si="12"/>
        <v>Floors</v>
      </c>
      <c r="E329" s="308">
        <f t="shared" si="12"/>
        <v>10</v>
      </c>
      <c r="F329" s="308" t="str">
        <f t="shared" si="12"/>
        <v>R-0</v>
      </c>
      <c r="G329" s="308" t="str">
        <f t="shared" si="12"/>
        <v>R-19</v>
      </c>
      <c r="H329" s="308" t="str">
        <f t="shared" si="12"/>
        <v>Heating Zone 2</v>
      </c>
      <c r="I329" s="308" t="str">
        <f t="shared" si="12"/>
        <v>Multi Family Weatherization - Insulate Floors - R-0 to R-19 - Heating Zone 2</v>
      </c>
      <c r="J329" s="308" t="s">
        <v>857</v>
      </c>
      <c r="K329" s="230">
        <f>Results!L55</f>
        <v>0.75266534716617617</v>
      </c>
      <c r="L329" s="202">
        <v>0</v>
      </c>
    </row>
    <row r="330" spans="1:12" ht="15">
      <c r="A330" s="27" t="s">
        <v>896</v>
      </c>
      <c r="B330" s="308" t="str">
        <f t="shared" ref="B330:I345" si="13">B192</f>
        <v>Floor11</v>
      </c>
      <c r="C330" s="308" t="str">
        <f t="shared" si="13"/>
        <v>Floors11</v>
      </c>
      <c r="D330" s="308" t="str">
        <f t="shared" si="13"/>
        <v>Floors</v>
      </c>
      <c r="E330" s="308">
        <f t="shared" si="13"/>
        <v>11</v>
      </c>
      <c r="F330" s="308" t="str">
        <f t="shared" si="13"/>
        <v>R-0</v>
      </c>
      <c r="G330" s="308" t="str">
        <f t="shared" si="13"/>
        <v>R-25</v>
      </c>
      <c r="H330" s="308" t="str">
        <f t="shared" si="13"/>
        <v>Heating Zone 2</v>
      </c>
      <c r="I330" s="308" t="str">
        <f t="shared" si="13"/>
        <v>Multi Family Weatherization - Insulate Floors - R-0 to R-25 - Heating Zone 2</v>
      </c>
      <c r="J330" s="308" t="s">
        <v>857</v>
      </c>
      <c r="K330" s="239">
        <f>Results!L56</f>
        <v>0.86455560476123028</v>
      </c>
      <c r="L330" s="202">
        <v>0</v>
      </c>
    </row>
    <row r="331" spans="1:12" ht="15">
      <c r="A331" s="27" t="s">
        <v>897</v>
      </c>
      <c r="B331" s="308" t="str">
        <f t="shared" si="13"/>
        <v>Floor12</v>
      </c>
      <c r="C331" s="308" t="str">
        <f t="shared" si="13"/>
        <v>Floors12</v>
      </c>
      <c r="D331" s="308" t="str">
        <f t="shared" si="13"/>
        <v>Floors</v>
      </c>
      <c r="E331" s="308">
        <f t="shared" si="13"/>
        <v>12</v>
      </c>
      <c r="F331" s="308" t="str">
        <f t="shared" si="13"/>
        <v>R-0</v>
      </c>
      <c r="G331" s="308" t="str">
        <f t="shared" si="13"/>
        <v>R-30</v>
      </c>
      <c r="H331" s="308" t="str">
        <f t="shared" si="13"/>
        <v>Heating Zone 2</v>
      </c>
      <c r="I331" s="308" t="str">
        <f t="shared" si="13"/>
        <v>Multi Family Weatherization - Insulate Floors - R-0 to R-30 - Heating Zone 2</v>
      </c>
      <c r="J331" s="308" t="s">
        <v>857</v>
      </c>
      <c r="K331" s="230">
        <f>Results!L57</f>
        <v>0.98288373653569483</v>
      </c>
      <c r="L331" s="202">
        <v>0</v>
      </c>
    </row>
    <row r="332" spans="1:12" ht="15">
      <c r="A332" s="27" t="s">
        <v>898</v>
      </c>
      <c r="B332" s="308" t="str">
        <f t="shared" si="13"/>
        <v>Floor13</v>
      </c>
      <c r="C332" s="308" t="str">
        <f t="shared" si="13"/>
        <v>Floors13</v>
      </c>
      <c r="D332" s="308" t="str">
        <f t="shared" si="13"/>
        <v>Floors</v>
      </c>
      <c r="E332" s="308">
        <f t="shared" si="13"/>
        <v>13</v>
      </c>
      <c r="F332" s="308" t="str">
        <f t="shared" si="13"/>
        <v>R-0</v>
      </c>
      <c r="G332" s="308" t="str">
        <f t="shared" si="13"/>
        <v>R-38</v>
      </c>
      <c r="H332" s="308" t="str">
        <f t="shared" si="13"/>
        <v>Heating Zone 2</v>
      </c>
      <c r="I332" s="308" t="str">
        <f t="shared" si="13"/>
        <v>Multi Family Weatherization - Insulate Floors - R-0 to R-38 - Heating Zone 2</v>
      </c>
      <c r="J332" s="308" t="s">
        <v>857</v>
      </c>
      <c r="K332" s="239">
        <f>Results!L58</f>
        <v>1.0144421706398394</v>
      </c>
      <c r="L332" s="202">
        <v>0</v>
      </c>
    </row>
    <row r="333" spans="1:12" ht="15">
      <c r="A333" s="27" t="s">
        <v>899</v>
      </c>
      <c r="B333" s="308" t="str">
        <f t="shared" si="13"/>
        <v>Floor14</v>
      </c>
      <c r="C333" s="308" t="str">
        <f t="shared" si="13"/>
        <v>Floors14</v>
      </c>
      <c r="D333" s="308" t="str">
        <f t="shared" si="13"/>
        <v>Floors</v>
      </c>
      <c r="E333" s="308">
        <f t="shared" si="13"/>
        <v>14</v>
      </c>
      <c r="F333" s="308" t="str">
        <f t="shared" si="13"/>
        <v>R-19</v>
      </c>
      <c r="G333" s="308" t="str">
        <f t="shared" si="13"/>
        <v>R-25</v>
      </c>
      <c r="H333" s="308" t="str">
        <f t="shared" si="13"/>
        <v>Heating Zone 2</v>
      </c>
      <c r="I333" s="308" t="str">
        <f t="shared" si="13"/>
        <v>Multi Family Weatherization - Insulate Floors - R-19 to R-25 - Heating Zone 2</v>
      </c>
      <c r="J333" s="308" t="s">
        <v>857</v>
      </c>
      <c r="K333" s="239">
        <f>Results!L59</f>
        <v>0.11189025759505392</v>
      </c>
      <c r="L333" s="202">
        <v>0</v>
      </c>
    </row>
    <row r="334" spans="1:12" ht="15">
      <c r="A334" s="27" t="s">
        <v>900</v>
      </c>
      <c r="B334" s="308" t="str">
        <f t="shared" si="13"/>
        <v>Floor15</v>
      </c>
      <c r="C334" s="308" t="str">
        <f t="shared" si="13"/>
        <v>Floors15</v>
      </c>
      <c r="D334" s="308" t="str">
        <f t="shared" si="13"/>
        <v>Floors</v>
      </c>
      <c r="E334" s="308">
        <f t="shared" si="13"/>
        <v>15</v>
      </c>
      <c r="F334" s="308" t="str">
        <f t="shared" si="13"/>
        <v>R-19</v>
      </c>
      <c r="G334" s="308" t="str">
        <f t="shared" si="13"/>
        <v>R-30</v>
      </c>
      <c r="H334" s="308" t="str">
        <f t="shared" si="13"/>
        <v>Heating Zone 2</v>
      </c>
      <c r="I334" s="308" t="str">
        <f t="shared" si="13"/>
        <v>Multi Family Weatherization - Insulate Floors - R-19 to R-30 - Heating Zone 2</v>
      </c>
      <c r="J334" s="308" t="s">
        <v>857</v>
      </c>
      <c r="K334" s="230">
        <f>Results!L60</f>
        <v>0.23021838936951838</v>
      </c>
      <c r="L334" s="202">
        <v>0</v>
      </c>
    </row>
    <row r="335" spans="1:12" ht="15">
      <c r="A335" s="27" t="s">
        <v>901</v>
      </c>
      <c r="B335" s="308" t="str">
        <f t="shared" si="13"/>
        <v>Floor16</v>
      </c>
      <c r="C335" s="308" t="str">
        <f t="shared" si="13"/>
        <v>Floors16</v>
      </c>
      <c r="D335" s="308" t="str">
        <f t="shared" si="13"/>
        <v>Floors</v>
      </c>
      <c r="E335" s="308">
        <f t="shared" si="13"/>
        <v>16</v>
      </c>
      <c r="F335" s="308" t="str">
        <f t="shared" si="13"/>
        <v>R-19</v>
      </c>
      <c r="G335" s="308" t="str">
        <f t="shared" si="13"/>
        <v>R-38</v>
      </c>
      <c r="H335" s="308" t="str">
        <f t="shared" si="13"/>
        <v>Heating Zone 2</v>
      </c>
      <c r="I335" s="308" t="str">
        <f t="shared" si="13"/>
        <v>Multi Family Weatherization - Insulate Floors - R-19 to R-38 - Heating Zone 2</v>
      </c>
      <c r="J335" s="308" t="s">
        <v>857</v>
      </c>
      <c r="K335" s="239">
        <f>Results!L61</f>
        <v>0.26177682347366316</v>
      </c>
      <c r="L335" s="202">
        <v>0</v>
      </c>
    </row>
    <row r="336" spans="1:12" ht="15">
      <c r="A336" s="27" t="s">
        <v>902</v>
      </c>
      <c r="B336" s="308" t="str">
        <f t="shared" si="13"/>
        <v>Floor17</v>
      </c>
      <c r="C336" s="308" t="str">
        <f t="shared" si="13"/>
        <v>Floors17</v>
      </c>
      <c r="D336" s="308" t="str">
        <f t="shared" si="13"/>
        <v>Floors</v>
      </c>
      <c r="E336" s="308">
        <f t="shared" si="13"/>
        <v>17</v>
      </c>
      <c r="F336" s="308" t="str">
        <f t="shared" si="13"/>
        <v>R-11</v>
      </c>
      <c r="G336" s="308" t="str">
        <f t="shared" si="13"/>
        <v>R-30</v>
      </c>
      <c r="H336" s="308" t="str">
        <f t="shared" si="13"/>
        <v>Heating Zone 2</v>
      </c>
      <c r="I336" s="308" t="str">
        <f t="shared" si="13"/>
        <v>Multi Family Weatherization - Insulate Floors - R-11 to R-30 - Heating Zone 2</v>
      </c>
      <c r="J336" s="308" t="s">
        <v>857</v>
      </c>
      <c r="K336" s="239">
        <f>Results!L62</f>
        <v>2.1587777960946517</v>
      </c>
      <c r="L336" s="202">
        <v>0</v>
      </c>
    </row>
    <row r="337" spans="1:12" ht="15">
      <c r="A337" s="27" t="s">
        <v>895</v>
      </c>
      <c r="B337" s="308" t="str">
        <f t="shared" si="13"/>
        <v>Floor18</v>
      </c>
      <c r="C337" s="308" t="str">
        <f t="shared" si="13"/>
        <v>Floors18</v>
      </c>
      <c r="D337" s="308" t="str">
        <f t="shared" si="13"/>
        <v>Floors</v>
      </c>
      <c r="E337" s="308">
        <f t="shared" si="13"/>
        <v>18</v>
      </c>
      <c r="F337" s="308" t="str">
        <f t="shared" si="13"/>
        <v>R-0</v>
      </c>
      <c r="G337" s="308" t="str">
        <f t="shared" si="13"/>
        <v>R-19</v>
      </c>
      <c r="H337" s="308" t="str">
        <f t="shared" si="13"/>
        <v>Heating Zone 2</v>
      </c>
      <c r="I337" s="308" t="str">
        <f t="shared" si="13"/>
        <v>Multi Family Weatherization - Insulate Floors - R-0 to R-19 - Heating Zone 2</v>
      </c>
      <c r="J337" s="308" t="s">
        <v>857</v>
      </c>
      <c r="K337" s="239">
        <f>Results!L63</f>
        <v>0.75266534716617617</v>
      </c>
      <c r="L337" s="202">
        <v>0</v>
      </c>
    </row>
    <row r="338" spans="1:12" ht="15">
      <c r="A338" s="27" t="s">
        <v>903</v>
      </c>
      <c r="B338" s="308" t="str">
        <f t="shared" si="13"/>
        <v>Ceili10</v>
      </c>
      <c r="C338" s="308" t="str">
        <f t="shared" si="13"/>
        <v>Ceiling10</v>
      </c>
      <c r="D338" s="308" t="str">
        <f t="shared" si="13"/>
        <v>Ceiling</v>
      </c>
      <c r="E338" s="308">
        <f t="shared" si="13"/>
        <v>10</v>
      </c>
      <c r="F338" s="308" t="str">
        <f t="shared" si="13"/>
        <v>R-0</v>
      </c>
      <c r="G338" s="308" t="str">
        <f t="shared" si="13"/>
        <v>R-19</v>
      </c>
      <c r="H338" s="308" t="str">
        <f t="shared" si="13"/>
        <v>Heating Zone 2</v>
      </c>
      <c r="I338" s="308" t="str">
        <f t="shared" si="13"/>
        <v>Multi Family Weatherization - Insulate Attic - R-0 to R-19 - Heating Zone 2</v>
      </c>
      <c r="J338" s="308" t="s">
        <v>857</v>
      </c>
      <c r="K338" s="266">
        <f>Results!L64</f>
        <v>0.49483889284306926</v>
      </c>
      <c r="L338" s="202">
        <v>0</v>
      </c>
    </row>
    <row r="339" spans="1:12" ht="15">
      <c r="A339" s="27" t="s">
        <v>904</v>
      </c>
      <c r="B339" s="308" t="str">
        <f t="shared" si="13"/>
        <v>Ceili11</v>
      </c>
      <c r="C339" s="308" t="str">
        <f t="shared" si="13"/>
        <v>Ceiling11</v>
      </c>
      <c r="D339" s="308" t="str">
        <f t="shared" si="13"/>
        <v>Ceiling</v>
      </c>
      <c r="E339" s="308">
        <f t="shared" si="13"/>
        <v>11</v>
      </c>
      <c r="F339" s="308" t="str">
        <f t="shared" si="13"/>
        <v>R-0</v>
      </c>
      <c r="G339" s="308" t="str">
        <f t="shared" si="13"/>
        <v>R-38</v>
      </c>
      <c r="H339" s="308" t="str">
        <f t="shared" si="13"/>
        <v>Heating Zone 2</v>
      </c>
      <c r="I339" s="308" t="str">
        <f t="shared" si="13"/>
        <v>Multi Family Weatherization - Insulate Attic - R-0 to R-38 - Heating Zone 2</v>
      </c>
      <c r="J339" s="308" t="s">
        <v>857</v>
      </c>
      <c r="K339" s="230">
        <f>Results!L65</f>
        <v>0.67533067136511449</v>
      </c>
      <c r="L339" s="202">
        <v>0</v>
      </c>
    </row>
    <row r="340" spans="1:12" ht="15">
      <c r="A340" s="27" t="s">
        <v>905</v>
      </c>
      <c r="B340" s="308" t="str">
        <f t="shared" si="13"/>
        <v>Ceili12</v>
      </c>
      <c r="C340" s="308" t="str">
        <f t="shared" si="13"/>
        <v>Ceiling12</v>
      </c>
      <c r="D340" s="308" t="str">
        <f t="shared" si="13"/>
        <v>Ceiling</v>
      </c>
      <c r="E340" s="308">
        <f t="shared" si="13"/>
        <v>12</v>
      </c>
      <c r="F340" s="308" t="str">
        <f t="shared" si="13"/>
        <v>R-0</v>
      </c>
      <c r="G340" s="308" t="str">
        <f t="shared" si="13"/>
        <v>R-49</v>
      </c>
      <c r="H340" s="308" t="str">
        <f t="shared" si="13"/>
        <v>Heating Zone 2</v>
      </c>
      <c r="I340" s="308" t="str">
        <f t="shared" si="13"/>
        <v>Multi Family Weatherization - Insulate Attic - R-0 to R-49 - Heating Zone 2</v>
      </c>
      <c r="J340" s="308" t="s">
        <v>857</v>
      </c>
      <c r="K340" s="230">
        <f>Results!L66</f>
        <v>0.71725835006113703</v>
      </c>
      <c r="L340" s="202">
        <v>0</v>
      </c>
    </row>
    <row r="341" spans="1:12" ht="15">
      <c r="A341" s="27" t="s">
        <v>906</v>
      </c>
      <c r="B341" s="308" t="str">
        <f t="shared" si="13"/>
        <v>Ceili13</v>
      </c>
      <c r="C341" s="308" t="str">
        <f t="shared" si="13"/>
        <v>Ceiling13</v>
      </c>
      <c r="D341" s="308" t="str">
        <f t="shared" si="13"/>
        <v>Ceiling</v>
      </c>
      <c r="E341" s="308">
        <f t="shared" si="13"/>
        <v>13</v>
      </c>
      <c r="F341" s="308" t="str">
        <f t="shared" si="13"/>
        <v>R-30</v>
      </c>
      <c r="G341" s="308" t="str">
        <f t="shared" si="13"/>
        <v>R-38</v>
      </c>
      <c r="H341" s="308" t="str">
        <f t="shared" si="13"/>
        <v>Heating Zone 2</v>
      </c>
      <c r="I341" s="308" t="str">
        <f t="shared" si="13"/>
        <v>Multi Family Weatherization - Insulate Attic - R-30 to R-38 - Heating Zone 2</v>
      </c>
      <c r="J341" s="308" t="s">
        <v>857</v>
      </c>
      <c r="K341" s="239">
        <f>Results!L67</f>
        <v>4.9742969509886548E-2</v>
      </c>
      <c r="L341" s="202">
        <v>0</v>
      </c>
    </row>
    <row r="342" spans="1:12" ht="15">
      <c r="A342" s="27" t="s">
        <v>907</v>
      </c>
      <c r="B342" s="308" t="str">
        <f t="shared" si="13"/>
        <v>Ceili14</v>
      </c>
      <c r="C342" s="308" t="str">
        <f t="shared" si="13"/>
        <v>Ceiling14</v>
      </c>
      <c r="D342" s="308" t="str">
        <f t="shared" si="13"/>
        <v>Ceiling</v>
      </c>
      <c r="E342" s="308">
        <f t="shared" si="13"/>
        <v>14</v>
      </c>
      <c r="F342" s="308" t="str">
        <f t="shared" si="13"/>
        <v>R-30</v>
      </c>
      <c r="G342" s="308" t="str">
        <f t="shared" si="13"/>
        <v>R-49</v>
      </c>
      <c r="H342" s="308" t="str">
        <f t="shared" si="13"/>
        <v>Heating Zone 2</v>
      </c>
      <c r="I342" s="308" t="str">
        <f t="shared" si="13"/>
        <v>Multi Family Weatherization - Insulate Attic - R-30 to R-49 - Heating Zone 2</v>
      </c>
      <c r="J342" s="308" t="s">
        <v>857</v>
      </c>
      <c r="K342" s="239">
        <f>Results!L68</f>
        <v>9.1670648205909117E-2</v>
      </c>
      <c r="L342" s="202">
        <v>0</v>
      </c>
    </row>
    <row r="343" spans="1:12" ht="15">
      <c r="A343" s="27" t="s">
        <v>908</v>
      </c>
      <c r="B343" s="308" t="str">
        <f t="shared" si="13"/>
        <v>Ceili15</v>
      </c>
      <c r="C343" s="308" t="str">
        <f t="shared" si="13"/>
        <v>Ceiling15</v>
      </c>
      <c r="D343" s="308" t="str">
        <f t="shared" si="13"/>
        <v>Ceiling</v>
      </c>
      <c r="E343" s="308">
        <f t="shared" si="13"/>
        <v>15</v>
      </c>
      <c r="F343" s="308" t="str">
        <f t="shared" si="13"/>
        <v>R-19</v>
      </c>
      <c r="G343" s="308" t="str">
        <f t="shared" si="13"/>
        <v>R-30</v>
      </c>
      <c r="H343" s="308" t="str">
        <f t="shared" si="13"/>
        <v>Heating Zone 2</v>
      </c>
      <c r="I343" s="308" t="str">
        <f t="shared" si="13"/>
        <v>Multi Family Weatherization - Insulate Attic - R-19 to R-30 - Heating Zone 2</v>
      </c>
      <c r="J343" s="308" t="s">
        <v>857</v>
      </c>
      <c r="K343" s="239">
        <f>Results!L69</f>
        <v>0.13074880901215871</v>
      </c>
      <c r="L343" s="202">
        <v>0</v>
      </c>
    </row>
    <row r="344" spans="1:12" ht="15">
      <c r="A344" s="27" t="s">
        <v>909</v>
      </c>
      <c r="B344" s="308" t="str">
        <f t="shared" si="13"/>
        <v>Ceili16</v>
      </c>
      <c r="C344" s="308" t="str">
        <f t="shared" si="13"/>
        <v>Ceiling16</v>
      </c>
      <c r="D344" s="308" t="str">
        <f t="shared" si="13"/>
        <v>Ceiling</v>
      </c>
      <c r="E344" s="308">
        <f t="shared" si="13"/>
        <v>16</v>
      </c>
      <c r="F344" s="308" t="str">
        <f t="shared" si="13"/>
        <v>R-19</v>
      </c>
      <c r="G344" s="308" t="str">
        <f t="shared" si="13"/>
        <v>R-38</v>
      </c>
      <c r="H344" s="308" t="str">
        <f t="shared" si="13"/>
        <v>Heating Zone 2</v>
      </c>
      <c r="I344" s="308" t="str">
        <f t="shared" si="13"/>
        <v>Multi Family Weatherization - Insulate Attic - R-19 to R-38 - Heating Zone 2</v>
      </c>
      <c r="J344" s="308" t="s">
        <v>857</v>
      </c>
      <c r="K344" s="230">
        <f>Results!L70</f>
        <v>0.18049177852204529</v>
      </c>
      <c r="L344" s="202">
        <v>0</v>
      </c>
    </row>
    <row r="345" spans="1:12" ht="15">
      <c r="A345" s="27" t="s">
        <v>910</v>
      </c>
      <c r="B345" s="308" t="str">
        <f t="shared" si="13"/>
        <v>Ceili17</v>
      </c>
      <c r="C345" s="308" t="str">
        <f t="shared" si="13"/>
        <v>Ceiling17</v>
      </c>
      <c r="D345" s="308" t="str">
        <f t="shared" si="13"/>
        <v>Ceiling</v>
      </c>
      <c r="E345" s="308">
        <f t="shared" si="13"/>
        <v>17</v>
      </c>
      <c r="F345" s="308" t="str">
        <f t="shared" si="13"/>
        <v>R-19</v>
      </c>
      <c r="G345" s="308" t="str">
        <f t="shared" si="13"/>
        <v>R-49</v>
      </c>
      <c r="H345" s="308" t="str">
        <f t="shared" si="13"/>
        <v>Heating Zone 2</v>
      </c>
      <c r="I345" s="308" t="str">
        <f t="shared" si="13"/>
        <v>Multi Family Weatherization - Insulate Attic - R-19 to R-49 - Heating Zone 2</v>
      </c>
      <c r="J345" s="308" t="s">
        <v>857</v>
      </c>
      <c r="K345" s="230">
        <f>Results!L71</f>
        <v>0.22241945721806783</v>
      </c>
      <c r="L345" s="202">
        <v>0</v>
      </c>
    </row>
    <row r="346" spans="1:12" ht="15">
      <c r="A346" s="27" t="s">
        <v>911</v>
      </c>
      <c r="B346" s="308" t="str">
        <f t="shared" ref="B346:I361" si="14">B208</f>
        <v>Ceili18</v>
      </c>
      <c r="C346" s="308" t="str">
        <f t="shared" si="14"/>
        <v>Ceiling18</v>
      </c>
      <c r="D346" s="308" t="str">
        <f t="shared" si="14"/>
        <v>Ceiling</v>
      </c>
      <c r="E346" s="308">
        <f t="shared" si="14"/>
        <v>18</v>
      </c>
      <c r="F346" s="308" t="str">
        <f t="shared" si="14"/>
        <v>R-38</v>
      </c>
      <c r="G346" s="308" t="str">
        <f t="shared" si="14"/>
        <v>R-49</v>
      </c>
      <c r="H346" s="308" t="str">
        <f t="shared" si="14"/>
        <v>Heating Zone 2</v>
      </c>
      <c r="I346" s="308" t="str">
        <f t="shared" si="14"/>
        <v>Multi Family Weatherization - Insulate Attic - R-38 to R-49 - Heating Zone 2</v>
      </c>
      <c r="J346" s="308" t="s">
        <v>857</v>
      </c>
      <c r="K346" s="271">
        <f>Results!L72</f>
        <v>4.1927678696022548E-2</v>
      </c>
      <c r="L346" s="202">
        <v>0</v>
      </c>
    </row>
    <row r="347" spans="1:12" ht="15">
      <c r="B347" s="308"/>
      <c r="C347" s="308"/>
      <c r="D347" s="308"/>
      <c r="E347" s="308"/>
      <c r="F347" s="308"/>
      <c r="G347" s="308"/>
      <c r="H347" s="308"/>
      <c r="I347" s="308"/>
      <c r="J347" s="308"/>
      <c r="K347" s="239"/>
      <c r="L347" s="202"/>
    </row>
    <row r="348" spans="1:12" ht="15">
      <c r="B348" s="308"/>
      <c r="C348" s="308"/>
      <c r="D348" s="308"/>
      <c r="E348" s="308"/>
      <c r="F348" s="308"/>
      <c r="G348" s="308"/>
      <c r="H348" s="308"/>
      <c r="I348" s="308"/>
      <c r="J348" s="308"/>
      <c r="K348" s="239"/>
      <c r="L348" s="202"/>
    </row>
    <row r="349" spans="1:12" ht="15">
      <c r="B349" s="308"/>
      <c r="C349" s="308"/>
      <c r="D349" s="308"/>
      <c r="E349" s="308"/>
      <c r="F349" s="308"/>
      <c r="G349" s="308"/>
      <c r="H349" s="308"/>
      <c r="I349" s="308"/>
      <c r="J349" s="308"/>
      <c r="K349" s="239"/>
      <c r="L349" s="202"/>
    </row>
    <row r="350" spans="1:12" ht="15">
      <c r="B350" s="308"/>
      <c r="C350" s="308"/>
      <c r="D350" s="308"/>
      <c r="E350" s="308"/>
      <c r="F350" s="308"/>
      <c r="G350" s="308"/>
      <c r="H350" s="308"/>
      <c r="I350" s="308"/>
      <c r="J350" s="308"/>
      <c r="K350" s="239"/>
      <c r="L350" s="202"/>
    </row>
    <row r="351" spans="1:12" ht="15">
      <c r="B351" s="308"/>
      <c r="C351" s="308"/>
      <c r="D351" s="308"/>
      <c r="E351" s="308"/>
      <c r="F351" s="308"/>
      <c r="G351" s="308"/>
      <c r="H351" s="308"/>
      <c r="I351" s="308"/>
      <c r="J351" s="308"/>
      <c r="K351" s="239"/>
      <c r="L351" s="202"/>
    </row>
    <row r="352" spans="1:12" ht="15">
      <c r="B352" s="308"/>
      <c r="C352" s="308"/>
      <c r="D352" s="308"/>
      <c r="E352" s="308"/>
      <c r="F352" s="308"/>
      <c r="G352" s="308"/>
      <c r="H352" s="308"/>
      <c r="I352" s="308"/>
      <c r="J352" s="308"/>
      <c r="K352" s="239"/>
      <c r="L352" s="202"/>
    </row>
    <row r="353" spans="1:12" ht="15">
      <c r="B353" s="308"/>
      <c r="C353" s="308"/>
      <c r="D353" s="308"/>
      <c r="E353" s="308"/>
      <c r="F353" s="308"/>
      <c r="G353" s="308"/>
      <c r="H353" s="308"/>
      <c r="I353" s="308"/>
      <c r="J353" s="308"/>
      <c r="K353" s="239"/>
      <c r="L353" s="202"/>
    </row>
    <row r="354" spans="1:12" ht="15">
      <c r="B354" s="308"/>
      <c r="C354" s="308"/>
      <c r="D354" s="308"/>
      <c r="E354" s="308"/>
      <c r="F354" s="308"/>
      <c r="G354" s="308"/>
      <c r="H354" s="308"/>
      <c r="I354" s="308"/>
      <c r="J354" s="308"/>
      <c r="K354" s="239"/>
      <c r="L354" s="202"/>
    </row>
    <row r="355" spans="1:12" ht="15">
      <c r="B355" s="308"/>
      <c r="C355" s="308"/>
      <c r="D355" s="308"/>
      <c r="E355" s="308"/>
      <c r="F355" s="308"/>
      <c r="G355" s="308"/>
      <c r="H355" s="308"/>
      <c r="I355" s="308"/>
      <c r="J355" s="308"/>
      <c r="K355" s="239"/>
      <c r="L355" s="202"/>
    </row>
    <row r="356" spans="1:12" ht="15">
      <c r="A356" s="27" t="s">
        <v>912</v>
      </c>
      <c r="B356" s="308" t="str">
        <f t="shared" si="14"/>
        <v>Windo19</v>
      </c>
      <c r="C356" s="308" t="str">
        <f t="shared" si="14"/>
        <v>Windows19</v>
      </c>
      <c r="D356" s="308" t="str">
        <f t="shared" si="14"/>
        <v>Windows</v>
      </c>
      <c r="E356" s="308">
        <f t="shared" si="14"/>
        <v>19</v>
      </c>
      <c r="F356" s="308" t="str">
        <f t="shared" si="14"/>
        <v>Class 35</v>
      </c>
      <c r="G356" s="308" t="str">
        <f t="shared" si="14"/>
        <v>Class 22</v>
      </c>
      <c r="H356" s="308" t="str">
        <f t="shared" si="14"/>
        <v>Heating Zone 2</v>
      </c>
      <c r="I356" s="308" t="str">
        <f t="shared" si="14"/>
        <v>Windows - Class 35 to Class 22 - Heating Zone 2</v>
      </c>
      <c r="J356" s="308" t="s">
        <v>857</v>
      </c>
      <c r="K356" s="239">
        <f>Results!L82</f>
        <v>4.7815485700395275</v>
      </c>
      <c r="L356" s="202">
        <v>0</v>
      </c>
    </row>
    <row r="357" spans="1:12" ht="15">
      <c r="A357" s="27" t="s">
        <v>913</v>
      </c>
      <c r="B357" s="308" t="str">
        <f t="shared" si="14"/>
        <v>Windo20</v>
      </c>
      <c r="C357" s="308" t="str">
        <f t="shared" si="14"/>
        <v>Windows20</v>
      </c>
      <c r="D357" s="308" t="str">
        <f t="shared" si="14"/>
        <v>Windows</v>
      </c>
      <c r="E357" s="308">
        <f t="shared" si="14"/>
        <v>20</v>
      </c>
      <c r="F357" s="308" t="str">
        <f t="shared" si="14"/>
        <v>Single Pane</v>
      </c>
      <c r="G357" s="308" t="str">
        <f t="shared" si="14"/>
        <v>Class 22</v>
      </c>
      <c r="H357" s="308" t="str">
        <f t="shared" si="14"/>
        <v>Heating Zone 2</v>
      </c>
      <c r="I357" s="308" t="str">
        <f t="shared" si="14"/>
        <v>Windows - Single Pane to Class 22 - Heating Zone 2</v>
      </c>
      <c r="J357" s="308" t="s">
        <v>857</v>
      </c>
      <c r="K357" s="239">
        <f>Results!L83</f>
        <v>34.4470601259288</v>
      </c>
      <c r="L357" s="202">
        <v>0</v>
      </c>
    </row>
    <row r="358" spans="1:12" ht="15">
      <c r="A358" s="27" t="s">
        <v>914</v>
      </c>
      <c r="B358" s="308" t="str">
        <f t="shared" si="14"/>
        <v>Windo21</v>
      </c>
      <c r="C358" s="308" t="str">
        <f t="shared" si="14"/>
        <v>Windows21</v>
      </c>
      <c r="D358" s="308" t="str">
        <f t="shared" si="14"/>
        <v>Windows</v>
      </c>
      <c r="E358" s="308">
        <f t="shared" si="14"/>
        <v>21</v>
      </c>
      <c r="F358" s="308" t="str">
        <f t="shared" si="14"/>
        <v>Double Pane</v>
      </c>
      <c r="G358" s="308" t="str">
        <f t="shared" si="14"/>
        <v>Class 22</v>
      </c>
      <c r="H358" s="308" t="str">
        <f t="shared" si="14"/>
        <v>Heating Zone 2</v>
      </c>
      <c r="I358" s="308" t="str">
        <f t="shared" si="14"/>
        <v>Windows - Double Pane to Class 22 - Heating Zone 2</v>
      </c>
      <c r="J358" s="308" t="s">
        <v>857</v>
      </c>
      <c r="K358" s="239">
        <f>Results!L84</f>
        <v>20.538703350494654</v>
      </c>
      <c r="L358" s="202">
        <v>0</v>
      </c>
    </row>
    <row r="359" spans="1:12" ht="15">
      <c r="A359" s="27" t="s">
        <v>915</v>
      </c>
      <c r="B359" s="308" t="str">
        <f t="shared" si="14"/>
        <v>Windo22</v>
      </c>
      <c r="C359" s="308" t="str">
        <f t="shared" si="14"/>
        <v>Windows22</v>
      </c>
      <c r="D359" s="308" t="str">
        <f t="shared" si="14"/>
        <v>Windows</v>
      </c>
      <c r="E359" s="308">
        <f t="shared" si="14"/>
        <v>22</v>
      </c>
      <c r="F359" s="308" t="str">
        <f t="shared" si="14"/>
        <v>Single Pane</v>
      </c>
      <c r="G359" s="308" t="str">
        <f t="shared" si="14"/>
        <v>Class 30</v>
      </c>
      <c r="H359" s="308" t="str">
        <f t="shared" si="14"/>
        <v>Heating Zone 2</v>
      </c>
      <c r="I359" s="308" t="str">
        <f t="shared" si="14"/>
        <v>Windows - Single Pane to Class 30 - Heating Zone 2</v>
      </c>
      <c r="J359" s="308" t="s">
        <v>857</v>
      </c>
      <c r="K359" s="230">
        <f>Results!L85</f>
        <v>31.598259034534191</v>
      </c>
      <c r="L359" s="202">
        <v>0</v>
      </c>
    </row>
    <row r="360" spans="1:12" ht="15">
      <c r="A360" s="27" t="s">
        <v>916</v>
      </c>
      <c r="B360" s="308" t="str">
        <f t="shared" si="14"/>
        <v>Windo23</v>
      </c>
      <c r="C360" s="308" t="str">
        <f t="shared" si="14"/>
        <v>Windows23</v>
      </c>
      <c r="D360" s="308" t="str">
        <f t="shared" si="14"/>
        <v>Windows</v>
      </c>
      <c r="E360" s="308">
        <f t="shared" si="14"/>
        <v>23</v>
      </c>
      <c r="F360" s="308" t="str">
        <f t="shared" si="14"/>
        <v>Double Pane</v>
      </c>
      <c r="G360" s="308" t="str">
        <f t="shared" si="14"/>
        <v>Class 30</v>
      </c>
      <c r="H360" s="308" t="str">
        <f t="shared" si="14"/>
        <v>Heating Zone 2</v>
      </c>
      <c r="I360" s="308" t="str">
        <f t="shared" si="14"/>
        <v>Windows - Double Pane to Class 30 - Heating Zone 2</v>
      </c>
      <c r="J360" s="308" t="s">
        <v>857</v>
      </c>
      <c r="K360" s="230">
        <f>Results!L86</f>
        <v>17.689902259100037</v>
      </c>
      <c r="L360" s="202">
        <v>0</v>
      </c>
    </row>
    <row r="361" spans="1:12" ht="15">
      <c r="A361" s="27" t="s">
        <v>917</v>
      </c>
      <c r="B361" s="308" t="str">
        <f t="shared" si="14"/>
        <v>Windo24</v>
      </c>
      <c r="C361" s="308" t="str">
        <f t="shared" si="14"/>
        <v>Windows24</v>
      </c>
      <c r="D361" s="308" t="str">
        <f t="shared" si="14"/>
        <v>Windows</v>
      </c>
      <c r="E361" s="308">
        <f t="shared" si="14"/>
        <v>24</v>
      </c>
      <c r="F361" s="308" t="str">
        <f t="shared" si="14"/>
        <v>Class 35</v>
      </c>
      <c r="G361" s="308" t="str">
        <f t="shared" si="14"/>
        <v>Class 30</v>
      </c>
      <c r="H361" s="308" t="str">
        <f t="shared" si="14"/>
        <v>Heating Zone 2</v>
      </c>
      <c r="I361" s="308" t="str">
        <f t="shared" si="14"/>
        <v>Windows - Class 35 to Class 30 - Heating Zone 2</v>
      </c>
      <c r="J361" s="308" t="s">
        <v>857</v>
      </c>
      <c r="K361" s="230">
        <f>Results!L87</f>
        <v>1.9327474786449097</v>
      </c>
      <c r="L361" s="202">
        <v>0</v>
      </c>
    </row>
    <row r="362" spans="1:12" ht="15">
      <c r="A362" s="27" t="s">
        <v>918</v>
      </c>
      <c r="B362" s="308" t="str">
        <f t="shared" ref="B362:I377" si="15">B224</f>
        <v>Infil10</v>
      </c>
      <c r="C362" s="308" t="str">
        <f t="shared" si="15"/>
        <v>Infiltration10</v>
      </c>
      <c r="D362" s="308" t="str">
        <f t="shared" si="15"/>
        <v>Infiltration</v>
      </c>
      <c r="E362" s="308">
        <f t="shared" si="15"/>
        <v>10</v>
      </c>
      <c r="F362" s="308" t="str">
        <f t="shared" si="15"/>
        <v>0.45 ACHn</v>
      </c>
      <c r="G362" s="308" t="str">
        <f t="shared" si="15"/>
        <v>0.35 ACHn</v>
      </c>
      <c r="H362" s="308" t="str">
        <f t="shared" si="15"/>
        <v>Heating Zone 2</v>
      </c>
      <c r="I362" s="308" t="str">
        <f t="shared" si="15"/>
        <v>Infiltration Reduction - 0.45 ACHn to 0.35 ACHn - Heating Zone 2</v>
      </c>
      <c r="J362" s="308" t="s">
        <v>857</v>
      </c>
      <c r="K362" s="266">
        <f>Results!L88</f>
        <v>0</v>
      </c>
      <c r="L362" s="202">
        <v>0</v>
      </c>
    </row>
    <row r="363" spans="1:12" ht="15">
      <c r="A363" s="27" t="s">
        <v>919</v>
      </c>
      <c r="B363" s="308" t="str">
        <f t="shared" si="15"/>
        <v>Infil11</v>
      </c>
      <c r="C363" s="308" t="str">
        <f t="shared" si="15"/>
        <v>Infiltration11</v>
      </c>
      <c r="D363" s="308" t="str">
        <f t="shared" si="15"/>
        <v>Infiltration</v>
      </c>
      <c r="E363" s="308">
        <f t="shared" si="15"/>
        <v>11</v>
      </c>
      <c r="F363" s="308" t="str">
        <f t="shared" si="15"/>
        <v>0.45 ACHn</v>
      </c>
      <c r="G363" s="308" t="str">
        <f t="shared" si="15"/>
        <v>0.20 ACHn</v>
      </c>
      <c r="H363" s="308" t="str">
        <f t="shared" si="15"/>
        <v>Heating Zone 2</v>
      </c>
      <c r="I363" s="308" t="str">
        <f t="shared" si="15"/>
        <v>Infiltration Reduction - 0.45 ACHn to 0.20 ACHn - Heating Zone 2</v>
      </c>
      <c r="J363" s="308" t="s">
        <v>857</v>
      </c>
      <c r="K363" s="239">
        <f>Results!L89</f>
        <v>0</v>
      </c>
      <c r="L363" s="202">
        <v>0</v>
      </c>
    </row>
    <row r="364" spans="1:12" ht="15">
      <c r="A364" s="27" t="s">
        <v>920</v>
      </c>
      <c r="B364" s="308" t="str">
        <f t="shared" si="15"/>
        <v>Infil12</v>
      </c>
      <c r="C364" s="308" t="str">
        <f t="shared" si="15"/>
        <v>Infiltration12</v>
      </c>
      <c r="D364" s="308" t="str">
        <f t="shared" si="15"/>
        <v>Infiltration</v>
      </c>
      <c r="E364" s="308">
        <f t="shared" si="15"/>
        <v>12</v>
      </c>
      <c r="F364" s="308" t="str">
        <f t="shared" si="15"/>
        <v>0.35 ACHn</v>
      </c>
      <c r="G364" s="308" t="str">
        <f t="shared" si="15"/>
        <v>0.20 ACHn</v>
      </c>
      <c r="H364" s="308" t="str">
        <f t="shared" si="15"/>
        <v>Heating Zone 2</v>
      </c>
      <c r="I364" s="308" t="str">
        <f t="shared" si="15"/>
        <v>Infiltration Reduction - 0.35 ACHn to 0.20 ACHn - Heating Zone 2</v>
      </c>
      <c r="J364" s="308" t="s">
        <v>857</v>
      </c>
      <c r="K364" s="276">
        <f>Results!L90</f>
        <v>0</v>
      </c>
      <c r="L364" s="202">
        <v>0</v>
      </c>
    </row>
    <row r="365" spans="1:12" ht="15">
      <c r="A365" s="27" t="s">
        <v>921</v>
      </c>
      <c r="B365" s="308" t="str">
        <f t="shared" si="15"/>
        <v>DuctT10</v>
      </c>
      <c r="C365" s="308" t="str">
        <f t="shared" si="15"/>
        <v>DuctTightness10</v>
      </c>
      <c r="D365" s="308" t="str">
        <f t="shared" si="15"/>
        <v>DuctTightness</v>
      </c>
      <c r="E365" s="308">
        <f t="shared" si="15"/>
        <v>10</v>
      </c>
      <c r="F365" s="308" t="str">
        <f t="shared" si="15"/>
        <v>Std-crawl</v>
      </c>
      <c r="G365" s="308" t="str">
        <f t="shared" si="15"/>
        <v>PTCS-crawl</v>
      </c>
      <c r="H365" s="308" t="str">
        <f t="shared" si="15"/>
        <v>Heating Zone 2</v>
      </c>
      <c r="I365" s="308" t="str">
        <f t="shared" si="15"/>
        <v>DuctTightness - Std-crawl to PTCS-crawl - Heating Zone 2</v>
      </c>
      <c r="J365" s="308" t="s">
        <v>857</v>
      </c>
      <c r="K365" s="278">
        <f>Results!L91</f>
        <v>518.45398848500201</v>
      </c>
      <c r="L365" s="202">
        <v>0</v>
      </c>
    </row>
    <row r="366" spans="1:12" ht="15">
      <c r="A366" s="27" t="s">
        <v>922</v>
      </c>
      <c r="B366" s="308" t="str">
        <f t="shared" si="15"/>
        <v>DuctI10</v>
      </c>
      <c r="C366" s="308" t="str">
        <f t="shared" si="15"/>
        <v>DuctInsulation10</v>
      </c>
      <c r="D366" s="308" t="str">
        <f t="shared" si="15"/>
        <v>DuctInsulation</v>
      </c>
      <c r="E366" s="308">
        <f t="shared" si="15"/>
        <v>10</v>
      </c>
      <c r="F366" s="308" t="str">
        <f t="shared" si="15"/>
        <v>R-0</v>
      </c>
      <c r="G366" s="308" t="str">
        <f t="shared" si="15"/>
        <v>R-4.2</v>
      </c>
      <c r="H366" s="308" t="str">
        <f t="shared" si="15"/>
        <v>Heating Zone 2</v>
      </c>
      <c r="I366" s="308" t="str">
        <f t="shared" si="15"/>
        <v>DuctInsulation - R-0 to R-4.2 - Heating Zone 2</v>
      </c>
      <c r="J366" s="308" t="s">
        <v>857</v>
      </c>
      <c r="K366" s="282">
        <f>Results!L92</f>
        <v>103.65014884500056</v>
      </c>
      <c r="L366" s="202">
        <v>0</v>
      </c>
    </row>
    <row r="367" spans="1:12" ht="15">
      <c r="A367" s="27" t="s">
        <v>923</v>
      </c>
      <c r="B367" s="308" t="str">
        <f t="shared" si="15"/>
        <v>DuctI11</v>
      </c>
      <c r="C367" s="308" t="str">
        <f t="shared" si="15"/>
        <v>DuctInsulation11</v>
      </c>
      <c r="D367" s="308" t="str">
        <f t="shared" si="15"/>
        <v>DuctInsulation</v>
      </c>
      <c r="E367" s="308">
        <f t="shared" si="15"/>
        <v>11</v>
      </c>
      <c r="F367" s="308" t="str">
        <f t="shared" si="15"/>
        <v>R-0</v>
      </c>
      <c r="G367" s="308" t="str">
        <f t="shared" si="15"/>
        <v>R-11</v>
      </c>
      <c r="H367" s="308" t="str">
        <f t="shared" si="15"/>
        <v>Heating Zone 2</v>
      </c>
      <c r="I367" s="308" t="str">
        <f t="shared" si="15"/>
        <v>DuctInsulation - R-0 to R-11 - Heating Zone 2</v>
      </c>
      <c r="J367" s="308" t="s">
        <v>857</v>
      </c>
      <c r="K367" s="284">
        <f>Results!L93</f>
        <v>142.4810315949963</v>
      </c>
      <c r="L367" s="202">
        <v>0</v>
      </c>
    </row>
    <row r="368" spans="1:12" ht="15">
      <c r="A368" s="27" t="s">
        <v>924</v>
      </c>
      <c r="B368" s="308" t="str">
        <f t="shared" si="15"/>
        <v>DuctI12</v>
      </c>
      <c r="C368" s="308" t="str">
        <f t="shared" si="15"/>
        <v>DuctInsulation12</v>
      </c>
      <c r="D368" s="308" t="str">
        <f t="shared" si="15"/>
        <v>DuctInsulation</v>
      </c>
      <c r="E368" s="308">
        <f t="shared" si="15"/>
        <v>12</v>
      </c>
      <c r="F368" s="308" t="str">
        <f t="shared" si="15"/>
        <v>R-4.2</v>
      </c>
      <c r="G368" s="308" t="str">
        <f t="shared" si="15"/>
        <v>R-11</v>
      </c>
      <c r="H368" s="308" t="str">
        <f t="shared" si="15"/>
        <v>Heating Zone 2</v>
      </c>
      <c r="I368" s="308" t="str">
        <f t="shared" si="15"/>
        <v>DuctInsulation - R-4.2 to R-11 - Heating Zone 2</v>
      </c>
      <c r="J368" s="308" t="s">
        <v>857</v>
      </c>
      <c r="K368" s="286">
        <f>Results!L94</f>
        <v>38.830882749995737</v>
      </c>
      <c r="L368" s="202">
        <v>0</v>
      </c>
    </row>
    <row r="369" spans="1:12" ht="15">
      <c r="A369" s="27" t="s">
        <v>925</v>
      </c>
      <c r="B369" s="308" t="str">
        <f t="shared" si="15"/>
        <v>HeatP10</v>
      </c>
      <c r="C369" s="308" t="str">
        <f t="shared" si="15"/>
        <v>HeatPump10</v>
      </c>
      <c r="D369" s="308" t="str">
        <f t="shared" si="15"/>
        <v>HeatPump</v>
      </c>
      <c r="E369" s="308">
        <f t="shared" si="15"/>
        <v>10</v>
      </c>
      <c r="F369" s="308" t="str">
        <f t="shared" si="15"/>
        <v>7.7/13</v>
      </c>
      <c r="G369" s="308" t="str">
        <f t="shared" si="15"/>
        <v>8.5/13</v>
      </c>
      <c r="H369" s="308" t="str">
        <f t="shared" si="15"/>
        <v>Heating Zone 2</v>
      </c>
      <c r="I369" s="308" t="str">
        <f t="shared" si="15"/>
        <v>HeatPump Upgrade - 7.7/13 to 8.5/13 - Heating Zone 2</v>
      </c>
      <c r="J369" s="308" t="s">
        <v>857</v>
      </c>
      <c r="K369" s="284">
        <f>Results!L95</f>
        <v>0</v>
      </c>
      <c r="L369" s="202">
        <v>0</v>
      </c>
    </row>
    <row r="370" spans="1:12" ht="15">
      <c r="A370" s="27" t="s">
        <v>926</v>
      </c>
      <c r="B370" s="308" t="str">
        <f t="shared" si="15"/>
        <v>HeatP11</v>
      </c>
      <c r="C370" s="308" t="str">
        <f t="shared" si="15"/>
        <v>HeatPump11</v>
      </c>
      <c r="D370" s="308" t="str">
        <f t="shared" si="15"/>
        <v>HeatPump</v>
      </c>
      <c r="E370" s="308">
        <f t="shared" si="15"/>
        <v>11</v>
      </c>
      <c r="F370" s="308" t="str">
        <f t="shared" si="15"/>
        <v>7.7/13</v>
      </c>
      <c r="G370" s="308" t="str">
        <f t="shared" si="15"/>
        <v>9.0/14</v>
      </c>
      <c r="H370" s="308" t="str">
        <f t="shared" si="15"/>
        <v>Heating Zone 2</v>
      </c>
      <c r="I370" s="308" t="str">
        <f t="shared" si="15"/>
        <v>HeatPump Upgrade - 7.7/13 to 9.0/14 - Heating Zone 2</v>
      </c>
      <c r="J370" s="308" t="s">
        <v>857</v>
      </c>
      <c r="K370" s="284">
        <f>Results!L96</f>
        <v>0</v>
      </c>
      <c r="L370" s="202">
        <v>0</v>
      </c>
    </row>
    <row r="371" spans="1:12" ht="15">
      <c r="A371" s="27" t="s">
        <v>927</v>
      </c>
      <c r="B371" s="308" t="str">
        <f t="shared" si="15"/>
        <v>HeatP12</v>
      </c>
      <c r="C371" s="308" t="str">
        <f t="shared" si="15"/>
        <v>HeatPump12</v>
      </c>
      <c r="D371" s="308" t="str">
        <f t="shared" si="15"/>
        <v>HeatPump</v>
      </c>
      <c r="E371" s="308">
        <f t="shared" si="15"/>
        <v>12</v>
      </c>
      <c r="F371" s="308" t="str">
        <f t="shared" si="15"/>
        <v>7.7/13</v>
      </c>
      <c r="G371" s="308" t="str">
        <f t="shared" si="15"/>
        <v>8.2/13</v>
      </c>
      <c r="H371" s="308" t="str">
        <f t="shared" si="15"/>
        <v>Heating Zone 2</v>
      </c>
      <c r="I371" s="308" t="str">
        <f t="shared" si="15"/>
        <v>HeatPump Upgrade - 7.7/13 to 8.2/13 - Heating Zone 2</v>
      </c>
      <c r="J371" s="308" t="s">
        <v>857</v>
      </c>
      <c r="K371" s="284">
        <f>Results!L97</f>
        <v>0</v>
      </c>
      <c r="L371" s="202">
        <v>0</v>
      </c>
    </row>
    <row r="372" spans="1:12" ht="15.75" thickBot="1">
      <c r="A372" s="27" t="s">
        <v>928</v>
      </c>
      <c r="B372" s="308" t="str">
        <f t="shared" si="15"/>
        <v>HPCnt10</v>
      </c>
      <c r="C372" s="308" t="str">
        <f t="shared" si="15"/>
        <v>HPCntrls10</v>
      </c>
      <c r="D372" s="308" t="str">
        <f t="shared" si="15"/>
        <v>HPCntrls</v>
      </c>
      <c r="E372" s="308">
        <f t="shared" si="15"/>
        <v>10</v>
      </c>
      <c r="F372" s="308" t="str">
        <f t="shared" si="15"/>
        <v>Standard</v>
      </c>
      <c r="G372" s="308" t="str">
        <f t="shared" si="15"/>
        <v>PTCS</v>
      </c>
      <c r="H372" s="308" t="str">
        <f t="shared" si="15"/>
        <v>Heating Zone 2</v>
      </c>
      <c r="I372" s="308" t="str">
        <f t="shared" si="15"/>
        <v>HPCntrls Upgrade - Standard to PTCS - Heating Zone 2</v>
      </c>
      <c r="J372" s="308" t="s">
        <v>857</v>
      </c>
      <c r="K372" s="301">
        <f>Results!L98</f>
        <v>0</v>
      </c>
      <c r="L372" s="202">
        <v>0</v>
      </c>
    </row>
    <row r="373" spans="1:12" ht="15">
      <c r="A373" s="27" t="s">
        <v>929</v>
      </c>
      <c r="B373" s="308" t="str">
        <f t="shared" si="15"/>
        <v>Walls10</v>
      </c>
      <c r="C373" s="308" t="str">
        <f t="shared" si="15"/>
        <v>Walls10</v>
      </c>
      <c r="D373" s="308" t="str">
        <f t="shared" si="15"/>
        <v>Walls</v>
      </c>
      <c r="E373" s="308">
        <f t="shared" si="15"/>
        <v>10</v>
      </c>
      <c r="F373" s="308" t="str">
        <f t="shared" si="15"/>
        <v>R-0</v>
      </c>
      <c r="G373" s="308" t="str">
        <f t="shared" si="15"/>
        <v>R-11</v>
      </c>
      <c r="H373" s="308" t="str">
        <f t="shared" si="15"/>
        <v>Heating Zone 3</v>
      </c>
      <c r="I373" s="308" t="str">
        <f t="shared" si="15"/>
        <v>Multi Family Weatherization - Insulate Walls - R-0 to R-11 - Heating Zone 3</v>
      </c>
      <c r="J373" s="308" t="s">
        <v>857</v>
      </c>
      <c r="K373" s="218">
        <f>Results!L99</f>
        <v>2.2760980852113253</v>
      </c>
      <c r="L373" s="202">
        <v>0</v>
      </c>
    </row>
    <row r="374" spans="1:12" ht="15">
      <c r="A374" s="27" t="s">
        <v>930</v>
      </c>
      <c r="B374" s="308" t="str">
        <f t="shared" si="15"/>
        <v>BGWal10</v>
      </c>
      <c r="C374" s="308" t="str">
        <f t="shared" si="15"/>
        <v>BGWalls10</v>
      </c>
      <c r="D374" s="308" t="str">
        <f t="shared" si="15"/>
        <v>BGWalls</v>
      </c>
      <c r="E374" s="308">
        <f t="shared" si="15"/>
        <v>10</v>
      </c>
      <c r="F374" s="308" t="str">
        <f t="shared" si="15"/>
        <v>R-0</v>
      </c>
      <c r="G374" s="308" t="str">
        <f t="shared" si="15"/>
        <v>R-11</v>
      </c>
      <c r="H374" s="308" t="str">
        <f t="shared" si="15"/>
        <v>Heating Zone 3</v>
      </c>
      <c r="I374" s="308" t="str">
        <f t="shared" si="15"/>
        <v>Multi Family Weatherization - Insulate BGWalls - R-0 to R-11 - Heating Zone 3</v>
      </c>
      <c r="J374" s="308" t="s">
        <v>857</v>
      </c>
      <c r="K374" s="225">
        <f>Results!L100</f>
        <v>0</v>
      </c>
      <c r="L374" s="202">
        <v>0</v>
      </c>
    </row>
    <row r="375" spans="1:12" ht="15">
      <c r="A375" s="27" t="s">
        <v>931</v>
      </c>
      <c r="B375" s="308" t="str">
        <f t="shared" si="15"/>
        <v>Floor10</v>
      </c>
      <c r="C375" s="308" t="str">
        <f t="shared" si="15"/>
        <v>Floors10</v>
      </c>
      <c r="D375" s="308" t="str">
        <f t="shared" si="15"/>
        <v>Floors</v>
      </c>
      <c r="E375" s="308">
        <f t="shared" si="15"/>
        <v>10</v>
      </c>
      <c r="F375" s="308" t="str">
        <f t="shared" si="15"/>
        <v>R-0</v>
      </c>
      <c r="G375" s="308" t="str">
        <f t="shared" si="15"/>
        <v>R-19</v>
      </c>
      <c r="H375" s="308" t="str">
        <f t="shared" si="15"/>
        <v>Heating Zone 3</v>
      </c>
      <c r="I375" s="308" t="str">
        <f t="shared" si="15"/>
        <v>Multi Family Weatherization - Insulate Floors - R-0 to R-19 - Heating Zone 3</v>
      </c>
      <c r="J375" s="308" t="s">
        <v>857</v>
      </c>
      <c r="K375" s="230">
        <f>Results!L101</f>
        <v>0.87019508074599128</v>
      </c>
      <c r="L375" s="202">
        <v>0</v>
      </c>
    </row>
    <row r="376" spans="1:12" ht="15">
      <c r="A376" s="27" t="s">
        <v>932</v>
      </c>
      <c r="B376" s="308" t="str">
        <f t="shared" si="15"/>
        <v>Floor11</v>
      </c>
      <c r="C376" s="308" t="str">
        <f t="shared" si="15"/>
        <v>Floors11</v>
      </c>
      <c r="D376" s="308" t="str">
        <f t="shared" si="15"/>
        <v>Floors</v>
      </c>
      <c r="E376" s="308">
        <f t="shared" si="15"/>
        <v>11</v>
      </c>
      <c r="F376" s="308" t="str">
        <f t="shared" si="15"/>
        <v>R-0</v>
      </c>
      <c r="G376" s="308" t="str">
        <f t="shared" si="15"/>
        <v>R-25</v>
      </c>
      <c r="H376" s="308" t="str">
        <f t="shared" si="15"/>
        <v>Heating Zone 3</v>
      </c>
      <c r="I376" s="308" t="str">
        <f t="shared" si="15"/>
        <v>Multi Family Weatherization - Insulate Floors - R-0 to R-25 - Heating Zone 3</v>
      </c>
      <c r="J376" s="308" t="s">
        <v>857</v>
      </c>
      <c r="K376" s="239">
        <f>Results!L102</f>
        <v>0.99937294151337086</v>
      </c>
      <c r="L376" s="202">
        <v>0</v>
      </c>
    </row>
    <row r="377" spans="1:12" ht="15">
      <c r="A377" s="27" t="s">
        <v>933</v>
      </c>
      <c r="B377" s="308" t="str">
        <f t="shared" si="15"/>
        <v>Floor12</v>
      </c>
      <c r="C377" s="308" t="str">
        <f t="shared" si="15"/>
        <v>Floors12</v>
      </c>
      <c r="D377" s="308" t="str">
        <f t="shared" si="15"/>
        <v>Floors</v>
      </c>
      <c r="E377" s="308">
        <f t="shared" si="15"/>
        <v>12</v>
      </c>
      <c r="F377" s="308" t="str">
        <f t="shared" si="15"/>
        <v>R-0</v>
      </c>
      <c r="G377" s="308" t="str">
        <f t="shared" si="15"/>
        <v>R-30</v>
      </c>
      <c r="H377" s="308" t="str">
        <f t="shared" si="15"/>
        <v>Heating Zone 3</v>
      </c>
      <c r="I377" s="308" t="str">
        <f t="shared" si="15"/>
        <v>Multi Family Weatherization - Insulate Floors - R-0 to R-30 - Heating Zone 3</v>
      </c>
      <c r="J377" s="308" t="s">
        <v>857</v>
      </c>
      <c r="K377" s="230">
        <f>Results!L103</f>
        <v>1.1361631078181835</v>
      </c>
      <c r="L377" s="202">
        <v>0</v>
      </c>
    </row>
    <row r="378" spans="1:12" ht="15">
      <c r="A378" s="27" t="s">
        <v>934</v>
      </c>
      <c r="B378" s="308" t="str">
        <f t="shared" ref="B378:I392" si="16">B240</f>
        <v>Floor13</v>
      </c>
      <c r="C378" s="308" t="str">
        <f t="shared" si="16"/>
        <v>Floors13</v>
      </c>
      <c r="D378" s="308" t="str">
        <f t="shared" si="16"/>
        <v>Floors</v>
      </c>
      <c r="E378" s="308">
        <f t="shared" si="16"/>
        <v>13</v>
      </c>
      <c r="F378" s="308" t="str">
        <f t="shared" si="16"/>
        <v>R-0</v>
      </c>
      <c r="G378" s="308" t="str">
        <f t="shared" si="16"/>
        <v>R-38</v>
      </c>
      <c r="H378" s="308" t="str">
        <f t="shared" si="16"/>
        <v>Heating Zone 3</v>
      </c>
      <c r="I378" s="308" t="str">
        <f t="shared" si="16"/>
        <v>Multi Family Weatherization - Insulate Floors - R-0 to R-38 - Heating Zone 3</v>
      </c>
      <c r="J378" s="308" t="s">
        <v>857</v>
      </c>
      <c r="K378" s="239">
        <f>Results!L104</f>
        <v>1.1726735664679153</v>
      </c>
      <c r="L378" s="202">
        <v>0</v>
      </c>
    </row>
    <row r="379" spans="1:12" ht="15">
      <c r="A379" s="27" t="s">
        <v>935</v>
      </c>
      <c r="B379" s="308" t="str">
        <f t="shared" si="16"/>
        <v>Floor14</v>
      </c>
      <c r="C379" s="308" t="str">
        <f t="shared" si="16"/>
        <v>Floors14</v>
      </c>
      <c r="D379" s="308" t="str">
        <f t="shared" si="16"/>
        <v>Floors</v>
      </c>
      <c r="E379" s="308">
        <f t="shared" si="16"/>
        <v>14</v>
      </c>
      <c r="F379" s="308" t="str">
        <f t="shared" si="16"/>
        <v>R-19</v>
      </c>
      <c r="G379" s="308" t="str">
        <f t="shared" si="16"/>
        <v>R-25</v>
      </c>
      <c r="H379" s="308" t="str">
        <f t="shared" si="16"/>
        <v>Heating Zone 3</v>
      </c>
      <c r="I379" s="308" t="str">
        <f t="shared" si="16"/>
        <v>Multi Family Weatherization - Insulate Floors - R-19 to R-25 - Heating Zone 3</v>
      </c>
      <c r="J379" s="308" t="s">
        <v>857</v>
      </c>
      <c r="K379" s="239">
        <f>Results!L105</f>
        <v>0.12917786076737955</v>
      </c>
      <c r="L379" s="202">
        <v>0</v>
      </c>
    </row>
    <row r="380" spans="1:12" ht="15">
      <c r="A380" s="27" t="s">
        <v>936</v>
      </c>
      <c r="B380" s="308" t="str">
        <f t="shared" si="16"/>
        <v>Floor15</v>
      </c>
      <c r="C380" s="308" t="str">
        <f t="shared" si="16"/>
        <v>Floors15</v>
      </c>
      <c r="D380" s="308" t="str">
        <f t="shared" si="16"/>
        <v>Floors</v>
      </c>
      <c r="E380" s="308">
        <f t="shared" si="16"/>
        <v>15</v>
      </c>
      <c r="F380" s="308" t="str">
        <f t="shared" si="16"/>
        <v>R-19</v>
      </c>
      <c r="G380" s="308" t="str">
        <f t="shared" si="16"/>
        <v>R-30</v>
      </c>
      <c r="H380" s="308" t="str">
        <f t="shared" si="16"/>
        <v>Heating Zone 3</v>
      </c>
      <c r="I380" s="308" t="str">
        <f t="shared" si="16"/>
        <v>Multi Family Weatherization - Insulate Floors - R-19 to R-30 - Heating Zone 3</v>
      </c>
      <c r="J380" s="308" t="s">
        <v>857</v>
      </c>
      <c r="K380" s="230">
        <f>Results!L106</f>
        <v>0.26596802707219236</v>
      </c>
      <c r="L380" s="202">
        <v>0</v>
      </c>
    </row>
    <row r="381" spans="1:12" ht="15">
      <c r="A381" s="27" t="s">
        <v>937</v>
      </c>
      <c r="B381" s="308" t="str">
        <f t="shared" si="16"/>
        <v>Floor16</v>
      </c>
      <c r="C381" s="308" t="str">
        <f t="shared" si="16"/>
        <v>Floors16</v>
      </c>
      <c r="D381" s="308" t="str">
        <f t="shared" si="16"/>
        <v>Floors</v>
      </c>
      <c r="E381" s="308">
        <f t="shared" si="16"/>
        <v>16</v>
      </c>
      <c r="F381" s="308" t="str">
        <f t="shared" si="16"/>
        <v>R-19</v>
      </c>
      <c r="G381" s="308" t="str">
        <f t="shared" si="16"/>
        <v>R-38</v>
      </c>
      <c r="H381" s="308" t="str">
        <f t="shared" si="16"/>
        <v>Heating Zone 3</v>
      </c>
      <c r="I381" s="308" t="str">
        <f t="shared" si="16"/>
        <v>Multi Family Weatherization - Insulate Floors - R-19 to R-38 - Heating Zone 3</v>
      </c>
      <c r="J381" s="308" t="s">
        <v>857</v>
      </c>
      <c r="K381" s="239">
        <f>Results!L107</f>
        <v>0.30247848572192415</v>
      </c>
      <c r="L381" s="202">
        <v>0</v>
      </c>
    </row>
    <row r="382" spans="1:12" ht="15">
      <c r="A382" s="27" t="s">
        <v>938</v>
      </c>
      <c r="B382" s="308" t="str">
        <f t="shared" si="16"/>
        <v>Floor17</v>
      </c>
      <c r="C382" s="308" t="str">
        <f t="shared" si="16"/>
        <v>Floors17</v>
      </c>
      <c r="D382" s="308" t="str">
        <f t="shared" si="16"/>
        <v>Floors</v>
      </c>
      <c r="E382" s="308">
        <f t="shared" si="16"/>
        <v>17</v>
      </c>
      <c r="F382" s="308" t="str">
        <f t="shared" si="16"/>
        <v>R-11</v>
      </c>
      <c r="G382" s="308" t="str">
        <f t="shared" si="16"/>
        <v>R-30</v>
      </c>
      <c r="H382" s="308" t="str">
        <f t="shared" si="16"/>
        <v>Heating Zone 3</v>
      </c>
      <c r="I382" s="308" t="str">
        <f t="shared" si="16"/>
        <v>Multi Family Weatherization - Insulate Floors - R-11 to R-30 - Heating Zone 3</v>
      </c>
      <c r="J382" s="308" t="s">
        <v>857</v>
      </c>
      <c r="K382" s="239">
        <f>Results!L108</f>
        <v>2.4976591291844934</v>
      </c>
      <c r="L382" s="202">
        <v>0</v>
      </c>
    </row>
    <row r="383" spans="1:12" ht="15">
      <c r="A383" s="27" t="s">
        <v>931</v>
      </c>
      <c r="B383" s="308" t="str">
        <f t="shared" si="16"/>
        <v>Floor18</v>
      </c>
      <c r="C383" s="308" t="str">
        <f t="shared" si="16"/>
        <v>Floors18</v>
      </c>
      <c r="D383" s="308" t="str">
        <f t="shared" si="16"/>
        <v>Floors</v>
      </c>
      <c r="E383" s="308">
        <f t="shared" si="16"/>
        <v>18</v>
      </c>
      <c r="F383" s="308" t="str">
        <f t="shared" si="16"/>
        <v>R-0</v>
      </c>
      <c r="G383" s="308" t="str">
        <f t="shared" si="16"/>
        <v>R-19</v>
      </c>
      <c r="H383" s="308" t="str">
        <f t="shared" si="16"/>
        <v>Heating Zone 3</v>
      </c>
      <c r="I383" s="308" t="str">
        <f t="shared" si="16"/>
        <v>Multi Family Weatherization - Insulate Floors - R-0 to R-19 - Heating Zone 3</v>
      </c>
      <c r="J383" s="308" t="s">
        <v>857</v>
      </c>
      <c r="K383" s="239">
        <f>Results!L109</f>
        <v>0.87019508074599128</v>
      </c>
      <c r="L383" s="202">
        <v>0</v>
      </c>
    </row>
    <row r="384" spans="1:12" ht="15">
      <c r="A384" s="27" t="s">
        <v>939</v>
      </c>
      <c r="B384" s="308" t="str">
        <f t="shared" si="16"/>
        <v>Ceili10</v>
      </c>
      <c r="C384" s="308" t="str">
        <f t="shared" si="16"/>
        <v>Ceiling10</v>
      </c>
      <c r="D384" s="308" t="str">
        <f t="shared" si="16"/>
        <v>Ceiling</v>
      </c>
      <c r="E384" s="308">
        <f t="shared" si="16"/>
        <v>10</v>
      </c>
      <c r="F384" s="308" t="str">
        <f t="shared" si="16"/>
        <v>R-0</v>
      </c>
      <c r="G384" s="308" t="str">
        <f t="shared" si="16"/>
        <v>R-19</v>
      </c>
      <c r="H384" s="308" t="str">
        <f t="shared" si="16"/>
        <v>Heating Zone 3</v>
      </c>
      <c r="I384" s="308" t="str">
        <f t="shared" si="16"/>
        <v>Multi Family Weatherization - Insulate Attic - R-0 to R-19 - Heating Zone 3</v>
      </c>
      <c r="J384" s="308" t="s">
        <v>857</v>
      </c>
      <c r="K384" s="266">
        <f>Results!L110</f>
        <v>0.44255362667272646</v>
      </c>
      <c r="L384" s="202">
        <v>0</v>
      </c>
    </row>
    <row r="385" spans="1:12" ht="15">
      <c r="A385" s="27" t="s">
        <v>940</v>
      </c>
      <c r="B385" s="308" t="str">
        <f t="shared" si="16"/>
        <v>Ceili11</v>
      </c>
      <c r="C385" s="308" t="str">
        <f t="shared" si="16"/>
        <v>Ceiling11</v>
      </c>
      <c r="D385" s="308" t="str">
        <f t="shared" si="16"/>
        <v>Ceiling</v>
      </c>
      <c r="E385" s="308">
        <f t="shared" si="16"/>
        <v>11</v>
      </c>
      <c r="F385" s="308" t="str">
        <f t="shared" si="16"/>
        <v>R-0</v>
      </c>
      <c r="G385" s="308" t="str">
        <f t="shared" si="16"/>
        <v>R-38</v>
      </c>
      <c r="H385" s="308" t="str">
        <f t="shared" si="16"/>
        <v>Heating Zone 3</v>
      </c>
      <c r="I385" s="308" t="str">
        <f t="shared" si="16"/>
        <v>Multi Family Weatherization - Insulate Attic - R-0 to R-38 - Heating Zone 3</v>
      </c>
      <c r="J385" s="308" t="s">
        <v>857</v>
      </c>
      <c r="K385" s="230">
        <f>Results!L111</f>
        <v>0.60409956898409101</v>
      </c>
      <c r="L385" s="202">
        <v>0</v>
      </c>
    </row>
    <row r="386" spans="1:12" ht="15">
      <c r="A386" s="27" t="s">
        <v>941</v>
      </c>
      <c r="B386" s="308" t="str">
        <f t="shared" si="16"/>
        <v>Ceili12</v>
      </c>
      <c r="C386" s="308" t="str">
        <f t="shared" si="16"/>
        <v>Ceiling12</v>
      </c>
      <c r="D386" s="308" t="str">
        <f t="shared" si="16"/>
        <v>Ceiling</v>
      </c>
      <c r="E386" s="308">
        <f t="shared" si="16"/>
        <v>12</v>
      </c>
      <c r="F386" s="308" t="str">
        <f t="shared" si="16"/>
        <v>R-0</v>
      </c>
      <c r="G386" s="308" t="str">
        <f t="shared" si="16"/>
        <v>R-49</v>
      </c>
      <c r="H386" s="308" t="str">
        <f t="shared" si="16"/>
        <v>Heating Zone 3</v>
      </c>
      <c r="I386" s="308" t="str">
        <f t="shared" si="16"/>
        <v>Multi Family Weatherization - Insulate Attic - R-0 to R-49 - Heating Zone 3</v>
      </c>
      <c r="J386" s="308" t="s">
        <v>857</v>
      </c>
      <c r="K386" s="230">
        <f>Results!L112</f>
        <v>0.64168771721818163</v>
      </c>
      <c r="L386" s="202">
        <v>0</v>
      </c>
    </row>
    <row r="387" spans="1:12" ht="15">
      <c r="A387" s="27" t="s">
        <v>942</v>
      </c>
      <c r="B387" s="308" t="str">
        <f t="shared" si="16"/>
        <v>Ceili13</v>
      </c>
      <c r="C387" s="308" t="str">
        <f t="shared" si="16"/>
        <v>Ceiling13</v>
      </c>
      <c r="D387" s="308" t="str">
        <f t="shared" si="16"/>
        <v>Ceiling</v>
      </c>
      <c r="E387" s="308">
        <f t="shared" si="16"/>
        <v>13</v>
      </c>
      <c r="F387" s="308" t="str">
        <f t="shared" si="16"/>
        <v>R-30</v>
      </c>
      <c r="G387" s="308" t="str">
        <f t="shared" si="16"/>
        <v>R-38</v>
      </c>
      <c r="H387" s="308" t="str">
        <f t="shared" si="16"/>
        <v>Heating Zone 3</v>
      </c>
      <c r="I387" s="308" t="str">
        <f t="shared" si="16"/>
        <v>Multi Family Weatherization - Insulate Attic - R-30 to R-38 - Heating Zone 3</v>
      </c>
      <c r="J387" s="308" t="s">
        <v>857</v>
      </c>
      <c r="K387" s="239">
        <f>Results!L113</f>
        <v>4.4575718293182603E-2</v>
      </c>
      <c r="L387" s="202">
        <v>0</v>
      </c>
    </row>
    <row r="388" spans="1:12" ht="15">
      <c r="A388" s="27" t="s">
        <v>943</v>
      </c>
      <c r="B388" s="308" t="str">
        <f t="shared" si="16"/>
        <v>Ceili14</v>
      </c>
      <c r="C388" s="308" t="str">
        <f t="shared" si="16"/>
        <v>Ceiling14</v>
      </c>
      <c r="D388" s="308" t="str">
        <f t="shared" si="16"/>
        <v>Ceiling</v>
      </c>
      <c r="E388" s="308">
        <f t="shared" si="16"/>
        <v>14</v>
      </c>
      <c r="F388" s="308" t="str">
        <f t="shared" si="16"/>
        <v>R-30</v>
      </c>
      <c r="G388" s="308" t="str">
        <f t="shared" si="16"/>
        <v>R-49</v>
      </c>
      <c r="H388" s="308" t="str">
        <f t="shared" si="16"/>
        <v>Heating Zone 3</v>
      </c>
      <c r="I388" s="308" t="str">
        <f t="shared" si="16"/>
        <v>Multi Family Weatherization - Insulate Attic - R-30 to R-49 - Heating Zone 3</v>
      </c>
      <c r="J388" s="308" t="s">
        <v>857</v>
      </c>
      <c r="K388" s="239">
        <f>Results!L114</f>
        <v>8.2163866527273241E-2</v>
      </c>
      <c r="L388" s="202">
        <v>0</v>
      </c>
    </row>
    <row r="389" spans="1:12" ht="15">
      <c r="A389" s="27" t="s">
        <v>944</v>
      </c>
      <c r="B389" s="308" t="str">
        <f t="shared" si="16"/>
        <v>Ceili15</v>
      </c>
      <c r="C389" s="308" t="str">
        <f t="shared" si="16"/>
        <v>Ceiling15</v>
      </c>
      <c r="D389" s="308" t="str">
        <f t="shared" si="16"/>
        <v>Ceiling</v>
      </c>
      <c r="E389" s="308">
        <f t="shared" si="16"/>
        <v>15</v>
      </c>
      <c r="F389" s="308" t="str">
        <f t="shared" si="16"/>
        <v>R-19</v>
      </c>
      <c r="G389" s="308" t="str">
        <f t="shared" si="16"/>
        <v>R-30</v>
      </c>
      <c r="H389" s="308" t="str">
        <f t="shared" si="16"/>
        <v>Heating Zone 3</v>
      </c>
      <c r="I389" s="308" t="str">
        <f t="shared" si="16"/>
        <v>Multi Family Weatherization - Insulate Attic - R-19 to R-30 - Heating Zone 3</v>
      </c>
      <c r="J389" s="308" t="s">
        <v>857</v>
      </c>
      <c r="K389" s="239">
        <f>Results!L115</f>
        <v>0.11697022401818194</v>
      </c>
      <c r="L389" s="202">
        <v>0</v>
      </c>
    </row>
    <row r="390" spans="1:12" ht="15">
      <c r="A390" s="27" t="s">
        <v>945</v>
      </c>
      <c r="B390" s="308" t="str">
        <f t="shared" si="16"/>
        <v>Ceili16</v>
      </c>
      <c r="C390" s="308" t="str">
        <f t="shared" si="16"/>
        <v>Ceiling16</v>
      </c>
      <c r="D390" s="308" t="str">
        <f t="shared" si="16"/>
        <v>Ceiling</v>
      </c>
      <c r="E390" s="308">
        <f t="shared" si="16"/>
        <v>16</v>
      </c>
      <c r="F390" s="308" t="str">
        <f t="shared" si="16"/>
        <v>R-19</v>
      </c>
      <c r="G390" s="308" t="str">
        <f t="shared" si="16"/>
        <v>R-38</v>
      </c>
      <c r="H390" s="308" t="str">
        <f t="shared" si="16"/>
        <v>Heating Zone 3</v>
      </c>
      <c r="I390" s="308" t="str">
        <f t="shared" si="16"/>
        <v>Multi Family Weatherization - Insulate Attic - R-19 to R-38 - Heating Zone 3</v>
      </c>
      <c r="J390" s="308" t="s">
        <v>857</v>
      </c>
      <c r="K390" s="230">
        <f>Results!L116</f>
        <v>0.16154594231136454</v>
      </c>
      <c r="L390" s="202">
        <v>0</v>
      </c>
    </row>
    <row r="391" spans="1:12" ht="15">
      <c r="A391" s="27" t="s">
        <v>946</v>
      </c>
      <c r="B391" s="308" t="str">
        <f t="shared" si="16"/>
        <v>Ceili17</v>
      </c>
      <c r="C391" s="308" t="str">
        <f t="shared" si="16"/>
        <v>Ceiling17</v>
      </c>
      <c r="D391" s="308" t="str">
        <f t="shared" si="16"/>
        <v>Ceiling</v>
      </c>
      <c r="E391" s="308">
        <f t="shared" si="16"/>
        <v>17</v>
      </c>
      <c r="F391" s="308" t="str">
        <f t="shared" si="16"/>
        <v>R-19</v>
      </c>
      <c r="G391" s="308" t="str">
        <f t="shared" si="16"/>
        <v>R-49</v>
      </c>
      <c r="H391" s="308" t="str">
        <f t="shared" si="16"/>
        <v>Heating Zone 3</v>
      </c>
      <c r="I391" s="308" t="str">
        <f t="shared" si="16"/>
        <v>Multi Family Weatherization - Insulate Attic - R-19 to R-49 - Heating Zone 3</v>
      </c>
      <c r="J391" s="308" t="s">
        <v>857</v>
      </c>
      <c r="K391" s="230">
        <f>Results!L117</f>
        <v>0.19913409054545519</v>
      </c>
      <c r="L391" s="202">
        <v>0</v>
      </c>
    </row>
    <row r="392" spans="1:12" ht="15">
      <c r="A392" s="27" t="s">
        <v>947</v>
      </c>
      <c r="B392" s="308" t="str">
        <f t="shared" si="16"/>
        <v>Ceili18</v>
      </c>
      <c r="C392" s="308" t="str">
        <f t="shared" si="16"/>
        <v>Ceiling18</v>
      </c>
      <c r="D392" s="308" t="str">
        <f t="shared" si="16"/>
        <v>Ceiling</v>
      </c>
      <c r="E392" s="308">
        <f t="shared" si="16"/>
        <v>18</v>
      </c>
      <c r="F392" s="308" t="str">
        <f t="shared" si="16"/>
        <v>R-38</v>
      </c>
      <c r="G392" s="308" t="str">
        <f t="shared" si="16"/>
        <v>R-49</v>
      </c>
      <c r="H392" s="308" t="str">
        <f t="shared" si="16"/>
        <v>Heating Zone 3</v>
      </c>
      <c r="I392" s="308" t="str">
        <f t="shared" si="16"/>
        <v>Multi Family Weatherization - Insulate Attic - R-38 to R-49 - Heating Zone 3</v>
      </c>
      <c r="J392" s="308" t="s">
        <v>857</v>
      </c>
      <c r="K392" s="271">
        <f>Results!L118</f>
        <v>3.7588148234090658E-2</v>
      </c>
      <c r="L392" s="202">
        <v>0</v>
      </c>
    </row>
    <row r="393" spans="1:12" ht="15">
      <c r="B393" s="308"/>
      <c r="C393" s="308"/>
      <c r="D393" s="308"/>
      <c r="E393" s="308"/>
      <c r="F393" s="308"/>
      <c r="G393" s="308"/>
      <c r="H393" s="308"/>
      <c r="I393" s="308"/>
      <c r="J393" s="308"/>
      <c r="K393" s="239"/>
      <c r="L393" s="202"/>
    </row>
    <row r="394" spans="1:12" ht="15">
      <c r="B394" s="308"/>
      <c r="C394" s="308"/>
      <c r="D394" s="308"/>
      <c r="E394" s="308"/>
      <c r="F394" s="308"/>
      <c r="G394" s="308"/>
      <c r="H394" s="308"/>
      <c r="I394" s="308"/>
      <c r="J394" s="308"/>
      <c r="K394" s="239"/>
      <c r="L394" s="202"/>
    </row>
    <row r="395" spans="1:12" ht="15">
      <c r="B395" s="308"/>
      <c r="C395" s="308"/>
      <c r="D395" s="308"/>
      <c r="E395" s="308"/>
      <c r="F395" s="308"/>
      <c r="G395" s="308"/>
      <c r="H395" s="308"/>
      <c r="I395" s="308"/>
      <c r="J395" s="308"/>
      <c r="K395" s="239"/>
      <c r="L395" s="202"/>
    </row>
    <row r="396" spans="1:12" ht="15">
      <c r="B396" s="308"/>
      <c r="C396" s="308"/>
      <c r="D396" s="308"/>
      <c r="E396" s="308"/>
      <c r="F396" s="308"/>
      <c r="G396" s="308"/>
      <c r="H396" s="308"/>
      <c r="I396" s="308"/>
      <c r="J396" s="308"/>
      <c r="K396" s="239"/>
      <c r="L396" s="202"/>
    </row>
    <row r="397" spans="1:12" ht="15">
      <c r="B397" s="308"/>
      <c r="C397" s="308"/>
      <c r="D397" s="308"/>
      <c r="E397" s="308"/>
      <c r="F397" s="308"/>
      <c r="G397" s="308"/>
      <c r="H397" s="308"/>
      <c r="I397" s="308"/>
      <c r="J397" s="308"/>
      <c r="K397" s="239"/>
      <c r="L397" s="202"/>
    </row>
    <row r="398" spans="1:12" ht="15">
      <c r="B398" s="308"/>
      <c r="C398" s="308"/>
      <c r="D398" s="308"/>
      <c r="E398" s="308"/>
      <c r="F398" s="308"/>
      <c r="G398" s="308"/>
      <c r="H398" s="308"/>
      <c r="I398" s="308"/>
      <c r="J398" s="308"/>
      <c r="K398" s="239"/>
      <c r="L398" s="202"/>
    </row>
    <row r="399" spans="1:12" ht="15">
      <c r="B399" s="308"/>
      <c r="C399" s="308"/>
      <c r="D399" s="308"/>
      <c r="E399" s="308"/>
      <c r="F399" s="308"/>
      <c r="G399" s="308"/>
      <c r="H399" s="308"/>
      <c r="I399" s="308"/>
      <c r="J399" s="308"/>
      <c r="K399" s="239"/>
      <c r="L399" s="202"/>
    </row>
    <row r="400" spans="1:12" ht="15">
      <c r="B400" s="308"/>
      <c r="C400" s="308"/>
      <c r="D400" s="308"/>
      <c r="E400" s="308"/>
      <c r="F400" s="308"/>
      <c r="G400" s="308"/>
      <c r="H400" s="308"/>
      <c r="I400" s="308"/>
      <c r="J400" s="308"/>
      <c r="K400" s="239"/>
      <c r="L400" s="202"/>
    </row>
    <row r="401" spans="1:12" ht="15">
      <c r="B401" s="308"/>
      <c r="C401" s="308"/>
      <c r="D401" s="308"/>
      <c r="E401" s="308"/>
      <c r="F401" s="308"/>
      <c r="G401" s="308"/>
      <c r="H401" s="308"/>
      <c r="I401" s="308"/>
      <c r="J401" s="308"/>
      <c r="K401" s="239"/>
      <c r="L401" s="202"/>
    </row>
    <row r="402" spans="1:12" ht="15">
      <c r="A402" s="27" t="s">
        <v>948</v>
      </c>
      <c r="B402" s="308" t="str">
        <f t="shared" ref="B402:I409" si="17">B264</f>
        <v>Windo19</v>
      </c>
      <c r="C402" s="308" t="str">
        <f t="shared" si="17"/>
        <v>Windows19</v>
      </c>
      <c r="D402" s="308" t="str">
        <f t="shared" si="17"/>
        <v>Windows</v>
      </c>
      <c r="E402" s="308">
        <f t="shared" si="17"/>
        <v>19</v>
      </c>
      <c r="F402" s="308" t="str">
        <f t="shared" si="17"/>
        <v>Class 35</v>
      </c>
      <c r="G402" s="308" t="str">
        <f t="shared" si="17"/>
        <v>Class 22</v>
      </c>
      <c r="H402" s="308" t="str">
        <f t="shared" si="17"/>
        <v>Heating Zone 3</v>
      </c>
      <c r="I402" s="308" t="str">
        <f t="shared" si="17"/>
        <v>Windows - Class 35 to Class 22 - Heating Zone 3</v>
      </c>
      <c r="J402" s="308" t="s">
        <v>857</v>
      </c>
      <c r="K402" s="239">
        <f>Results!L128</f>
        <v>5.7928765188578097</v>
      </c>
      <c r="L402" s="202">
        <v>0</v>
      </c>
    </row>
    <row r="403" spans="1:12" ht="15">
      <c r="A403" s="27" t="s">
        <v>949</v>
      </c>
      <c r="B403" s="308" t="str">
        <f t="shared" si="17"/>
        <v>Windo20</v>
      </c>
      <c r="C403" s="308" t="str">
        <f t="shared" si="17"/>
        <v>Windows20</v>
      </c>
      <c r="D403" s="308" t="str">
        <f t="shared" si="17"/>
        <v>Windows</v>
      </c>
      <c r="E403" s="308">
        <f t="shared" si="17"/>
        <v>20</v>
      </c>
      <c r="F403" s="308" t="str">
        <f t="shared" si="17"/>
        <v>Single Pane</v>
      </c>
      <c r="G403" s="308" t="str">
        <f t="shared" si="17"/>
        <v>Class 22</v>
      </c>
      <c r="H403" s="308" t="str">
        <f t="shared" si="17"/>
        <v>Heating Zone 3</v>
      </c>
      <c r="I403" s="308" t="str">
        <f t="shared" si="17"/>
        <v>Windows - Single Pane to Class 22 - Heating Zone 3</v>
      </c>
      <c r="J403" s="308" t="s">
        <v>857</v>
      </c>
      <c r="K403" s="239">
        <f>Results!L129</f>
        <v>41.634558119607604</v>
      </c>
      <c r="L403" s="202">
        <v>0</v>
      </c>
    </row>
    <row r="404" spans="1:12" ht="15">
      <c r="A404" s="27" t="s">
        <v>950</v>
      </c>
      <c r="B404" s="308" t="str">
        <f t="shared" si="17"/>
        <v>Windo21</v>
      </c>
      <c r="C404" s="308" t="str">
        <f t="shared" si="17"/>
        <v>Windows21</v>
      </c>
      <c r="D404" s="308" t="str">
        <f t="shared" si="17"/>
        <v>Windows</v>
      </c>
      <c r="E404" s="308">
        <f t="shared" si="17"/>
        <v>21</v>
      </c>
      <c r="F404" s="308" t="str">
        <f t="shared" si="17"/>
        <v>Double Pane</v>
      </c>
      <c r="G404" s="308" t="str">
        <f t="shared" si="17"/>
        <v>Class 22</v>
      </c>
      <c r="H404" s="308" t="str">
        <f t="shared" si="17"/>
        <v>Heating Zone 3</v>
      </c>
      <c r="I404" s="308" t="str">
        <f t="shared" si="17"/>
        <v>Windows - Double Pane to Class 22 - Heating Zone 3</v>
      </c>
      <c r="J404" s="308" t="s">
        <v>857</v>
      </c>
      <c r="K404" s="239">
        <f>Results!L130</f>
        <v>25.151612846231544</v>
      </c>
      <c r="L404" s="202">
        <v>0</v>
      </c>
    </row>
    <row r="405" spans="1:12" ht="15">
      <c r="A405" s="27" t="s">
        <v>951</v>
      </c>
      <c r="B405" s="308" t="str">
        <f t="shared" si="17"/>
        <v>Windo22</v>
      </c>
      <c r="C405" s="308" t="str">
        <f t="shared" si="17"/>
        <v>Windows22</v>
      </c>
      <c r="D405" s="308" t="str">
        <f t="shared" si="17"/>
        <v>Windows</v>
      </c>
      <c r="E405" s="308">
        <f t="shared" si="17"/>
        <v>22</v>
      </c>
      <c r="F405" s="308" t="str">
        <f t="shared" si="17"/>
        <v>Single Pane</v>
      </c>
      <c r="G405" s="308" t="str">
        <f t="shared" si="17"/>
        <v>Class 30</v>
      </c>
      <c r="H405" s="308" t="str">
        <f t="shared" si="17"/>
        <v>Heating Zone 3</v>
      </c>
      <c r="I405" s="308" t="str">
        <f t="shared" si="17"/>
        <v>Windows - Single Pane to Class 30 - Heating Zone 3</v>
      </c>
      <c r="J405" s="308" t="s">
        <v>857</v>
      </c>
      <c r="K405" s="230">
        <f>Results!L131</f>
        <v>38.169948171736593</v>
      </c>
      <c r="L405" s="202">
        <v>0</v>
      </c>
    </row>
    <row r="406" spans="1:12" ht="15">
      <c r="A406" s="27" t="s">
        <v>952</v>
      </c>
      <c r="B406" s="308" t="str">
        <f t="shared" si="17"/>
        <v>Windo23</v>
      </c>
      <c r="C406" s="308" t="str">
        <f t="shared" si="17"/>
        <v>Windows23</v>
      </c>
      <c r="D406" s="308" t="str">
        <f t="shared" si="17"/>
        <v>Windows</v>
      </c>
      <c r="E406" s="308">
        <f t="shared" si="17"/>
        <v>23</v>
      </c>
      <c r="F406" s="308" t="str">
        <f t="shared" si="17"/>
        <v>Double Pane</v>
      </c>
      <c r="G406" s="308" t="str">
        <f t="shared" si="17"/>
        <v>Class 30</v>
      </c>
      <c r="H406" s="308" t="str">
        <f t="shared" si="17"/>
        <v>Heating Zone 3</v>
      </c>
      <c r="I406" s="308" t="str">
        <f t="shared" si="17"/>
        <v>Windows - Double Pane to Class 30 - Heating Zone 3</v>
      </c>
      <c r="J406" s="308" t="s">
        <v>857</v>
      </c>
      <c r="K406" s="230">
        <f>Results!L132</f>
        <v>21.687002898360529</v>
      </c>
      <c r="L406" s="202">
        <v>0</v>
      </c>
    </row>
    <row r="407" spans="1:12" ht="15">
      <c r="A407" s="27" t="s">
        <v>953</v>
      </c>
      <c r="B407" s="308" t="str">
        <f t="shared" si="17"/>
        <v>Windo24</v>
      </c>
      <c r="C407" s="308" t="str">
        <f t="shared" si="17"/>
        <v>Windows24</v>
      </c>
      <c r="D407" s="308" t="str">
        <f t="shared" si="17"/>
        <v>Windows</v>
      </c>
      <c r="E407" s="308">
        <f t="shared" si="17"/>
        <v>24</v>
      </c>
      <c r="F407" s="308" t="str">
        <f t="shared" si="17"/>
        <v>Class 35</v>
      </c>
      <c r="G407" s="308" t="str">
        <f t="shared" si="17"/>
        <v>Class 30</v>
      </c>
      <c r="H407" s="308" t="str">
        <f t="shared" si="17"/>
        <v>Heating Zone 3</v>
      </c>
      <c r="I407" s="308" t="str">
        <f t="shared" si="17"/>
        <v>Windows - Class 35 to Class 30 - Heating Zone 3</v>
      </c>
      <c r="J407" s="308" t="s">
        <v>857</v>
      </c>
      <c r="K407" s="230">
        <f>Results!L133</f>
        <v>2.3282665709867931</v>
      </c>
      <c r="L407" s="202">
        <v>0</v>
      </c>
    </row>
    <row r="408" spans="1:12" ht="15">
      <c r="A408" s="27" t="s">
        <v>954</v>
      </c>
      <c r="B408" s="308" t="str">
        <f t="shared" si="17"/>
        <v>Infil10</v>
      </c>
      <c r="C408" s="308" t="str">
        <f t="shared" si="17"/>
        <v>Infiltration10</v>
      </c>
      <c r="D408" s="308" t="str">
        <f t="shared" si="17"/>
        <v>Infiltration</v>
      </c>
      <c r="E408" s="308">
        <f t="shared" si="17"/>
        <v>10</v>
      </c>
      <c r="F408" s="308" t="str">
        <f t="shared" si="17"/>
        <v>0.45 ACHn</v>
      </c>
      <c r="G408" s="308" t="str">
        <f t="shared" si="17"/>
        <v>0.35 ACHn</v>
      </c>
      <c r="H408" s="308" t="str">
        <f t="shared" si="17"/>
        <v>Heating Zone 3</v>
      </c>
      <c r="I408" s="308" t="str">
        <f t="shared" si="17"/>
        <v>Infiltration Reduction - 0.45 ACHn to 0.35 ACHn - Heating Zone 3</v>
      </c>
      <c r="J408" s="308" t="s">
        <v>857</v>
      </c>
      <c r="K408" s="266">
        <f>Results!L134</f>
        <v>0</v>
      </c>
      <c r="L408" s="202">
        <v>0</v>
      </c>
    </row>
    <row r="409" spans="1:12" ht="15">
      <c r="A409" s="27" t="s">
        <v>955</v>
      </c>
      <c r="B409" s="308" t="str">
        <f t="shared" si="17"/>
        <v>Infil11</v>
      </c>
      <c r="C409" s="308" t="str">
        <f t="shared" si="17"/>
        <v>Infiltration11</v>
      </c>
      <c r="D409" s="308" t="str">
        <f t="shared" si="17"/>
        <v>Infiltration</v>
      </c>
      <c r="E409" s="308">
        <f t="shared" si="17"/>
        <v>11</v>
      </c>
      <c r="F409" s="308" t="str">
        <f t="shared" si="17"/>
        <v>0.45 ACHn</v>
      </c>
      <c r="G409" s="308" t="str">
        <f t="shared" si="17"/>
        <v>0.20 ACHn</v>
      </c>
      <c r="H409" s="308" t="str">
        <f t="shared" si="17"/>
        <v>Heating Zone 3</v>
      </c>
      <c r="I409" s="308" t="str">
        <f t="shared" si="17"/>
        <v>Infiltration Reduction - 0.45 ACHn to 0.20 ACHn - Heating Zone 3</v>
      </c>
      <c r="J409" s="308" t="s">
        <v>857</v>
      </c>
      <c r="K409" s="239">
        <f>Results!L135</f>
        <v>0</v>
      </c>
      <c r="L409" s="202">
        <v>0</v>
      </c>
    </row>
    <row r="410" spans="1:12" ht="15">
      <c r="A410" s="27" t="s">
        <v>956</v>
      </c>
      <c r="B410" s="308" t="str">
        <f t="shared" ref="B410:I419" si="18">B272</f>
        <v>Infil12</v>
      </c>
      <c r="C410" s="308" t="str">
        <f t="shared" si="18"/>
        <v>Infiltration12</v>
      </c>
      <c r="D410" s="308" t="str">
        <f t="shared" si="18"/>
        <v>Infiltration</v>
      </c>
      <c r="E410" s="308">
        <f t="shared" si="18"/>
        <v>12</v>
      </c>
      <c r="F410" s="308" t="str">
        <f t="shared" si="18"/>
        <v>0.35 ACHn</v>
      </c>
      <c r="G410" s="308" t="str">
        <f t="shared" si="18"/>
        <v>0.20 ACHn</v>
      </c>
      <c r="H410" s="308" t="str">
        <f t="shared" si="18"/>
        <v>Heating Zone 3</v>
      </c>
      <c r="I410" s="308" t="str">
        <f t="shared" si="18"/>
        <v>Infiltration Reduction - 0.35 ACHn to 0.20 ACHn - Heating Zone 3</v>
      </c>
      <c r="J410" s="308" t="s">
        <v>857</v>
      </c>
      <c r="K410" s="276">
        <f>Results!L136</f>
        <v>0</v>
      </c>
      <c r="L410" s="202">
        <v>0</v>
      </c>
    </row>
    <row r="411" spans="1:12" ht="15">
      <c r="A411" s="27" t="s">
        <v>957</v>
      </c>
      <c r="B411" s="308" t="str">
        <f t="shared" si="18"/>
        <v>DuctT10</v>
      </c>
      <c r="C411" s="308" t="str">
        <f t="shared" si="18"/>
        <v>DuctTightness10</v>
      </c>
      <c r="D411" s="308" t="str">
        <f t="shared" si="18"/>
        <v>DuctTightness</v>
      </c>
      <c r="E411" s="308">
        <f t="shared" si="18"/>
        <v>10</v>
      </c>
      <c r="F411" s="308" t="str">
        <f t="shared" si="18"/>
        <v>Std-crawl</v>
      </c>
      <c r="G411" s="308" t="str">
        <f t="shared" si="18"/>
        <v>PTCS-crawl</v>
      </c>
      <c r="H411" s="308" t="str">
        <f t="shared" si="18"/>
        <v>Heating Zone 3</v>
      </c>
      <c r="I411" s="308" t="str">
        <f t="shared" si="18"/>
        <v>DuctTightness - Std-crawl to PTCS-crawl - Heating Zone 3</v>
      </c>
      <c r="J411" s="308" t="s">
        <v>857</v>
      </c>
      <c r="K411" s="278">
        <f>Results!L137</f>
        <v>477.1139349500063</v>
      </c>
      <c r="L411" s="202">
        <v>0</v>
      </c>
    </row>
    <row r="412" spans="1:12" ht="15">
      <c r="A412" s="27" t="s">
        <v>958</v>
      </c>
      <c r="B412" s="308" t="str">
        <f t="shared" si="18"/>
        <v>DuctI10</v>
      </c>
      <c r="C412" s="308" t="str">
        <f t="shared" si="18"/>
        <v>DuctInsulation10</v>
      </c>
      <c r="D412" s="308" t="str">
        <f t="shared" si="18"/>
        <v>DuctInsulation</v>
      </c>
      <c r="E412" s="308">
        <f t="shared" si="18"/>
        <v>10</v>
      </c>
      <c r="F412" s="308" t="str">
        <f t="shared" si="18"/>
        <v>R-0</v>
      </c>
      <c r="G412" s="308" t="str">
        <f t="shared" si="18"/>
        <v>R-4.2</v>
      </c>
      <c r="H412" s="308" t="str">
        <f t="shared" si="18"/>
        <v>Heating Zone 3</v>
      </c>
      <c r="I412" s="308" t="str">
        <f t="shared" si="18"/>
        <v>DuctInsulation - R-0 to R-4.2 - Heating Zone 3</v>
      </c>
      <c r="J412" s="308" t="s">
        <v>857</v>
      </c>
      <c r="K412" s="282">
        <f>Results!L138</f>
        <v>113.02670130000314</v>
      </c>
      <c r="L412" s="202">
        <v>0</v>
      </c>
    </row>
    <row r="413" spans="1:12" ht="15">
      <c r="A413" s="27" t="s">
        <v>959</v>
      </c>
      <c r="B413" s="308" t="str">
        <f t="shared" si="18"/>
        <v>DuctI11</v>
      </c>
      <c r="C413" s="308" t="str">
        <f t="shared" si="18"/>
        <v>DuctInsulation11</v>
      </c>
      <c r="D413" s="308" t="str">
        <f t="shared" si="18"/>
        <v>DuctInsulation</v>
      </c>
      <c r="E413" s="308">
        <f t="shared" si="18"/>
        <v>11</v>
      </c>
      <c r="F413" s="308" t="str">
        <f t="shared" si="18"/>
        <v>R-0</v>
      </c>
      <c r="G413" s="308" t="str">
        <f t="shared" si="18"/>
        <v>R-11</v>
      </c>
      <c r="H413" s="308" t="str">
        <f t="shared" si="18"/>
        <v>Heating Zone 3</v>
      </c>
      <c r="I413" s="308" t="str">
        <f t="shared" si="18"/>
        <v>DuctInsulation - R-0 to R-11 - Heating Zone 3</v>
      </c>
      <c r="J413" s="308" t="s">
        <v>857</v>
      </c>
      <c r="K413" s="284">
        <f>Results!L139</f>
        <v>156.0162481500025</v>
      </c>
      <c r="L413" s="202">
        <v>0</v>
      </c>
    </row>
    <row r="414" spans="1:12" ht="15">
      <c r="A414" s="27" t="s">
        <v>960</v>
      </c>
      <c r="B414" s="308" t="str">
        <f t="shared" si="18"/>
        <v>DuctI12</v>
      </c>
      <c r="C414" s="308" t="str">
        <f t="shared" si="18"/>
        <v>DuctInsulation12</v>
      </c>
      <c r="D414" s="308" t="str">
        <f t="shared" si="18"/>
        <v>DuctInsulation</v>
      </c>
      <c r="E414" s="308">
        <f t="shared" si="18"/>
        <v>12</v>
      </c>
      <c r="F414" s="308" t="str">
        <f t="shared" si="18"/>
        <v>R-4.2</v>
      </c>
      <c r="G414" s="308" t="str">
        <f t="shared" si="18"/>
        <v>R-11</v>
      </c>
      <c r="H414" s="308" t="str">
        <f t="shared" si="18"/>
        <v>Heating Zone 3</v>
      </c>
      <c r="I414" s="308" t="str">
        <f t="shared" si="18"/>
        <v>DuctInsulation - R-4.2 to R-11 - Heating Zone 3</v>
      </c>
      <c r="J414" s="308" t="s">
        <v>857</v>
      </c>
      <c r="K414" s="286">
        <f>Results!L140</f>
        <v>42.98954684999935</v>
      </c>
      <c r="L414" s="202">
        <v>0</v>
      </c>
    </row>
    <row r="415" spans="1:12" ht="15">
      <c r="A415" s="27" t="s">
        <v>961</v>
      </c>
      <c r="B415" s="308" t="str">
        <f t="shared" si="18"/>
        <v>HeatP10</v>
      </c>
      <c r="C415" s="308" t="str">
        <f t="shared" si="18"/>
        <v>HeatPump10</v>
      </c>
      <c r="D415" s="308" t="str">
        <f t="shared" si="18"/>
        <v>HeatPump</v>
      </c>
      <c r="E415" s="308">
        <f t="shared" si="18"/>
        <v>10</v>
      </c>
      <c r="F415" s="308" t="str">
        <f t="shared" si="18"/>
        <v>7.7/13</v>
      </c>
      <c r="G415" s="308" t="str">
        <f t="shared" si="18"/>
        <v>8.5/13</v>
      </c>
      <c r="H415" s="308" t="str">
        <f t="shared" si="18"/>
        <v>Heating Zone 3</v>
      </c>
      <c r="I415" s="308" t="str">
        <f t="shared" si="18"/>
        <v>HeatPump Upgrade - 7.7/13 to 8.5/13 - Heating Zone 3</v>
      </c>
      <c r="J415" s="308" t="s">
        <v>857</v>
      </c>
      <c r="K415" s="284">
        <f>Results!L141</f>
        <v>0</v>
      </c>
      <c r="L415" s="202">
        <v>0</v>
      </c>
    </row>
    <row r="416" spans="1:12" ht="15">
      <c r="A416" s="27" t="s">
        <v>962</v>
      </c>
      <c r="B416" s="308" t="str">
        <f t="shared" si="18"/>
        <v>HeatP11</v>
      </c>
      <c r="C416" s="308" t="str">
        <f t="shared" si="18"/>
        <v>HeatPump11</v>
      </c>
      <c r="D416" s="308" t="str">
        <f t="shared" si="18"/>
        <v>HeatPump</v>
      </c>
      <c r="E416" s="308">
        <f t="shared" si="18"/>
        <v>11</v>
      </c>
      <c r="F416" s="308" t="str">
        <f t="shared" si="18"/>
        <v>7.7/13</v>
      </c>
      <c r="G416" s="308" t="str">
        <f t="shared" si="18"/>
        <v>9.0/14</v>
      </c>
      <c r="H416" s="308" t="str">
        <f t="shared" si="18"/>
        <v>Heating Zone 3</v>
      </c>
      <c r="I416" s="308" t="str">
        <f t="shared" si="18"/>
        <v>HeatPump Upgrade - 7.7/13 to 9.0/14 - Heating Zone 3</v>
      </c>
      <c r="J416" s="308" t="s">
        <v>857</v>
      </c>
      <c r="K416" s="284">
        <f>Results!L142</f>
        <v>0</v>
      </c>
      <c r="L416" s="202">
        <v>0</v>
      </c>
    </row>
    <row r="417" spans="1:12" ht="15">
      <c r="A417" s="27" t="s">
        <v>963</v>
      </c>
      <c r="B417" s="308" t="str">
        <f t="shared" si="18"/>
        <v>HeatP12</v>
      </c>
      <c r="C417" s="308" t="str">
        <f t="shared" si="18"/>
        <v>HeatPump12</v>
      </c>
      <c r="D417" s="308" t="str">
        <f t="shared" si="18"/>
        <v>HeatPump</v>
      </c>
      <c r="E417" s="308">
        <f t="shared" si="18"/>
        <v>12</v>
      </c>
      <c r="F417" s="308" t="str">
        <f t="shared" si="18"/>
        <v>7.7/13</v>
      </c>
      <c r="G417" s="308" t="str">
        <f t="shared" si="18"/>
        <v>8.2/13</v>
      </c>
      <c r="H417" s="308" t="str">
        <f t="shared" si="18"/>
        <v>Heating Zone 3</v>
      </c>
      <c r="I417" s="308" t="str">
        <f t="shared" si="18"/>
        <v>HeatPump Upgrade - 7.7/13 to 8.2/13 - Heating Zone 3</v>
      </c>
      <c r="J417" s="308" t="s">
        <v>857</v>
      </c>
      <c r="K417" s="284">
        <f>Results!L143</f>
        <v>0</v>
      </c>
      <c r="L417" s="202">
        <v>0</v>
      </c>
    </row>
    <row r="418" spans="1:12" ht="15.75" thickBot="1">
      <c r="A418" s="27" t="s">
        <v>964</v>
      </c>
      <c r="B418" s="308" t="str">
        <f t="shared" si="18"/>
        <v>HPCnt10</v>
      </c>
      <c r="C418" s="308" t="str">
        <f t="shared" si="18"/>
        <v>HPCntrls10</v>
      </c>
      <c r="D418" s="308" t="str">
        <f t="shared" si="18"/>
        <v>HPCntrls</v>
      </c>
      <c r="E418" s="308">
        <f t="shared" si="18"/>
        <v>10</v>
      </c>
      <c r="F418" s="308" t="str">
        <f t="shared" si="18"/>
        <v>Standard</v>
      </c>
      <c r="G418" s="308" t="str">
        <f t="shared" si="18"/>
        <v>PTCS</v>
      </c>
      <c r="H418" s="308" t="str">
        <f t="shared" si="18"/>
        <v>Heating Zone 3</v>
      </c>
      <c r="I418" s="308" t="str">
        <f t="shared" si="18"/>
        <v>HPCntrls Upgrade - Standard to PTCS - Heating Zone 3</v>
      </c>
      <c r="J418" s="308" t="s">
        <v>857</v>
      </c>
      <c r="K418" s="301">
        <f>Results!L144</f>
        <v>0</v>
      </c>
      <c r="L418" s="202">
        <v>0</v>
      </c>
    </row>
    <row r="419" spans="1:12" ht="15">
      <c r="A419" s="27" t="s">
        <v>965</v>
      </c>
      <c r="B419" s="308" t="str">
        <f>B281</f>
        <v>Walls10</v>
      </c>
      <c r="C419" s="308" t="str">
        <f t="shared" si="18"/>
        <v>Walls10</v>
      </c>
      <c r="D419" s="308" t="str">
        <f t="shared" si="18"/>
        <v>Walls</v>
      </c>
      <c r="E419" s="308">
        <f t="shared" si="18"/>
        <v>10</v>
      </c>
      <c r="F419" s="308" t="str">
        <f t="shared" si="18"/>
        <v>R-0</v>
      </c>
      <c r="G419" s="308" t="str">
        <f t="shared" si="18"/>
        <v>R-11</v>
      </c>
      <c r="H419" s="308" t="str">
        <f t="shared" si="18"/>
        <v>Heating Zone 1</v>
      </c>
      <c r="I419" s="308" t="str">
        <f t="shared" si="18"/>
        <v>Multi Family Weatherization - Insulate Walls - R-0 to R-11 - Heating Zone 1</v>
      </c>
      <c r="J419" s="308" t="s">
        <v>966</v>
      </c>
      <c r="K419" s="309">
        <f>Results!M7</f>
        <v>0.52529241316209985</v>
      </c>
      <c r="L419" s="310">
        <f>Results!N7</f>
        <v>-3.0864553699292457E-2</v>
      </c>
    </row>
    <row r="420" spans="1:12" ht="15">
      <c r="A420" s="27" t="s">
        <v>967</v>
      </c>
      <c r="B420" s="308" t="str">
        <f t="shared" ref="B420:I435" si="19">B282</f>
        <v>BGWal10</v>
      </c>
      <c r="C420" s="308" t="str">
        <f t="shared" si="19"/>
        <v>BGWalls10</v>
      </c>
      <c r="D420" s="308" t="str">
        <f t="shared" si="19"/>
        <v>BGWalls</v>
      </c>
      <c r="E420" s="308">
        <f t="shared" si="19"/>
        <v>10</v>
      </c>
      <c r="F420" s="308" t="str">
        <f t="shared" si="19"/>
        <v>R-0</v>
      </c>
      <c r="G420" s="308" t="str">
        <f t="shared" si="19"/>
        <v>R-11</v>
      </c>
      <c r="H420" s="308" t="str">
        <f t="shared" si="19"/>
        <v>Heating Zone 1</v>
      </c>
      <c r="I420" s="308" t="str">
        <f t="shared" si="19"/>
        <v>Multi Family Weatherization - Insulate BGWalls - R-0 to R-11 - Heating Zone 1</v>
      </c>
      <c r="J420" s="308" t="s">
        <v>966</v>
      </c>
      <c r="K420" s="311">
        <f>Results!M8</f>
        <v>0</v>
      </c>
      <c r="L420" s="312">
        <f>Results!N8</f>
        <v>0</v>
      </c>
    </row>
    <row r="421" spans="1:12" ht="15">
      <c r="A421" s="27" t="s">
        <v>968</v>
      </c>
      <c r="B421" s="308" t="str">
        <f t="shared" si="19"/>
        <v>Floor10</v>
      </c>
      <c r="C421" s="308" t="str">
        <f t="shared" si="19"/>
        <v>Floors10</v>
      </c>
      <c r="D421" s="308" t="str">
        <f t="shared" si="19"/>
        <v>Floors</v>
      </c>
      <c r="E421" s="308">
        <f t="shared" si="19"/>
        <v>10</v>
      </c>
      <c r="F421" s="308" t="str">
        <f t="shared" si="19"/>
        <v>R-0</v>
      </c>
      <c r="G421" s="308" t="str">
        <f t="shared" si="19"/>
        <v>R-19</v>
      </c>
      <c r="H421" s="308" t="str">
        <f t="shared" si="19"/>
        <v>Heating Zone 1</v>
      </c>
      <c r="I421" s="308" t="str">
        <f t="shared" si="19"/>
        <v>Multi Family Weatherization - Insulate Floors - R-0 to R-19 - Heating Zone 1</v>
      </c>
      <c r="J421" s="308" t="s">
        <v>966</v>
      </c>
      <c r="K421" s="313">
        <f>Results!M9</f>
        <v>0.21960467914438481</v>
      </c>
      <c r="L421" s="314">
        <f>Results!N9</f>
        <v>-8.6636310361898422E-2</v>
      </c>
    </row>
    <row r="422" spans="1:12" ht="15">
      <c r="A422" s="27" t="s">
        <v>969</v>
      </c>
      <c r="B422" s="308" t="str">
        <f t="shared" si="19"/>
        <v>Floor11</v>
      </c>
      <c r="C422" s="308" t="str">
        <f t="shared" si="19"/>
        <v>Floors11</v>
      </c>
      <c r="D422" s="308" t="str">
        <f t="shared" si="19"/>
        <v>Floors</v>
      </c>
      <c r="E422" s="308">
        <f t="shared" si="19"/>
        <v>11</v>
      </c>
      <c r="F422" s="308" t="str">
        <f t="shared" si="19"/>
        <v>R-0</v>
      </c>
      <c r="G422" s="308" t="str">
        <f t="shared" si="19"/>
        <v>R-25</v>
      </c>
      <c r="H422" s="308" t="str">
        <f t="shared" si="19"/>
        <v>Heating Zone 1</v>
      </c>
      <c r="I422" s="308" t="str">
        <f t="shared" si="19"/>
        <v>Multi Family Weatherization - Insulate Floors - R-0 to R-25 - Heating Zone 1</v>
      </c>
      <c r="J422" s="308" t="s">
        <v>966</v>
      </c>
      <c r="K422" s="315">
        <f>Results!M10</f>
        <v>0.25212687952186219</v>
      </c>
      <c r="L422" s="316">
        <f>Results!N10</f>
        <v>-0.100391841011631</v>
      </c>
    </row>
    <row r="423" spans="1:12" ht="15">
      <c r="A423" s="27" t="s">
        <v>970</v>
      </c>
      <c r="B423" s="308" t="str">
        <f t="shared" si="19"/>
        <v>Floor12</v>
      </c>
      <c r="C423" s="308" t="str">
        <f t="shared" si="19"/>
        <v>Floors12</v>
      </c>
      <c r="D423" s="308" t="str">
        <f t="shared" si="19"/>
        <v>Floors</v>
      </c>
      <c r="E423" s="308">
        <f t="shared" si="19"/>
        <v>12</v>
      </c>
      <c r="F423" s="308" t="str">
        <f t="shared" si="19"/>
        <v>R-0</v>
      </c>
      <c r="G423" s="308" t="str">
        <f t="shared" si="19"/>
        <v>R-30</v>
      </c>
      <c r="H423" s="308" t="str">
        <f t="shared" si="19"/>
        <v>Heating Zone 1</v>
      </c>
      <c r="I423" s="308" t="str">
        <f t="shared" si="19"/>
        <v>Multi Family Weatherization - Insulate Floors - R-0 to R-30 - Heating Zone 1</v>
      </c>
      <c r="J423" s="308" t="s">
        <v>966</v>
      </c>
      <c r="K423" s="313">
        <f>Results!M11</f>
        <v>0.2864354907203524</v>
      </c>
      <c r="L423" s="314">
        <f>Results!N11</f>
        <v>-0.11521063892593582</v>
      </c>
    </row>
    <row r="424" spans="1:12" ht="15">
      <c r="A424" s="27" t="s">
        <v>971</v>
      </c>
      <c r="B424" s="308" t="str">
        <f t="shared" si="19"/>
        <v>Floor13</v>
      </c>
      <c r="C424" s="308" t="str">
        <f t="shared" si="19"/>
        <v>Floors13</v>
      </c>
      <c r="D424" s="308" t="str">
        <f t="shared" si="19"/>
        <v>Floors</v>
      </c>
      <c r="E424" s="308">
        <f t="shared" si="19"/>
        <v>13</v>
      </c>
      <c r="F424" s="308" t="str">
        <f t="shared" si="19"/>
        <v>R-0</v>
      </c>
      <c r="G424" s="308" t="str">
        <f t="shared" si="19"/>
        <v>R-38</v>
      </c>
      <c r="H424" s="308" t="str">
        <f t="shared" si="19"/>
        <v>Heating Zone 1</v>
      </c>
      <c r="I424" s="308" t="str">
        <f t="shared" si="19"/>
        <v>Multi Family Weatherization - Insulate Floors - R-0 to R-38 - Heating Zone 1</v>
      </c>
      <c r="J424" s="308" t="s">
        <v>966</v>
      </c>
      <c r="K424" s="315">
        <f>Results!M12</f>
        <v>0.29568507392261717</v>
      </c>
      <c r="L424" s="316">
        <f>Results!N12</f>
        <v>-0.11920611403877007</v>
      </c>
    </row>
    <row r="425" spans="1:12" ht="15">
      <c r="A425" s="27" t="s">
        <v>972</v>
      </c>
      <c r="B425" s="308" t="str">
        <f t="shared" si="19"/>
        <v>Floor14</v>
      </c>
      <c r="C425" s="308" t="str">
        <f t="shared" si="19"/>
        <v>Floors14</v>
      </c>
      <c r="D425" s="308" t="str">
        <f t="shared" si="19"/>
        <v>Floors</v>
      </c>
      <c r="E425" s="308">
        <f t="shared" si="19"/>
        <v>14</v>
      </c>
      <c r="F425" s="308" t="str">
        <f t="shared" si="19"/>
        <v>R-19</v>
      </c>
      <c r="G425" s="308" t="str">
        <f t="shared" si="19"/>
        <v>R-25</v>
      </c>
      <c r="H425" s="308" t="str">
        <f t="shared" si="19"/>
        <v>Heating Zone 1</v>
      </c>
      <c r="I425" s="308" t="str">
        <f t="shared" si="19"/>
        <v>Multi Family Weatherization - Insulate Floors - R-19 to R-25 - Heating Zone 1</v>
      </c>
      <c r="J425" s="308" t="s">
        <v>966</v>
      </c>
      <c r="K425" s="315">
        <f>Results!M13</f>
        <v>3.2522200377477391E-2</v>
      </c>
      <c r="L425" s="316">
        <f>Results!N13</f>
        <v>-1.375553064973258E-2</v>
      </c>
    </row>
    <row r="426" spans="1:12" ht="15">
      <c r="A426" s="27" t="s">
        <v>973</v>
      </c>
      <c r="B426" s="308" t="str">
        <f t="shared" si="19"/>
        <v>Floor15</v>
      </c>
      <c r="C426" s="308" t="str">
        <f t="shared" si="19"/>
        <v>Floors15</v>
      </c>
      <c r="D426" s="308" t="str">
        <f t="shared" si="19"/>
        <v>Floors</v>
      </c>
      <c r="E426" s="308">
        <f t="shared" si="19"/>
        <v>15</v>
      </c>
      <c r="F426" s="308" t="str">
        <f t="shared" si="19"/>
        <v>R-19</v>
      </c>
      <c r="G426" s="308" t="str">
        <f t="shared" si="19"/>
        <v>R-30</v>
      </c>
      <c r="H426" s="308" t="str">
        <f t="shared" si="19"/>
        <v>Heating Zone 1</v>
      </c>
      <c r="I426" s="308" t="str">
        <f t="shared" si="19"/>
        <v>Multi Family Weatherization - Insulate Floors - R-19 to R-30 - Heating Zone 1</v>
      </c>
      <c r="J426" s="308" t="s">
        <v>966</v>
      </c>
      <c r="K426" s="313">
        <f>Results!M14</f>
        <v>6.6830811575967569E-2</v>
      </c>
      <c r="L426" s="314">
        <f>Results!N14</f>
        <v>-2.8574328564037403E-2</v>
      </c>
    </row>
    <row r="427" spans="1:12" ht="15">
      <c r="A427" s="27" t="s">
        <v>974</v>
      </c>
      <c r="B427" s="308" t="str">
        <f t="shared" si="19"/>
        <v>Floor16</v>
      </c>
      <c r="C427" s="308" t="str">
        <f t="shared" si="19"/>
        <v>Floors16</v>
      </c>
      <c r="D427" s="308" t="str">
        <f t="shared" si="19"/>
        <v>Floors</v>
      </c>
      <c r="E427" s="308">
        <f t="shared" si="19"/>
        <v>16</v>
      </c>
      <c r="F427" s="308" t="str">
        <f t="shared" si="19"/>
        <v>R-19</v>
      </c>
      <c r="G427" s="308" t="str">
        <f t="shared" si="19"/>
        <v>R-38</v>
      </c>
      <c r="H427" s="308" t="str">
        <f t="shared" si="19"/>
        <v>Heating Zone 1</v>
      </c>
      <c r="I427" s="308" t="str">
        <f t="shared" si="19"/>
        <v>Multi Family Weatherization - Insulate Floors - R-19 to R-38 - Heating Zone 1</v>
      </c>
      <c r="J427" s="308" t="s">
        <v>966</v>
      </c>
      <c r="K427" s="315">
        <f>Results!M15</f>
        <v>7.6080394778232363E-2</v>
      </c>
      <c r="L427" s="316">
        <f>Results!N15</f>
        <v>-3.2569803676871636E-2</v>
      </c>
    </row>
    <row r="428" spans="1:12" ht="15">
      <c r="A428" s="27" t="s">
        <v>975</v>
      </c>
      <c r="B428" s="308" t="str">
        <f t="shared" si="19"/>
        <v>Floor17</v>
      </c>
      <c r="C428" s="308" t="str">
        <f t="shared" si="19"/>
        <v>Floors17</v>
      </c>
      <c r="D428" s="308" t="str">
        <f t="shared" si="19"/>
        <v>Floors</v>
      </c>
      <c r="E428" s="308">
        <f t="shared" si="19"/>
        <v>17</v>
      </c>
      <c r="F428" s="308" t="str">
        <f t="shared" si="19"/>
        <v>R-11</v>
      </c>
      <c r="G428" s="308" t="str">
        <f t="shared" si="19"/>
        <v>R-30</v>
      </c>
      <c r="H428" s="308" t="str">
        <f t="shared" si="19"/>
        <v>Heating Zone 1</v>
      </c>
      <c r="I428" s="308" t="str">
        <f t="shared" si="19"/>
        <v>Multi Family Weatherization - Insulate Floors - R-11 to R-30 - Heating Zone 1</v>
      </c>
      <c r="J428" s="308" t="s">
        <v>966</v>
      </c>
      <c r="K428" s="315">
        <f>Results!M16</f>
        <v>0.63498509751494203</v>
      </c>
      <c r="L428" s="316">
        <f>Results!N16</f>
        <v>-0.23090533568088228</v>
      </c>
    </row>
    <row r="429" spans="1:12" ht="15">
      <c r="A429" s="27" t="s">
        <v>968</v>
      </c>
      <c r="B429" s="308" t="str">
        <f t="shared" si="19"/>
        <v>Floor18</v>
      </c>
      <c r="C429" s="308" t="str">
        <f t="shared" si="19"/>
        <v>Floors18</v>
      </c>
      <c r="D429" s="308" t="str">
        <f t="shared" si="19"/>
        <v>Floors</v>
      </c>
      <c r="E429" s="308">
        <f t="shared" si="19"/>
        <v>18</v>
      </c>
      <c r="F429" s="308" t="str">
        <f t="shared" si="19"/>
        <v>R-0</v>
      </c>
      <c r="G429" s="308" t="str">
        <f t="shared" si="19"/>
        <v>R-19</v>
      </c>
      <c r="H429" s="308" t="str">
        <f t="shared" si="19"/>
        <v>Heating Zone 1</v>
      </c>
      <c r="I429" s="308" t="str">
        <f t="shared" si="19"/>
        <v>Multi Family Weatherization - Insulate Floors - R-0 to R-19 - Heating Zone 1</v>
      </c>
      <c r="J429" s="308" t="s">
        <v>966</v>
      </c>
      <c r="K429" s="315">
        <f>Results!M17</f>
        <v>0.21960467914438481</v>
      </c>
      <c r="L429" s="316">
        <f>Results!N17</f>
        <v>-8.6636310361898422E-2</v>
      </c>
    </row>
    <row r="430" spans="1:12" ht="15">
      <c r="A430" s="27" t="s">
        <v>976</v>
      </c>
      <c r="B430" s="308" t="str">
        <f t="shared" si="19"/>
        <v>Ceili10</v>
      </c>
      <c r="C430" s="308" t="str">
        <f t="shared" si="19"/>
        <v>Ceiling10</v>
      </c>
      <c r="D430" s="308" t="str">
        <f t="shared" si="19"/>
        <v>Ceiling</v>
      </c>
      <c r="E430" s="308">
        <f t="shared" si="19"/>
        <v>10</v>
      </c>
      <c r="F430" s="308" t="str">
        <f t="shared" si="19"/>
        <v>R-0</v>
      </c>
      <c r="G430" s="308" t="str">
        <f t="shared" si="19"/>
        <v>R-19</v>
      </c>
      <c r="H430" s="308" t="str">
        <f t="shared" si="19"/>
        <v>Heating Zone 1</v>
      </c>
      <c r="I430" s="308" t="str">
        <f t="shared" si="19"/>
        <v>Multi Family Weatherization - Insulate Attic - R-0 to R-19 - Heating Zone 1</v>
      </c>
      <c r="J430" s="308" t="s">
        <v>966</v>
      </c>
      <c r="K430" s="317">
        <f>Results!M18</f>
        <v>0.16955628342245999</v>
      </c>
      <c r="L430" s="318">
        <f>Results!N18</f>
        <v>5.3405355438863607E-2</v>
      </c>
    </row>
    <row r="431" spans="1:12" ht="15">
      <c r="A431" s="27" t="s">
        <v>977</v>
      </c>
      <c r="B431" s="308" t="str">
        <f t="shared" si="19"/>
        <v>Ceili11</v>
      </c>
      <c r="C431" s="308" t="str">
        <f t="shared" si="19"/>
        <v>Ceiling11</v>
      </c>
      <c r="D431" s="308" t="str">
        <f t="shared" si="19"/>
        <v>Ceiling</v>
      </c>
      <c r="E431" s="308">
        <f t="shared" si="19"/>
        <v>11</v>
      </c>
      <c r="F431" s="308" t="str">
        <f t="shared" si="19"/>
        <v>R-0</v>
      </c>
      <c r="G431" s="308" t="str">
        <f t="shared" si="19"/>
        <v>R-38</v>
      </c>
      <c r="H431" s="308" t="str">
        <f t="shared" si="19"/>
        <v>Heating Zone 1</v>
      </c>
      <c r="I431" s="308" t="str">
        <f t="shared" si="19"/>
        <v>Multi Family Weatherization - Insulate Attic - R-0 to R-38 - Heating Zone 1</v>
      </c>
      <c r="J431" s="308" t="s">
        <v>966</v>
      </c>
      <c r="K431" s="313">
        <f>Results!M19</f>
        <v>0.2312230414438502</v>
      </c>
      <c r="L431" s="314">
        <f>Results!N19</f>
        <v>7.2853509844090988E-2</v>
      </c>
    </row>
    <row r="432" spans="1:12" ht="15">
      <c r="A432" s="27" t="s">
        <v>978</v>
      </c>
      <c r="B432" s="308" t="str">
        <f t="shared" si="19"/>
        <v>Ceili12</v>
      </c>
      <c r="C432" s="308" t="str">
        <f t="shared" si="19"/>
        <v>Ceiling12</v>
      </c>
      <c r="D432" s="308" t="str">
        <f t="shared" si="19"/>
        <v>Ceiling</v>
      </c>
      <c r="E432" s="308">
        <f t="shared" si="19"/>
        <v>12</v>
      </c>
      <c r="F432" s="308" t="str">
        <f t="shared" si="19"/>
        <v>R-0</v>
      </c>
      <c r="G432" s="308" t="str">
        <f t="shared" si="19"/>
        <v>R-49</v>
      </c>
      <c r="H432" s="308" t="str">
        <f t="shared" si="19"/>
        <v>Heating Zone 1</v>
      </c>
      <c r="I432" s="308" t="str">
        <f t="shared" si="19"/>
        <v>Multi Family Weatherization - Insulate Attic - R-0 to R-49 - Heating Zone 1</v>
      </c>
      <c r="J432" s="308" t="s">
        <v>966</v>
      </c>
      <c r="K432" s="313">
        <f>Results!M20</f>
        <v>0.24544634358288753</v>
      </c>
      <c r="L432" s="314">
        <f>Results!N20</f>
        <v>7.737783563602281E-2</v>
      </c>
    </row>
    <row r="433" spans="1:12" ht="15">
      <c r="A433" s="27" t="s">
        <v>979</v>
      </c>
      <c r="B433" s="308" t="str">
        <f t="shared" si="19"/>
        <v>Ceili13</v>
      </c>
      <c r="C433" s="308" t="str">
        <f t="shared" si="19"/>
        <v>Ceiling13</v>
      </c>
      <c r="D433" s="308" t="str">
        <f t="shared" si="19"/>
        <v>Ceiling</v>
      </c>
      <c r="E433" s="308">
        <f t="shared" si="19"/>
        <v>13</v>
      </c>
      <c r="F433" s="308" t="str">
        <f t="shared" si="19"/>
        <v>R-30</v>
      </c>
      <c r="G433" s="308" t="str">
        <f t="shared" si="19"/>
        <v>R-38</v>
      </c>
      <c r="H433" s="308" t="str">
        <f t="shared" si="19"/>
        <v>Heating Zone 1</v>
      </c>
      <c r="I433" s="308" t="str">
        <f t="shared" si="19"/>
        <v>Multi Family Weatherization - Insulate Attic - R-30 to R-38 - Heating Zone 1</v>
      </c>
      <c r="J433" s="308" t="s">
        <v>966</v>
      </c>
      <c r="K433" s="319">
        <f>Results!M21</f>
        <v>1.6822954545454516E-2</v>
      </c>
      <c r="L433" s="314">
        <f>Results!N21</f>
        <v>5.3608485138637221E-3</v>
      </c>
    </row>
    <row r="434" spans="1:12" ht="15">
      <c r="A434" s="27" t="s">
        <v>980</v>
      </c>
      <c r="B434" s="308" t="str">
        <f t="shared" si="19"/>
        <v>Ceili14</v>
      </c>
      <c r="C434" s="308" t="str">
        <f t="shared" si="19"/>
        <v>Ceiling14</v>
      </c>
      <c r="D434" s="308" t="str">
        <f t="shared" si="19"/>
        <v>Ceiling</v>
      </c>
      <c r="E434" s="308">
        <f t="shared" si="19"/>
        <v>14</v>
      </c>
      <c r="F434" s="308" t="str">
        <f t="shared" si="19"/>
        <v>R-30</v>
      </c>
      <c r="G434" s="308" t="str">
        <f t="shared" si="19"/>
        <v>R-49</v>
      </c>
      <c r="H434" s="308" t="str">
        <f t="shared" si="19"/>
        <v>Heating Zone 1</v>
      </c>
      <c r="I434" s="308" t="str">
        <f t="shared" si="19"/>
        <v>Multi Family Weatherization - Insulate Attic - R-30 to R-49 - Heating Zone 1</v>
      </c>
      <c r="J434" s="308" t="s">
        <v>966</v>
      </c>
      <c r="K434" s="319">
        <f>Results!M22</f>
        <v>3.1046256684491867E-2</v>
      </c>
      <c r="L434" s="314">
        <f>Results!N22</f>
        <v>9.8851743057955434E-3</v>
      </c>
    </row>
    <row r="435" spans="1:12" ht="15">
      <c r="A435" s="27" t="s">
        <v>981</v>
      </c>
      <c r="B435" s="308" t="str">
        <f t="shared" si="19"/>
        <v>Ceili15</v>
      </c>
      <c r="C435" s="308" t="str">
        <f t="shared" si="19"/>
        <v>Ceiling15</v>
      </c>
      <c r="D435" s="308" t="str">
        <f t="shared" si="19"/>
        <v>Ceiling</v>
      </c>
      <c r="E435" s="308">
        <f t="shared" si="19"/>
        <v>15</v>
      </c>
      <c r="F435" s="308" t="str">
        <f t="shared" si="19"/>
        <v>R-19</v>
      </c>
      <c r="G435" s="308" t="str">
        <f t="shared" si="19"/>
        <v>R-30</v>
      </c>
      <c r="H435" s="308" t="str">
        <f t="shared" si="19"/>
        <v>Heating Zone 1</v>
      </c>
      <c r="I435" s="308" t="str">
        <f t="shared" si="19"/>
        <v>Multi Family Weatherization - Insulate Attic - R-19 to R-30 - Heating Zone 1</v>
      </c>
      <c r="J435" s="308" t="s">
        <v>966</v>
      </c>
      <c r="K435" s="315">
        <f>Results!M23</f>
        <v>4.4843803475935709E-2</v>
      </c>
      <c r="L435" s="316">
        <f>Results!N23</f>
        <v>1.4087305891363647E-2</v>
      </c>
    </row>
    <row r="436" spans="1:12" ht="15">
      <c r="A436" s="27" t="s">
        <v>982</v>
      </c>
      <c r="B436" s="308" t="str">
        <f t="shared" ref="B436:I451" si="20">B298</f>
        <v>Ceili16</v>
      </c>
      <c r="C436" s="308" t="str">
        <f t="shared" si="20"/>
        <v>Ceiling16</v>
      </c>
      <c r="D436" s="308" t="str">
        <f t="shared" si="20"/>
        <v>Ceiling</v>
      </c>
      <c r="E436" s="308">
        <f t="shared" si="20"/>
        <v>16</v>
      </c>
      <c r="F436" s="308" t="str">
        <f t="shared" si="20"/>
        <v>R-19</v>
      </c>
      <c r="G436" s="308" t="str">
        <f t="shared" si="20"/>
        <v>R-38</v>
      </c>
      <c r="H436" s="308" t="str">
        <f t="shared" si="20"/>
        <v>Heating Zone 1</v>
      </c>
      <c r="I436" s="308" t="str">
        <f t="shared" si="20"/>
        <v>Multi Family Weatherization - Insulate Attic - R-19 to R-38 - Heating Zone 1</v>
      </c>
      <c r="J436" s="308" t="s">
        <v>966</v>
      </c>
      <c r="K436" s="313">
        <f>Results!M24</f>
        <v>6.1666758021390225E-2</v>
      </c>
      <c r="L436" s="314">
        <f>Results!N24</f>
        <v>1.9448154405227371E-2</v>
      </c>
    </row>
    <row r="437" spans="1:12" ht="15">
      <c r="A437" s="27" t="s">
        <v>983</v>
      </c>
      <c r="B437" s="308" t="str">
        <f t="shared" si="20"/>
        <v>Ceili17</v>
      </c>
      <c r="C437" s="308" t="str">
        <f t="shared" si="20"/>
        <v>Ceiling17</v>
      </c>
      <c r="D437" s="308" t="str">
        <f t="shared" si="20"/>
        <v>Ceiling</v>
      </c>
      <c r="E437" s="308">
        <f t="shared" si="20"/>
        <v>17</v>
      </c>
      <c r="F437" s="308" t="str">
        <f t="shared" si="20"/>
        <v>R-19</v>
      </c>
      <c r="G437" s="308" t="str">
        <f t="shared" si="20"/>
        <v>R-49</v>
      </c>
      <c r="H437" s="308" t="str">
        <f t="shared" si="20"/>
        <v>Heating Zone 1</v>
      </c>
      <c r="I437" s="308" t="str">
        <f t="shared" si="20"/>
        <v>Multi Family Weatherization - Insulate Attic - R-19 to R-49 - Heating Zone 1</v>
      </c>
      <c r="J437" s="308" t="s">
        <v>966</v>
      </c>
      <c r="K437" s="313">
        <f>Results!M25</f>
        <v>7.5890060160427583E-2</v>
      </c>
      <c r="L437" s="314">
        <f>Results!N25</f>
        <v>2.3972480197159189E-2</v>
      </c>
    </row>
    <row r="438" spans="1:12" ht="15">
      <c r="A438" s="27" t="s">
        <v>984</v>
      </c>
      <c r="B438" s="308" t="str">
        <f t="shared" si="20"/>
        <v>Ceili18</v>
      </c>
      <c r="C438" s="308" t="str">
        <f t="shared" si="20"/>
        <v>Ceiling18</v>
      </c>
      <c r="D438" s="308" t="str">
        <f t="shared" si="20"/>
        <v>Ceiling</v>
      </c>
      <c r="E438" s="308">
        <f t="shared" si="20"/>
        <v>18</v>
      </c>
      <c r="F438" s="308" t="str">
        <f t="shared" si="20"/>
        <v>R-38</v>
      </c>
      <c r="G438" s="308" t="str">
        <f t="shared" si="20"/>
        <v>R-49</v>
      </c>
      <c r="H438" s="308" t="str">
        <f t="shared" si="20"/>
        <v>Heating Zone 1</v>
      </c>
      <c r="I438" s="308" t="str">
        <f t="shared" si="20"/>
        <v>Multi Family Weatherization - Insulate Attic - R-38 to R-49 - Heating Zone 1</v>
      </c>
      <c r="J438" s="308" t="s">
        <v>966</v>
      </c>
      <c r="K438" s="320">
        <f>Results!M26</f>
        <v>1.4223302139037356E-2</v>
      </c>
      <c r="L438" s="321">
        <f>Results!N26</f>
        <v>4.5243257919318214E-3</v>
      </c>
    </row>
    <row r="439" spans="1:12" ht="15">
      <c r="B439" s="308"/>
      <c r="C439" s="308"/>
      <c r="D439" s="308"/>
      <c r="E439" s="308"/>
      <c r="F439" s="308"/>
      <c r="G439" s="308"/>
      <c r="H439" s="308"/>
      <c r="I439" s="308"/>
      <c r="J439" s="308"/>
      <c r="K439" s="315"/>
      <c r="L439" s="316"/>
    </row>
    <row r="440" spans="1:12" ht="15">
      <c r="B440" s="308"/>
      <c r="C440" s="308"/>
      <c r="D440" s="308"/>
      <c r="E440" s="308"/>
      <c r="F440" s="308"/>
      <c r="G440" s="308"/>
      <c r="H440" s="308"/>
      <c r="I440" s="308"/>
      <c r="J440" s="308"/>
      <c r="K440" s="315"/>
      <c r="L440" s="316"/>
    </row>
    <row r="441" spans="1:12" ht="15">
      <c r="B441" s="308"/>
      <c r="C441" s="308"/>
      <c r="D441" s="308"/>
      <c r="E441" s="308"/>
      <c r="F441" s="308"/>
      <c r="G441" s="308"/>
      <c r="H441" s="308"/>
      <c r="I441" s="308"/>
      <c r="J441" s="308"/>
      <c r="K441" s="315"/>
      <c r="L441" s="316"/>
    </row>
    <row r="442" spans="1:12" ht="15">
      <c r="B442" s="308"/>
      <c r="C442" s="308"/>
      <c r="D442" s="308"/>
      <c r="E442" s="308"/>
      <c r="F442" s="308"/>
      <c r="G442" s="308"/>
      <c r="H442" s="308"/>
      <c r="I442" s="308"/>
      <c r="J442" s="308"/>
      <c r="K442" s="315"/>
      <c r="L442" s="316"/>
    </row>
    <row r="443" spans="1:12" ht="15">
      <c r="B443" s="308"/>
      <c r="C443" s="308"/>
      <c r="D443" s="308"/>
      <c r="E443" s="308"/>
      <c r="F443" s="308"/>
      <c r="G443" s="308"/>
      <c r="H443" s="308"/>
      <c r="I443" s="308"/>
      <c r="J443" s="308"/>
      <c r="K443" s="315"/>
      <c r="L443" s="316"/>
    </row>
    <row r="444" spans="1:12" ht="15">
      <c r="B444" s="308"/>
      <c r="C444" s="308"/>
      <c r="D444" s="308"/>
      <c r="E444" s="308"/>
      <c r="F444" s="308"/>
      <c r="G444" s="308"/>
      <c r="H444" s="308"/>
      <c r="I444" s="308"/>
      <c r="J444" s="308"/>
      <c r="K444" s="315"/>
      <c r="L444" s="316"/>
    </row>
    <row r="445" spans="1:12" ht="15">
      <c r="B445" s="308"/>
      <c r="C445" s="308"/>
      <c r="D445" s="308"/>
      <c r="E445" s="308"/>
      <c r="F445" s="308"/>
      <c r="G445" s="308"/>
      <c r="H445" s="308"/>
      <c r="I445" s="308"/>
      <c r="J445" s="308"/>
      <c r="K445" s="315"/>
      <c r="L445" s="316"/>
    </row>
    <row r="446" spans="1:12" ht="15">
      <c r="B446" s="308"/>
      <c r="C446" s="308"/>
      <c r="D446" s="308"/>
      <c r="E446" s="308"/>
      <c r="F446" s="308"/>
      <c r="G446" s="308"/>
      <c r="H446" s="308"/>
      <c r="I446" s="308"/>
      <c r="J446" s="308"/>
      <c r="K446" s="315"/>
      <c r="L446" s="316"/>
    </row>
    <row r="447" spans="1:12" ht="15">
      <c r="B447" s="308"/>
      <c r="C447" s="308"/>
      <c r="D447" s="308"/>
      <c r="E447" s="308"/>
      <c r="F447" s="308"/>
      <c r="G447" s="308"/>
      <c r="H447" s="308"/>
      <c r="I447" s="308"/>
      <c r="J447" s="308"/>
      <c r="K447" s="315"/>
      <c r="L447" s="316"/>
    </row>
    <row r="448" spans="1:12" ht="15">
      <c r="A448" s="27" t="s">
        <v>985</v>
      </c>
      <c r="B448" s="308" t="str">
        <f t="shared" si="20"/>
        <v>Windo19</v>
      </c>
      <c r="C448" s="308" t="str">
        <f t="shared" si="20"/>
        <v>Windows19</v>
      </c>
      <c r="D448" s="308" t="str">
        <f t="shared" si="20"/>
        <v>Windows</v>
      </c>
      <c r="E448" s="308">
        <f t="shared" si="20"/>
        <v>19</v>
      </c>
      <c r="F448" s="308" t="str">
        <f t="shared" si="20"/>
        <v>Class 35</v>
      </c>
      <c r="G448" s="308" t="str">
        <f t="shared" si="20"/>
        <v>Class 22</v>
      </c>
      <c r="H448" s="308" t="str">
        <f t="shared" si="20"/>
        <v>Heating Zone 1</v>
      </c>
      <c r="I448" s="308" t="str">
        <f t="shared" si="20"/>
        <v>Windows - Class 35 to Class 22 - Heating Zone 1</v>
      </c>
      <c r="J448" s="308" t="s">
        <v>966</v>
      </c>
      <c r="K448" s="315">
        <f>Results!M36</f>
        <v>1.3094743075551896</v>
      </c>
      <c r="L448" s="316">
        <f>Results!N36</f>
        <v>8.0950922337800647E-3</v>
      </c>
    </row>
    <row r="449" spans="1:12" ht="15">
      <c r="A449" s="27" t="s">
        <v>986</v>
      </c>
      <c r="B449" s="308" t="str">
        <f t="shared" si="20"/>
        <v>Windo20</v>
      </c>
      <c r="C449" s="308" t="str">
        <f t="shared" si="20"/>
        <v>Windows20</v>
      </c>
      <c r="D449" s="308" t="str">
        <f t="shared" si="20"/>
        <v>Windows</v>
      </c>
      <c r="E449" s="308">
        <f t="shared" si="20"/>
        <v>20</v>
      </c>
      <c r="F449" s="308" t="str">
        <f t="shared" si="20"/>
        <v>Single Pane</v>
      </c>
      <c r="G449" s="308" t="str">
        <f t="shared" si="20"/>
        <v>Class 22</v>
      </c>
      <c r="H449" s="308" t="str">
        <f t="shared" si="20"/>
        <v>Heating Zone 1</v>
      </c>
      <c r="I449" s="308" t="str">
        <f t="shared" si="20"/>
        <v>Windows - Single Pane to Class 22 - Heating Zone 1</v>
      </c>
      <c r="J449" s="308" t="s">
        <v>966</v>
      </c>
      <c r="K449" s="315">
        <f>Results!M37</f>
        <v>10.063944461584166</v>
      </c>
      <c r="L449" s="316">
        <f>Results!N37</f>
        <v>0.72176378834430832</v>
      </c>
    </row>
    <row r="450" spans="1:12" ht="15">
      <c r="A450" s="27" t="s">
        <v>987</v>
      </c>
      <c r="B450" s="308" t="str">
        <f t="shared" si="20"/>
        <v>Windo21</v>
      </c>
      <c r="C450" s="308" t="str">
        <f t="shared" si="20"/>
        <v>Windows21</v>
      </c>
      <c r="D450" s="308" t="str">
        <f t="shared" si="20"/>
        <v>Windows</v>
      </c>
      <c r="E450" s="308">
        <f t="shared" si="20"/>
        <v>21</v>
      </c>
      <c r="F450" s="308" t="str">
        <f t="shared" si="20"/>
        <v>Double Pane</v>
      </c>
      <c r="G450" s="308" t="str">
        <f t="shared" si="20"/>
        <v>Class 22</v>
      </c>
      <c r="H450" s="308" t="str">
        <f t="shared" si="20"/>
        <v>Heating Zone 1</v>
      </c>
      <c r="I450" s="308" t="str">
        <f t="shared" si="20"/>
        <v>Windows - Double Pane to Class 22 - Heating Zone 1</v>
      </c>
      <c r="J450" s="308" t="s">
        <v>966</v>
      </c>
      <c r="K450" s="315">
        <f>Results!M38</f>
        <v>5.881414347090816</v>
      </c>
      <c r="L450" s="316">
        <f>Results!N38</f>
        <v>1.2159785710295263</v>
      </c>
    </row>
    <row r="451" spans="1:12" ht="15">
      <c r="A451" s="27" t="s">
        <v>988</v>
      </c>
      <c r="B451" s="308" t="str">
        <f t="shared" si="20"/>
        <v>Windo22</v>
      </c>
      <c r="C451" s="308" t="str">
        <f t="shared" si="20"/>
        <v>Windows22</v>
      </c>
      <c r="D451" s="308" t="str">
        <f t="shared" si="20"/>
        <v>Windows</v>
      </c>
      <c r="E451" s="308">
        <f t="shared" si="20"/>
        <v>22</v>
      </c>
      <c r="F451" s="308" t="str">
        <f t="shared" si="20"/>
        <v>Single Pane</v>
      </c>
      <c r="G451" s="308" t="str">
        <f t="shared" si="20"/>
        <v>Class 30</v>
      </c>
      <c r="H451" s="308" t="str">
        <f t="shared" si="20"/>
        <v>Heating Zone 1</v>
      </c>
      <c r="I451" s="308" t="str">
        <f t="shared" si="20"/>
        <v>Windows - Single Pane to Class 30 - Heating Zone 1</v>
      </c>
      <c r="J451" s="308" t="s">
        <v>966</v>
      </c>
      <c r="K451" s="313">
        <f>Results!M39</f>
        <v>9.284786484757074</v>
      </c>
      <c r="L451" s="314">
        <f>Results!N39</f>
        <v>0.70219991939646476</v>
      </c>
    </row>
    <row r="452" spans="1:12" ht="15">
      <c r="A452" s="27" t="s">
        <v>989</v>
      </c>
      <c r="B452" s="308" t="str">
        <f t="shared" ref="B452:I467" si="21">B314</f>
        <v>Windo23</v>
      </c>
      <c r="C452" s="308" t="str">
        <f t="shared" si="21"/>
        <v>Windows23</v>
      </c>
      <c r="D452" s="308" t="str">
        <f t="shared" si="21"/>
        <v>Windows</v>
      </c>
      <c r="E452" s="308">
        <f t="shared" si="21"/>
        <v>23</v>
      </c>
      <c r="F452" s="308" t="str">
        <f t="shared" si="21"/>
        <v>Double Pane</v>
      </c>
      <c r="G452" s="308" t="str">
        <f t="shared" si="21"/>
        <v>Class 30</v>
      </c>
      <c r="H452" s="308" t="str">
        <f t="shared" si="21"/>
        <v>Heating Zone 1</v>
      </c>
      <c r="I452" s="308" t="str">
        <f t="shared" si="21"/>
        <v>Windows - Double Pane to Class 30 - Heating Zone 1</v>
      </c>
      <c r="J452" s="308" t="s">
        <v>966</v>
      </c>
      <c r="K452" s="313">
        <f>Results!M40</f>
        <v>5.1022563702637216</v>
      </c>
      <c r="L452" s="314">
        <f>Results!N40</f>
        <v>1.1964147020816822</v>
      </c>
    </row>
    <row r="453" spans="1:12" ht="15">
      <c r="A453" s="27" t="s">
        <v>990</v>
      </c>
      <c r="B453" s="308" t="str">
        <f t="shared" si="21"/>
        <v>Windo24</v>
      </c>
      <c r="C453" s="308" t="str">
        <f t="shared" si="21"/>
        <v>Windows24</v>
      </c>
      <c r="D453" s="308" t="str">
        <f t="shared" si="21"/>
        <v>Windows</v>
      </c>
      <c r="E453" s="308">
        <f t="shared" si="21"/>
        <v>24</v>
      </c>
      <c r="F453" s="308" t="str">
        <f t="shared" si="21"/>
        <v>Class 35</v>
      </c>
      <c r="G453" s="308" t="str">
        <f t="shared" si="21"/>
        <v>Class 30</v>
      </c>
      <c r="H453" s="308" t="str">
        <f t="shared" si="21"/>
        <v>Heating Zone 1</v>
      </c>
      <c r="I453" s="308" t="str">
        <f t="shared" si="21"/>
        <v>Windows - Class 35 to Class 30 - Heating Zone 1</v>
      </c>
      <c r="J453" s="308" t="s">
        <v>966</v>
      </c>
      <c r="K453" s="313">
        <f>Results!M41</f>
        <v>0.53031633072809536</v>
      </c>
      <c r="L453" s="314">
        <f>Results!N41</f>
        <v>-1.1468776714063615E-2</v>
      </c>
    </row>
    <row r="454" spans="1:12" ht="15">
      <c r="A454" s="27" t="s">
        <v>991</v>
      </c>
      <c r="B454" s="308" t="str">
        <f t="shared" si="21"/>
        <v>Infil10</v>
      </c>
      <c r="C454" s="308" t="str">
        <f t="shared" si="21"/>
        <v>Infiltration10</v>
      </c>
      <c r="D454" s="308" t="str">
        <f t="shared" si="21"/>
        <v>Infiltration</v>
      </c>
      <c r="E454" s="308">
        <f t="shared" si="21"/>
        <v>10</v>
      </c>
      <c r="F454" s="308" t="str">
        <f t="shared" si="21"/>
        <v>0.45 ACHn</v>
      </c>
      <c r="G454" s="308" t="str">
        <f t="shared" si="21"/>
        <v>0.35 ACHn</v>
      </c>
      <c r="H454" s="308" t="str">
        <f t="shared" si="21"/>
        <v>Heating Zone 1</v>
      </c>
      <c r="I454" s="308" t="str">
        <f t="shared" si="21"/>
        <v>Infiltration Reduction - 0.45 ACHn to 0.35 ACHn - Heating Zone 1</v>
      </c>
      <c r="J454" s="308" t="s">
        <v>966</v>
      </c>
      <c r="K454" s="317">
        <f>Results!M42</f>
        <v>0</v>
      </c>
      <c r="L454" s="318">
        <f>Results!N42</f>
        <v>0</v>
      </c>
    </row>
    <row r="455" spans="1:12" ht="15">
      <c r="A455" s="27" t="s">
        <v>992</v>
      </c>
      <c r="B455" s="308" t="str">
        <f t="shared" si="21"/>
        <v>Infil11</v>
      </c>
      <c r="C455" s="308" t="str">
        <f t="shared" si="21"/>
        <v>Infiltration11</v>
      </c>
      <c r="D455" s="308" t="str">
        <f t="shared" si="21"/>
        <v>Infiltration</v>
      </c>
      <c r="E455" s="308">
        <f t="shared" si="21"/>
        <v>11</v>
      </c>
      <c r="F455" s="308" t="str">
        <f t="shared" si="21"/>
        <v>0.45 ACHn</v>
      </c>
      <c r="G455" s="308" t="str">
        <f t="shared" si="21"/>
        <v>0.20 ACHn</v>
      </c>
      <c r="H455" s="308" t="str">
        <f t="shared" si="21"/>
        <v>Heating Zone 1</v>
      </c>
      <c r="I455" s="308" t="str">
        <f t="shared" si="21"/>
        <v>Infiltration Reduction - 0.45 ACHn to 0.20 ACHn - Heating Zone 1</v>
      </c>
      <c r="J455" s="308" t="s">
        <v>966</v>
      </c>
      <c r="K455" s="315">
        <f>Results!M43</f>
        <v>0</v>
      </c>
      <c r="L455" s="316">
        <f>Results!N43</f>
        <v>0</v>
      </c>
    </row>
    <row r="456" spans="1:12" ht="15">
      <c r="A456" s="27" t="s">
        <v>993</v>
      </c>
      <c r="B456" s="308" t="str">
        <f t="shared" si="21"/>
        <v>Infil12</v>
      </c>
      <c r="C456" s="308" t="str">
        <f t="shared" si="21"/>
        <v>Infiltration12</v>
      </c>
      <c r="D456" s="308" t="str">
        <f t="shared" si="21"/>
        <v>Infiltration</v>
      </c>
      <c r="E456" s="308">
        <f t="shared" si="21"/>
        <v>12</v>
      </c>
      <c r="F456" s="308" t="str">
        <f t="shared" si="21"/>
        <v>0.35 ACHn</v>
      </c>
      <c r="G456" s="308" t="str">
        <f t="shared" si="21"/>
        <v>0.20 ACHn</v>
      </c>
      <c r="H456" s="308" t="str">
        <f t="shared" si="21"/>
        <v>Heating Zone 1</v>
      </c>
      <c r="I456" s="308" t="str">
        <f t="shared" si="21"/>
        <v>Infiltration Reduction - 0.35 ACHn to 0.20 ACHn - Heating Zone 1</v>
      </c>
      <c r="J456" s="308" t="s">
        <v>966</v>
      </c>
      <c r="K456" s="322">
        <f>Results!M44</f>
        <v>0</v>
      </c>
      <c r="L456" s="323">
        <f>Results!N44</f>
        <v>0</v>
      </c>
    </row>
    <row r="457" spans="1:12" ht="15">
      <c r="A457" s="27" t="s">
        <v>994</v>
      </c>
      <c r="B457" s="308" t="str">
        <f t="shared" si="21"/>
        <v>DuctT10</v>
      </c>
      <c r="C457" s="308" t="str">
        <f t="shared" si="21"/>
        <v>DuctTightness10</v>
      </c>
      <c r="D457" s="308" t="str">
        <f t="shared" si="21"/>
        <v>DuctTightness</v>
      </c>
      <c r="E457" s="308">
        <f t="shared" si="21"/>
        <v>10</v>
      </c>
      <c r="F457" s="308" t="str">
        <f t="shared" si="21"/>
        <v>Std-crawl</v>
      </c>
      <c r="G457" s="308" t="str">
        <f t="shared" si="21"/>
        <v>PTCS-crawl</v>
      </c>
      <c r="H457" s="308" t="str">
        <f t="shared" si="21"/>
        <v>Heating Zone 1</v>
      </c>
      <c r="I457" s="308" t="str">
        <f t="shared" si="21"/>
        <v>DuctTightness - Std-crawl to PTCS-crawl - Heating Zone 1</v>
      </c>
      <c r="J457" s="308" t="s">
        <v>966</v>
      </c>
      <c r="K457" s="324">
        <f>Results!M45</f>
        <v>1493.2119117647057</v>
      </c>
      <c r="L457" s="325">
        <f>Results!N45</f>
        <v>181.45519657250045</v>
      </c>
    </row>
    <row r="458" spans="1:12" ht="15">
      <c r="A458" s="27" t="s">
        <v>995</v>
      </c>
      <c r="B458" s="308" t="str">
        <f t="shared" si="21"/>
        <v>DuctI10</v>
      </c>
      <c r="C458" s="308" t="str">
        <f t="shared" si="21"/>
        <v>DuctInsulation10</v>
      </c>
      <c r="D458" s="308" t="str">
        <f t="shared" si="21"/>
        <v>DuctInsulation</v>
      </c>
      <c r="E458" s="308">
        <f t="shared" si="21"/>
        <v>10</v>
      </c>
      <c r="F458" s="308" t="str">
        <f t="shared" si="21"/>
        <v>R-0</v>
      </c>
      <c r="G458" s="308" t="str">
        <f t="shared" si="21"/>
        <v>R-4.2</v>
      </c>
      <c r="H458" s="308" t="str">
        <f t="shared" si="21"/>
        <v>Heating Zone 1</v>
      </c>
      <c r="I458" s="308" t="str">
        <f t="shared" si="21"/>
        <v>DuctInsulation - R-0 to R-4.2 - Heating Zone 1</v>
      </c>
      <c r="J458" s="308" t="s">
        <v>966</v>
      </c>
      <c r="K458" s="326">
        <f>Results!M46</f>
        <v>66.9632352941166</v>
      </c>
      <c r="L458" s="327">
        <f>Results!N46</f>
        <v>12.495959417500305</v>
      </c>
    </row>
    <row r="459" spans="1:12" ht="15">
      <c r="A459" s="27" t="s">
        <v>996</v>
      </c>
      <c r="B459" s="308" t="str">
        <f t="shared" si="21"/>
        <v>DuctI11</v>
      </c>
      <c r="C459" s="308" t="str">
        <f t="shared" si="21"/>
        <v>DuctInsulation11</v>
      </c>
      <c r="D459" s="308" t="str">
        <f t="shared" si="21"/>
        <v>DuctInsulation</v>
      </c>
      <c r="E459" s="308">
        <f t="shared" si="21"/>
        <v>11</v>
      </c>
      <c r="F459" s="308" t="str">
        <f t="shared" si="21"/>
        <v>R-0</v>
      </c>
      <c r="G459" s="308" t="str">
        <f t="shared" si="21"/>
        <v>R-11</v>
      </c>
      <c r="H459" s="308" t="str">
        <f t="shared" si="21"/>
        <v>Heating Zone 1</v>
      </c>
      <c r="I459" s="308" t="str">
        <f t="shared" si="21"/>
        <v>DuctInsulation - R-0 to R-11 - Heating Zone 1</v>
      </c>
      <c r="J459" s="308" t="s">
        <v>966</v>
      </c>
      <c r="K459" s="328">
        <f>Results!M47</f>
        <v>93.435882352940297</v>
      </c>
      <c r="L459" s="329">
        <f>Results!N47</f>
        <v>17.258210455000167</v>
      </c>
    </row>
    <row r="460" spans="1:12" ht="15">
      <c r="A460" s="27" t="s">
        <v>997</v>
      </c>
      <c r="B460" s="308" t="str">
        <f t="shared" si="21"/>
        <v>DuctI12</v>
      </c>
      <c r="C460" s="308" t="str">
        <f t="shared" si="21"/>
        <v>DuctInsulation12</v>
      </c>
      <c r="D460" s="308" t="str">
        <f t="shared" si="21"/>
        <v>DuctInsulation</v>
      </c>
      <c r="E460" s="308">
        <f t="shared" si="21"/>
        <v>12</v>
      </c>
      <c r="F460" s="308" t="str">
        <f t="shared" si="21"/>
        <v>R-4.2</v>
      </c>
      <c r="G460" s="308" t="str">
        <f t="shared" si="21"/>
        <v>R-11</v>
      </c>
      <c r="H460" s="308" t="str">
        <f t="shared" si="21"/>
        <v>Heating Zone 1</v>
      </c>
      <c r="I460" s="308" t="str">
        <f t="shared" si="21"/>
        <v>DuctInsulation - R-4.2 to R-11 - Heating Zone 1</v>
      </c>
      <c r="J460" s="308" t="s">
        <v>966</v>
      </c>
      <c r="K460" s="330">
        <f>Results!M48</f>
        <v>26.472647058823693</v>
      </c>
      <c r="L460" s="331">
        <f>Results!N48</f>
        <v>4.7622510374998601</v>
      </c>
    </row>
    <row r="461" spans="1:12" ht="15">
      <c r="A461" s="27" t="s">
        <v>998</v>
      </c>
      <c r="B461" s="308" t="str">
        <f t="shared" si="21"/>
        <v>HeatP10</v>
      </c>
      <c r="C461" s="308" t="str">
        <f t="shared" si="21"/>
        <v>HeatPump10</v>
      </c>
      <c r="D461" s="308" t="str">
        <f t="shared" si="21"/>
        <v>HeatPump</v>
      </c>
      <c r="E461" s="308">
        <f t="shared" si="21"/>
        <v>10</v>
      </c>
      <c r="F461" s="308" t="str">
        <f t="shared" si="21"/>
        <v>7.7/13</v>
      </c>
      <c r="G461" s="308" t="str">
        <f t="shared" si="21"/>
        <v>8.5/13</v>
      </c>
      <c r="H461" s="308" t="str">
        <f t="shared" si="21"/>
        <v>Heating Zone 1</v>
      </c>
      <c r="I461" s="308" t="str">
        <f t="shared" si="21"/>
        <v>HeatPump Upgrade - 7.7/13 to 8.5/13 - Heating Zone 1</v>
      </c>
      <c r="J461" s="308" t="s">
        <v>966</v>
      </c>
      <c r="K461" s="328">
        <f>Results!M49</f>
        <v>453.45981245225323</v>
      </c>
      <c r="L461" s="329">
        <f>Results!N49</f>
        <v>0</v>
      </c>
    </row>
    <row r="462" spans="1:12" ht="15">
      <c r="A462" s="27" t="s">
        <v>999</v>
      </c>
      <c r="B462" s="308" t="str">
        <f t="shared" si="21"/>
        <v>HeatP11</v>
      </c>
      <c r="C462" s="308" t="str">
        <f t="shared" si="21"/>
        <v>HeatPump11</v>
      </c>
      <c r="D462" s="308" t="str">
        <f t="shared" si="21"/>
        <v>HeatPump</v>
      </c>
      <c r="E462" s="308">
        <f t="shared" si="21"/>
        <v>11</v>
      </c>
      <c r="F462" s="308" t="str">
        <f t="shared" si="21"/>
        <v>7.7/13</v>
      </c>
      <c r="G462" s="308" t="str">
        <f t="shared" si="21"/>
        <v>9.0/14</v>
      </c>
      <c r="H462" s="308" t="str">
        <f t="shared" si="21"/>
        <v>Heating Zone 1</v>
      </c>
      <c r="I462" s="308" t="str">
        <f t="shared" si="21"/>
        <v>HeatPump Upgrade - 7.7/13 to 9.0/14 - Heating Zone 1</v>
      </c>
      <c r="J462" s="308" t="s">
        <v>966</v>
      </c>
      <c r="K462" s="328">
        <f>Results!M50</f>
        <v>665.49769480519456</v>
      </c>
      <c r="L462" s="329">
        <f>Results!N50</f>
        <v>139.71938013428564</v>
      </c>
    </row>
    <row r="463" spans="1:12" ht="15">
      <c r="A463" s="27" t="s">
        <v>1000</v>
      </c>
      <c r="B463" s="308" t="str">
        <f t="shared" si="21"/>
        <v>HeatP12</v>
      </c>
      <c r="C463" s="308" t="str">
        <f t="shared" si="21"/>
        <v>HeatPump12</v>
      </c>
      <c r="D463" s="308" t="str">
        <f t="shared" si="21"/>
        <v>HeatPump</v>
      </c>
      <c r="E463" s="308">
        <f t="shared" si="21"/>
        <v>12</v>
      </c>
      <c r="F463" s="308" t="str">
        <f t="shared" si="21"/>
        <v>7.7/13</v>
      </c>
      <c r="G463" s="308" t="str">
        <f t="shared" si="21"/>
        <v>8.2/13</v>
      </c>
      <c r="H463" s="308" t="str">
        <f t="shared" si="21"/>
        <v>Heating Zone 1</v>
      </c>
      <c r="I463" s="308" t="str">
        <f t="shared" si="21"/>
        <v>HeatPump Upgrade - 7.7/13 to 8.2/13 - Heating Zone 1</v>
      </c>
      <c r="J463" s="308" t="s">
        <v>966</v>
      </c>
      <c r="K463" s="330">
        <f>Results!M51</f>
        <v>313.82510943934028</v>
      </c>
      <c r="L463" s="331">
        <f>Results!N51</f>
        <v>0</v>
      </c>
    </row>
    <row r="464" spans="1:12" ht="15.75" thickBot="1">
      <c r="A464" s="27" t="s">
        <v>1001</v>
      </c>
      <c r="B464" s="308" t="str">
        <f t="shared" si="21"/>
        <v>HPCnt10</v>
      </c>
      <c r="C464" s="308" t="str">
        <f t="shared" si="21"/>
        <v>HPCntrls10</v>
      </c>
      <c r="D464" s="308" t="str">
        <f t="shared" si="21"/>
        <v>HPCntrls</v>
      </c>
      <c r="E464" s="308">
        <f t="shared" si="21"/>
        <v>10</v>
      </c>
      <c r="F464" s="308" t="str">
        <f t="shared" si="21"/>
        <v>Standard</v>
      </c>
      <c r="G464" s="308" t="str">
        <f t="shared" si="21"/>
        <v>PTCS</v>
      </c>
      <c r="H464" s="308" t="str">
        <f t="shared" si="21"/>
        <v>Heating Zone 1</v>
      </c>
      <c r="I464" s="308" t="str">
        <f t="shared" si="21"/>
        <v>HPCntrls Upgrade - Standard to PTCS - Heating Zone 1</v>
      </c>
      <c r="J464" s="308" t="s">
        <v>966</v>
      </c>
      <c r="K464" s="332">
        <f>Results!M52</f>
        <v>814.88431617647086</v>
      </c>
      <c r="L464" s="333">
        <f>Results!N52</f>
        <v>-4.9397482949999683</v>
      </c>
    </row>
    <row r="465" spans="1:12" ht="15">
      <c r="A465" s="27" t="s">
        <v>1002</v>
      </c>
      <c r="B465" s="308" t="str">
        <f t="shared" si="21"/>
        <v>Walls10</v>
      </c>
      <c r="C465" s="308" t="str">
        <f t="shared" si="21"/>
        <v>Walls10</v>
      </c>
      <c r="D465" s="308" t="str">
        <f t="shared" si="21"/>
        <v>Walls</v>
      </c>
      <c r="E465" s="308">
        <f t="shared" si="21"/>
        <v>10</v>
      </c>
      <c r="F465" s="308" t="str">
        <f t="shared" si="21"/>
        <v>R-0</v>
      </c>
      <c r="G465" s="308" t="str">
        <f t="shared" si="21"/>
        <v>R-11</v>
      </c>
      <c r="H465" s="308" t="str">
        <f t="shared" si="21"/>
        <v>Heating Zone 2</v>
      </c>
      <c r="I465" s="308" t="str">
        <f t="shared" si="21"/>
        <v>Multi Family Weatherization - Insulate Walls - R-0 to R-11 - Heating Zone 2</v>
      </c>
      <c r="J465" s="308" t="s">
        <v>966</v>
      </c>
      <c r="K465" s="309">
        <f>Results!M53</f>
        <v>0.84140292947628281</v>
      </c>
      <c r="L465" s="310">
        <f>Results!N53</f>
        <v>-6.1848477955718162E-3</v>
      </c>
    </row>
    <row r="466" spans="1:12" ht="15">
      <c r="A466" s="27" t="s">
        <v>1003</v>
      </c>
      <c r="B466" s="308" t="str">
        <f t="shared" si="21"/>
        <v>BGWal10</v>
      </c>
      <c r="C466" s="308" t="str">
        <f t="shared" si="21"/>
        <v>BGWalls10</v>
      </c>
      <c r="D466" s="308" t="str">
        <f t="shared" si="21"/>
        <v>BGWalls</v>
      </c>
      <c r="E466" s="308">
        <f t="shared" si="21"/>
        <v>10</v>
      </c>
      <c r="F466" s="308" t="str">
        <f t="shared" si="21"/>
        <v>R-0</v>
      </c>
      <c r="G466" s="308" t="str">
        <f t="shared" si="21"/>
        <v>R-11</v>
      </c>
      <c r="H466" s="308" t="str">
        <f t="shared" si="21"/>
        <v>Heating Zone 2</v>
      </c>
      <c r="I466" s="308" t="str">
        <f t="shared" si="21"/>
        <v>Multi Family Weatherization - Insulate BGWalls - R-0 to R-11 - Heating Zone 2</v>
      </c>
      <c r="J466" s="308" t="s">
        <v>966</v>
      </c>
      <c r="K466" s="311">
        <f>Results!M54</f>
        <v>0</v>
      </c>
      <c r="L466" s="312">
        <f>Results!N54</f>
        <v>0</v>
      </c>
    </row>
    <row r="467" spans="1:12" ht="15">
      <c r="A467" s="27" t="s">
        <v>1004</v>
      </c>
      <c r="B467" s="308" t="str">
        <f t="shared" si="21"/>
        <v>Floor10</v>
      </c>
      <c r="C467" s="308" t="str">
        <f t="shared" si="21"/>
        <v>Floors10</v>
      </c>
      <c r="D467" s="308" t="str">
        <f t="shared" si="21"/>
        <v>Floors</v>
      </c>
      <c r="E467" s="308">
        <f t="shared" si="21"/>
        <v>10</v>
      </c>
      <c r="F467" s="308" t="str">
        <f t="shared" si="21"/>
        <v>R-0</v>
      </c>
      <c r="G467" s="308" t="str">
        <f t="shared" si="21"/>
        <v>R-19</v>
      </c>
      <c r="H467" s="308" t="str">
        <f t="shared" si="21"/>
        <v>Heating Zone 2</v>
      </c>
      <c r="I467" s="308" t="str">
        <f t="shared" si="21"/>
        <v>Multi Family Weatherization - Insulate Floors - R-0 to R-19 - Heating Zone 2</v>
      </c>
      <c r="J467" s="308" t="s">
        <v>966</v>
      </c>
      <c r="K467" s="313">
        <f>Results!M55</f>
        <v>0.30087221610569304</v>
      </c>
      <c r="L467" s="314">
        <f>Results!N55</f>
        <v>-8.7799744784625683E-2</v>
      </c>
    </row>
    <row r="468" spans="1:12" ht="15">
      <c r="A468" s="27" t="s">
        <v>1005</v>
      </c>
      <c r="B468" s="308" t="str">
        <f t="shared" ref="B468:I483" si="22">B330</f>
        <v>Floor11</v>
      </c>
      <c r="C468" s="308" t="str">
        <f t="shared" si="22"/>
        <v>Floors11</v>
      </c>
      <c r="D468" s="308" t="str">
        <f t="shared" si="22"/>
        <v>Floors</v>
      </c>
      <c r="E468" s="308">
        <f t="shared" si="22"/>
        <v>11</v>
      </c>
      <c r="F468" s="308" t="str">
        <f t="shared" si="22"/>
        <v>R-0</v>
      </c>
      <c r="G468" s="308" t="str">
        <f t="shared" si="22"/>
        <v>R-25</v>
      </c>
      <c r="H468" s="308" t="str">
        <f t="shared" si="22"/>
        <v>Heating Zone 2</v>
      </c>
      <c r="I468" s="308" t="str">
        <f t="shared" si="22"/>
        <v>Multi Family Weatherization - Insulate Floors - R-0 to R-25 - Heating Zone 2</v>
      </c>
      <c r="J468" s="308" t="s">
        <v>966</v>
      </c>
      <c r="K468" s="315">
        <f>Results!M56</f>
        <v>0.34584822271154431</v>
      </c>
      <c r="L468" s="316">
        <f>Results!N56</f>
        <v>-0.10176093968556155</v>
      </c>
    </row>
    <row r="469" spans="1:12" ht="15">
      <c r="A469" s="27" t="s">
        <v>1006</v>
      </c>
      <c r="B469" s="308" t="str">
        <f t="shared" si="22"/>
        <v>Floor12</v>
      </c>
      <c r="C469" s="308" t="str">
        <f t="shared" si="22"/>
        <v>Floors12</v>
      </c>
      <c r="D469" s="308" t="str">
        <f t="shared" si="22"/>
        <v>Floors</v>
      </c>
      <c r="E469" s="308">
        <f t="shared" si="22"/>
        <v>12</v>
      </c>
      <c r="F469" s="308" t="str">
        <f t="shared" si="22"/>
        <v>R-0</v>
      </c>
      <c r="G469" s="308" t="str">
        <f t="shared" si="22"/>
        <v>R-30</v>
      </c>
      <c r="H469" s="308" t="str">
        <f t="shared" si="22"/>
        <v>Heating Zone 2</v>
      </c>
      <c r="I469" s="308" t="str">
        <f t="shared" si="22"/>
        <v>Multi Family Weatherization - Insulate Floors - R-0 to R-30 - Heating Zone 2</v>
      </c>
      <c r="J469" s="308" t="s">
        <v>966</v>
      </c>
      <c r="K469" s="313">
        <f>Results!M57</f>
        <v>0.39316932997798054</v>
      </c>
      <c r="L469" s="314">
        <f>Results!N57</f>
        <v>-0.11679539894251334</v>
      </c>
    </row>
    <row r="470" spans="1:12" ht="15">
      <c r="A470" s="27" t="s">
        <v>1007</v>
      </c>
      <c r="B470" s="308" t="str">
        <f t="shared" si="22"/>
        <v>Floor13</v>
      </c>
      <c r="C470" s="308" t="str">
        <f t="shared" si="22"/>
        <v>Floors13</v>
      </c>
      <c r="D470" s="308" t="str">
        <f t="shared" si="22"/>
        <v>Floors</v>
      </c>
      <c r="E470" s="308">
        <f t="shared" si="22"/>
        <v>13</v>
      </c>
      <c r="F470" s="308" t="str">
        <f t="shared" si="22"/>
        <v>R-0</v>
      </c>
      <c r="G470" s="308" t="str">
        <f t="shared" si="22"/>
        <v>R-38</v>
      </c>
      <c r="H470" s="308" t="str">
        <f t="shared" si="22"/>
        <v>Heating Zone 2</v>
      </c>
      <c r="I470" s="308" t="str">
        <f t="shared" si="22"/>
        <v>Multi Family Weatherization - Insulate Floors - R-0 to R-38 - Heating Zone 2</v>
      </c>
      <c r="J470" s="308" t="s">
        <v>966</v>
      </c>
      <c r="K470" s="315">
        <f>Results!M58</f>
        <v>0.40579548600188736</v>
      </c>
      <c r="L470" s="316">
        <f>Results!N58</f>
        <v>-0.12085605975187162</v>
      </c>
    </row>
    <row r="471" spans="1:12" ht="15">
      <c r="A471" s="27" t="s">
        <v>1008</v>
      </c>
      <c r="B471" s="308" t="str">
        <f t="shared" si="22"/>
        <v>Floor14</v>
      </c>
      <c r="C471" s="308" t="str">
        <f t="shared" si="22"/>
        <v>Floors14</v>
      </c>
      <c r="D471" s="308" t="str">
        <f t="shared" si="22"/>
        <v>Floors</v>
      </c>
      <c r="E471" s="308">
        <f t="shared" si="22"/>
        <v>14</v>
      </c>
      <c r="F471" s="308" t="str">
        <f t="shared" si="22"/>
        <v>R-19</v>
      </c>
      <c r="G471" s="308" t="str">
        <f t="shared" si="22"/>
        <v>R-25</v>
      </c>
      <c r="H471" s="308" t="str">
        <f t="shared" si="22"/>
        <v>Heating Zone 2</v>
      </c>
      <c r="I471" s="308" t="str">
        <f t="shared" si="22"/>
        <v>Multi Family Weatherization - Insulate Floors - R-19 to R-25 - Heating Zone 2</v>
      </c>
      <c r="J471" s="308" t="s">
        <v>966</v>
      </c>
      <c r="K471" s="315">
        <f>Results!M59</f>
        <v>4.4976006605851299E-2</v>
      </c>
      <c r="L471" s="316">
        <f>Results!N59</f>
        <v>-1.3961194900935866E-2</v>
      </c>
    </row>
    <row r="472" spans="1:12" ht="15">
      <c r="A472" s="27" t="s">
        <v>1009</v>
      </c>
      <c r="B472" s="308" t="str">
        <f t="shared" si="22"/>
        <v>Floor15</v>
      </c>
      <c r="C472" s="308" t="str">
        <f t="shared" si="22"/>
        <v>Floors15</v>
      </c>
      <c r="D472" s="308" t="str">
        <f t="shared" si="22"/>
        <v>Floors</v>
      </c>
      <c r="E472" s="308">
        <f t="shared" si="22"/>
        <v>15</v>
      </c>
      <c r="F472" s="308" t="str">
        <f t="shared" si="22"/>
        <v>R-19</v>
      </c>
      <c r="G472" s="308" t="str">
        <f t="shared" si="22"/>
        <v>R-30</v>
      </c>
      <c r="H472" s="308" t="str">
        <f t="shared" si="22"/>
        <v>Heating Zone 2</v>
      </c>
      <c r="I472" s="308" t="str">
        <f t="shared" si="22"/>
        <v>Multi Family Weatherization - Insulate Floors - R-19 to R-30 - Heating Zone 2</v>
      </c>
      <c r="J472" s="308" t="s">
        <v>966</v>
      </c>
      <c r="K472" s="313">
        <f>Results!M60</f>
        <v>9.2297113872287423E-2</v>
      </c>
      <c r="L472" s="314">
        <f>Results!N60</f>
        <v>-2.8995654157887654E-2</v>
      </c>
    </row>
    <row r="473" spans="1:12" ht="15">
      <c r="A473" s="27" t="s">
        <v>1010</v>
      </c>
      <c r="B473" s="308" t="str">
        <f t="shared" si="22"/>
        <v>Floor16</v>
      </c>
      <c r="C473" s="308" t="str">
        <f t="shared" si="22"/>
        <v>Floors16</v>
      </c>
      <c r="D473" s="308" t="str">
        <f t="shared" si="22"/>
        <v>Floors</v>
      </c>
      <c r="E473" s="308">
        <f t="shared" si="22"/>
        <v>16</v>
      </c>
      <c r="F473" s="308" t="str">
        <f t="shared" si="22"/>
        <v>R-19</v>
      </c>
      <c r="G473" s="308" t="str">
        <f t="shared" si="22"/>
        <v>R-38</v>
      </c>
      <c r="H473" s="308" t="str">
        <f t="shared" si="22"/>
        <v>Heating Zone 2</v>
      </c>
      <c r="I473" s="308" t="str">
        <f t="shared" si="22"/>
        <v>Multi Family Weatherization - Insulate Floors - R-19 to R-38 - Heating Zone 2</v>
      </c>
      <c r="J473" s="308" t="s">
        <v>966</v>
      </c>
      <c r="K473" s="315">
        <f>Results!M61</f>
        <v>0.10492326989619437</v>
      </c>
      <c r="L473" s="316">
        <f>Results!N61</f>
        <v>-3.3056314967245932E-2</v>
      </c>
    </row>
    <row r="474" spans="1:12" ht="15">
      <c r="A474" s="27" t="s">
        <v>1011</v>
      </c>
      <c r="B474" s="308" t="str">
        <f t="shared" si="22"/>
        <v>Floor17</v>
      </c>
      <c r="C474" s="308" t="str">
        <f t="shared" si="22"/>
        <v>Floors17</v>
      </c>
      <c r="D474" s="308" t="str">
        <f t="shared" si="22"/>
        <v>Floors</v>
      </c>
      <c r="E474" s="308">
        <f t="shared" si="22"/>
        <v>17</v>
      </c>
      <c r="F474" s="308" t="str">
        <f t="shared" si="22"/>
        <v>R-11</v>
      </c>
      <c r="G474" s="308" t="str">
        <f t="shared" si="22"/>
        <v>R-30</v>
      </c>
      <c r="H474" s="308" t="str">
        <f t="shared" si="22"/>
        <v>Heating Zone 2</v>
      </c>
      <c r="I474" s="308" t="str">
        <f t="shared" si="22"/>
        <v>Multi Family Weatherization - Insulate Floors - R-11 to R-30 - Heating Zone 2</v>
      </c>
      <c r="J474" s="308" t="s">
        <v>966</v>
      </c>
      <c r="K474" s="315">
        <f>Results!M62</f>
        <v>0.86457984429065726</v>
      </c>
      <c r="L474" s="316">
        <f>Results!N62</f>
        <v>-0.23462567023917102</v>
      </c>
    </row>
    <row r="475" spans="1:12" ht="15">
      <c r="A475" s="27" t="s">
        <v>1004</v>
      </c>
      <c r="B475" s="308" t="str">
        <f t="shared" si="22"/>
        <v>Floor18</v>
      </c>
      <c r="C475" s="308" t="str">
        <f t="shared" si="22"/>
        <v>Floors18</v>
      </c>
      <c r="D475" s="308" t="str">
        <f t="shared" si="22"/>
        <v>Floors</v>
      </c>
      <c r="E475" s="308">
        <f t="shared" si="22"/>
        <v>18</v>
      </c>
      <c r="F475" s="308" t="str">
        <f t="shared" si="22"/>
        <v>R-0</v>
      </c>
      <c r="G475" s="308" t="str">
        <f t="shared" si="22"/>
        <v>R-19</v>
      </c>
      <c r="H475" s="308" t="str">
        <f t="shared" si="22"/>
        <v>Heating Zone 2</v>
      </c>
      <c r="I475" s="308" t="str">
        <f t="shared" si="22"/>
        <v>Multi Family Weatherization - Insulate Floors - R-0 to R-19 - Heating Zone 2</v>
      </c>
      <c r="J475" s="308" t="s">
        <v>966</v>
      </c>
      <c r="K475" s="315">
        <f>Results!M63</f>
        <v>0.30087221610569304</v>
      </c>
      <c r="L475" s="316">
        <f>Results!N63</f>
        <v>-8.7799744784625683E-2</v>
      </c>
    </row>
    <row r="476" spans="1:12" ht="15">
      <c r="A476" s="27" t="s">
        <v>1012</v>
      </c>
      <c r="B476" s="308" t="str">
        <f t="shared" si="22"/>
        <v>Ceili10</v>
      </c>
      <c r="C476" s="308" t="str">
        <f t="shared" si="22"/>
        <v>Ceiling10</v>
      </c>
      <c r="D476" s="308" t="str">
        <f t="shared" si="22"/>
        <v>Ceiling</v>
      </c>
      <c r="E476" s="308">
        <f t="shared" si="22"/>
        <v>10</v>
      </c>
      <c r="F476" s="308" t="str">
        <f t="shared" si="22"/>
        <v>R-0</v>
      </c>
      <c r="G476" s="308" t="str">
        <f t="shared" si="22"/>
        <v>R-19</v>
      </c>
      <c r="H476" s="308" t="str">
        <f t="shared" si="22"/>
        <v>Heating Zone 2</v>
      </c>
      <c r="I476" s="308" t="str">
        <f t="shared" si="22"/>
        <v>Multi Family Weatherization - Insulate Attic - R-0 to R-19 - Heating Zone 2</v>
      </c>
      <c r="J476" s="308" t="s">
        <v>966</v>
      </c>
      <c r="K476" s="317">
        <f>Results!M64</f>
        <v>0.18079219919786124</v>
      </c>
      <c r="L476" s="318">
        <f>Results!N64</f>
        <v>9.1419631587727229E-2</v>
      </c>
    </row>
    <row r="477" spans="1:12" ht="15">
      <c r="A477" s="27" t="s">
        <v>1013</v>
      </c>
      <c r="B477" s="308" t="str">
        <f t="shared" si="22"/>
        <v>Ceili11</v>
      </c>
      <c r="C477" s="308" t="str">
        <f t="shared" si="22"/>
        <v>Ceiling11</v>
      </c>
      <c r="D477" s="308" t="str">
        <f t="shared" si="22"/>
        <v>Ceiling</v>
      </c>
      <c r="E477" s="308">
        <f t="shared" si="22"/>
        <v>11</v>
      </c>
      <c r="F477" s="308" t="str">
        <f t="shared" si="22"/>
        <v>R-0</v>
      </c>
      <c r="G477" s="308" t="str">
        <f t="shared" si="22"/>
        <v>R-38</v>
      </c>
      <c r="H477" s="308" t="str">
        <f t="shared" si="22"/>
        <v>Heating Zone 2</v>
      </c>
      <c r="I477" s="308" t="str">
        <f t="shared" si="22"/>
        <v>Multi Family Weatherization - Insulate Attic - R-0 to R-38 - Heating Zone 2</v>
      </c>
      <c r="J477" s="308" t="s">
        <v>966</v>
      </c>
      <c r="K477" s="313">
        <f>Results!M65</f>
        <v>0.24683435160427808</v>
      </c>
      <c r="L477" s="314">
        <f>Results!N65</f>
        <v>0.12539089095068176</v>
      </c>
    </row>
    <row r="478" spans="1:12" ht="15">
      <c r="A478" s="27" t="s">
        <v>1014</v>
      </c>
      <c r="B478" s="308" t="str">
        <f t="shared" si="22"/>
        <v>Ceili12</v>
      </c>
      <c r="C478" s="308" t="str">
        <f t="shared" si="22"/>
        <v>Ceiling12</v>
      </c>
      <c r="D478" s="308" t="str">
        <f t="shared" si="22"/>
        <v>Ceiling</v>
      </c>
      <c r="E478" s="308">
        <f t="shared" si="22"/>
        <v>12</v>
      </c>
      <c r="F478" s="308" t="str">
        <f t="shared" si="22"/>
        <v>R-0</v>
      </c>
      <c r="G478" s="308" t="str">
        <f t="shared" si="22"/>
        <v>R-49</v>
      </c>
      <c r="H478" s="308" t="str">
        <f t="shared" si="22"/>
        <v>Heating Zone 2</v>
      </c>
      <c r="I478" s="308" t="str">
        <f t="shared" si="22"/>
        <v>Multi Family Weatherization - Insulate Attic - R-0 to R-49 - Heating Zone 2</v>
      </c>
      <c r="J478" s="308" t="s">
        <v>966</v>
      </c>
      <c r="K478" s="313">
        <f>Results!M66</f>
        <v>0.26217257352941159</v>
      </c>
      <c r="L478" s="314">
        <f>Results!N66</f>
        <v>0.13335498068818183</v>
      </c>
    </row>
    <row r="479" spans="1:12" ht="15">
      <c r="A479" s="27" t="s">
        <v>1015</v>
      </c>
      <c r="B479" s="308" t="str">
        <f t="shared" si="22"/>
        <v>Ceili13</v>
      </c>
      <c r="C479" s="308" t="str">
        <f t="shared" si="22"/>
        <v>Ceiling13</v>
      </c>
      <c r="D479" s="308" t="str">
        <f t="shared" si="22"/>
        <v>Ceiling</v>
      </c>
      <c r="E479" s="308">
        <f t="shared" si="22"/>
        <v>13</v>
      </c>
      <c r="F479" s="308" t="str">
        <f t="shared" si="22"/>
        <v>R-30</v>
      </c>
      <c r="G479" s="308" t="str">
        <f t="shared" si="22"/>
        <v>R-38</v>
      </c>
      <c r="H479" s="308" t="str">
        <f t="shared" si="22"/>
        <v>Heating Zone 2</v>
      </c>
      <c r="I479" s="308" t="str">
        <f t="shared" si="22"/>
        <v>Multi Family Weatherization - Insulate Attic - R-30 to R-38 - Heating Zone 2</v>
      </c>
      <c r="J479" s="308" t="s">
        <v>966</v>
      </c>
      <c r="K479" s="315">
        <f>Results!M67</f>
        <v>1.8141918449197603E-2</v>
      </c>
      <c r="L479" s="316">
        <f>Results!N67</f>
        <v>9.4101309119318157E-3</v>
      </c>
    </row>
    <row r="480" spans="1:12" ht="15">
      <c r="A480" s="27" t="s">
        <v>1016</v>
      </c>
      <c r="B480" s="308" t="str">
        <f t="shared" si="22"/>
        <v>Ceili14</v>
      </c>
      <c r="C480" s="308" t="str">
        <f t="shared" si="22"/>
        <v>Ceiling14</v>
      </c>
      <c r="D480" s="308" t="str">
        <f t="shared" si="22"/>
        <v>Ceiling</v>
      </c>
      <c r="E480" s="308">
        <f t="shared" si="22"/>
        <v>14</v>
      </c>
      <c r="F480" s="308" t="str">
        <f t="shared" si="22"/>
        <v>R-30</v>
      </c>
      <c r="G480" s="308" t="str">
        <f t="shared" si="22"/>
        <v>R-49</v>
      </c>
      <c r="H480" s="308" t="str">
        <f t="shared" si="22"/>
        <v>Heating Zone 2</v>
      </c>
      <c r="I480" s="308" t="str">
        <f t="shared" si="22"/>
        <v>Multi Family Weatherization - Insulate Attic - R-30 to R-49 - Heating Zone 2</v>
      </c>
      <c r="J480" s="308" t="s">
        <v>966</v>
      </c>
      <c r="K480" s="315">
        <f>Results!M68</f>
        <v>3.3480140374331148E-2</v>
      </c>
      <c r="L480" s="316">
        <f>Results!N68</f>
        <v>1.7374220649431851E-2</v>
      </c>
    </row>
    <row r="481" spans="1:12" ht="15">
      <c r="A481" s="27" t="s">
        <v>1017</v>
      </c>
      <c r="B481" s="308" t="str">
        <f t="shared" si="22"/>
        <v>Ceili15</v>
      </c>
      <c r="C481" s="308" t="str">
        <f t="shared" si="22"/>
        <v>Ceiling15</v>
      </c>
      <c r="D481" s="308" t="str">
        <f t="shared" si="22"/>
        <v>Ceiling</v>
      </c>
      <c r="E481" s="308">
        <f t="shared" si="22"/>
        <v>15</v>
      </c>
      <c r="F481" s="308" t="str">
        <f t="shared" si="22"/>
        <v>R-19</v>
      </c>
      <c r="G481" s="308" t="str">
        <f t="shared" si="22"/>
        <v>R-30</v>
      </c>
      <c r="H481" s="308" t="str">
        <f t="shared" si="22"/>
        <v>Heating Zone 2</v>
      </c>
      <c r="I481" s="308" t="str">
        <f t="shared" si="22"/>
        <v>Multi Family Weatherization - Insulate Attic - R-19 to R-30 - Heating Zone 2</v>
      </c>
      <c r="J481" s="308" t="s">
        <v>966</v>
      </c>
      <c r="K481" s="315">
        <f>Results!M69</f>
        <v>4.7900233957219172E-2</v>
      </c>
      <c r="L481" s="316">
        <f>Results!N69</f>
        <v>2.4561128451022738E-2</v>
      </c>
    </row>
    <row r="482" spans="1:12" ht="15">
      <c r="A482" s="27" t="s">
        <v>1018</v>
      </c>
      <c r="B482" s="308" t="str">
        <f t="shared" si="22"/>
        <v>Ceili16</v>
      </c>
      <c r="C482" s="308" t="str">
        <f t="shared" si="22"/>
        <v>Ceiling16</v>
      </c>
      <c r="D482" s="308" t="str">
        <f t="shared" si="22"/>
        <v>Ceiling</v>
      </c>
      <c r="E482" s="308">
        <f t="shared" si="22"/>
        <v>16</v>
      </c>
      <c r="F482" s="308" t="str">
        <f t="shared" si="22"/>
        <v>R-19</v>
      </c>
      <c r="G482" s="308" t="str">
        <f t="shared" si="22"/>
        <v>R-38</v>
      </c>
      <c r="H482" s="308" t="str">
        <f t="shared" si="22"/>
        <v>Heating Zone 2</v>
      </c>
      <c r="I482" s="308" t="str">
        <f t="shared" si="22"/>
        <v>Multi Family Weatherization - Insulate Attic - R-19 to R-38 - Heating Zone 2</v>
      </c>
      <c r="J482" s="308" t="s">
        <v>966</v>
      </c>
      <c r="K482" s="313">
        <f>Results!M70</f>
        <v>6.6042152406416796E-2</v>
      </c>
      <c r="L482" s="314">
        <f>Results!N70</f>
        <v>3.3971259362954552E-2</v>
      </c>
    </row>
    <row r="483" spans="1:12" ht="15">
      <c r="A483" s="27" t="s">
        <v>1019</v>
      </c>
      <c r="B483" s="308" t="str">
        <f t="shared" si="22"/>
        <v>Ceili17</v>
      </c>
      <c r="C483" s="308" t="str">
        <f t="shared" si="22"/>
        <v>Ceiling17</v>
      </c>
      <c r="D483" s="308" t="str">
        <f t="shared" si="22"/>
        <v>Ceiling</v>
      </c>
      <c r="E483" s="308">
        <f t="shared" si="22"/>
        <v>17</v>
      </c>
      <c r="F483" s="308" t="str">
        <f t="shared" si="22"/>
        <v>R-19</v>
      </c>
      <c r="G483" s="308" t="str">
        <f t="shared" si="22"/>
        <v>R-49</v>
      </c>
      <c r="H483" s="308" t="str">
        <f t="shared" si="22"/>
        <v>Heating Zone 2</v>
      </c>
      <c r="I483" s="308" t="str">
        <f t="shared" si="22"/>
        <v>Multi Family Weatherization - Insulate Attic - R-19 to R-49 - Heating Zone 2</v>
      </c>
      <c r="J483" s="308" t="s">
        <v>966</v>
      </c>
      <c r="K483" s="313">
        <f>Results!M71</f>
        <v>8.1380374331550334E-2</v>
      </c>
      <c r="L483" s="314">
        <f>Results!N71</f>
        <v>4.1935349100454586E-2</v>
      </c>
    </row>
    <row r="484" spans="1:12" ht="15">
      <c r="A484" s="27" t="s">
        <v>1020</v>
      </c>
      <c r="B484" s="308" t="str">
        <f t="shared" ref="B484:I499" si="23">B346</f>
        <v>Ceili18</v>
      </c>
      <c r="C484" s="308" t="str">
        <f t="shared" si="23"/>
        <v>Ceiling18</v>
      </c>
      <c r="D484" s="308" t="str">
        <f t="shared" si="23"/>
        <v>Ceiling</v>
      </c>
      <c r="E484" s="308">
        <f t="shared" si="23"/>
        <v>18</v>
      </c>
      <c r="F484" s="308" t="str">
        <f t="shared" si="23"/>
        <v>R-38</v>
      </c>
      <c r="G484" s="308" t="str">
        <f t="shared" si="23"/>
        <v>R-49</v>
      </c>
      <c r="H484" s="308" t="str">
        <f t="shared" si="23"/>
        <v>Heating Zone 2</v>
      </c>
      <c r="I484" s="308" t="str">
        <f t="shared" si="23"/>
        <v>Multi Family Weatherization - Insulate Attic - R-38 to R-49 - Heating Zone 2</v>
      </c>
      <c r="J484" s="308" t="s">
        <v>966</v>
      </c>
      <c r="K484" s="320">
        <f>Results!M72</f>
        <v>1.5338221925133542E-2</v>
      </c>
      <c r="L484" s="321">
        <f>Results!N72</f>
        <v>7.9640897375000356E-3</v>
      </c>
    </row>
    <row r="485" spans="1:12" ht="15">
      <c r="B485" s="308"/>
      <c r="C485" s="308"/>
      <c r="D485" s="308"/>
      <c r="E485" s="308"/>
      <c r="F485" s="308"/>
      <c r="G485" s="308"/>
      <c r="H485" s="308"/>
      <c r="I485" s="308"/>
      <c r="J485" s="308"/>
      <c r="K485" s="315"/>
      <c r="L485" s="316"/>
    </row>
    <row r="486" spans="1:12" ht="15">
      <c r="B486" s="308"/>
      <c r="C486" s="308"/>
      <c r="D486" s="308"/>
      <c r="E486" s="308"/>
      <c r="F486" s="308"/>
      <c r="G486" s="308"/>
      <c r="H486" s="308"/>
      <c r="I486" s="308"/>
      <c r="J486" s="308"/>
      <c r="K486" s="315"/>
      <c r="L486" s="316"/>
    </row>
    <row r="487" spans="1:12" ht="15">
      <c r="B487" s="308"/>
      <c r="C487" s="308"/>
      <c r="D487" s="308"/>
      <c r="E487" s="308"/>
      <c r="F487" s="308"/>
      <c r="G487" s="308"/>
      <c r="H487" s="308"/>
      <c r="I487" s="308"/>
      <c r="J487" s="308"/>
      <c r="K487" s="315"/>
      <c r="L487" s="316"/>
    </row>
    <row r="488" spans="1:12" ht="15">
      <c r="B488" s="308"/>
      <c r="C488" s="308"/>
      <c r="D488" s="308"/>
      <c r="E488" s="308"/>
      <c r="F488" s="308"/>
      <c r="G488" s="308"/>
      <c r="H488" s="308"/>
      <c r="I488" s="308"/>
      <c r="J488" s="308"/>
      <c r="K488" s="315"/>
      <c r="L488" s="316"/>
    </row>
    <row r="489" spans="1:12" ht="15">
      <c r="B489" s="308"/>
      <c r="C489" s="308"/>
      <c r="D489" s="308"/>
      <c r="E489" s="308"/>
      <c r="F489" s="308"/>
      <c r="G489" s="308"/>
      <c r="H489" s="308"/>
      <c r="I489" s="308"/>
      <c r="J489" s="308"/>
      <c r="K489" s="315"/>
      <c r="L489" s="316"/>
    </row>
    <row r="490" spans="1:12" ht="15">
      <c r="B490" s="308"/>
      <c r="C490" s="308"/>
      <c r="D490" s="308"/>
      <c r="E490" s="308"/>
      <c r="F490" s="308"/>
      <c r="G490" s="308"/>
      <c r="H490" s="308"/>
      <c r="I490" s="308"/>
      <c r="J490" s="308"/>
      <c r="K490" s="315"/>
      <c r="L490" s="316"/>
    </row>
    <row r="491" spans="1:12" ht="15">
      <c r="B491" s="308"/>
      <c r="C491" s="308"/>
      <c r="D491" s="308"/>
      <c r="E491" s="308"/>
      <c r="F491" s="308"/>
      <c r="G491" s="308"/>
      <c r="H491" s="308"/>
      <c r="I491" s="308"/>
      <c r="J491" s="308"/>
      <c r="K491" s="315"/>
      <c r="L491" s="316"/>
    </row>
    <row r="492" spans="1:12" ht="15">
      <c r="B492" s="308"/>
      <c r="C492" s="308"/>
      <c r="D492" s="308"/>
      <c r="E492" s="308"/>
      <c r="F492" s="308"/>
      <c r="G492" s="308"/>
      <c r="H492" s="308"/>
      <c r="I492" s="308"/>
      <c r="J492" s="308"/>
      <c r="K492" s="315"/>
      <c r="L492" s="316"/>
    </row>
    <row r="493" spans="1:12" ht="15">
      <c r="B493" s="308"/>
      <c r="C493" s="308"/>
      <c r="D493" s="308"/>
      <c r="E493" s="308"/>
      <c r="F493" s="308"/>
      <c r="G493" s="308"/>
      <c r="H493" s="308"/>
      <c r="I493" s="308"/>
      <c r="J493" s="308"/>
      <c r="K493" s="315"/>
      <c r="L493" s="316"/>
    </row>
    <row r="494" spans="1:12" ht="15">
      <c r="A494" s="27" t="s">
        <v>1021</v>
      </c>
      <c r="B494" s="308" t="str">
        <f t="shared" si="23"/>
        <v>Windo19</v>
      </c>
      <c r="C494" s="308" t="str">
        <f t="shared" si="23"/>
        <v>Windows19</v>
      </c>
      <c r="D494" s="308" t="str">
        <f t="shared" si="23"/>
        <v>Windows</v>
      </c>
      <c r="E494" s="308">
        <f t="shared" si="23"/>
        <v>19</v>
      </c>
      <c r="F494" s="308" t="str">
        <f t="shared" si="23"/>
        <v>Class 35</v>
      </c>
      <c r="G494" s="308" t="str">
        <f t="shared" si="23"/>
        <v>Class 22</v>
      </c>
      <c r="H494" s="308" t="str">
        <f t="shared" si="23"/>
        <v>Heating Zone 2</v>
      </c>
      <c r="I494" s="308" t="str">
        <f t="shared" si="23"/>
        <v>Windows - Class 35 to Class 22 - Heating Zone 2</v>
      </c>
      <c r="J494" s="308" t="s">
        <v>966</v>
      </c>
      <c r="K494" s="315">
        <f>Results!M82</f>
        <v>2.0785674276703681</v>
      </c>
      <c r="L494" s="316">
        <f>Results!N82</f>
        <v>0.10483150438412975</v>
      </c>
    </row>
    <row r="495" spans="1:12" ht="15">
      <c r="A495" s="27" t="s">
        <v>1022</v>
      </c>
      <c r="B495" s="308" t="str">
        <f t="shared" si="23"/>
        <v>Windo20</v>
      </c>
      <c r="C495" s="308" t="str">
        <f t="shared" si="23"/>
        <v>Windows20</v>
      </c>
      <c r="D495" s="308" t="str">
        <f t="shared" si="23"/>
        <v>Windows</v>
      </c>
      <c r="E495" s="308">
        <f t="shared" si="23"/>
        <v>20</v>
      </c>
      <c r="F495" s="308" t="str">
        <f t="shared" si="23"/>
        <v>Single Pane</v>
      </c>
      <c r="G495" s="308" t="str">
        <f t="shared" si="23"/>
        <v>Class 22</v>
      </c>
      <c r="H495" s="308" t="str">
        <f t="shared" si="23"/>
        <v>Heating Zone 2</v>
      </c>
      <c r="I495" s="308" t="str">
        <f t="shared" si="23"/>
        <v>Windows - Single Pane to Class 22 - Heating Zone 2</v>
      </c>
      <c r="J495" s="308" t="s">
        <v>966</v>
      </c>
      <c r="K495" s="315">
        <f>Results!M83</f>
        <v>17.063890614287672</v>
      </c>
      <c r="L495" s="316">
        <f>Results!N83</f>
        <v>1.3812324921104313</v>
      </c>
    </row>
    <row r="496" spans="1:12" ht="15">
      <c r="A496" s="27" t="s">
        <v>1023</v>
      </c>
      <c r="B496" s="308" t="str">
        <f t="shared" si="23"/>
        <v>Windo21</v>
      </c>
      <c r="C496" s="308" t="str">
        <f t="shared" si="23"/>
        <v>Windows21</v>
      </c>
      <c r="D496" s="308" t="str">
        <f t="shared" si="23"/>
        <v>Windows</v>
      </c>
      <c r="E496" s="308">
        <f t="shared" si="23"/>
        <v>21</v>
      </c>
      <c r="F496" s="308" t="str">
        <f t="shared" si="23"/>
        <v>Double Pane</v>
      </c>
      <c r="G496" s="308" t="str">
        <f t="shared" si="23"/>
        <v>Class 22</v>
      </c>
      <c r="H496" s="308" t="str">
        <f t="shared" si="23"/>
        <v>Heating Zone 2</v>
      </c>
      <c r="I496" s="308" t="str">
        <f t="shared" si="23"/>
        <v>Windows - Double Pane to Class 22 - Heating Zone 2</v>
      </c>
      <c r="J496" s="308" t="s">
        <v>966</v>
      </c>
      <c r="K496" s="315">
        <f>Results!M84</f>
        <v>9.7754336121394925</v>
      </c>
      <c r="L496" s="316">
        <f>Results!N84</f>
        <v>1.8284578812169774</v>
      </c>
    </row>
    <row r="497" spans="1:12" ht="15">
      <c r="A497" s="27" t="s">
        <v>1024</v>
      </c>
      <c r="B497" s="308" t="str">
        <f t="shared" si="23"/>
        <v>Windo22</v>
      </c>
      <c r="C497" s="308" t="str">
        <f t="shared" si="23"/>
        <v>Windows22</v>
      </c>
      <c r="D497" s="308" t="str">
        <f t="shared" si="23"/>
        <v>Windows</v>
      </c>
      <c r="E497" s="308">
        <f t="shared" si="23"/>
        <v>22</v>
      </c>
      <c r="F497" s="308" t="str">
        <f t="shared" si="23"/>
        <v>Single Pane</v>
      </c>
      <c r="G497" s="308" t="str">
        <f t="shared" si="23"/>
        <v>Class 30</v>
      </c>
      <c r="H497" s="308" t="str">
        <f t="shared" si="23"/>
        <v>Heating Zone 2</v>
      </c>
      <c r="I497" s="308" t="str">
        <f t="shared" si="23"/>
        <v>Windows - Single Pane to Class 30 - Heating Zone 2</v>
      </c>
      <c r="J497" s="308" t="s">
        <v>966</v>
      </c>
      <c r="K497" s="313">
        <f>Results!M85</f>
        <v>15.826683086521323</v>
      </c>
      <c r="L497" s="314">
        <f>Results!N85</f>
        <v>1.2986658936085858</v>
      </c>
    </row>
    <row r="498" spans="1:12" ht="15">
      <c r="A498" s="27" t="s">
        <v>1025</v>
      </c>
      <c r="B498" s="308" t="str">
        <f t="shared" si="23"/>
        <v>Windo23</v>
      </c>
      <c r="C498" s="308" t="str">
        <f t="shared" si="23"/>
        <v>Windows23</v>
      </c>
      <c r="D498" s="308" t="str">
        <f t="shared" si="23"/>
        <v>Windows</v>
      </c>
      <c r="E498" s="308">
        <f t="shared" si="23"/>
        <v>23</v>
      </c>
      <c r="F498" s="308" t="str">
        <f t="shared" si="23"/>
        <v>Double Pane</v>
      </c>
      <c r="G498" s="308" t="str">
        <f t="shared" si="23"/>
        <v>Class 30</v>
      </c>
      <c r="H498" s="308" t="str">
        <f t="shared" si="23"/>
        <v>Heating Zone 2</v>
      </c>
      <c r="I498" s="308" t="str">
        <f t="shared" si="23"/>
        <v>Windows - Double Pane to Class 30 - Heating Zone 2</v>
      </c>
      <c r="J498" s="308" t="s">
        <v>966</v>
      </c>
      <c r="K498" s="313">
        <f>Results!M86</f>
        <v>8.5382260843731412</v>
      </c>
      <c r="L498" s="314">
        <f>Results!N86</f>
        <v>1.7458912827151318</v>
      </c>
    </row>
    <row r="499" spans="1:12" ht="15">
      <c r="A499" s="27" t="s">
        <v>1026</v>
      </c>
      <c r="B499" s="308" t="str">
        <f t="shared" si="23"/>
        <v>Windo24</v>
      </c>
      <c r="C499" s="308" t="str">
        <f t="shared" si="23"/>
        <v>Windows24</v>
      </c>
      <c r="D499" s="308" t="str">
        <f t="shared" si="23"/>
        <v>Windows</v>
      </c>
      <c r="E499" s="308">
        <f t="shared" si="23"/>
        <v>24</v>
      </c>
      <c r="F499" s="308" t="str">
        <f t="shared" si="23"/>
        <v>Class 35</v>
      </c>
      <c r="G499" s="308" t="str">
        <f t="shared" si="23"/>
        <v>Class 30</v>
      </c>
      <c r="H499" s="308" t="str">
        <f t="shared" si="23"/>
        <v>Heating Zone 2</v>
      </c>
      <c r="I499" s="308" t="str">
        <f t="shared" si="23"/>
        <v>Windows - Class 35 to Class 30 - Heating Zone 2</v>
      </c>
      <c r="J499" s="308" t="s">
        <v>966</v>
      </c>
      <c r="K499" s="313">
        <f>Results!M87</f>
        <v>0.84135989990401749</v>
      </c>
      <c r="L499" s="314">
        <f>Results!N87</f>
        <v>2.2264905882284219E-2</v>
      </c>
    </row>
    <row r="500" spans="1:12" ht="15">
      <c r="A500" s="27" t="s">
        <v>1027</v>
      </c>
      <c r="B500" s="308" t="str">
        <f t="shared" ref="B500:I515" si="24">B362</f>
        <v>Infil10</v>
      </c>
      <c r="C500" s="308" t="str">
        <f t="shared" si="24"/>
        <v>Infiltration10</v>
      </c>
      <c r="D500" s="308" t="str">
        <f t="shared" si="24"/>
        <v>Infiltration</v>
      </c>
      <c r="E500" s="308">
        <f t="shared" si="24"/>
        <v>10</v>
      </c>
      <c r="F500" s="308" t="str">
        <f t="shared" si="24"/>
        <v>0.45 ACHn</v>
      </c>
      <c r="G500" s="308" t="str">
        <f t="shared" si="24"/>
        <v>0.35 ACHn</v>
      </c>
      <c r="H500" s="308" t="str">
        <f t="shared" si="24"/>
        <v>Heating Zone 2</v>
      </c>
      <c r="I500" s="308" t="str">
        <f t="shared" si="24"/>
        <v>Infiltration Reduction - 0.45 ACHn to 0.35 ACHn - Heating Zone 2</v>
      </c>
      <c r="J500" s="308" t="s">
        <v>966</v>
      </c>
      <c r="K500" s="317">
        <f>Results!M88</f>
        <v>0</v>
      </c>
      <c r="L500" s="318">
        <f>Results!N88</f>
        <v>0</v>
      </c>
    </row>
    <row r="501" spans="1:12" ht="15">
      <c r="A501" s="27" t="s">
        <v>1028</v>
      </c>
      <c r="B501" s="308" t="str">
        <f t="shared" si="24"/>
        <v>Infil11</v>
      </c>
      <c r="C501" s="308" t="str">
        <f t="shared" si="24"/>
        <v>Infiltration11</v>
      </c>
      <c r="D501" s="308" t="str">
        <f t="shared" si="24"/>
        <v>Infiltration</v>
      </c>
      <c r="E501" s="308">
        <f t="shared" si="24"/>
        <v>11</v>
      </c>
      <c r="F501" s="308" t="str">
        <f t="shared" si="24"/>
        <v>0.45 ACHn</v>
      </c>
      <c r="G501" s="308" t="str">
        <f t="shared" si="24"/>
        <v>0.20 ACHn</v>
      </c>
      <c r="H501" s="308" t="str">
        <f t="shared" si="24"/>
        <v>Heating Zone 2</v>
      </c>
      <c r="I501" s="308" t="str">
        <f t="shared" si="24"/>
        <v>Infiltration Reduction - 0.45 ACHn to 0.20 ACHn - Heating Zone 2</v>
      </c>
      <c r="J501" s="308" t="s">
        <v>966</v>
      </c>
      <c r="K501" s="315">
        <f>Results!M89</f>
        <v>0</v>
      </c>
      <c r="L501" s="316">
        <f>Results!N89</f>
        <v>0</v>
      </c>
    </row>
    <row r="502" spans="1:12" ht="15">
      <c r="A502" s="27" t="s">
        <v>1029</v>
      </c>
      <c r="B502" s="308" t="str">
        <f t="shared" si="24"/>
        <v>Infil12</v>
      </c>
      <c r="C502" s="308" t="str">
        <f t="shared" si="24"/>
        <v>Infiltration12</v>
      </c>
      <c r="D502" s="308" t="str">
        <f t="shared" si="24"/>
        <v>Infiltration</v>
      </c>
      <c r="E502" s="308">
        <f t="shared" si="24"/>
        <v>12</v>
      </c>
      <c r="F502" s="308" t="str">
        <f t="shared" si="24"/>
        <v>0.35 ACHn</v>
      </c>
      <c r="G502" s="308" t="str">
        <f t="shared" si="24"/>
        <v>0.20 ACHn</v>
      </c>
      <c r="H502" s="308" t="str">
        <f t="shared" si="24"/>
        <v>Heating Zone 2</v>
      </c>
      <c r="I502" s="308" t="str">
        <f t="shared" si="24"/>
        <v>Infiltration Reduction - 0.35 ACHn to 0.20 ACHn - Heating Zone 2</v>
      </c>
      <c r="J502" s="308" t="s">
        <v>966</v>
      </c>
      <c r="K502" s="322">
        <f>Results!M90</f>
        <v>0</v>
      </c>
      <c r="L502" s="323">
        <f>Results!N90</f>
        <v>0</v>
      </c>
    </row>
    <row r="503" spans="1:12" ht="15">
      <c r="A503" s="27" t="s">
        <v>1030</v>
      </c>
      <c r="B503" s="308" t="str">
        <f t="shared" si="24"/>
        <v>DuctT10</v>
      </c>
      <c r="C503" s="308" t="str">
        <f t="shared" si="24"/>
        <v>DuctTightness10</v>
      </c>
      <c r="D503" s="308" t="str">
        <f t="shared" si="24"/>
        <v>DuctTightness</v>
      </c>
      <c r="E503" s="308">
        <f t="shared" si="24"/>
        <v>10</v>
      </c>
      <c r="F503" s="308" t="str">
        <f t="shared" si="24"/>
        <v>Std-crawl</v>
      </c>
      <c r="G503" s="308" t="str">
        <f t="shared" si="24"/>
        <v>PTCS-crawl</v>
      </c>
      <c r="H503" s="308" t="str">
        <f t="shared" si="24"/>
        <v>Heating Zone 2</v>
      </c>
      <c r="I503" s="308" t="str">
        <f t="shared" si="24"/>
        <v>DuctTightness - Std-crawl to PTCS-crawl - Heating Zone 2</v>
      </c>
      <c r="J503" s="308" t="s">
        <v>966</v>
      </c>
      <c r="K503" s="324">
        <f>Results!M91</f>
        <v>3509.8505882352911</v>
      </c>
      <c r="L503" s="325">
        <f>Results!N91</f>
        <v>412.36592717000002</v>
      </c>
    </row>
    <row r="504" spans="1:12" ht="15">
      <c r="A504" s="27" t="s">
        <v>1031</v>
      </c>
      <c r="B504" s="308" t="str">
        <f t="shared" si="24"/>
        <v>DuctI10</v>
      </c>
      <c r="C504" s="308" t="str">
        <f t="shared" si="24"/>
        <v>DuctInsulation10</v>
      </c>
      <c r="D504" s="308" t="str">
        <f t="shared" si="24"/>
        <v>DuctInsulation</v>
      </c>
      <c r="E504" s="308">
        <f t="shared" si="24"/>
        <v>10</v>
      </c>
      <c r="F504" s="308" t="str">
        <f t="shared" si="24"/>
        <v>R-0</v>
      </c>
      <c r="G504" s="308" t="str">
        <f t="shared" si="24"/>
        <v>R-4.2</v>
      </c>
      <c r="H504" s="308" t="str">
        <f t="shared" si="24"/>
        <v>Heating Zone 2</v>
      </c>
      <c r="I504" s="308" t="str">
        <f t="shared" si="24"/>
        <v>DuctInsulation - R-0 to R-4.2 - Heating Zone 2</v>
      </c>
      <c r="J504" s="308" t="s">
        <v>966</v>
      </c>
      <c r="K504" s="326">
        <f>Results!M92</f>
        <v>130.95588235293675</v>
      </c>
      <c r="L504" s="327">
        <f>Results!N92</f>
        <v>26.164713032499911</v>
      </c>
    </row>
    <row r="505" spans="1:12" ht="15">
      <c r="A505" s="27" t="s">
        <v>1032</v>
      </c>
      <c r="B505" s="308" t="str">
        <f t="shared" si="24"/>
        <v>DuctI11</v>
      </c>
      <c r="C505" s="308" t="str">
        <f t="shared" si="24"/>
        <v>DuctInsulation11</v>
      </c>
      <c r="D505" s="308" t="str">
        <f t="shared" si="24"/>
        <v>DuctInsulation</v>
      </c>
      <c r="E505" s="308">
        <f t="shared" si="24"/>
        <v>11</v>
      </c>
      <c r="F505" s="308" t="str">
        <f t="shared" si="24"/>
        <v>R-0</v>
      </c>
      <c r="G505" s="308" t="str">
        <f t="shared" si="24"/>
        <v>R-11</v>
      </c>
      <c r="H505" s="308" t="str">
        <f t="shared" si="24"/>
        <v>Heating Zone 2</v>
      </c>
      <c r="I505" s="308" t="str">
        <f t="shared" si="24"/>
        <v>DuctInsulation - R-0 to R-11 - Heating Zone 2</v>
      </c>
      <c r="J505" s="308" t="s">
        <v>966</v>
      </c>
      <c r="K505" s="328">
        <f>Results!M93</f>
        <v>182.9733823529366</v>
      </c>
      <c r="L505" s="329">
        <f>Results!N93</f>
        <v>36.226064100000485</v>
      </c>
    </row>
    <row r="506" spans="1:12" ht="15">
      <c r="A506" s="27" t="s">
        <v>1033</v>
      </c>
      <c r="B506" s="308" t="str">
        <f t="shared" si="24"/>
        <v>DuctI12</v>
      </c>
      <c r="C506" s="308" t="str">
        <f t="shared" si="24"/>
        <v>DuctInsulation12</v>
      </c>
      <c r="D506" s="308" t="str">
        <f t="shared" si="24"/>
        <v>DuctInsulation</v>
      </c>
      <c r="E506" s="308">
        <f t="shared" si="24"/>
        <v>12</v>
      </c>
      <c r="F506" s="308" t="str">
        <f t="shared" si="24"/>
        <v>R-4.2</v>
      </c>
      <c r="G506" s="308" t="str">
        <f t="shared" si="24"/>
        <v>R-11</v>
      </c>
      <c r="H506" s="308" t="str">
        <f t="shared" si="24"/>
        <v>Heating Zone 2</v>
      </c>
      <c r="I506" s="308" t="str">
        <f t="shared" si="24"/>
        <v>DuctInsulation - R-4.2 to R-11 - Heating Zone 2</v>
      </c>
      <c r="J506" s="308" t="s">
        <v>966</v>
      </c>
      <c r="K506" s="330">
        <f>Results!M94</f>
        <v>52.017499999999842</v>
      </c>
      <c r="L506" s="331">
        <f>Results!N94</f>
        <v>10.061351067500571</v>
      </c>
    </row>
    <row r="507" spans="1:12" ht="15">
      <c r="A507" s="27" t="s">
        <v>1034</v>
      </c>
      <c r="B507" s="308" t="str">
        <f t="shared" si="24"/>
        <v>HeatP10</v>
      </c>
      <c r="C507" s="308" t="str">
        <f t="shared" si="24"/>
        <v>HeatPump10</v>
      </c>
      <c r="D507" s="308" t="str">
        <f t="shared" si="24"/>
        <v>HeatPump</v>
      </c>
      <c r="E507" s="308">
        <f t="shared" si="24"/>
        <v>10</v>
      </c>
      <c r="F507" s="308" t="str">
        <f t="shared" si="24"/>
        <v>7.7/13</v>
      </c>
      <c r="G507" s="308" t="str">
        <f t="shared" si="24"/>
        <v>8.5/13</v>
      </c>
      <c r="H507" s="308" t="str">
        <f t="shared" si="24"/>
        <v>Heating Zone 2</v>
      </c>
      <c r="I507" s="308" t="str">
        <f t="shared" si="24"/>
        <v>HeatPump Upgrade - 7.7/13 to 8.5/13 - Heating Zone 2</v>
      </c>
      <c r="J507" s="308" t="s">
        <v>966</v>
      </c>
      <c r="K507" s="328">
        <f>Results!M95</f>
        <v>620.51158326967038</v>
      </c>
      <c r="L507" s="329">
        <f>Results!N95</f>
        <v>0</v>
      </c>
    </row>
    <row r="508" spans="1:12" ht="15">
      <c r="A508" s="27" t="s">
        <v>1035</v>
      </c>
      <c r="B508" s="308" t="str">
        <f t="shared" si="24"/>
        <v>HeatP11</v>
      </c>
      <c r="C508" s="308" t="str">
        <f t="shared" si="24"/>
        <v>HeatPump11</v>
      </c>
      <c r="D508" s="308" t="str">
        <f t="shared" si="24"/>
        <v>HeatPump</v>
      </c>
      <c r="E508" s="308">
        <f t="shared" si="24"/>
        <v>11</v>
      </c>
      <c r="F508" s="308" t="str">
        <f t="shared" si="24"/>
        <v>7.7/13</v>
      </c>
      <c r="G508" s="308" t="str">
        <f t="shared" si="24"/>
        <v>9.0/14</v>
      </c>
      <c r="H508" s="308" t="str">
        <f t="shared" si="24"/>
        <v>Heating Zone 2</v>
      </c>
      <c r="I508" s="308" t="str">
        <f t="shared" si="24"/>
        <v>HeatPump Upgrade - 7.7/13 to 9.0/14 - Heating Zone 2</v>
      </c>
      <c r="J508" s="308" t="s">
        <v>966</v>
      </c>
      <c r="K508" s="328">
        <f>Results!M96</f>
        <v>919.25375974025872</v>
      </c>
      <c r="L508" s="329">
        <f>Results!N96</f>
        <v>213.6506191385713</v>
      </c>
    </row>
    <row r="509" spans="1:12" ht="15">
      <c r="A509" s="27" t="s">
        <v>1036</v>
      </c>
      <c r="B509" s="308" t="str">
        <f t="shared" si="24"/>
        <v>HeatP12</v>
      </c>
      <c r="C509" s="308" t="str">
        <f t="shared" si="24"/>
        <v>HeatPump12</v>
      </c>
      <c r="D509" s="308" t="str">
        <f t="shared" si="24"/>
        <v>HeatPump</v>
      </c>
      <c r="E509" s="308">
        <f t="shared" si="24"/>
        <v>12</v>
      </c>
      <c r="F509" s="308" t="str">
        <f t="shared" si="24"/>
        <v>7.7/13</v>
      </c>
      <c r="G509" s="308" t="str">
        <f t="shared" si="24"/>
        <v>8.2/13</v>
      </c>
      <c r="H509" s="308" t="str">
        <f t="shared" si="24"/>
        <v>Heating Zone 2</v>
      </c>
      <c r="I509" s="308" t="str">
        <f t="shared" si="24"/>
        <v>HeatPump Upgrade - 7.7/13 to 8.2/13 - Heating Zone 2</v>
      </c>
      <c r="J509" s="308" t="s">
        <v>966</v>
      </c>
      <c r="K509" s="328">
        <f>Results!M97</f>
        <v>423.77893047196534</v>
      </c>
      <c r="L509" s="329">
        <f>Results!N97</f>
        <v>0</v>
      </c>
    </row>
    <row r="510" spans="1:12" ht="15.75" thickBot="1">
      <c r="A510" s="27" t="s">
        <v>1037</v>
      </c>
      <c r="B510" s="308" t="str">
        <f t="shared" si="24"/>
        <v>HPCnt10</v>
      </c>
      <c r="C510" s="308" t="str">
        <f t="shared" si="24"/>
        <v>HPCntrls10</v>
      </c>
      <c r="D510" s="308" t="str">
        <f t="shared" si="24"/>
        <v>HPCntrls</v>
      </c>
      <c r="E510" s="308">
        <f t="shared" si="24"/>
        <v>10</v>
      </c>
      <c r="F510" s="308" t="str">
        <f t="shared" si="24"/>
        <v>Standard</v>
      </c>
      <c r="G510" s="308" t="str">
        <f t="shared" si="24"/>
        <v>PTCS</v>
      </c>
      <c r="H510" s="308" t="str">
        <f t="shared" si="24"/>
        <v>Heating Zone 2</v>
      </c>
      <c r="I510" s="308" t="str">
        <f t="shared" si="24"/>
        <v>HPCntrls Upgrade - Standard to PTCS - Heating Zone 2</v>
      </c>
      <c r="J510" s="308" t="s">
        <v>966</v>
      </c>
      <c r="K510" s="334">
        <f>Results!M98</f>
        <v>1932.6027941176474</v>
      </c>
      <c r="L510" s="335">
        <f>Results!N98</f>
        <v>-3.99093603750004</v>
      </c>
    </row>
    <row r="511" spans="1:12" ht="15">
      <c r="A511" s="27" t="s">
        <v>1038</v>
      </c>
      <c r="B511" s="308" t="str">
        <f t="shared" si="24"/>
        <v>Walls10</v>
      </c>
      <c r="C511" s="308" t="str">
        <f t="shared" si="24"/>
        <v>Walls10</v>
      </c>
      <c r="D511" s="308" t="str">
        <f t="shared" si="24"/>
        <v>Walls</v>
      </c>
      <c r="E511" s="308">
        <f t="shared" si="24"/>
        <v>10</v>
      </c>
      <c r="F511" s="308" t="str">
        <f t="shared" si="24"/>
        <v>R-0</v>
      </c>
      <c r="G511" s="308" t="str">
        <f t="shared" si="24"/>
        <v>R-11</v>
      </c>
      <c r="H511" s="308" t="str">
        <f t="shared" si="24"/>
        <v>Heating Zone 3</v>
      </c>
      <c r="I511" s="308" t="str">
        <f t="shared" si="24"/>
        <v>Multi Family Weatherization - Insulate Walls - R-0 to R-11 - Heating Zone 3</v>
      </c>
      <c r="J511" s="308" t="s">
        <v>966</v>
      </c>
      <c r="K511" s="309">
        <f>Results!M99</f>
        <v>1.1677794555296441</v>
      </c>
      <c r="L511" s="310">
        <f>Results!N99</f>
        <v>2.1364962966936268E-2</v>
      </c>
    </row>
    <row r="512" spans="1:12" ht="15">
      <c r="A512" s="27" t="s">
        <v>1039</v>
      </c>
      <c r="B512" s="308" t="str">
        <f t="shared" si="24"/>
        <v>BGWal10</v>
      </c>
      <c r="C512" s="308" t="str">
        <f t="shared" si="24"/>
        <v>BGWalls10</v>
      </c>
      <c r="D512" s="308" t="str">
        <f t="shared" si="24"/>
        <v>BGWalls</v>
      </c>
      <c r="E512" s="308">
        <f t="shared" si="24"/>
        <v>10</v>
      </c>
      <c r="F512" s="308" t="str">
        <f t="shared" si="24"/>
        <v>R-0</v>
      </c>
      <c r="G512" s="308" t="str">
        <f t="shared" si="24"/>
        <v>R-11</v>
      </c>
      <c r="H512" s="308" t="str">
        <f t="shared" si="24"/>
        <v>Heating Zone 3</v>
      </c>
      <c r="I512" s="308" t="str">
        <f t="shared" si="24"/>
        <v>Multi Family Weatherization - Insulate BGWalls - R-0 to R-11 - Heating Zone 3</v>
      </c>
      <c r="J512" s="308" t="s">
        <v>966</v>
      </c>
      <c r="K512" s="311">
        <f>Results!M100</f>
        <v>0</v>
      </c>
      <c r="L512" s="312">
        <f>Results!N100</f>
        <v>0</v>
      </c>
    </row>
    <row r="513" spans="1:12" ht="15">
      <c r="A513" s="27" t="s">
        <v>1040</v>
      </c>
      <c r="B513" s="308" t="str">
        <f t="shared" si="24"/>
        <v>Floor10</v>
      </c>
      <c r="C513" s="308" t="str">
        <f t="shared" si="24"/>
        <v>Floors10</v>
      </c>
      <c r="D513" s="308" t="str">
        <f t="shared" si="24"/>
        <v>Floors</v>
      </c>
      <c r="E513" s="308">
        <f t="shared" si="24"/>
        <v>10</v>
      </c>
      <c r="F513" s="308" t="str">
        <f t="shared" si="24"/>
        <v>R-0</v>
      </c>
      <c r="G513" s="308" t="str">
        <f t="shared" si="24"/>
        <v>R-19</v>
      </c>
      <c r="H513" s="308" t="str">
        <f t="shared" si="24"/>
        <v>Heating Zone 3</v>
      </c>
      <c r="I513" s="308" t="str">
        <f t="shared" si="24"/>
        <v>Multi Family Weatherization - Insulate Floors - R-0 to R-19 - Heating Zone 3</v>
      </c>
      <c r="J513" s="308" t="s">
        <v>966</v>
      </c>
      <c r="K513" s="313">
        <f>Results!M101</f>
        <v>0.37235246932997834</v>
      </c>
      <c r="L513" s="314">
        <f>Results!N101</f>
        <v>-8.9849703227272593E-2</v>
      </c>
    </row>
    <row r="514" spans="1:12" ht="15">
      <c r="A514" s="27" t="s">
        <v>1041</v>
      </c>
      <c r="B514" s="308" t="str">
        <f t="shared" si="24"/>
        <v>Floor11</v>
      </c>
      <c r="C514" s="308" t="str">
        <f t="shared" si="24"/>
        <v>Floors11</v>
      </c>
      <c r="D514" s="308" t="str">
        <f t="shared" si="24"/>
        <v>Floors</v>
      </c>
      <c r="E514" s="308">
        <f t="shared" si="24"/>
        <v>11</v>
      </c>
      <c r="F514" s="308" t="str">
        <f t="shared" si="24"/>
        <v>R-0</v>
      </c>
      <c r="G514" s="308" t="str">
        <f t="shared" si="24"/>
        <v>R-25</v>
      </c>
      <c r="H514" s="308" t="str">
        <f t="shared" si="24"/>
        <v>Heating Zone 3</v>
      </c>
      <c r="I514" s="308" t="str">
        <f t="shared" si="24"/>
        <v>Multi Family Weatherization - Insulate Floors - R-0 to R-25 - Heating Zone 3</v>
      </c>
      <c r="J514" s="308" t="s">
        <v>966</v>
      </c>
      <c r="K514" s="315">
        <f>Results!M102</f>
        <v>0.42786929852154842</v>
      </c>
      <c r="L514" s="316">
        <f>Results!N102</f>
        <v>-0.10425865074064163</v>
      </c>
    </row>
    <row r="515" spans="1:12" ht="15">
      <c r="A515" s="27" t="s">
        <v>1042</v>
      </c>
      <c r="B515" s="308" t="str">
        <f t="shared" si="24"/>
        <v>Floor12</v>
      </c>
      <c r="C515" s="308" t="str">
        <f t="shared" si="24"/>
        <v>Floors12</v>
      </c>
      <c r="D515" s="308" t="str">
        <f t="shared" si="24"/>
        <v>Floors</v>
      </c>
      <c r="E515" s="308">
        <f t="shared" si="24"/>
        <v>12</v>
      </c>
      <c r="F515" s="308" t="str">
        <f t="shared" si="24"/>
        <v>R-0</v>
      </c>
      <c r="G515" s="308" t="str">
        <f t="shared" si="24"/>
        <v>R-30</v>
      </c>
      <c r="H515" s="308" t="str">
        <f t="shared" si="24"/>
        <v>Heating Zone 3</v>
      </c>
      <c r="I515" s="308" t="str">
        <f t="shared" si="24"/>
        <v>Multi Family Weatherization - Insulate Floors - R-0 to R-30 - Heating Zone 3</v>
      </c>
      <c r="J515" s="308" t="s">
        <v>966</v>
      </c>
      <c r="K515" s="313">
        <f>Results!M103</f>
        <v>0.48595171437558971</v>
      </c>
      <c r="L515" s="314">
        <f>Results!N103</f>
        <v>-0.11983911942513364</v>
      </c>
    </row>
    <row r="516" spans="1:12" ht="15">
      <c r="A516" s="27" t="s">
        <v>1043</v>
      </c>
      <c r="B516" s="308" t="str">
        <f t="shared" ref="B516:I530" si="25">B378</f>
        <v>Floor13</v>
      </c>
      <c r="C516" s="308" t="str">
        <f t="shared" si="25"/>
        <v>Floors13</v>
      </c>
      <c r="D516" s="308" t="str">
        <f t="shared" si="25"/>
        <v>Floors</v>
      </c>
      <c r="E516" s="308">
        <f t="shared" si="25"/>
        <v>13</v>
      </c>
      <c r="F516" s="308" t="str">
        <f t="shared" si="25"/>
        <v>R-0</v>
      </c>
      <c r="G516" s="308" t="str">
        <f t="shared" si="25"/>
        <v>R-38</v>
      </c>
      <c r="H516" s="308" t="str">
        <f t="shared" si="25"/>
        <v>Heating Zone 3</v>
      </c>
      <c r="I516" s="308" t="str">
        <f t="shared" si="25"/>
        <v>Multi Family Weatherization - Insulate Floors - R-0 to R-38 - Heating Zone 3</v>
      </c>
      <c r="J516" s="308" t="s">
        <v>966</v>
      </c>
      <c r="K516" s="315">
        <f>Results!M104</f>
        <v>0.50134806542938026</v>
      </c>
      <c r="L516" s="316">
        <f>Results!N104</f>
        <v>-0.12405266836096229</v>
      </c>
    </row>
    <row r="517" spans="1:12" ht="15">
      <c r="A517" s="27" t="s">
        <v>1044</v>
      </c>
      <c r="B517" s="308" t="str">
        <f t="shared" si="25"/>
        <v>Floor14</v>
      </c>
      <c r="C517" s="308" t="str">
        <f t="shared" si="25"/>
        <v>Floors14</v>
      </c>
      <c r="D517" s="308" t="str">
        <f t="shared" si="25"/>
        <v>Floors</v>
      </c>
      <c r="E517" s="308">
        <f t="shared" si="25"/>
        <v>14</v>
      </c>
      <c r="F517" s="308" t="str">
        <f t="shared" si="25"/>
        <v>R-19</v>
      </c>
      <c r="G517" s="308" t="str">
        <f t="shared" si="25"/>
        <v>R-25</v>
      </c>
      <c r="H517" s="308" t="str">
        <f t="shared" si="25"/>
        <v>Heating Zone 3</v>
      </c>
      <c r="I517" s="308" t="str">
        <f t="shared" si="25"/>
        <v>Multi Family Weatherization - Insulate Floors - R-19 to R-25 - Heating Zone 3</v>
      </c>
      <c r="J517" s="308" t="s">
        <v>966</v>
      </c>
      <c r="K517" s="315">
        <f>Results!M105</f>
        <v>5.5516829191570083E-2</v>
      </c>
      <c r="L517" s="316">
        <f>Results!N105</f>
        <v>-1.4408947513369016E-2</v>
      </c>
    </row>
    <row r="518" spans="1:12" ht="15">
      <c r="A518" s="27" t="s">
        <v>1045</v>
      </c>
      <c r="B518" s="308" t="str">
        <f t="shared" si="25"/>
        <v>Floor15</v>
      </c>
      <c r="C518" s="308" t="str">
        <f t="shared" si="25"/>
        <v>Floors15</v>
      </c>
      <c r="D518" s="308" t="str">
        <f t="shared" si="25"/>
        <v>Floors</v>
      </c>
      <c r="E518" s="308">
        <f t="shared" si="25"/>
        <v>15</v>
      </c>
      <c r="F518" s="308" t="str">
        <f t="shared" si="25"/>
        <v>R-19</v>
      </c>
      <c r="G518" s="308" t="str">
        <f t="shared" si="25"/>
        <v>R-30</v>
      </c>
      <c r="H518" s="308" t="str">
        <f t="shared" si="25"/>
        <v>Heating Zone 3</v>
      </c>
      <c r="I518" s="308" t="str">
        <f t="shared" si="25"/>
        <v>Multi Family Weatherization - Insulate Floors - R-19 to R-30 - Heating Zone 3</v>
      </c>
      <c r="J518" s="308" t="s">
        <v>966</v>
      </c>
      <c r="K518" s="313">
        <f>Results!M106</f>
        <v>0.11359924504561136</v>
      </c>
      <c r="L518" s="314">
        <f>Results!N106</f>
        <v>-2.9989416197861055E-2</v>
      </c>
    </row>
    <row r="519" spans="1:12" ht="15">
      <c r="A519" s="27" t="s">
        <v>1046</v>
      </c>
      <c r="B519" s="308" t="str">
        <f t="shared" si="25"/>
        <v>Floor16</v>
      </c>
      <c r="C519" s="308" t="str">
        <f t="shared" si="25"/>
        <v>Floors16</v>
      </c>
      <c r="D519" s="308" t="str">
        <f t="shared" si="25"/>
        <v>Floors</v>
      </c>
      <c r="E519" s="308">
        <f t="shared" si="25"/>
        <v>16</v>
      </c>
      <c r="F519" s="308" t="str">
        <f t="shared" si="25"/>
        <v>R-19</v>
      </c>
      <c r="G519" s="308" t="str">
        <f t="shared" si="25"/>
        <v>R-38</v>
      </c>
      <c r="H519" s="308" t="str">
        <f t="shared" si="25"/>
        <v>Heating Zone 3</v>
      </c>
      <c r="I519" s="308" t="str">
        <f t="shared" si="25"/>
        <v>Multi Family Weatherization - Insulate Floors - R-19 to R-38 - Heating Zone 3</v>
      </c>
      <c r="J519" s="308" t="s">
        <v>966</v>
      </c>
      <c r="K519" s="315">
        <f>Results!M107</f>
        <v>0.12899559609940189</v>
      </c>
      <c r="L519" s="316">
        <f>Results!N107</f>
        <v>-3.4202965133689686E-2</v>
      </c>
    </row>
    <row r="520" spans="1:12" ht="15">
      <c r="A520" s="27" t="s">
        <v>1047</v>
      </c>
      <c r="B520" s="308" t="str">
        <f t="shared" si="25"/>
        <v>Floor17</v>
      </c>
      <c r="C520" s="308" t="str">
        <f t="shared" si="25"/>
        <v>Floors17</v>
      </c>
      <c r="D520" s="308" t="str">
        <f t="shared" si="25"/>
        <v>Floors</v>
      </c>
      <c r="E520" s="308">
        <f t="shared" si="25"/>
        <v>17</v>
      </c>
      <c r="F520" s="308" t="str">
        <f t="shared" si="25"/>
        <v>R-11</v>
      </c>
      <c r="G520" s="308" t="str">
        <f t="shared" si="25"/>
        <v>R-30</v>
      </c>
      <c r="H520" s="308" t="str">
        <f t="shared" si="25"/>
        <v>Heating Zone 3</v>
      </c>
      <c r="I520" s="308" t="str">
        <f t="shared" si="25"/>
        <v>Multi Family Weatherization - Insulate Floors - R-11 to R-30 - Heating Zone 3</v>
      </c>
      <c r="J520" s="308" t="s">
        <v>966</v>
      </c>
      <c r="K520" s="315">
        <f>Results!M108</f>
        <v>1.0724090909090902</v>
      </c>
      <c r="L520" s="316">
        <f>Results!N108</f>
        <v>-0.23861891767112287</v>
      </c>
    </row>
    <row r="521" spans="1:12" ht="15">
      <c r="A521" s="27" t="s">
        <v>1040</v>
      </c>
      <c r="B521" s="308" t="str">
        <f t="shared" si="25"/>
        <v>Floor18</v>
      </c>
      <c r="C521" s="308" t="str">
        <f t="shared" si="25"/>
        <v>Floors18</v>
      </c>
      <c r="D521" s="308" t="str">
        <f t="shared" si="25"/>
        <v>Floors</v>
      </c>
      <c r="E521" s="308">
        <f t="shared" si="25"/>
        <v>18</v>
      </c>
      <c r="F521" s="308" t="str">
        <f t="shared" si="25"/>
        <v>R-0</v>
      </c>
      <c r="G521" s="308" t="str">
        <f t="shared" si="25"/>
        <v>R-19</v>
      </c>
      <c r="H521" s="308" t="str">
        <f t="shared" si="25"/>
        <v>Heating Zone 3</v>
      </c>
      <c r="I521" s="308" t="str">
        <f t="shared" si="25"/>
        <v>Multi Family Weatherization - Insulate Floors - R-0 to R-19 - Heating Zone 3</v>
      </c>
      <c r="J521" s="308" t="s">
        <v>966</v>
      </c>
      <c r="K521" s="315">
        <f>Results!M109</f>
        <v>0.37235246932997834</v>
      </c>
      <c r="L521" s="316">
        <f>Results!N109</f>
        <v>-8.9849703227272593E-2</v>
      </c>
    </row>
    <row r="522" spans="1:12" ht="15">
      <c r="A522" s="27" t="s">
        <v>1048</v>
      </c>
      <c r="B522" s="308" t="str">
        <f t="shared" si="25"/>
        <v>Ceili10</v>
      </c>
      <c r="C522" s="308" t="str">
        <f t="shared" si="25"/>
        <v>Ceiling10</v>
      </c>
      <c r="D522" s="308" t="str">
        <f t="shared" si="25"/>
        <v>Ceiling</v>
      </c>
      <c r="E522" s="308">
        <f t="shared" si="25"/>
        <v>10</v>
      </c>
      <c r="F522" s="308" t="str">
        <f t="shared" si="25"/>
        <v>R-0</v>
      </c>
      <c r="G522" s="308" t="str">
        <f t="shared" si="25"/>
        <v>R-19</v>
      </c>
      <c r="H522" s="308" t="str">
        <f t="shared" si="25"/>
        <v>Heating Zone 3</v>
      </c>
      <c r="I522" s="308" t="str">
        <f t="shared" si="25"/>
        <v>Multi Family Weatherization - Insulate Attic - R-0 to R-19 - Heating Zone 3</v>
      </c>
      <c r="J522" s="308" t="s">
        <v>966</v>
      </c>
      <c r="K522" s="317">
        <f>Results!M110</f>
        <v>0.16128221925133709</v>
      </c>
      <c r="L522" s="318">
        <f>Results!N110</f>
        <v>0.14461252329545426</v>
      </c>
    </row>
    <row r="523" spans="1:12" ht="15">
      <c r="A523" s="27" t="s">
        <v>1049</v>
      </c>
      <c r="B523" s="308" t="str">
        <f t="shared" si="25"/>
        <v>Ceili11</v>
      </c>
      <c r="C523" s="308" t="str">
        <f t="shared" si="25"/>
        <v>Ceiling11</v>
      </c>
      <c r="D523" s="308" t="str">
        <f t="shared" si="25"/>
        <v>Ceiling</v>
      </c>
      <c r="E523" s="308">
        <f t="shared" si="25"/>
        <v>11</v>
      </c>
      <c r="F523" s="308" t="str">
        <f t="shared" si="25"/>
        <v>R-0</v>
      </c>
      <c r="G523" s="308" t="str">
        <f t="shared" si="25"/>
        <v>R-38</v>
      </c>
      <c r="H523" s="308" t="str">
        <f t="shared" si="25"/>
        <v>Heating Zone 3</v>
      </c>
      <c r="I523" s="308" t="str">
        <f t="shared" si="25"/>
        <v>Multi Family Weatherization - Insulate Attic - R-0 to R-38 - Heating Zone 3</v>
      </c>
      <c r="J523" s="308" t="s">
        <v>966</v>
      </c>
      <c r="K523" s="313">
        <f>Results!M111</f>
        <v>0.22096069518716607</v>
      </c>
      <c r="L523" s="314">
        <f>Results!N111</f>
        <v>0.1986951684409089</v>
      </c>
    </row>
    <row r="524" spans="1:12" ht="15">
      <c r="A524" s="27" t="s">
        <v>1050</v>
      </c>
      <c r="B524" s="308" t="str">
        <f t="shared" si="25"/>
        <v>Ceili12</v>
      </c>
      <c r="C524" s="308" t="str">
        <f t="shared" si="25"/>
        <v>Ceiling12</v>
      </c>
      <c r="D524" s="308" t="str">
        <f t="shared" si="25"/>
        <v>Ceiling</v>
      </c>
      <c r="E524" s="308">
        <f t="shared" si="25"/>
        <v>12</v>
      </c>
      <c r="F524" s="308" t="str">
        <f t="shared" si="25"/>
        <v>R-0</v>
      </c>
      <c r="G524" s="308" t="str">
        <f t="shared" si="25"/>
        <v>R-49</v>
      </c>
      <c r="H524" s="308" t="str">
        <f t="shared" si="25"/>
        <v>Heating Zone 3</v>
      </c>
      <c r="I524" s="308" t="str">
        <f t="shared" si="25"/>
        <v>Multi Family Weatherization - Insulate Attic - R-0 to R-49 - Heating Zone 3</v>
      </c>
      <c r="J524" s="308" t="s">
        <v>966</v>
      </c>
      <c r="K524" s="313">
        <f>Results!M112</f>
        <v>0.23463823529411784</v>
      </c>
      <c r="L524" s="314">
        <f>Results!N112</f>
        <v>0.21139324117499986</v>
      </c>
    </row>
    <row r="525" spans="1:12" ht="15">
      <c r="A525" s="27" t="s">
        <v>1051</v>
      </c>
      <c r="B525" s="308" t="str">
        <f t="shared" si="25"/>
        <v>Ceili13</v>
      </c>
      <c r="C525" s="308" t="str">
        <f t="shared" si="25"/>
        <v>Ceiling13</v>
      </c>
      <c r="D525" s="308" t="str">
        <f t="shared" si="25"/>
        <v>Ceiling</v>
      </c>
      <c r="E525" s="308">
        <f t="shared" si="25"/>
        <v>13</v>
      </c>
      <c r="F525" s="308" t="str">
        <f t="shared" si="25"/>
        <v>R-30</v>
      </c>
      <c r="G525" s="308" t="str">
        <f t="shared" si="25"/>
        <v>R-38</v>
      </c>
      <c r="H525" s="308" t="str">
        <f t="shared" si="25"/>
        <v>Heating Zone 3</v>
      </c>
      <c r="I525" s="308" t="str">
        <f t="shared" si="25"/>
        <v>Multi Family Weatherization - Insulate Attic - R-30 to R-38 - Heating Zone 3</v>
      </c>
      <c r="J525" s="308" t="s">
        <v>966</v>
      </c>
      <c r="K525" s="315">
        <f>Results!M113</f>
        <v>1.6378475935829497E-2</v>
      </c>
      <c r="L525" s="316">
        <f>Results!N113</f>
        <v>1.4999812595454553E-2</v>
      </c>
    </row>
    <row r="526" spans="1:12" ht="15">
      <c r="A526" s="27" t="s">
        <v>1052</v>
      </c>
      <c r="B526" s="308" t="str">
        <f t="shared" si="25"/>
        <v>Ceili14</v>
      </c>
      <c r="C526" s="308" t="str">
        <f t="shared" si="25"/>
        <v>Ceiling14</v>
      </c>
      <c r="D526" s="308" t="str">
        <f t="shared" si="25"/>
        <v>Ceiling</v>
      </c>
      <c r="E526" s="308">
        <f t="shared" si="25"/>
        <v>14</v>
      </c>
      <c r="F526" s="308" t="str">
        <f t="shared" si="25"/>
        <v>R-30</v>
      </c>
      <c r="G526" s="308" t="str">
        <f t="shared" si="25"/>
        <v>R-49</v>
      </c>
      <c r="H526" s="308" t="str">
        <f t="shared" si="25"/>
        <v>Heating Zone 3</v>
      </c>
      <c r="I526" s="308" t="str">
        <f t="shared" si="25"/>
        <v>Multi Family Weatherization - Insulate Attic - R-30 to R-49 - Heating Zone 3</v>
      </c>
      <c r="J526" s="308" t="s">
        <v>966</v>
      </c>
      <c r="K526" s="315">
        <f>Results!M114</f>
        <v>3.0056016042781238E-2</v>
      </c>
      <c r="L526" s="316">
        <f>Results!N114</f>
        <v>2.7697885329545521E-2</v>
      </c>
    </row>
    <row r="527" spans="1:12" ht="15">
      <c r="A527" s="27" t="s">
        <v>1053</v>
      </c>
      <c r="B527" s="308" t="str">
        <f t="shared" si="25"/>
        <v>Ceili15</v>
      </c>
      <c r="C527" s="308" t="str">
        <f t="shared" si="25"/>
        <v>Ceiling15</v>
      </c>
      <c r="D527" s="308" t="str">
        <f t="shared" si="25"/>
        <v>Ceiling</v>
      </c>
      <c r="E527" s="308">
        <f t="shared" si="25"/>
        <v>15</v>
      </c>
      <c r="F527" s="308" t="str">
        <f t="shared" si="25"/>
        <v>R-19</v>
      </c>
      <c r="G527" s="308" t="str">
        <f t="shared" si="25"/>
        <v>R-30</v>
      </c>
      <c r="H527" s="308" t="str">
        <f t="shared" si="25"/>
        <v>Heating Zone 3</v>
      </c>
      <c r="I527" s="308" t="str">
        <f t="shared" si="25"/>
        <v>Multi Family Weatherization - Insulate Attic - R-19 to R-30 - Heating Zone 3</v>
      </c>
      <c r="J527" s="308" t="s">
        <v>966</v>
      </c>
      <c r="K527" s="315">
        <f>Results!M115</f>
        <v>4.3299999999999492E-2</v>
      </c>
      <c r="L527" s="316">
        <f>Results!N115</f>
        <v>3.9082832550000078E-2</v>
      </c>
    </row>
    <row r="528" spans="1:12" ht="15">
      <c r="A528" s="27" t="s">
        <v>1054</v>
      </c>
      <c r="B528" s="308" t="str">
        <f t="shared" si="25"/>
        <v>Ceili16</v>
      </c>
      <c r="C528" s="308" t="str">
        <f t="shared" si="25"/>
        <v>Ceiling16</v>
      </c>
      <c r="D528" s="308" t="str">
        <f t="shared" si="25"/>
        <v>Ceiling</v>
      </c>
      <c r="E528" s="308">
        <f t="shared" si="25"/>
        <v>16</v>
      </c>
      <c r="F528" s="308" t="str">
        <f t="shared" si="25"/>
        <v>R-19</v>
      </c>
      <c r="G528" s="308" t="str">
        <f t="shared" si="25"/>
        <v>R-38</v>
      </c>
      <c r="H528" s="308" t="str">
        <f t="shared" si="25"/>
        <v>Heating Zone 3</v>
      </c>
      <c r="I528" s="308" t="str">
        <f t="shared" si="25"/>
        <v>Multi Family Weatherization - Insulate Attic - R-19 to R-38 - Heating Zone 3</v>
      </c>
      <c r="J528" s="308" t="s">
        <v>966</v>
      </c>
      <c r="K528" s="313">
        <f>Results!M116</f>
        <v>5.9678475935828992E-2</v>
      </c>
      <c r="L528" s="314">
        <f>Results!N116</f>
        <v>5.4082645145454626E-2</v>
      </c>
    </row>
    <row r="529" spans="1:12" ht="15">
      <c r="A529" s="27" t="s">
        <v>1055</v>
      </c>
      <c r="B529" s="308" t="str">
        <f t="shared" si="25"/>
        <v>Ceili17</v>
      </c>
      <c r="C529" s="308" t="str">
        <f t="shared" si="25"/>
        <v>Ceiling17</v>
      </c>
      <c r="D529" s="308" t="str">
        <f t="shared" si="25"/>
        <v>Ceiling</v>
      </c>
      <c r="E529" s="308">
        <f t="shared" si="25"/>
        <v>17</v>
      </c>
      <c r="F529" s="308" t="str">
        <f t="shared" si="25"/>
        <v>R-19</v>
      </c>
      <c r="G529" s="308" t="str">
        <f t="shared" si="25"/>
        <v>R-49</v>
      </c>
      <c r="H529" s="308" t="str">
        <f t="shared" si="25"/>
        <v>Heating Zone 3</v>
      </c>
      <c r="I529" s="308" t="str">
        <f t="shared" si="25"/>
        <v>Multi Family Weatherization - Insulate Attic - R-19 to R-49 - Heating Zone 3</v>
      </c>
      <c r="J529" s="308" t="s">
        <v>966</v>
      </c>
      <c r="K529" s="313">
        <f>Results!M117</f>
        <v>7.3356016042780733E-2</v>
      </c>
      <c r="L529" s="314">
        <f>Results!N117</f>
        <v>6.6780717879545592E-2</v>
      </c>
    </row>
    <row r="530" spans="1:12" ht="15">
      <c r="A530" s="27" t="s">
        <v>1056</v>
      </c>
      <c r="B530" s="308" t="str">
        <f t="shared" si="25"/>
        <v>Ceili18</v>
      </c>
      <c r="C530" s="308" t="str">
        <f t="shared" si="25"/>
        <v>Ceiling18</v>
      </c>
      <c r="D530" s="308" t="str">
        <f t="shared" si="25"/>
        <v>Ceiling</v>
      </c>
      <c r="E530" s="308">
        <f t="shared" si="25"/>
        <v>18</v>
      </c>
      <c r="F530" s="308" t="str">
        <f t="shared" si="25"/>
        <v>R-38</v>
      </c>
      <c r="G530" s="308" t="str">
        <f t="shared" si="25"/>
        <v>R-49</v>
      </c>
      <c r="H530" s="308" t="str">
        <f t="shared" si="25"/>
        <v>Heating Zone 3</v>
      </c>
      <c r="I530" s="308" t="str">
        <f t="shared" si="25"/>
        <v>Multi Family Weatherization - Insulate Attic - R-38 to R-49 - Heating Zone 3</v>
      </c>
      <c r="J530" s="308" t="s">
        <v>966</v>
      </c>
      <c r="K530" s="320">
        <f>Results!M118</f>
        <v>1.3677540106951741E-2</v>
      </c>
      <c r="L530" s="321">
        <f>Results!N118</f>
        <v>1.2698072734090963E-2</v>
      </c>
    </row>
    <row r="531" spans="1:12" ht="15">
      <c r="B531" s="308"/>
      <c r="C531" s="308"/>
      <c r="D531" s="308"/>
      <c r="E531" s="308"/>
      <c r="F531" s="308"/>
      <c r="G531" s="308"/>
      <c r="H531" s="308"/>
      <c r="I531" s="308"/>
      <c r="J531" s="308"/>
      <c r="K531" s="315"/>
      <c r="L531" s="316"/>
    </row>
    <row r="532" spans="1:12" ht="15">
      <c r="B532" s="308"/>
      <c r="C532" s="308"/>
      <c r="D532" s="308"/>
      <c r="E532" s="308"/>
      <c r="F532" s="308"/>
      <c r="G532" s="308"/>
      <c r="H532" s="308"/>
      <c r="I532" s="308"/>
      <c r="J532" s="308"/>
      <c r="K532" s="315"/>
      <c r="L532" s="316"/>
    </row>
    <row r="533" spans="1:12" ht="15">
      <c r="B533" s="308"/>
      <c r="C533" s="308"/>
      <c r="D533" s="308"/>
      <c r="E533" s="308"/>
      <c r="F533" s="308"/>
      <c r="G533" s="308"/>
      <c r="H533" s="308"/>
      <c r="I533" s="308"/>
      <c r="J533" s="308"/>
      <c r="K533" s="315"/>
      <c r="L533" s="316"/>
    </row>
    <row r="534" spans="1:12" ht="15">
      <c r="B534" s="308"/>
      <c r="C534" s="308"/>
      <c r="D534" s="308"/>
      <c r="E534" s="308"/>
      <c r="F534" s="308"/>
      <c r="G534" s="308"/>
      <c r="H534" s="308"/>
      <c r="I534" s="308"/>
      <c r="J534" s="308"/>
      <c r="K534" s="315"/>
      <c r="L534" s="316"/>
    </row>
    <row r="535" spans="1:12" ht="15">
      <c r="B535" s="308"/>
      <c r="C535" s="308"/>
      <c r="D535" s="308"/>
      <c r="E535" s="308"/>
      <c r="F535" s="308"/>
      <c r="G535" s="308"/>
      <c r="H535" s="308"/>
      <c r="I535" s="308"/>
      <c r="J535" s="308"/>
      <c r="K535" s="315"/>
      <c r="L535" s="316"/>
    </row>
    <row r="536" spans="1:12" ht="15">
      <c r="B536" s="308"/>
      <c r="C536" s="308"/>
      <c r="D536" s="308"/>
      <c r="E536" s="308"/>
      <c r="F536" s="308"/>
      <c r="G536" s="308"/>
      <c r="H536" s="308"/>
      <c r="I536" s="308"/>
      <c r="J536" s="308"/>
      <c r="K536" s="315"/>
      <c r="L536" s="316"/>
    </row>
    <row r="537" spans="1:12" ht="15">
      <c r="B537" s="308"/>
      <c r="C537" s="308"/>
      <c r="D537" s="308"/>
      <c r="E537" s="308"/>
      <c r="F537" s="308"/>
      <c r="G537" s="308"/>
      <c r="H537" s="308"/>
      <c r="I537" s="308"/>
      <c r="J537" s="308"/>
      <c r="K537" s="315"/>
      <c r="L537" s="316"/>
    </row>
    <row r="538" spans="1:12" ht="15">
      <c r="B538" s="308"/>
      <c r="C538" s="308"/>
      <c r="D538" s="308"/>
      <c r="E538" s="308"/>
      <c r="F538" s="308"/>
      <c r="G538" s="308"/>
      <c r="H538" s="308"/>
      <c r="I538" s="308"/>
      <c r="J538" s="308"/>
      <c r="K538" s="315"/>
      <c r="L538" s="316"/>
    </row>
    <row r="539" spans="1:12" ht="15">
      <c r="B539" s="308"/>
      <c r="C539" s="308"/>
      <c r="D539" s="308"/>
      <c r="E539" s="308"/>
      <c r="F539" s="308"/>
      <c r="G539" s="308"/>
      <c r="H539" s="308"/>
      <c r="I539" s="308"/>
      <c r="J539" s="308"/>
      <c r="K539" s="315"/>
      <c r="L539" s="316"/>
    </row>
    <row r="540" spans="1:12" ht="15">
      <c r="A540" s="27" t="s">
        <v>1057</v>
      </c>
      <c r="B540" s="308" t="str">
        <f t="shared" ref="B540:I547" si="26">B402</f>
        <v>Windo19</v>
      </c>
      <c r="C540" s="308" t="str">
        <f t="shared" si="26"/>
        <v>Windows19</v>
      </c>
      <c r="D540" s="308" t="str">
        <f t="shared" si="26"/>
        <v>Windows</v>
      </c>
      <c r="E540" s="308">
        <f t="shared" si="26"/>
        <v>19</v>
      </c>
      <c r="F540" s="308" t="str">
        <f t="shared" si="26"/>
        <v>Class 35</v>
      </c>
      <c r="G540" s="308" t="str">
        <f t="shared" si="26"/>
        <v>Class 22</v>
      </c>
      <c r="H540" s="308" t="str">
        <f t="shared" si="26"/>
        <v>Heating Zone 3</v>
      </c>
      <c r="I540" s="308" t="str">
        <f t="shared" si="26"/>
        <v>Windows - Class 35 to Class 22 - Heating Zone 3</v>
      </c>
      <c r="J540" s="308" t="s">
        <v>966</v>
      </c>
      <c r="K540" s="315">
        <f>Results!M128</f>
        <v>2.8670555098496275</v>
      </c>
      <c r="L540" s="316">
        <f>Results!N128</f>
        <v>0.22052934638888888</v>
      </c>
    </row>
    <row r="541" spans="1:12" ht="15">
      <c r="A541" s="27" t="s">
        <v>1058</v>
      </c>
      <c r="B541" s="308" t="str">
        <f t="shared" si="26"/>
        <v>Windo20</v>
      </c>
      <c r="C541" s="308" t="str">
        <f t="shared" si="26"/>
        <v>Windows20</v>
      </c>
      <c r="D541" s="308" t="str">
        <f t="shared" si="26"/>
        <v>Windows</v>
      </c>
      <c r="E541" s="308">
        <f t="shared" si="26"/>
        <v>20</v>
      </c>
      <c r="F541" s="308" t="str">
        <f t="shared" si="26"/>
        <v>Single Pane</v>
      </c>
      <c r="G541" s="308" t="str">
        <f t="shared" si="26"/>
        <v>Class 22</v>
      </c>
      <c r="H541" s="308" t="str">
        <f t="shared" si="26"/>
        <v>Heating Zone 3</v>
      </c>
      <c r="I541" s="308" t="str">
        <f t="shared" si="26"/>
        <v>Windows - Single Pane to Class 22 - Heating Zone 3</v>
      </c>
      <c r="J541" s="308" t="s">
        <v>966</v>
      </c>
      <c r="K541" s="315">
        <f>Results!M129</f>
        <v>24.500094611271084</v>
      </c>
      <c r="L541" s="316">
        <f>Results!N129</f>
        <v>2.1687925323523696</v>
      </c>
    </row>
    <row r="542" spans="1:12" ht="15">
      <c r="A542" s="27" t="s">
        <v>1059</v>
      </c>
      <c r="B542" s="308" t="str">
        <f t="shared" si="26"/>
        <v>Windo21</v>
      </c>
      <c r="C542" s="308" t="str">
        <f t="shared" si="26"/>
        <v>Windows21</v>
      </c>
      <c r="D542" s="308" t="str">
        <f t="shared" si="26"/>
        <v>Windows</v>
      </c>
      <c r="E542" s="308">
        <f t="shared" si="26"/>
        <v>21</v>
      </c>
      <c r="F542" s="308" t="str">
        <f t="shared" si="26"/>
        <v>Double Pane</v>
      </c>
      <c r="G542" s="308" t="str">
        <f t="shared" si="26"/>
        <v>Class 22</v>
      </c>
      <c r="H542" s="308" t="str">
        <f t="shared" si="26"/>
        <v>Heating Zone 3</v>
      </c>
      <c r="I542" s="308" t="str">
        <f t="shared" si="26"/>
        <v>Windows - Double Pane to Class 22 - Heating Zone 3</v>
      </c>
      <c r="J542" s="308" t="s">
        <v>966</v>
      </c>
      <c r="K542" s="315">
        <f>Results!M130</f>
        <v>14.269569107363225</v>
      </c>
      <c r="L542" s="316">
        <f>Results!N130</f>
        <v>2.6262478786499615</v>
      </c>
    </row>
    <row r="543" spans="1:12" ht="15">
      <c r="A543" s="27" t="s">
        <v>1060</v>
      </c>
      <c r="B543" s="308" t="str">
        <f t="shared" si="26"/>
        <v>Windo22</v>
      </c>
      <c r="C543" s="308" t="str">
        <f t="shared" si="26"/>
        <v>Windows22</v>
      </c>
      <c r="D543" s="308" t="str">
        <f t="shared" si="26"/>
        <v>Windows</v>
      </c>
      <c r="E543" s="308">
        <f t="shared" si="26"/>
        <v>22</v>
      </c>
      <c r="F543" s="308" t="str">
        <f t="shared" si="26"/>
        <v>Single Pane</v>
      </c>
      <c r="G543" s="308" t="str">
        <f t="shared" si="26"/>
        <v>Class 30</v>
      </c>
      <c r="H543" s="308" t="str">
        <f t="shared" si="26"/>
        <v>Heating Zone 3</v>
      </c>
      <c r="I543" s="308" t="str">
        <f t="shared" si="26"/>
        <v>Windows - Single Pane to Class 30 - Heating Zone 3</v>
      </c>
      <c r="J543" s="308" t="s">
        <v>966</v>
      </c>
      <c r="K543" s="313">
        <f>Results!M131</f>
        <v>22.793570432835139</v>
      </c>
      <c r="L543" s="314">
        <f>Results!N131</f>
        <v>2.0103002416550115</v>
      </c>
    </row>
    <row r="544" spans="1:12" ht="15">
      <c r="A544" s="27" t="s">
        <v>1061</v>
      </c>
      <c r="B544" s="308" t="str">
        <f t="shared" si="26"/>
        <v>Windo23</v>
      </c>
      <c r="C544" s="308" t="str">
        <f t="shared" si="26"/>
        <v>Windows23</v>
      </c>
      <c r="D544" s="308" t="str">
        <f t="shared" si="26"/>
        <v>Windows</v>
      </c>
      <c r="E544" s="308">
        <f t="shared" si="26"/>
        <v>23</v>
      </c>
      <c r="F544" s="308" t="str">
        <f t="shared" si="26"/>
        <v>Double Pane</v>
      </c>
      <c r="G544" s="308" t="str">
        <f t="shared" si="26"/>
        <v>Class 30</v>
      </c>
      <c r="H544" s="308" t="str">
        <f t="shared" si="26"/>
        <v>Heating Zone 3</v>
      </c>
      <c r="I544" s="308" t="str">
        <f t="shared" si="26"/>
        <v>Windows - Double Pane to Class 30 - Heating Zone 3</v>
      </c>
      <c r="J544" s="308" t="s">
        <v>966</v>
      </c>
      <c r="K544" s="313">
        <f>Results!M132</f>
        <v>12.563044928927281</v>
      </c>
      <c r="L544" s="314">
        <f>Results!N132</f>
        <v>2.467755587952603</v>
      </c>
    </row>
    <row r="545" spans="1:12" ht="15">
      <c r="A545" s="27" t="s">
        <v>1062</v>
      </c>
      <c r="B545" s="308" t="str">
        <f t="shared" si="26"/>
        <v>Windo24</v>
      </c>
      <c r="C545" s="308" t="str">
        <f t="shared" si="26"/>
        <v>Windows24</v>
      </c>
      <c r="D545" s="308" t="str">
        <f t="shared" si="26"/>
        <v>Windows</v>
      </c>
      <c r="E545" s="308">
        <f t="shared" si="26"/>
        <v>24</v>
      </c>
      <c r="F545" s="308" t="str">
        <f t="shared" si="26"/>
        <v>Class 35</v>
      </c>
      <c r="G545" s="308" t="str">
        <f t="shared" si="26"/>
        <v>Class 30</v>
      </c>
      <c r="H545" s="308" t="str">
        <f t="shared" si="26"/>
        <v>Heating Zone 3</v>
      </c>
      <c r="I545" s="308" t="str">
        <f t="shared" si="26"/>
        <v>Windows - Class 35 to Class 30 - Heating Zone 3</v>
      </c>
      <c r="J545" s="308" t="s">
        <v>966</v>
      </c>
      <c r="K545" s="313">
        <f>Results!M133</f>
        <v>1.1605313314136856</v>
      </c>
      <c r="L545" s="314">
        <f>Results!N133</f>
        <v>6.2037055691530542E-2</v>
      </c>
    </row>
    <row r="546" spans="1:12" ht="15">
      <c r="A546" s="27" t="s">
        <v>1063</v>
      </c>
      <c r="B546" s="308" t="str">
        <f t="shared" si="26"/>
        <v>Infil10</v>
      </c>
      <c r="C546" s="308" t="str">
        <f t="shared" si="26"/>
        <v>Infiltration10</v>
      </c>
      <c r="D546" s="308" t="str">
        <f t="shared" si="26"/>
        <v>Infiltration</v>
      </c>
      <c r="E546" s="308">
        <f t="shared" si="26"/>
        <v>10</v>
      </c>
      <c r="F546" s="308" t="str">
        <f t="shared" si="26"/>
        <v>0.45 ACHn</v>
      </c>
      <c r="G546" s="308" t="str">
        <f t="shared" si="26"/>
        <v>0.35 ACHn</v>
      </c>
      <c r="H546" s="308" t="str">
        <f t="shared" si="26"/>
        <v>Heating Zone 3</v>
      </c>
      <c r="I546" s="308" t="str">
        <f t="shared" si="26"/>
        <v>Infiltration Reduction - 0.45 ACHn to 0.35 ACHn - Heating Zone 3</v>
      </c>
      <c r="J546" s="308" t="s">
        <v>966</v>
      </c>
      <c r="K546" s="317">
        <f>Results!M134</f>
        <v>0</v>
      </c>
      <c r="L546" s="318">
        <f>Results!N134</f>
        <v>0</v>
      </c>
    </row>
    <row r="547" spans="1:12" ht="15">
      <c r="A547" s="27" t="s">
        <v>1064</v>
      </c>
      <c r="B547" s="308" t="str">
        <f t="shared" si="26"/>
        <v>Infil11</v>
      </c>
      <c r="C547" s="308" t="str">
        <f t="shared" si="26"/>
        <v>Infiltration11</v>
      </c>
      <c r="D547" s="308" t="str">
        <f t="shared" si="26"/>
        <v>Infiltration</v>
      </c>
      <c r="E547" s="308">
        <f t="shared" si="26"/>
        <v>11</v>
      </c>
      <c r="F547" s="308" t="str">
        <f t="shared" si="26"/>
        <v>0.45 ACHn</v>
      </c>
      <c r="G547" s="308" t="str">
        <f t="shared" si="26"/>
        <v>0.20 ACHn</v>
      </c>
      <c r="H547" s="308" t="str">
        <f t="shared" si="26"/>
        <v>Heating Zone 3</v>
      </c>
      <c r="I547" s="308" t="str">
        <f t="shared" si="26"/>
        <v>Infiltration Reduction - 0.45 ACHn to 0.20 ACHn - Heating Zone 3</v>
      </c>
      <c r="J547" s="308" t="s">
        <v>966</v>
      </c>
      <c r="K547" s="315">
        <f>Results!M135</f>
        <v>0</v>
      </c>
      <c r="L547" s="316">
        <f>Results!N135</f>
        <v>0</v>
      </c>
    </row>
    <row r="548" spans="1:12" ht="15">
      <c r="A548" s="27" t="s">
        <v>1065</v>
      </c>
      <c r="B548" s="308" t="str">
        <f t="shared" ref="B548:I556" si="27">B410</f>
        <v>Infil12</v>
      </c>
      <c r="C548" s="308" t="str">
        <f t="shared" si="27"/>
        <v>Infiltration12</v>
      </c>
      <c r="D548" s="308" t="str">
        <f t="shared" si="27"/>
        <v>Infiltration</v>
      </c>
      <c r="E548" s="308">
        <f t="shared" si="27"/>
        <v>12</v>
      </c>
      <c r="F548" s="308" t="str">
        <f t="shared" si="27"/>
        <v>0.35 ACHn</v>
      </c>
      <c r="G548" s="308" t="str">
        <f t="shared" si="27"/>
        <v>0.20 ACHn</v>
      </c>
      <c r="H548" s="308" t="str">
        <f t="shared" si="27"/>
        <v>Heating Zone 3</v>
      </c>
      <c r="I548" s="308" t="str">
        <f t="shared" si="27"/>
        <v>Infiltration Reduction - 0.35 ACHn to 0.20 ACHn - Heating Zone 3</v>
      </c>
      <c r="J548" s="308" t="s">
        <v>966</v>
      </c>
      <c r="K548" s="322">
        <f>Results!M136</f>
        <v>0</v>
      </c>
      <c r="L548" s="323">
        <f>Results!N136</f>
        <v>0</v>
      </c>
    </row>
    <row r="549" spans="1:12" ht="15">
      <c r="A549" s="27" t="s">
        <v>1066</v>
      </c>
      <c r="B549" s="308" t="str">
        <f t="shared" si="27"/>
        <v>DuctT10</v>
      </c>
      <c r="C549" s="308" t="str">
        <f t="shared" si="27"/>
        <v>DuctTightness10</v>
      </c>
      <c r="D549" s="308" t="str">
        <f t="shared" si="27"/>
        <v>DuctTightness</v>
      </c>
      <c r="E549" s="308">
        <f t="shared" si="27"/>
        <v>10</v>
      </c>
      <c r="F549" s="308" t="str">
        <f t="shared" si="27"/>
        <v>Std-crawl</v>
      </c>
      <c r="G549" s="308" t="str">
        <f t="shared" si="27"/>
        <v>PTCS-crawl</v>
      </c>
      <c r="H549" s="308" t="str">
        <f t="shared" si="27"/>
        <v>Heating Zone 3</v>
      </c>
      <c r="I549" s="308" t="str">
        <f t="shared" si="27"/>
        <v>DuctTightness - Std-crawl to PTCS-crawl - Heating Zone 3</v>
      </c>
      <c r="J549" s="308" t="s">
        <v>966</v>
      </c>
      <c r="K549" s="324">
        <f>Results!M137</f>
        <v>5686.7499999999982</v>
      </c>
      <c r="L549" s="325">
        <f>Results!N137</f>
        <v>813.60827285000096</v>
      </c>
    </row>
    <row r="550" spans="1:12" ht="15">
      <c r="A550" s="27" t="s">
        <v>1067</v>
      </c>
      <c r="B550" s="308" t="str">
        <f t="shared" si="27"/>
        <v>DuctI10</v>
      </c>
      <c r="C550" s="308" t="str">
        <f t="shared" si="27"/>
        <v>DuctInsulation10</v>
      </c>
      <c r="D550" s="308" t="str">
        <f t="shared" si="27"/>
        <v>DuctInsulation</v>
      </c>
      <c r="E550" s="308">
        <f t="shared" si="27"/>
        <v>10</v>
      </c>
      <c r="F550" s="308" t="str">
        <f t="shared" si="27"/>
        <v>R-0</v>
      </c>
      <c r="G550" s="308" t="str">
        <f t="shared" si="27"/>
        <v>R-4.2</v>
      </c>
      <c r="H550" s="308" t="str">
        <f t="shared" si="27"/>
        <v>Heating Zone 3</v>
      </c>
      <c r="I550" s="308" t="str">
        <f t="shared" si="27"/>
        <v>DuctInsulation - R-0 to R-4.2 - Heating Zone 3</v>
      </c>
      <c r="J550" s="308" t="s">
        <v>966</v>
      </c>
      <c r="K550" s="326">
        <f>Results!M138</f>
        <v>194.84411764705885</v>
      </c>
      <c r="L550" s="327">
        <f>Results!N138</f>
        <v>47.051302249999395</v>
      </c>
    </row>
    <row r="551" spans="1:12" ht="15">
      <c r="A551" s="27" t="s">
        <v>1068</v>
      </c>
      <c r="B551" s="308" t="str">
        <f t="shared" si="27"/>
        <v>DuctI11</v>
      </c>
      <c r="C551" s="308" t="str">
        <f t="shared" si="27"/>
        <v>DuctInsulation11</v>
      </c>
      <c r="D551" s="308" t="str">
        <f t="shared" si="27"/>
        <v>DuctInsulation</v>
      </c>
      <c r="E551" s="308">
        <f t="shared" si="27"/>
        <v>11</v>
      </c>
      <c r="F551" s="308" t="str">
        <f t="shared" si="27"/>
        <v>R-0</v>
      </c>
      <c r="G551" s="308" t="str">
        <f t="shared" si="27"/>
        <v>R-11</v>
      </c>
      <c r="H551" s="308" t="str">
        <f t="shared" si="27"/>
        <v>Heating Zone 3</v>
      </c>
      <c r="I551" s="308" t="str">
        <f t="shared" si="27"/>
        <v>DuctInsulation - R-0 to R-11 - Heating Zone 3</v>
      </c>
      <c r="J551" s="308" t="s">
        <v>966</v>
      </c>
      <c r="K551" s="328">
        <f>Results!M139</f>
        <v>272.26176470588217</v>
      </c>
      <c r="L551" s="329">
        <f>Results!N139</f>
        <v>65.593068099999513</v>
      </c>
    </row>
    <row r="552" spans="1:12" ht="15">
      <c r="A552" s="27" t="s">
        <v>1069</v>
      </c>
      <c r="B552" s="308" t="str">
        <f t="shared" si="27"/>
        <v>DuctI12</v>
      </c>
      <c r="C552" s="308" t="str">
        <f t="shared" si="27"/>
        <v>DuctInsulation12</v>
      </c>
      <c r="D552" s="308" t="str">
        <f t="shared" si="27"/>
        <v>DuctInsulation</v>
      </c>
      <c r="E552" s="308">
        <f t="shared" si="27"/>
        <v>12</v>
      </c>
      <c r="F552" s="308" t="str">
        <f t="shared" si="27"/>
        <v>R-4.2</v>
      </c>
      <c r="G552" s="308" t="str">
        <f t="shared" si="27"/>
        <v>R-11</v>
      </c>
      <c r="H552" s="308" t="str">
        <f t="shared" si="27"/>
        <v>Heating Zone 3</v>
      </c>
      <c r="I552" s="308" t="str">
        <f t="shared" si="27"/>
        <v>DuctInsulation - R-4.2 to R-11 - Heating Zone 3</v>
      </c>
      <c r="J552" s="308" t="s">
        <v>966</v>
      </c>
      <c r="K552" s="330">
        <f>Results!M140</f>
        <v>77.417647058823377</v>
      </c>
      <c r="L552" s="331">
        <f>Results!N140</f>
        <v>18.541765850000115</v>
      </c>
    </row>
    <row r="553" spans="1:12" ht="15">
      <c r="A553" s="27" t="s">
        <v>1070</v>
      </c>
      <c r="B553" s="308" t="str">
        <f t="shared" si="27"/>
        <v>HeatP10</v>
      </c>
      <c r="C553" s="308" t="str">
        <f t="shared" si="27"/>
        <v>HeatPump10</v>
      </c>
      <c r="D553" s="308" t="str">
        <f t="shared" si="27"/>
        <v>HeatPump</v>
      </c>
      <c r="E553" s="308">
        <f t="shared" si="27"/>
        <v>10</v>
      </c>
      <c r="F553" s="308" t="str">
        <f t="shared" si="27"/>
        <v>7.7/13</v>
      </c>
      <c r="G553" s="308" t="str">
        <f t="shared" si="27"/>
        <v>8.5/13</v>
      </c>
      <c r="H553" s="308" t="str">
        <f t="shared" si="27"/>
        <v>Heating Zone 3</v>
      </c>
      <c r="I553" s="308" t="str">
        <f t="shared" si="27"/>
        <v>HeatPump Upgrade - 7.7/13 to 8.5/13 - Heating Zone 3</v>
      </c>
      <c r="J553" s="308" t="s">
        <v>966</v>
      </c>
      <c r="K553" s="328">
        <f>Results!M141</f>
        <v>677.04872039725001</v>
      </c>
      <c r="L553" s="329">
        <f>Results!N141</f>
        <v>0</v>
      </c>
    </row>
    <row r="554" spans="1:12" ht="15">
      <c r="A554" s="27" t="s">
        <v>1071</v>
      </c>
      <c r="B554" s="308" t="str">
        <f t="shared" si="27"/>
        <v>HeatP11</v>
      </c>
      <c r="C554" s="308" t="str">
        <f t="shared" si="27"/>
        <v>HeatPump11</v>
      </c>
      <c r="D554" s="308" t="str">
        <f t="shared" si="27"/>
        <v>HeatPump</v>
      </c>
      <c r="E554" s="308">
        <f t="shared" si="27"/>
        <v>11</v>
      </c>
      <c r="F554" s="308" t="str">
        <f t="shared" si="27"/>
        <v>7.7/13</v>
      </c>
      <c r="G554" s="308" t="str">
        <f t="shared" si="27"/>
        <v>9.0/14</v>
      </c>
      <c r="H554" s="308" t="str">
        <f t="shared" si="27"/>
        <v>Heating Zone 3</v>
      </c>
      <c r="I554" s="308" t="str">
        <f t="shared" si="27"/>
        <v>HeatPump Upgrade - 7.7/13 to 9.0/14 - Heating Zone 3</v>
      </c>
      <c r="J554" s="308" t="s">
        <v>966</v>
      </c>
      <c r="K554" s="328">
        <f>Results!M142</f>
        <v>997.93577922077839</v>
      </c>
      <c r="L554" s="329">
        <f>Results!N142</f>
        <v>306.36770243571425</v>
      </c>
    </row>
    <row r="555" spans="1:12" ht="15">
      <c r="A555" s="27" t="s">
        <v>1072</v>
      </c>
      <c r="B555" s="308" t="str">
        <f t="shared" si="27"/>
        <v>HeatP12</v>
      </c>
      <c r="C555" s="308" t="str">
        <f t="shared" si="27"/>
        <v>HeatPump12</v>
      </c>
      <c r="D555" s="308" t="str">
        <f t="shared" si="27"/>
        <v>HeatPump</v>
      </c>
      <c r="E555" s="308">
        <f t="shared" si="27"/>
        <v>12</v>
      </c>
      <c r="F555" s="308" t="str">
        <f t="shared" si="27"/>
        <v>7.7/13</v>
      </c>
      <c r="G555" s="308" t="str">
        <f t="shared" si="27"/>
        <v>8.2/13</v>
      </c>
      <c r="H555" s="308" t="str">
        <f t="shared" si="27"/>
        <v>Heating Zone 3</v>
      </c>
      <c r="I555" s="308" t="str">
        <f t="shared" si="27"/>
        <v>HeatPump Upgrade - 7.7/13 to 8.2/13 - Heating Zone 3</v>
      </c>
      <c r="J555" s="308" t="s">
        <v>966</v>
      </c>
      <c r="K555" s="328">
        <f>Results!M143</f>
        <v>465.73285239151011</v>
      </c>
      <c r="L555" s="329">
        <f>Results!N143</f>
        <v>0</v>
      </c>
    </row>
    <row r="556" spans="1:12" ht="15.75" thickBot="1">
      <c r="A556" s="27" t="s">
        <v>1073</v>
      </c>
      <c r="B556" s="308" t="str">
        <f t="shared" si="27"/>
        <v>HPCnt10</v>
      </c>
      <c r="C556" s="308" t="str">
        <f t="shared" si="27"/>
        <v>HPCntrls10</v>
      </c>
      <c r="D556" s="308" t="str">
        <f t="shared" si="27"/>
        <v>HPCntrls</v>
      </c>
      <c r="E556" s="308">
        <f t="shared" si="27"/>
        <v>10</v>
      </c>
      <c r="F556" s="308" t="str">
        <f t="shared" si="27"/>
        <v>Standard</v>
      </c>
      <c r="G556" s="308" t="str">
        <f t="shared" si="27"/>
        <v>PTCS</v>
      </c>
      <c r="H556" s="308" t="str">
        <f t="shared" si="27"/>
        <v>Heating Zone 3</v>
      </c>
      <c r="I556" s="308" t="str">
        <f t="shared" si="27"/>
        <v>HPCntrls Upgrade - Standard to PTCS - Heating Zone 3</v>
      </c>
      <c r="J556" s="308" t="s">
        <v>966</v>
      </c>
      <c r="K556" s="334">
        <f>Results!M144</f>
        <v>2896.7430882352933</v>
      </c>
      <c r="L556" s="335">
        <f>Results!N144</f>
        <v>-2.762711149999868</v>
      </c>
    </row>
  </sheetData>
  <mergeCells count="1">
    <mergeCell ref="K3: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5" tint="0.79998168889431442"/>
  </sheetPr>
  <dimension ref="A1:R149"/>
  <sheetViews>
    <sheetView topLeftCell="E1" workbookViewId="0">
      <selection activeCell="I7" sqref="I7"/>
    </sheetView>
  </sheetViews>
  <sheetFormatPr defaultRowHeight="12.75"/>
  <cols>
    <col min="1" max="1" width="12.7109375" customWidth="1"/>
    <col min="2" max="2" width="15.5703125" customWidth="1"/>
    <col min="3" max="3" width="14.5703125" customWidth="1"/>
    <col min="4" max="4" width="22" customWidth="1"/>
    <col min="7" max="7" width="15.28515625" bestFit="1" customWidth="1"/>
    <col min="8" max="8" width="80.42578125" customWidth="1"/>
    <col min="9" max="10" width="12.5703125" style="202" customWidth="1"/>
    <col min="13" max="13" width="13.85546875" bestFit="1" customWidth="1"/>
    <col min="14" max="14" width="22.140625" customWidth="1"/>
    <col min="17" max="17" width="53.42578125" bestFit="1" customWidth="1"/>
    <col min="18" max="18" width="16" style="202" bestFit="1" customWidth="1"/>
  </cols>
  <sheetData>
    <row r="1" spans="1:18" s="200" customFormat="1" ht="18.75">
      <c r="E1" s="201"/>
      <c r="R1" s="201"/>
    </row>
    <row r="2" spans="1:18" s="200" customFormat="1" ht="18.75">
      <c r="E2" s="201"/>
      <c r="I2" s="201"/>
      <c r="J2" s="201"/>
      <c r="K2" s="199"/>
      <c r="R2" s="201"/>
    </row>
    <row r="3" spans="1:18" s="200" customFormat="1" ht="19.5" thickBot="1">
      <c r="A3" s="199" t="s">
        <v>497</v>
      </c>
      <c r="E3" s="201"/>
      <c r="I3" s="201"/>
      <c r="J3" s="201"/>
      <c r="K3" s="199"/>
      <c r="R3" s="201"/>
    </row>
    <row r="4" spans="1:18" ht="19.5" thickBot="1">
      <c r="A4" s="199" t="s">
        <v>499</v>
      </c>
      <c r="E4" s="202"/>
      <c r="I4" s="644" t="s">
        <v>502</v>
      </c>
      <c r="J4" s="645"/>
      <c r="K4" s="645"/>
      <c r="L4" s="645"/>
      <c r="M4" s="645"/>
      <c r="N4" s="646"/>
      <c r="R4"/>
    </row>
    <row r="5" spans="1:18" ht="19.5" thickBot="1">
      <c r="D5" s="202"/>
      <c r="I5" s="647" t="s">
        <v>1202</v>
      </c>
      <c r="J5" s="648"/>
      <c r="K5" s="507" t="s">
        <v>181</v>
      </c>
      <c r="L5" s="508" t="s">
        <v>179</v>
      </c>
      <c r="M5" s="509" t="s">
        <v>78</v>
      </c>
      <c r="N5" s="510" t="s">
        <v>1203</v>
      </c>
      <c r="R5"/>
    </row>
    <row r="6" spans="1:18" ht="13.5" thickBot="1">
      <c r="A6" s="207" t="s">
        <v>503</v>
      </c>
      <c r="B6" s="208" t="s">
        <v>6</v>
      </c>
      <c r="C6" s="208" t="s">
        <v>504</v>
      </c>
      <c r="D6" s="209" t="s">
        <v>505</v>
      </c>
      <c r="E6" s="208" t="s">
        <v>506</v>
      </c>
      <c r="F6" s="210" t="s">
        <v>507</v>
      </c>
      <c r="G6" s="211" t="s">
        <v>508</v>
      </c>
      <c r="H6" s="211" t="s">
        <v>6</v>
      </c>
      <c r="I6" s="213" t="s">
        <v>509</v>
      </c>
      <c r="J6" s="214" t="s">
        <v>510</v>
      </c>
      <c r="K6" s="213" t="s">
        <v>509</v>
      </c>
      <c r="L6" s="213" t="s">
        <v>509</v>
      </c>
      <c r="M6" s="511" t="s">
        <v>509</v>
      </c>
      <c r="N6" s="512" t="s">
        <v>510</v>
      </c>
      <c r="R6"/>
    </row>
    <row r="7" spans="1:18" ht="15">
      <c r="A7" s="215" t="str">
        <f>MeasureInputsANDResults!B229</f>
        <v>Walls10</v>
      </c>
      <c r="B7" s="216" t="str">
        <f>MeasureInputsANDResults!C229</f>
        <v>Walls10</v>
      </c>
      <c r="C7" s="216" t="str">
        <f>MeasureInputsANDResults!D229</f>
        <v>Walls</v>
      </c>
      <c r="D7" s="216">
        <f>MeasureInputsANDResults!E229</f>
        <v>10</v>
      </c>
      <c r="E7" s="216" t="str">
        <f>MeasureInputsANDResults!F229</f>
        <v>R-0</v>
      </c>
      <c r="F7" s="216" t="str">
        <f>MeasureInputsANDResults!G229</f>
        <v>R-11</v>
      </c>
      <c r="G7" s="217" t="s">
        <v>311</v>
      </c>
      <c r="H7" s="216" t="str">
        <f t="shared" ref="H7:H17" si="0">"Multi Family Weatherization - Insulate "&amp;C7&amp;" - "&amp;E7&amp;" to "&amp;F7&amp;" - "&amp;G7</f>
        <v>Multi Family Weatherization - Insulate Walls - R-0 to R-11 - Heating Zone 1</v>
      </c>
      <c r="I7" s="218">
        <f>SUMPRODUCT(MeasureInputsANDResults!I229:M229,inputWeightings!$B$21:$F$21)</f>
        <v>1.352090362778954</v>
      </c>
      <c r="J7" s="219">
        <f>SUMPRODUCT(MeasureInputsANDResults!N229:R229,inputWeightings!$B$21:$F$21)</f>
        <v>-1.8773272683137014E-3</v>
      </c>
      <c r="K7" s="218">
        <f>MeasureInputsANDResults!I175*inputWeightings!$B$21+MeasureInputsANDResults!L175*inputWeightings!$C$21+MeasureInputsANDResults!O175*inputWeightings!$D$21+MeasureInputsANDResults!R175*inputWeightings!$E$21+MeasureInputsANDResults!U175*inputWeightings!$F$21</f>
        <v>1.3619811756822695</v>
      </c>
      <c r="L7" s="218">
        <f>MeasureInputsANDResults!J175*inputWeightings!$B$21+MeasureInputsANDResults!M175*inputWeightings!$C$21+MeasureInputsANDResults!P175*inputWeightings!$D$21+MeasureInputsANDResults!S175*inputWeightings!$E$21+MeasureInputsANDResults!V175*inputWeightings!$F$21</f>
        <v>1.3941850139456249</v>
      </c>
      <c r="M7" s="309">
        <f>MeasureInputsANDResults!K175*inputWeightings!$B$21+MeasureInputsANDResults!N175*inputWeightings!$C$21+MeasureInputsANDResults!Q175*inputWeightings!$D$21+MeasureInputsANDResults!T175*inputWeightings!$E$21+MeasureInputsANDResults!W175*inputWeightings!$F$21</f>
        <v>0.52529241316209985</v>
      </c>
      <c r="N7" s="310">
        <f>SUMPRODUCT(MeasureInputsANDResults!X175:AB175,inputWeightings!$B$34:$F$34)</f>
        <v>-3.0864553699292457E-2</v>
      </c>
      <c r="R7"/>
    </row>
    <row r="8" spans="1:18" ht="15">
      <c r="A8" s="222" t="str">
        <f>MeasureInputsANDResults!B230</f>
        <v>BGWal10</v>
      </c>
      <c r="B8" s="223" t="str">
        <f>MeasureInputsANDResults!C230</f>
        <v>BGWalls10</v>
      </c>
      <c r="C8" s="223" t="str">
        <f>MeasureInputsANDResults!D230</f>
        <v>BGWalls</v>
      </c>
      <c r="D8" s="223">
        <f>MeasureInputsANDResults!E230</f>
        <v>10</v>
      </c>
      <c r="E8" s="223" t="str">
        <f>MeasureInputsANDResults!F230</f>
        <v>R-0</v>
      </c>
      <c r="F8" s="223" t="str">
        <f>MeasureInputsANDResults!G230</f>
        <v>R-11</v>
      </c>
      <c r="G8" s="224" t="s">
        <v>311</v>
      </c>
      <c r="H8" s="223" t="str">
        <f t="shared" si="0"/>
        <v>Multi Family Weatherization - Insulate BGWalls - R-0 to R-11 - Heating Zone 1</v>
      </c>
      <c r="I8" s="225">
        <f>SUMPRODUCT(MeasureInputsANDResults!I230:M230,inputWeightings!$B$21:$F$21)</f>
        <v>0</v>
      </c>
      <c r="J8" s="226">
        <f>SUMPRODUCT(MeasureInputsANDResults!N230:R230,inputWeightings!$B$21:$F$21)</f>
        <v>0</v>
      </c>
      <c r="K8" s="225">
        <f>MeasureInputsANDResults!I176*inputWeightings!$B$21+MeasureInputsANDResults!L176*inputWeightings!$C$21+MeasureInputsANDResults!O176*inputWeightings!$D$21+MeasureInputsANDResults!R176*inputWeightings!$E$21+MeasureInputsANDResults!U176*inputWeightings!$F$21</f>
        <v>0</v>
      </c>
      <c r="L8" s="225">
        <f>MeasureInputsANDResults!J176*inputWeightings!$B$21+MeasureInputsANDResults!M176*inputWeightings!$C$21+MeasureInputsANDResults!P176*inputWeightings!$D$21+MeasureInputsANDResults!S176*inputWeightings!$E$21+MeasureInputsANDResults!V176*inputWeightings!$F$21</f>
        <v>0</v>
      </c>
      <c r="M8" s="311">
        <f>MeasureInputsANDResults!K176*inputWeightings!$B$21+MeasureInputsANDResults!N176*inputWeightings!$C$21+MeasureInputsANDResults!Q176*inputWeightings!$D$21+MeasureInputsANDResults!T176*inputWeightings!$E$21+MeasureInputsANDResults!W176*inputWeightings!$F$21</f>
        <v>0</v>
      </c>
      <c r="N8" s="312">
        <f>SUMPRODUCT(MeasureInputsANDResults!X176:AB176,inputWeightings!$B$34:$F$34)</f>
        <v>0</v>
      </c>
      <c r="R8"/>
    </row>
    <row r="9" spans="1:18" ht="15">
      <c r="A9" s="227" t="str">
        <f>MeasureInputsANDResults!B231</f>
        <v>Floor10</v>
      </c>
      <c r="B9" s="228" t="str">
        <f>MeasureInputsANDResults!C231</f>
        <v>Floors10</v>
      </c>
      <c r="C9" s="228" t="str">
        <f>MeasureInputsANDResults!D231</f>
        <v>Floors</v>
      </c>
      <c r="D9" s="228">
        <f>MeasureInputsANDResults!E231</f>
        <v>10</v>
      </c>
      <c r="E9" s="228" t="str">
        <f>MeasureInputsANDResults!F231</f>
        <v>R-0</v>
      </c>
      <c r="F9" s="228" t="str">
        <f>MeasureInputsANDResults!G231</f>
        <v>R-19</v>
      </c>
      <c r="G9" s="229" t="s">
        <v>311</v>
      </c>
      <c r="H9" s="228" t="str">
        <f t="shared" si="0"/>
        <v>Multi Family Weatherization - Insulate Floors - R-0 to R-19 - Heating Zone 1</v>
      </c>
      <c r="I9" s="230">
        <f>SUMPRODUCT(MeasureInputsANDResults!I231:M231,inputWeightings!$B$21:$F$21)</f>
        <v>0.61232930907459315</v>
      </c>
      <c r="J9" s="231">
        <f>SUMPRODUCT(MeasureInputsANDResults!N231:R231,inputWeightings!$B$21:$F$21)</f>
        <v>-8.7835286089890958E-3</v>
      </c>
      <c r="K9" s="230">
        <f>MeasureInputsANDResults!I177*inputWeightings!$B$21+MeasureInputsANDResults!L177*inputWeightings!$C$21+MeasureInputsANDResults!O177*inputWeightings!$D$21+MeasureInputsANDResults!R177*inputWeightings!$E$21+MeasureInputsANDResults!U177*inputWeightings!$F$21</f>
        <v>0.61745309474478649</v>
      </c>
      <c r="L9" s="230">
        <f>MeasureInputsANDResults!J177*inputWeightings!$B$21+MeasureInputsANDResults!M177*inputWeightings!$C$21+MeasureInputsANDResults!P177*inputWeightings!$D$21+MeasureInputsANDResults!S177*inputWeightings!$E$21+MeasureInputsANDResults!V177*inputWeightings!$F$21</f>
        <v>0.61473698631310125</v>
      </c>
      <c r="M9" s="313">
        <f>MeasureInputsANDResults!K177*inputWeightings!$B$21+MeasureInputsANDResults!N177*inputWeightings!$C$21+MeasureInputsANDResults!Q177*inputWeightings!$D$21+MeasureInputsANDResults!T177*inputWeightings!$E$21+MeasureInputsANDResults!W177*inputWeightings!$F$21</f>
        <v>0.21960467914438481</v>
      </c>
      <c r="N9" s="314">
        <f>SUMPRODUCT(MeasureInputsANDResults!X177:AB177,inputWeightings!$B$34:$F$34)</f>
        <v>-8.6636310361898422E-2</v>
      </c>
      <c r="R9"/>
    </row>
    <row r="10" spans="1:18" ht="15">
      <c r="A10" s="236" t="str">
        <f>MeasureInputsANDResults!B232</f>
        <v>Floor11</v>
      </c>
      <c r="B10" s="237" t="str">
        <f>MeasureInputsANDResults!C232</f>
        <v>Floors11</v>
      </c>
      <c r="C10" s="237" t="str">
        <f>MeasureInputsANDResults!D232</f>
        <v>Floors</v>
      </c>
      <c r="D10" s="237">
        <f>MeasureInputsANDResults!E232</f>
        <v>11</v>
      </c>
      <c r="E10" s="237" t="str">
        <f>MeasureInputsANDResults!F232</f>
        <v>R-0</v>
      </c>
      <c r="F10" s="237" t="str">
        <f>MeasureInputsANDResults!G232</f>
        <v>R-25</v>
      </c>
      <c r="G10" s="238" t="s">
        <v>311</v>
      </c>
      <c r="H10" s="237" t="str">
        <f t="shared" si="0"/>
        <v>Multi Family Weatherization - Insulate Floors - R-0 to R-25 - Heating Zone 1</v>
      </c>
      <c r="I10" s="239">
        <f>SUMPRODUCT(MeasureInputsANDResults!I232:M232,inputWeightings!$B$21:$F$21)</f>
        <v>0.70224525289104767</v>
      </c>
      <c r="J10" s="240">
        <f>SUMPRODUCT(MeasureInputsANDResults!N232:R232,inputWeightings!$B$21:$F$21)</f>
        <v>-1.0176471073417853E-2</v>
      </c>
      <c r="K10" s="239">
        <f>MeasureInputsANDResults!I178*inputWeightings!$B$21+MeasureInputsANDResults!L178*inputWeightings!$C$21+MeasureInputsANDResults!O178*inputWeightings!$D$21+MeasureInputsANDResults!R178*inputWeightings!$E$21+MeasureInputsANDResults!U178*inputWeightings!$F$21</f>
        <v>0.70811413490441177</v>
      </c>
      <c r="L10" s="239">
        <f>MeasureInputsANDResults!J178*inputWeightings!$B$21+MeasureInputsANDResults!M178*inputWeightings!$C$21+MeasureInputsANDResults!P178*inputWeightings!$D$21+MeasureInputsANDResults!S178*inputWeightings!$E$21+MeasureInputsANDResults!V178*inputWeightings!$F$21</f>
        <v>0.70515791252499993</v>
      </c>
      <c r="M10" s="315">
        <f>MeasureInputsANDResults!K178*inputWeightings!$B$21+MeasureInputsANDResults!N178*inputWeightings!$C$21+MeasureInputsANDResults!Q178*inputWeightings!$D$21+MeasureInputsANDResults!T178*inputWeightings!$E$21+MeasureInputsANDResults!W178*inputWeightings!$F$21</f>
        <v>0.25212687952186219</v>
      </c>
      <c r="N10" s="316">
        <f>SUMPRODUCT(MeasureInputsANDResults!X178:AB178,inputWeightings!$B$34:$F$34)</f>
        <v>-0.100391841011631</v>
      </c>
      <c r="R10"/>
    </row>
    <row r="11" spans="1:18" ht="15">
      <c r="A11" s="227" t="str">
        <f>MeasureInputsANDResults!B233</f>
        <v>Floor12</v>
      </c>
      <c r="B11" s="228" t="str">
        <f>MeasureInputsANDResults!C233</f>
        <v>Floors12</v>
      </c>
      <c r="C11" s="228" t="str">
        <f>MeasureInputsANDResults!D233</f>
        <v>Floors</v>
      </c>
      <c r="D11" s="228">
        <f>MeasureInputsANDResults!E233</f>
        <v>12</v>
      </c>
      <c r="E11" s="228" t="str">
        <f>MeasureInputsANDResults!F233</f>
        <v>R-0</v>
      </c>
      <c r="F11" s="228" t="str">
        <f>MeasureInputsANDResults!G233</f>
        <v>R-30</v>
      </c>
      <c r="G11" s="229" t="s">
        <v>311</v>
      </c>
      <c r="H11" s="228" t="str">
        <f t="shared" si="0"/>
        <v>Multi Family Weatherization - Insulate Floors - R-0 to R-30 - Heating Zone 1</v>
      </c>
      <c r="I11" s="230">
        <f>SUMPRODUCT(MeasureInputsANDResults!I233:M233,inputWeightings!$B$21:$F$21)</f>
        <v>0.79706107262688453</v>
      </c>
      <c r="J11" s="231">
        <f>SUMPRODUCT(MeasureInputsANDResults!N233:R233,inputWeightings!$B$21:$F$21)</f>
        <v>-1.1676470959867317E-2</v>
      </c>
      <c r="K11" s="230">
        <f>MeasureInputsANDResults!I179*inputWeightings!$B$21+MeasureInputsANDResults!L179*inputWeightings!$C$21+MeasureInputsANDResults!O179*inputWeightings!$D$21+MeasureInputsANDResults!R179*inputWeightings!$E$21+MeasureInputsANDResults!U179*inputWeightings!$F$21</f>
        <v>0.80371456332005364</v>
      </c>
      <c r="L11" s="230">
        <f>MeasureInputsANDResults!J179*inputWeightings!$B$21+MeasureInputsANDResults!M179*inputWeightings!$C$21+MeasureInputsANDResults!P179*inputWeightings!$D$21+MeasureInputsANDResults!S179*inputWeightings!$E$21+MeasureInputsANDResults!V179*inputWeightings!$F$21</f>
        <v>0.80054358999946484</v>
      </c>
      <c r="M11" s="313">
        <f>MeasureInputsANDResults!K179*inputWeightings!$B$21+MeasureInputsANDResults!N179*inputWeightings!$C$21+MeasureInputsANDResults!Q179*inputWeightings!$D$21+MeasureInputsANDResults!T179*inputWeightings!$E$21+MeasureInputsANDResults!W179*inputWeightings!$F$21</f>
        <v>0.2864354907203524</v>
      </c>
      <c r="N11" s="314">
        <f>SUMPRODUCT(MeasureInputsANDResults!X179:AB179,inputWeightings!$B$34:$F$34)</f>
        <v>-0.11521063892593582</v>
      </c>
      <c r="R11"/>
    </row>
    <row r="12" spans="1:18" ht="15">
      <c r="A12" s="236" t="str">
        <f>MeasureInputsANDResults!B234</f>
        <v>Floor13</v>
      </c>
      <c r="B12" s="237" t="str">
        <f>MeasureInputsANDResults!C234</f>
        <v>Floors13</v>
      </c>
      <c r="C12" s="237" t="str">
        <f>MeasureInputsANDResults!D234</f>
        <v>Floors</v>
      </c>
      <c r="D12" s="237">
        <f>MeasureInputsANDResults!E234</f>
        <v>13</v>
      </c>
      <c r="E12" s="237" t="str">
        <f>MeasureInputsANDResults!F234</f>
        <v>R-0</v>
      </c>
      <c r="F12" s="237" t="str">
        <f>MeasureInputsANDResults!G234</f>
        <v>R-38</v>
      </c>
      <c r="G12" s="238" t="s">
        <v>311</v>
      </c>
      <c r="H12" s="237" t="str">
        <f t="shared" si="0"/>
        <v>Multi Family Weatherization - Insulate Floors - R-0 to R-38 - Heating Zone 1</v>
      </c>
      <c r="I12" s="239">
        <f>SUMPRODUCT(MeasureInputsANDResults!I234:M234,inputWeightings!$B$21:$F$21)</f>
        <v>0.82229465253681466</v>
      </c>
      <c r="J12" s="240">
        <f>SUMPRODUCT(MeasureInputsANDResults!N234:R234,inputWeightings!$B$21:$F$21)</f>
        <v>-1.208112579456315E-2</v>
      </c>
      <c r="K12" s="239">
        <f>MeasureInputsANDResults!I180*inputWeightings!$B$21+MeasureInputsANDResults!L180*inputWeightings!$C$21+MeasureInputsANDResults!O180*inputWeightings!$D$21+MeasureInputsANDResults!R180*inputWeightings!$E$21+MeasureInputsANDResults!U180*inputWeightings!$F$21</f>
        <v>0.82915530461323583</v>
      </c>
      <c r="L12" s="239">
        <f>MeasureInputsANDResults!J180*inputWeightings!$B$21+MeasureInputsANDResults!M180*inputWeightings!$C$21+MeasureInputsANDResults!P180*inputWeightings!$D$21+MeasureInputsANDResults!S180*inputWeightings!$E$21+MeasureInputsANDResults!V180*inputWeightings!$F$21</f>
        <v>0.82593209463770034</v>
      </c>
      <c r="M12" s="315">
        <f>MeasureInputsANDResults!K180*inputWeightings!$B$21+MeasureInputsANDResults!N180*inputWeightings!$C$21+MeasureInputsANDResults!Q180*inputWeightings!$D$21+MeasureInputsANDResults!T180*inputWeightings!$E$21+MeasureInputsANDResults!W180*inputWeightings!$F$21</f>
        <v>0.29568507392261717</v>
      </c>
      <c r="N12" s="316">
        <f>SUMPRODUCT(MeasureInputsANDResults!X180:AB180,inputWeightings!$B$34:$F$34)</f>
        <v>-0.11920611403877007</v>
      </c>
      <c r="R12"/>
    </row>
    <row r="13" spans="1:18" ht="15">
      <c r="A13" s="236" t="str">
        <f>MeasureInputsANDResults!B235</f>
        <v>Floor14</v>
      </c>
      <c r="B13" s="237" t="str">
        <f>MeasureInputsANDResults!C235</f>
        <v>Floors14</v>
      </c>
      <c r="C13" s="237" t="str">
        <f>MeasureInputsANDResults!D235</f>
        <v>Floors</v>
      </c>
      <c r="D13" s="237">
        <f>MeasureInputsANDResults!E235</f>
        <v>14</v>
      </c>
      <c r="E13" s="237" t="str">
        <f>MeasureInputsANDResults!F235</f>
        <v>R-19</v>
      </c>
      <c r="F13" s="237" t="str">
        <f>MeasureInputsANDResults!G235</f>
        <v>R-25</v>
      </c>
      <c r="G13" s="238" t="s">
        <v>311</v>
      </c>
      <c r="H13" s="237" t="str">
        <f t="shared" si="0"/>
        <v>Multi Family Weatherization - Insulate Floors - R-19 to R-25 - Heating Zone 1</v>
      </c>
      <c r="I13" s="239">
        <f>SUMPRODUCT(MeasureInputsANDResults!I235:M235,inputWeightings!$B$21:$F$21)</f>
        <v>8.9915943816454375E-2</v>
      </c>
      <c r="J13" s="240">
        <f>SUMPRODUCT(MeasureInputsANDResults!N235:R235,inputWeightings!$B$21:$F$21)</f>
        <v>-1.3929424644287583E-3</v>
      </c>
      <c r="K13" s="239">
        <f>MeasureInputsANDResults!I181*inputWeightings!$B$21+MeasureInputsANDResults!L181*inputWeightings!$C$21+MeasureInputsANDResults!O181*inputWeightings!$D$21+MeasureInputsANDResults!R181*inputWeightings!$E$21+MeasureInputsANDResults!U181*inputWeightings!$F$21</f>
        <v>9.0661040159625256E-2</v>
      </c>
      <c r="L13" s="239">
        <f>MeasureInputsANDResults!J181*inputWeightings!$B$21+MeasureInputsANDResults!M181*inputWeightings!$C$21+MeasureInputsANDResults!P181*inputWeightings!$D$21+MeasureInputsANDResults!S181*inputWeightings!$E$21+MeasureInputsANDResults!V181*inputWeightings!$F$21</f>
        <v>9.042092621189865E-2</v>
      </c>
      <c r="M13" s="315">
        <f>MeasureInputsANDResults!K181*inputWeightings!$B$21+MeasureInputsANDResults!N181*inputWeightings!$C$21+MeasureInputsANDResults!Q181*inputWeightings!$D$21+MeasureInputsANDResults!T181*inputWeightings!$E$21+MeasureInputsANDResults!W181*inputWeightings!$F$21</f>
        <v>3.2522200377477391E-2</v>
      </c>
      <c r="N13" s="316">
        <f>SUMPRODUCT(MeasureInputsANDResults!X181:AB181,inputWeightings!$B$34:$F$34)</f>
        <v>-1.375553064973258E-2</v>
      </c>
      <c r="R13"/>
    </row>
    <row r="14" spans="1:18" ht="15">
      <c r="A14" s="227" t="str">
        <f>MeasureInputsANDResults!B236</f>
        <v>Floor15</v>
      </c>
      <c r="B14" s="228" t="str">
        <f>MeasureInputsANDResults!C236</f>
        <v>Floors15</v>
      </c>
      <c r="C14" s="228" t="str">
        <f>MeasureInputsANDResults!D236</f>
        <v>Floors</v>
      </c>
      <c r="D14" s="228">
        <f>MeasureInputsANDResults!E236</f>
        <v>15</v>
      </c>
      <c r="E14" s="228" t="str">
        <f>MeasureInputsANDResults!F236</f>
        <v>R-19</v>
      </c>
      <c r="F14" s="228" t="str">
        <f>MeasureInputsANDResults!G236</f>
        <v>R-30</v>
      </c>
      <c r="G14" s="229" t="s">
        <v>311</v>
      </c>
      <c r="H14" s="228" t="str">
        <f t="shared" si="0"/>
        <v>Multi Family Weatherization - Insulate Floors - R-19 to R-30 - Heating Zone 1</v>
      </c>
      <c r="I14" s="230">
        <f>SUMPRODUCT(MeasureInputsANDResults!I236:M236,inputWeightings!$B$21:$F$21)</f>
        <v>0.18473176355229112</v>
      </c>
      <c r="J14" s="231">
        <f>SUMPRODUCT(MeasureInputsANDResults!N236:R236,inputWeightings!$B$21:$F$21)</f>
        <v>-2.8929423508782201E-3</v>
      </c>
      <c r="K14" s="230">
        <f>MeasureInputsANDResults!I182*inputWeightings!$B$21+MeasureInputsANDResults!L182*inputWeightings!$C$21+MeasureInputsANDResults!O182*inputWeightings!$D$21+MeasureInputsANDResults!R182*inputWeightings!$E$21+MeasureInputsANDResults!U182*inputWeightings!$F$21</f>
        <v>0.18626146857526715</v>
      </c>
      <c r="L14" s="230">
        <f>MeasureInputsANDResults!J182*inputWeightings!$B$21+MeasureInputsANDResults!M182*inputWeightings!$C$21+MeasureInputsANDResults!P182*inputWeightings!$D$21+MeasureInputsANDResults!S182*inputWeightings!$E$21+MeasureInputsANDResults!V182*inputWeightings!$F$21</f>
        <v>0.18580660368636359</v>
      </c>
      <c r="M14" s="313">
        <f>MeasureInputsANDResults!K182*inputWeightings!$B$21+MeasureInputsANDResults!N182*inputWeightings!$C$21+MeasureInputsANDResults!Q182*inputWeightings!$D$21+MeasureInputsANDResults!T182*inputWeightings!$E$21+MeasureInputsANDResults!W182*inputWeightings!$F$21</f>
        <v>6.6830811575967569E-2</v>
      </c>
      <c r="N14" s="314">
        <f>SUMPRODUCT(MeasureInputsANDResults!X182:AB182,inputWeightings!$B$34:$F$34)</f>
        <v>-2.8574328564037403E-2</v>
      </c>
      <c r="R14"/>
    </row>
    <row r="15" spans="1:18" ht="15">
      <c r="A15" s="236" t="str">
        <f>MeasureInputsANDResults!B237</f>
        <v>Floor16</v>
      </c>
      <c r="B15" s="237" t="str">
        <f>MeasureInputsANDResults!C237</f>
        <v>Floors16</v>
      </c>
      <c r="C15" s="237" t="str">
        <f>MeasureInputsANDResults!D237</f>
        <v>Floors</v>
      </c>
      <c r="D15" s="237">
        <f>MeasureInputsANDResults!E237</f>
        <v>16</v>
      </c>
      <c r="E15" s="237" t="str">
        <f>MeasureInputsANDResults!F237</f>
        <v>R-19</v>
      </c>
      <c r="F15" s="237" t="str">
        <f>MeasureInputsANDResults!G237</f>
        <v>R-38</v>
      </c>
      <c r="G15" s="238" t="s">
        <v>311</v>
      </c>
      <c r="H15" s="237" t="str">
        <f t="shared" si="0"/>
        <v>Multi Family Weatherization - Insulate Floors - R-19 to R-38 - Heating Zone 1</v>
      </c>
      <c r="I15" s="239">
        <f>SUMPRODUCT(MeasureInputsANDResults!I237:M237,inputWeightings!$B$21:$F$21)</f>
        <v>0.2099653434622214</v>
      </c>
      <c r="J15" s="240">
        <f>SUMPRODUCT(MeasureInputsANDResults!N237:R237,inputWeightings!$B$21:$F$21)</f>
        <v>-3.2975971855740533E-3</v>
      </c>
      <c r="K15" s="239">
        <f>MeasureInputsANDResults!I183*inputWeightings!$B$21+MeasureInputsANDResults!L183*inputWeightings!$C$21+MeasureInputsANDResults!O183*inputWeightings!$D$21+MeasureInputsANDResults!R183*inputWeightings!$E$21+MeasureInputsANDResults!U183*inputWeightings!$F$21</f>
        <v>0.21170220986844923</v>
      </c>
      <c r="L15" s="239">
        <f>MeasureInputsANDResults!J183*inputWeightings!$B$21+MeasureInputsANDResults!M183*inputWeightings!$C$21+MeasureInputsANDResults!P183*inputWeightings!$D$21+MeasureInputsANDResults!S183*inputWeightings!$E$21+MeasureInputsANDResults!V183*inputWeightings!$F$21</f>
        <v>0.21119510832459892</v>
      </c>
      <c r="M15" s="315">
        <f>MeasureInputsANDResults!K183*inputWeightings!$B$21+MeasureInputsANDResults!N183*inputWeightings!$C$21+MeasureInputsANDResults!Q183*inputWeightings!$D$21+MeasureInputsANDResults!T183*inputWeightings!$E$21+MeasureInputsANDResults!W183*inputWeightings!$F$21</f>
        <v>7.6080394778232363E-2</v>
      </c>
      <c r="N15" s="316">
        <f>SUMPRODUCT(MeasureInputsANDResults!X183:AB183,inputWeightings!$B$34:$F$34)</f>
        <v>-3.2569803676871636E-2</v>
      </c>
      <c r="R15"/>
    </row>
    <row r="16" spans="1:18" ht="15">
      <c r="A16" s="236" t="str">
        <f>MeasureInputsANDResults!B238</f>
        <v>Floor17</v>
      </c>
      <c r="B16" s="237" t="str">
        <f>MeasureInputsANDResults!C238</f>
        <v>Floors17</v>
      </c>
      <c r="C16" s="237" t="str">
        <f>MeasureInputsANDResults!D238</f>
        <v>Floors</v>
      </c>
      <c r="D16" s="237">
        <f>MeasureInputsANDResults!E238</f>
        <v>17</v>
      </c>
      <c r="E16" s="237" t="str">
        <f>MeasureInputsANDResults!F238</f>
        <v>R-11</v>
      </c>
      <c r="F16" s="237" t="str">
        <f>MeasureInputsANDResults!G238</f>
        <v>R-30</v>
      </c>
      <c r="G16" s="238" t="s">
        <v>311</v>
      </c>
      <c r="H16" s="237" t="str">
        <f t="shared" si="0"/>
        <v>Multi Family Weatherization - Insulate Floors - R-11 to R-30 - Heating Zone 1</v>
      </c>
      <c r="I16" s="239">
        <f>SUMPRODUCT(MeasureInputsANDResults!I238:M238,inputWeightings!$B$21:$F$21)</f>
        <v>1.779350117117654</v>
      </c>
      <c r="J16" s="240">
        <f>SUMPRODUCT(MeasureInputsANDResults!N238:R238,inputWeightings!$B$21:$F$21)</f>
        <v>-2.3472513564742826E-2</v>
      </c>
      <c r="K16" s="239">
        <f>MeasureInputsANDResults!I184*inputWeightings!$B$21+MeasureInputsANDResults!L184*inputWeightings!$C$21+MeasureInputsANDResults!O184*inputWeightings!$D$21+MeasureInputsANDResults!R184*inputWeightings!$E$21+MeasureInputsANDResults!U184*inputWeightings!$F$21</f>
        <v>1.7943711995411764</v>
      </c>
      <c r="L16" s="239">
        <f>MeasureInputsANDResults!J184*inputWeightings!$B$21+MeasureInputsANDResults!M184*inputWeightings!$C$21+MeasureInputsANDResults!P184*inputWeightings!$D$21+MeasureInputsANDResults!S184*inputWeightings!$E$21+MeasureInputsANDResults!V184*inputWeightings!$F$21</f>
        <v>1.7826137513046794</v>
      </c>
      <c r="M16" s="315">
        <f>MeasureInputsANDResults!K184*inputWeightings!$B$21+MeasureInputsANDResults!N184*inputWeightings!$C$21+MeasureInputsANDResults!Q184*inputWeightings!$D$21+MeasureInputsANDResults!T184*inputWeightings!$E$21+MeasureInputsANDResults!W184*inputWeightings!$F$21</f>
        <v>0.63498509751494203</v>
      </c>
      <c r="N16" s="316">
        <f>SUMPRODUCT(MeasureInputsANDResults!X184:AB184,inputWeightings!$B$34:$F$34)</f>
        <v>-0.23090533568088228</v>
      </c>
      <c r="R16"/>
    </row>
    <row r="17" spans="1:18" ht="15">
      <c r="A17" s="236" t="str">
        <f>MeasureInputsANDResults!B239</f>
        <v>Floor18</v>
      </c>
      <c r="B17" s="237" t="str">
        <f>MeasureInputsANDResults!C239</f>
        <v>Floors18</v>
      </c>
      <c r="C17" s="237" t="str">
        <f>MeasureInputsANDResults!D239</f>
        <v>Floors</v>
      </c>
      <c r="D17" s="237">
        <f>MeasureInputsANDResults!E239</f>
        <v>18</v>
      </c>
      <c r="E17" s="237" t="str">
        <f>MeasureInputsANDResults!F239</f>
        <v>R-0</v>
      </c>
      <c r="F17" s="237" t="str">
        <f>MeasureInputsANDResults!G239</f>
        <v>R-19</v>
      </c>
      <c r="G17" s="238" t="s">
        <v>311</v>
      </c>
      <c r="H17" s="237" t="str">
        <f t="shared" si="0"/>
        <v>Multi Family Weatherization - Insulate Floors - R-0 to R-19 - Heating Zone 1</v>
      </c>
      <c r="I17" s="239">
        <f>SUMPRODUCT(MeasureInputsANDResults!I239:M239,inputWeightings!$B$21:$F$21)</f>
        <v>0.61232930907459315</v>
      </c>
      <c r="J17" s="240">
        <f>SUMPRODUCT(MeasureInputsANDResults!N239:R239,inputWeightings!$B$21:$F$21)</f>
        <v>-8.7835286089890958E-3</v>
      </c>
      <c r="K17" s="239">
        <f>MeasureInputsANDResults!I185*inputWeightings!$B$21+MeasureInputsANDResults!L185*inputWeightings!$C$21+MeasureInputsANDResults!O185*inputWeightings!$D$21+MeasureInputsANDResults!R185*inputWeightings!$E$21+MeasureInputsANDResults!U185*inputWeightings!$F$21</f>
        <v>0.61745309474478649</v>
      </c>
      <c r="L17" s="239">
        <f>MeasureInputsANDResults!J185*inputWeightings!$B$21+MeasureInputsANDResults!M185*inputWeightings!$C$21+MeasureInputsANDResults!P185*inputWeightings!$D$21+MeasureInputsANDResults!S185*inputWeightings!$E$21+MeasureInputsANDResults!V185*inputWeightings!$F$21</f>
        <v>0.61473698631310125</v>
      </c>
      <c r="M17" s="315">
        <f>MeasureInputsANDResults!K185*inputWeightings!$B$21+MeasureInputsANDResults!N185*inputWeightings!$C$21+MeasureInputsANDResults!Q185*inputWeightings!$D$21+MeasureInputsANDResults!T185*inputWeightings!$E$21+MeasureInputsANDResults!W185*inputWeightings!$F$21</f>
        <v>0.21960467914438481</v>
      </c>
      <c r="N17" s="316">
        <f>SUMPRODUCT(MeasureInputsANDResults!X185:AB185,inputWeightings!$B$34:$F$34)</f>
        <v>-8.6636310361898422E-2</v>
      </c>
      <c r="R17"/>
    </row>
    <row r="18" spans="1:18" ht="15">
      <c r="A18" s="263" t="str">
        <f>MeasureInputsANDResults!B240</f>
        <v>Ceili10</v>
      </c>
      <c r="B18" s="264" t="str">
        <f>MeasureInputsANDResults!C240</f>
        <v>Ceiling10</v>
      </c>
      <c r="C18" s="264" t="str">
        <f>MeasureInputsANDResults!D240</f>
        <v>Ceiling</v>
      </c>
      <c r="D18" s="264">
        <f>MeasureInputsANDResults!E240</f>
        <v>10</v>
      </c>
      <c r="E18" s="264" t="str">
        <f>MeasureInputsANDResults!F240</f>
        <v>R-0</v>
      </c>
      <c r="F18" s="264" t="str">
        <f>MeasureInputsANDResults!G240</f>
        <v>R-19</v>
      </c>
      <c r="G18" s="265" t="s">
        <v>311</v>
      </c>
      <c r="H18" s="264" t="str">
        <f t="shared" ref="H18:H26" si="1">"Multi Family Weatherization - Insulate Attic - "&amp;E18&amp;" to "&amp;F18&amp;" - "&amp;G18</f>
        <v>Multi Family Weatherization - Insulate Attic - R-0 to R-19 - Heating Zone 1</v>
      </c>
      <c r="I18" s="266">
        <f>SUMPRODUCT(MeasureInputsANDResults!I240:M240,inputWeightings!$B$21:$F$21)</f>
        <v>0.48191356665449658</v>
      </c>
      <c r="J18" s="267">
        <f>SUMPRODUCT(MeasureInputsANDResults!N240:R240,inputWeightings!$B$21:$F$21)</f>
        <v>7.3608888970991011E-3</v>
      </c>
      <c r="K18" s="266">
        <f>MeasureInputsANDResults!I186*inputWeightings!$B$21+MeasureInputsANDResults!L186*inputWeightings!$C$21+MeasureInputsANDResults!O186*inputWeightings!$D$21+MeasureInputsANDResults!R186*inputWeightings!$E$21+MeasureInputsANDResults!U186*inputWeightings!$F$21</f>
        <v>0.4856782402243181</v>
      </c>
      <c r="L18" s="266">
        <f>MeasureInputsANDResults!J186*inputWeightings!$B$21+MeasureInputsANDResults!M186*inputWeightings!$C$21+MeasureInputsANDResults!P186*inputWeightings!$D$21+MeasureInputsANDResults!S186*inputWeightings!$E$21+MeasureInputsANDResults!V186*inputWeightings!$F$21</f>
        <v>0.49665947495840923</v>
      </c>
      <c r="M18" s="317">
        <f>MeasureInputsANDResults!K186*inputWeightings!$B$21+MeasureInputsANDResults!N186*inputWeightings!$C$21+MeasureInputsANDResults!Q186*inputWeightings!$D$21+MeasureInputsANDResults!T186*inputWeightings!$E$21+MeasureInputsANDResults!W186*inputWeightings!$F$21</f>
        <v>0.16955628342245999</v>
      </c>
      <c r="N18" s="318">
        <f>SUMPRODUCT(MeasureInputsANDResults!X186:AB186,inputWeightings!$B$34:$F$34)</f>
        <v>5.3405355438863607E-2</v>
      </c>
      <c r="R18"/>
    </row>
    <row r="19" spans="1:18" ht="15">
      <c r="A19" s="227" t="str">
        <f>MeasureInputsANDResults!B241</f>
        <v>Ceili11</v>
      </c>
      <c r="B19" s="228" t="str">
        <f>MeasureInputsANDResults!C241</f>
        <v>Ceiling11</v>
      </c>
      <c r="C19" s="228" t="str">
        <f>MeasureInputsANDResults!D241</f>
        <v>Ceiling</v>
      </c>
      <c r="D19" s="228">
        <f>MeasureInputsANDResults!E241</f>
        <v>11</v>
      </c>
      <c r="E19" s="228" t="str">
        <f>MeasureInputsANDResults!F241</f>
        <v>R-0</v>
      </c>
      <c r="F19" s="228" t="str">
        <f>MeasureInputsANDResults!G241</f>
        <v>R-38</v>
      </c>
      <c r="G19" s="229" t="s">
        <v>311</v>
      </c>
      <c r="H19" s="228" t="str">
        <f t="shared" si="1"/>
        <v>Multi Family Weatherization - Insulate Attic - R-0 to R-38 - Heating Zone 1</v>
      </c>
      <c r="I19" s="230">
        <f>SUMPRODUCT(MeasureInputsANDResults!I241:M241,inputWeightings!$B$21:$F$21)</f>
        <v>0.65629311030109294</v>
      </c>
      <c r="J19" s="231">
        <f>SUMPRODUCT(MeasureInputsANDResults!N241:R241,inputWeightings!$B$21:$F$21)</f>
        <v>1.0076534338269365E-2</v>
      </c>
      <c r="K19" s="230">
        <f>MeasureInputsANDResults!I187*inputWeightings!$B$21+MeasureInputsANDResults!L187*inputWeightings!$C$21+MeasureInputsANDResults!O187*inputWeightings!$D$21+MeasureInputsANDResults!R187*inputWeightings!$E$21+MeasureInputsANDResults!U187*inputWeightings!$F$21</f>
        <v>0.66141462946318141</v>
      </c>
      <c r="L19" s="230">
        <f>MeasureInputsANDResults!J187*inputWeightings!$B$21+MeasureInputsANDResults!M187*inputWeightings!$C$21+MeasureInputsANDResults!P187*inputWeightings!$D$21+MeasureInputsANDResults!S187*inputWeightings!$E$21+MeasureInputsANDResults!V187*inputWeightings!$F$21</f>
        <v>0.6764269730438639</v>
      </c>
      <c r="M19" s="313">
        <f>MeasureInputsANDResults!K187*inputWeightings!$B$21+MeasureInputsANDResults!N187*inputWeightings!$C$21+MeasureInputsANDResults!Q187*inputWeightings!$D$21+MeasureInputsANDResults!T187*inputWeightings!$E$21+MeasureInputsANDResults!W187*inputWeightings!$F$21</f>
        <v>0.2312230414438502</v>
      </c>
      <c r="N19" s="314">
        <f>SUMPRODUCT(MeasureInputsANDResults!X187:AB187,inputWeightings!$B$34:$F$34)</f>
        <v>7.2853509844090988E-2</v>
      </c>
      <c r="R19"/>
    </row>
    <row r="20" spans="1:18" ht="15">
      <c r="A20" s="227" t="str">
        <f>MeasureInputsANDResults!B242</f>
        <v>Ceili12</v>
      </c>
      <c r="B20" s="228" t="str">
        <f>MeasureInputsANDResults!C242</f>
        <v>Ceiling12</v>
      </c>
      <c r="C20" s="228" t="str">
        <f>MeasureInputsANDResults!D242</f>
        <v>Ceiling</v>
      </c>
      <c r="D20" s="228">
        <f>MeasureInputsANDResults!E242</f>
        <v>12</v>
      </c>
      <c r="E20" s="228" t="str">
        <f>MeasureInputsANDResults!F242</f>
        <v>R-0</v>
      </c>
      <c r="F20" s="228" t="str">
        <f>MeasureInputsANDResults!G242</f>
        <v>R-49</v>
      </c>
      <c r="G20" s="229" t="s">
        <v>311</v>
      </c>
      <c r="H20" s="228" t="str">
        <f t="shared" si="1"/>
        <v>Multi Family Weatherization - Insulate Attic - R-0 to R-49 - Heating Zone 1</v>
      </c>
      <c r="I20" s="230">
        <f>SUMPRODUCT(MeasureInputsANDResults!I242:M242,inputWeightings!$B$21:$F$21)</f>
        <v>0.6967225438678748</v>
      </c>
      <c r="J20" s="231">
        <f>SUMPRODUCT(MeasureInputsANDResults!N242:R242,inputWeightings!$B$21:$F$21)</f>
        <v>1.0711230939987815E-2</v>
      </c>
      <c r="K20" s="230">
        <f>MeasureInputsANDResults!I188*inputWeightings!$B$21+MeasureInputsANDResults!L188*inputWeightings!$C$21+MeasureInputsANDResults!O188*inputWeightings!$D$21+MeasureInputsANDResults!R188*inputWeightings!$E$21+MeasureInputsANDResults!U188*inputWeightings!$F$21</f>
        <v>0.7021594817529544</v>
      </c>
      <c r="L20" s="230">
        <f>MeasureInputsANDResults!J188*inputWeightings!$B$21+MeasureInputsANDResults!M188*inputWeightings!$C$21+MeasureInputsANDResults!P188*inputWeightings!$D$21+MeasureInputsANDResults!S188*inputWeightings!$E$21+MeasureInputsANDResults!V188*inputWeightings!$F$21</f>
        <v>0.71811130680556834</v>
      </c>
      <c r="M20" s="313">
        <f>MeasureInputsANDResults!K188*inputWeightings!$B$21+MeasureInputsANDResults!N188*inputWeightings!$C$21+MeasureInputsANDResults!Q188*inputWeightings!$D$21+MeasureInputsANDResults!T188*inputWeightings!$E$21+MeasureInputsANDResults!W188*inputWeightings!$F$21</f>
        <v>0.24544634358288753</v>
      </c>
      <c r="N20" s="314">
        <f>SUMPRODUCT(MeasureInputsANDResults!X188:AB188,inputWeightings!$B$34:$F$34)</f>
        <v>7.737783563602281E-2</v>
      </c>
      <c r="R20"/>
    </row>
    <row r="21" spans="1:18" ht="15">
      <c r="A21" s="227" t="str">
        <f>MeasureInputsANDResults!B243</f>
        <v>Ceili13</v>
      </c>
      <c r="B21" s="228" t="str">
        <f>MeasureInputsANDResults!C243</f>
        <v>Ceiling13</v>
      </c>
      <c r="C21" s="228" t="str">
        <f>MeasureInputsANDResults!D243</f>
        <v>Ceiling</v>
      </c>
      <c r="D21" s="228">
        <f>MeasureInputsANDResults!E243</f>
        <v>13</v>
      </c>
      <c r="E21" s="228" t="str">
        <f>MeasureInputsANDResults!F243</f>
        <v>R-30</v>
      </c>
      <c r="F21" s="228" t="str">
        <f>MeasureInputsANDResults!G243</f>
        <v>R-38</v>
      </c>
      <c r="G21" s="229" t="s">
        <v>311</v>
      </c>
      <c r="H21" s="228" t="str">
        <f t="shared" si="1"/>
        <v>Multi Family Weatherization - Insulate Attic - R-30 to R-38 - Heating Zone 1</v>
      </c>
      <c r="I21" s="230">
        <f>SUMPRODUCT(MeasureInputsANDResults!I243:M243,inputWeightings!$B$21:$F$21)</f>
        <v>4.7997574888966436E-2</v>
      </c>
      <c r="J21" s="231">
        <f>SUMPRODUCT(MeasureInputsANDResults!N243:R243,inputWeightings!$B$21:$F$21)</f>
        <v>7.5085046064065199E-4</v>
      </c>
      <c r="K21" s="230">
        <f>MeasureInputsANDResults!I189*inputWeightings!$B$21+MeasureInputsANDResults!L189*inputWeightings!$C$21+MeasureInputsANDResults!O189*inputWeightings!$D$21+MeasureInputsANDResults!R189*inputWeightings!$E$21+MeasureInputsANDResults!U189*inputWeightings!$F$21</f>
        <v>4.8372927102272541E-2</v>
      </c>
      <c r="L21" s="230">
        <f>MeasureInputsANDResults!J189*inputWeightings!$B$21+MeasureInputsANDResults!M189*inputWeightings!$C$21+MeasureInputsANDResults!P189*inputWeightings!$D$21+MeasureInputsANDResults!S189*inputWeightings!$E$21+MeasureInputsANDResults!V189*inputWeightings!$F$21</f>
        <v>4.9484923774318491E-2</v>
      </c>
      <c r="M21" s="313">
        <f>MeasureInputsANDResults!K189*inputWeightings!$B$21+MeasureInputsANDResults!N189*inputWeightings!$C$21+MeasureInputsANDResults!Q189*inputWeightings!$D$21+MeasureInputsANDResults!T189*inputWeightings!$E$21+MeasureInputsANDResults!W189*inputWeightings!$F$21</f>
        <v>1.6822954545454516E-2</v>
      </c>
      <c r="N21" s="314">
        <f>SUMPRODUCT(MeasureInputsANDResults!X189:AB189,inputWeightings!$B$34:$F$34)</f>
        <v>5.3608485138637221E-3</v>
      </c>
    </row>
    <row r="22" spans="1:18" ht="15">
      <c r="A22" s="227" t="str">
        <f>MeasureInputsANDResults!B244</f>
        <v>Ceili14</v>
      </c>
      <c r="B22" s="228" t="str">
        <f>MeasureInputsANDResults!C244</f>
        <v>Ceiling14</v>
      </c>
      <c r="C22" s="228" t="str">
        <f>MeasureInputsANDResults!D244</f>
        <v>Ceiling</v>
      </c>
      <c r="D22" s="228">
        <f>MeasureInputsANDResults!E244</f>
        <v>14</v>
      </c>
      <c r="E22" s="228" t="str">
        <f>MeasureInputsANDResults!F244</f>
        <v>R-30</v>
      </c>
      <c r="F22" s="228" t="str">
        <f>MeasureInputsANDResults!G244</f>
        <v>R-49</v>
      </c>
      <c r="G22" s="229" t="s">
        <v>311</v>
      </c>
      <c r="H22" s="228" t="str">
        <f t="shared" si="1"/>
        <v>Multi Family Weatherization - Insulate Attic - R-30 to R-49 - Heating Zone 1</v>
      </c>
      <c r="I22" s="230">
        <f>SUMPRODUCT(MeasureInputsANDResults!I244:M244,inputWeightings!$B$21:$F$21)</f>
        <v>8.8427008455748093E-2</v>
      </c>
      <c r="J22" s="231">
        <f>SUMPRODUCT(MeasureInputsANDResults!N244:R244,inputWeightings!$B$21:$F$21)</f>
        <v>1.3855470623591001E-3</v>
      </c>
      <c r="K22" s="230">
        <f>MeasureInputsANDResults!I190*inputWeightings!$B$21+MeasureInputsANDResults!L190*inputWeightings!$C$21+MeasureInputsANDResults!O190*inputWeightings!$D$21+MeasureInputsANDResults!R190*inputWeightings!$E$21+MeasureInputsANDResults!U190*inputWeightings!$F$21</f>
        <v>8.9117779392045307E-2</v>
      </c>
      <c r="L22" s="230">
        <f>MeasureInputsANDResults!J190*inputWeightings!$B$21+MeasureInputsANDResults!M190*inputWeightings!$C$21+MeasureInputsANDResults!P190*inputWeightings!$D$21+MeasureInputsANDResults!S190*inputWeightings!$E$21+MeasureInputsANDResults!V190*inputWeightings!$F$21</f>
        <v>9.1169257536022924E-2</v>
      </c>
      <c r="M22" s="313">
        <f>MeasureInputsANDResults!K190*inputWeightings!$B$21+MeasureInputsANDResults!N190*inputWeightings!$C$21+MeasureInputsANDResults!Q190*inputWeightings!$D$21+MeasureInputsANDResults!T190*inputWeightings!$E$21+MeasureInputsANDResults!W190*inputWeightings!$F$21</f>
        <v>3.1046256684491867E-2</v>
      </c>
      <c r="N22" s="314">
        <f>SUMPRODUCT(MeasureInputsANDResults!X190:AB190,inputWeightings!$B$34:$F$34)</f>
        <v>9.8851743057955434E-3</v>
      </c>
    </row>
    <row r="23" spans="1:18" ht="15">
      <c r="A23" s="236" t="str">
        <f>MeasureInputsANDResults!B245</f>
        <v>Ceili15</v>
      </c>
      <c r="B23" s="237" t="str">
        <f>MeasureInputsANDResults!C245</f>
        <v>Ceiling15</v>
      </c>
      <c r="C23" s="237" t="str">
        <f>MeasureInputsANDResults!D245</f>
        <v>Ceiling</v>
      </c>
      <c r="D23" s="237">
        <f>MeasureInputsANDResults!E245</f>
        <v>15</v>
      </c>
      <c r="E23" s="237" t="str">
        <f>MeasureInputsANDResults!F245</f>
        <v>R-19</v>
      </c>
      <c r="F23" s="237" t="str">
        <f>MeasureInputsANDResults!G245</f>
        <v>R-30</v>
      </c>
      <c r="G23" s="238" t="s">
        <v>311</v>
      </c>
      <c r="H23" s="237" t="str">
        <f t="shared" si="1"/>
        <v>Multi Family Weatherization - Insulate Attic - R-19 to R-30 - Heating Zone 1</v>
      </c>
      <c r="I23" s="239">
        <f>SUMPRODUCT(MeasureInputsANDResults!I245:M245,inputWeightings!$B$21:$F$21)</f>
        <v>0.12638196875763003</v>
      </c>
      <c r="J23" s="240">
        <f>SUMPRODUCT(MeasureInputsANDResults!N245:R245,inputWeightings!$B$21:$F$21)</f>
        <v>1.9647949805296134E-3</v>
      </c>
      <c r="K23" s="239">
        <f>MeasureInputsANDResults!I191*inputWeightings!$B$21+MeasureInputsANDResults!L191*inputWeightings!$C$21+MeasureInputsANDResults!O191*inputWeightings!$D$21+MeasureInputsANDResults!R191*inputWeightings!$E$21+MeasureInputsANDResults!U191*inputWeightings!$F$21</f>
        <v>0.12736346213659086</v>
      </c>
      <c r="L23" s="239">
        <f>MeasureInputsANDResults!J191*inputWeightings!$B$21+MeasureInputsANDResults!M191*inputWeightings!$C$21+MeasureInputsANDResults!P191*inputWeightings!$D$21+MeasureInputsANDResults!S191*inputWeightings!$E$21+MeasureInputsANDResults!V191*inputWeightings!$F$21</f>
        <v>0.13028257431113613</v>
      </c>
      <c r="M23" s="315">
        <f>MeasureInputsANDResults!K191*inputWeightings!$B$21+MeasureInputsANDResults!N191*inputWeightings!$C$21+MeasureInputsANDResults!Q191*inputWeightings!$D$21+MeasureInputsANDResults!T191*inputWeightings!$E$21+MeasureInputsANDResults!W191*inputWeightings!$F$21</f>
        <v>4.4843803475935709E-2</v>
      </c>
      <c r="N23" s="316">
        <f>SUMPRODUCT(MeasureInputsANDResults!X191:AB191,inputWeightings!$B$34:$F$34)</f>
        <v>1.4087305891363647E-2</v>
      </c>
    </row>
    <row r="24" spans="1:18" ht="15">
      <c r="A24" s="227" t="str">
        <f>MeasureInputsANDResults!B246</f>
        <v>Ceili16</v>
      </c>
      <c r="B24" s="228" t="str">
        <f>MeasureInputsANDResults!C246</f>
        <v>Ceiling16</v>
      </c>
      <c r="C24" s="228" t="str">
        <f>MeasureInputsANDResults!D246</f>
        <v>Ceiling</v>
      </c>
      <c r="D24" s="228">
        <f>MeasureInputsANDResults!E246</f>
        <v>16</v>
      </c>
      <c r="E24" s="228" t="str">
        <f>MeasureInputsANDResults!F246</f>
        <v>R-19</v>
      </c>
      <c r="F24" s="228" t="str">
        <f>MeasureInputsANDResults!G246</f>
        <v>R-38</v>
      </c>
      <c r="G24" s="229" t="s">
        <v>311</v>
      </c>
      <c r="H24" s="228" t="str">
        <f t="shared" si="1"/>
        <v>Multi Family Weatherization - Insulate Attic - R-19 to R-38 - Heating Zone 1</v>
      </c>
      <c r="I24" s="230">
        <f>SUMPRODUCT(MeasureInputsANDResults!I246:M246,inputWeightings!$B$21:$F$21)</f>
        <v>0.17437954364659647</v>
      </c>
      <c r="J24" s="231">
        <f>SUMPRODUCT(MeasureInputsANDResults!N246:R246,inputWeightings!$B$21:$F$21)</f>
        <v>2.7156454411702657E-3</v>
      </c>
      <c r="K24" s="230">
        <f>MeasureInputsANDResults!I192*inputWeightings!$B$21+MeasureInputsANDResults!L192*inputWeightings!$C$21+MeasureInputsANDResults!O192*inputWeightings!$D$21+MeasureInputsANDResults!R192*inputWeightings!$E$21+MeasureInputsANDResults!U192*inputWeightings!$F$21</f>
        <v>0.17573638923886342</v>
      </c>
      <c r="L24" s="230">
        <f>MeasureInputsANDResults!J192*inputWeightings!$B$21+MeasureInputsANDResults!M192*inputWeightings!$C$21+MeasureInputsANDResults!P192*inputWeightings!$D$21+MeasureInputsANDResults!S192*inputWeightings!$E$21+MeasureInputsANDResults!V192*inputWeightings!$F$21</f>
        <v>0.17976749808545464</v>
      </c>
      <c r="M24" s="313">
        <f>MeasureInputsANDResults!K192*inputWeightings!$B$21+MeasureInputsANDResults!N192*inputWeightings!$C$21+MeasureInputsANDResults!Q192*inputWeightings!$D$21+MeasureInputsANDResults!T192*inputWeightings!$E$21+MeasureInputsANDResults!W192*inputWeightings!$F$21</f>
        <v>6.1666758021390225E-2</v>
      </c>
      <c r="N24" s="314">
        <f>SUMPRODUCT(MeasureInputsANDResults!X192:AB192,inputWeightings!$B$34:$F$34)</f>
        <v>1.9448154405227371E-2</v>
      </c>
    </row>
    <row r="25" spans="1:18" ht="15">
      <c r="A25" s="227" t="str">
        <f>MeasureInputsANDResults!B247</f>
        <v>Ceili17</v>
      </c>
      <c r="B25" s="228" t="str">
        <f>MeasureInputsANDResults!C247</f>
        <v>Ceiling17</v>
      </c>
      <c r="C25" s="228" t="str">
        <f>MeasureInputsANDResults!D247</f>
        <v>Ceiling</v>
      </c>
      <c r="D25" s="228">
        <f>MeasureInputsANDResults!E247</f>
        <v>17</v>
      </c>
      <c r="E25" s="228" t="str">
        <f>MeasureInputsANDResults!F247</f>
        <v>R-19</v>
      </c>
      <c r="F25" s="228" t="str">
        <f>MeasureInputsANDResults!G247</f>
        <v>R-49</v>
      </c>
      <c r="G25" s="229" t="s">
        <v>311</v>
      </c>
      <c r="H25" s="228" t="str">
        <f t="shared" si="1"/>
        <v>Multi Family Weatherization - Insulate Attic - R-19 to R-49 - Heating Zone 1</v>
      </c>
      <c r="I25" s="230">
        <f>SUMPRODUCT(MeasureInputsANDResults!I247:M247,inputWeightings!$B$21:$F$21)</f>
        <v>0.21480897721337811</v>
      </c>
      <c r="J25" s="231">
        <f>SUMPRODUCT(MeasureInputsANDResults!N247:R247,inputWeightings!$B$21:$F$21)</f>
        <v>3.3503420428887135E-3</v>
      </c>
      <c r="K25" s="230">
        <f>MeasureInputsANDResults!I193*inputWeightings!$B$21+MeasureInputsANDResults!L193*inputWeightings!$C$21+MeasureInputsANDResults!O193*inputWeightings!$D$21+MeasureInputsANDResults!R193*inputWeightings!$E$21+MeasureInputsANDResults!U193*inputWeightings!$F$21</f>
        <v>0.21648124152863615</v>
      </c>
      <c r="L25" s="230">
        <f>MeasureInputsANDResults!J193*inputWeightings!$B$21+MeasureInputsANDResults!M193*inputWeightings!$C$21+MeasureInputsANDResults!P193*inputWeightings!$D$21+MeasureInputsANDResults!S193*inputWeightings!$E$21+MeasureInputsANDResults!V193*inputWeightings!$F$21</f>
        <v>0.22145183184715905</v>
      </c>
      <c r="M25" s="313">
        <f>MeasureInputsANDResults!K193*inputWeightings!$B$21+MeasureInputsANDResults!N193*inputWeightings!$C$21+MeasureInputsANDResults!Q193*inputWeightings!$D$21+MeasureInputsANDResults!T193*inputWeightings!$E$21+MeasureInputsANDResults!W193*inputWeightings!$F$21</f>
        <v>7.5890060160427583E-2</v>
      </c>
      <c r="N25" s="314">
        <f>SUMPRODUCT(MeasureInputsANDResults!X193:AB193,inputWeightings!$B$34:$F$34)</f>
        <v>2.3972480197159189E-2</v>
      </c>
    </row>
    <row r="26" spans="1:18" ht="15">
      <c r="A26" s="268" t="str">
        <f>MeasureInputsANDResults!B248</f>
        <v>Ceili18</v>
      </c>
      <c r="B26" s="269" t="str">
        <f>MeasureInputsANDResults!C248</f>
        <v>Ceiling18</v>
      </c>
      <c r="C26" s="269" t="str">
        <f>MeasureInputsANDResults!D248</f>
        <v>Ceiling</v>
      </c>
      <c r="D26" s="269">
        <f>MeasureInputsANDResults!E248</f>
        <v>18</v>
      </c>
      <c r="E26" s="269" t="str">
        <f>MeasureInputsANDResults!F248</f>
        <v>R-38</v>
      </c>
      <c r="F26" s="269" t="str">
        <f>MeasureInputsANDResults!G248</f>
        <v>R-49</v>
      </c>
      <c r="G26" s="270" t="s">
        <v>311</v>
      </c>
      <c r="H26" s="269" t="str">
        <f t="shared" si="1"/>
        <v>Multi Family Weatherization - Insulate Attic - R-38 to R-49 - Heating Zone 1</v>
      </c>
      <c r="I26" s="271">
        <f>SUMPRODUCT(MeasureInputsANDResults!I248:M248,inputWeightings!$B$21:$F$21)</f>
        <v>4.0429433566781636E-2</v>
      </c>
      <c r="J26" s="272">
        <f>SUMPRODUCT(MeasureInputsANDResults!N248:R248,inputWeightings!$B$21:$F$21)</f>
        <v>6.3469660171844799E-4</v>
      </c>
      <c r="K26" s="271">
        <f>MeasureInputsANDResults!I194*inputWeightings!$B$21+MeasureInputsANDResults!L194*inputWeightings!$C$21+MeasureInputsANDResults!O194*inputWeightings!$D$21+MeasureInputsANDResults!R194*inputWeightings!$E$21+MeasureInputsANDResults!U194*inputWeightings!$F$21</f>
        <v>4.0744852289772766E-2</v>
      </c>
      <c r="L26" s="271">
        <f>MeasureInputsANDResults!J194*inputWeightings!$B$21+MeasureInputsANDResults!M194*inputWeightings!$C$21+MeasureInputsANDResults!P194*inputWeightings!$D$21+MeasureInputsANDResults!S194*inputWeightings!$E$21+MeasureInputsANDResults!V194*inputWeightings!$F$21</f>
        <v>4.1684333761704419E-2</v>
      </c>
      <c r="M26" s="320">
        <f>MeasureInputsANDResults!K194*inputWeightings!$B$21+MeasureInputsANDResults!N194*inputWeightings!$C$21+MeasureInputsANDResults!Q194*inputWeightings!$D$21+MeasureInputsANDResults!T194*inputWeightings!$E$21+MeasureInputsANDResults!W194*inputWeightings!$F$21</f>
        <v>1.4223302139037356E-2</v>
      </c>
      <c r="N26" s="321">
        <f>SUMPRODUCT(MeasureInputsANDResults!X194:AB194,inputWeightings!$B$34:$F$34)</f>
        <v>4.5243257919318214E-3</v>
      </c>
    </row>
    <row r="27" spans="1:18" ht="15">
      <c r="A27" s="236"/>
      <c r="B27" s="237"/>
      <c r="C27" s="237"/>
      <c r="D27" s="237"/>
      <c r="E27" s="237"/>
      <c r="F27" s="237"/>
      <c r="G27" s="238"/>
      <c r="H27" s="237"/>
      <c r="I27" s="239"/>
      <c r="J27" s="240"/>
      <c r="K27" s="239"/>
      <c r="L27" s="239"/>
      <c r="M27" s="315"/>
      <c r="N27" s="316"/>
    </row>
    <row r="28" spans="1:18" ht="15">
      <c r="A28" s="236"/>
      <c r="B28" s="237"/>
      <c r="C28" s="237"/>
      <c r="D28" s="237"/>
      <c r="E28" s="237"/>
      <c r="F28" s="237"/>
      <c r="G28" s="238"/>
      <c r="H28" s="237"/>
      <c r="I28" s="239"/>
      <c r="J28" s="240"/>
      <c r="K28" s="239"/>
      <c r="L28" s="239"/>
      <c r="M28" s="315"/>
      <c r="N28" s="316"/>
    </row>
    <row r="29" spans="1:18" ht="15">
      <c r="A29" s="236"/>
      <c r="B29" s="237"/>
      <c r="C29" s="237"/>
      <c r="D29" s="237"/>
      <c r="E29" s="237"/>
      <c r="F29" s="237"/>
      <c r="G29" s="238"/>
      <c r="H29" s="237"/>
      <c r="I29" s="239"/>
      <c r="J29" s="240"/>
      <c r="K29" s="239"/>
      <c r="L29" s="239"/>
      <c r="M29" s="315"/>
      <c r="N29" s="316"/>
    </row>
    <row r="30" spans="1:18" ht="15">
      <c r="A30" s="236"/>
      <c r="B30" s="237"/>
      <c r="C30" s="237"/>
      <c r="D30" s="237"/>
      <c r="E30" s="237"/>
      <c r="F30" s="237"/>
      <c r="G30" s="238"/>
      <c r="H30" s="237"/>
      <c r="I30" s="239"/>
      <c r="J30" s="240"/>
      <c r="K30" s="239"/>
      <c r="L30" s="239"/>
      <c r="M30" s="315"/>
      <c r="N30" s="316"/>
    </row>
    <row r="31" spans="1:18" ht="15">
      <c r="A31" s="236"/>
      <c r="B31" s="237"/>
      <c r="C31" s="237"/>
      <c r="D31" s="237"/>
      <c r="E31" s="237"/>
      <c r="F31" s="237"/>
      <c r="G31" s="238"/>
      <c r="H31" s="237"/>
      <c r="I31" s="239"/>
      <c r="J31" s="240"/>
      <c r="K31" s="239"/>
      <c r="L31" s="239"/>
      <c r="M31" s="315"/>
      <c r="N31" s="316"/>
    </row>
    <row r="32" spans="1:18" ht="15">
      <c r="A32" s="236"/>
      <c r="B32" s="237"/>
      <c r="C32" s="237"/>
      <c r="D32" s="237"/>
      <c r="E32" s="237"/>
      <c r="F32" s="237"/>
      <c r="G32" s="238"/>
      <c r="H32" s="237"/>
      <c r="I32" s="239"/>
      <c r="J32" s="240"/>
      <c r="K32" s="239"/>
      <c r="L32" s="239"/>
      <c r="M32" s="315"/>
      <c r="N32" s="316"/>
    </row>
    <row r="33" spans="1:14" ht="15">
      <c r="A33" s="236"/>
      <c r="B33" s="237"/>
      <c r="C33" s="237"/>
      <c r="D33" s="237"/>
      <c r="E33" s="237"/>
      <c r="F33" s="237"/>
      <c r="G33" s="238"/>
      <c r="H33" s="237"/>
      <c r="I33" s="239"/>
      <c r="J33" s="240"/>
      <c r="K33" s="239"/>
      <c r="L33" s="239"/>
      <c r="M33" s="315"/>
      <c r="N33" s="316"/>
    </row>
    <row r="34" spans="1:14" ht="15">
      <c r="A34" s="236"/>
      <c r="B34" s="237"/>
      <c r="C34" s="237"/>
      <c r="D34" s="237"/>
      <c r="E34" s="237"/>
      <c r="F34" s="237"/>
      <c r="G34" s="238"/>
      <c r="H34" s="237"/>
      <c r="I34" s="239"/>
      <c r="J34" s="240"/>
      <c r="K34" s="239"/>
      <c r="L34" s="239"/>
      <c r="M34" s="315"/>
      <c r="N34" s="316"/>
    </row>
    <row r="35" spans="1:14" ht="15">
      <c r="A35" s="236"/>
      <c r="B35" s="237"/>
      <c r="C35" s="237"/>
      <c r="D35" s="237"/>
      <c r="E35" s="237"/>
      <c r="F35" s="237"/>
      <c r="G35" s="238"/>
      <c r="H35" s="237"/>
      <c r="I35" s="239"/>
      <c r="J35" s="240"/>
      <c r="K35" s="239"/>
      <c r="L35" s="239"/>
      <c r="M35" s="315"/>
      <c r="N35" s="316"/>
    </row>
    <row r="36" spans="1:14" ht="15">
      <c r="A36" s="227" t="str">
        <f>MeasureInputsANDResults!B258</f>
        <v>Windo19</v>
      </c>
      <c r="B36" s="228" t="str">
        <f>MeasureInputsANDResults!C258</f>
        <v>Windows19</v>
      </c>
      <c r="C36" s="228" t="str">
        <f>MeasureInputsANDResults!D258</f>
        <v>Windows</v>
      </c>
      <c r="D36" s="228">
        <f>MeasureInputsANDResults!E258</f>
        <v>19</v>
      </c>
      <c r="E36" s="228" t="str">
        <f>MeasureInputsANDResults!F258</f>
        <v>Class 35</v>
      </c>
      <c r="F36" s="228" t="str">
        <f>MeasureInputsANDResults!G258</f>
        <v>Class 22</v>
      </c>
      <c r="G36" s="229" t="s">
        <v>311</v>
      </c>
      <c r="H36" s="228" t="str">
        <f t="shared" ref="H36:H41" si="2">C36&amp;" - "&amp;E36&amp;" to "&amp;F36&amp;" - "&amp;G36</f>
        <v>Windows - Class 35 to Class 22 - Heating Zone 1</v>
      </c>
      <c r="I36" s="230">
        <f>SUMPRODUCT(MeasureInputsANDResults!I258:M258,inputWeightings!$B$21:$F$21)</f>
        <v>3.3675112501749838</v>
      </c>
      <c r="J36" s="231">
        <f>SUMPRODUCT(MeasureInputsANDResults!N258:R258,inputWeightings!$B$21:$F$21)</f>
        <v>5.8339821543650578E-3</v>
      </c>
      <c r="K36" s="230">
        <f>MeasureInputsANDResults!I204*inputWeightings!$B$21+MeasureInputsANDResults!L204*inputWeightings!$C$21+MeasureInputsANDResults!O204*inputWeightings!$D$21+MeasureInputsANDResults!R204*inputWeightings!$E$21+MeasureInputsANDResults!U204*inputWeightings!$F$21</f>
        <v>3.3923562099096731</v>
      </c>
      <c r="L36" s="230">
        <f>MeasureInputsANDResults!J204*inputWeightings!$B$21+MeasureInputsANDResults!M204*inputWeightings!$C$21+MeasureInputsANDResults!P204*inputWeightings!$D$21+MeasureInputsANDResults!S204*inputWeightings!$E$21+MeasureInputsANDResults!V204*inputWeightings!$F$21</f>
        <v>3.4629926737190164</v>
      </c>
      <c r="M36" s="313">
        <f>MeasureInputsANDResults!K204*inputWeightings!$B$21+MeasureInputsANDResults!N204*inputWeightings!$C$21+MeasureInputsANDResults!Q204*inputWeightings!$D$21+MeasureInputsANDResults!T204*inputWeightings!$E$21+MeasureInputsANDResults!W204*inputWeightings!$F$21</f>
        <v>1.3094743075551896</v>
      </c>
      <c r="N36" s="314">
        <f>SUMPRODUCT(MeasureInputsANDResults!X204:AB204,inputWeightings!$B$34:$F$34)</f>
        <v>8.0950922337800647E-3</v>
      </c>
    </row>
    <row r="37" spans="1:14" ht="15">
      <c r="A37" s="227" t="str">
        <f>MeasureInputsANDResults!B259</f>
        <v>Windo20</v>
      </c>
      <c r="B37" s="228" t="str">
        <f>MeasureInputsANDResults!C259</f>
        <v>Windows20</v>
      </c>
      <c r="C37" s="228" t="str">
        <f>MeasureInputsANDResults!D259</f>
        <v>Windows</v>
      </c>
      <c r="D37" s="228">
        <f>MeasureInputsANDResults!E259</f>
        <v>20</v>
      </c>
      <c r="E37" s="228" t="str">
        <f>MeasureInputsANDResults!F259</f>
        <v>Single Pane</v>
      </c>
      <c r="F37" s="228" t="str">
        <f>MeasureInputsANDResults!G259</f>
        <v>Class 22</v>
      </c>
      <c r="G37" s="229" t="s">
        <v>311</v>
      </c>
      <c r="H37" s="228" t="str">
        <f t="shared" si="2"/>
        <v>Windows - Single Pane to Class 22 - Heating Zone 1</v>
      </c>
      <c r="I37" s="230">
        <f>SUMPRODUCT(MeasureInputsANDResults!I259:M259,inputWeightings!$B$21:$F$21)</f>
        <v>24.883701599526319</v>
      </c>
      <c r="J37" s="231">
        <f>SUMPRODUCT(MeasureInputsANDResults!N259:R259,inputWeightings!$B$21:$F$21)</f>
        <v>0.10625020895658716</v>
      </c>
      <c r="K37" s="230">
        <f>MeasureInputsANDResults!I205*inputWeightings!$B$21+MeasureInputsANDResults!L205*inputWeightings!$C$21+MeasureInputsANDResults!O205*inputWeightings!$D$21+MeasureInputsANDResults!R205*inputWeightings!$E$21+MeasureInputsANDResults!U205*inputWeightings!$F$21</f>
        <v>25.063764899824584</v>
      </c>
      <c r="L37" s="230">
        <f>MeasureInputsANDResults!J205*inputWeightings!$B$21+MeasureInputsANDResults!M205*inputWeightings!$C$21+MeasureInputsANDResults!P205*inputWeightings!$D$21+MeasureInputsANDResults!S205*inputWeightings!$E$21+MeasureInputsANDResults!V205*inputWeightings!$F$21</f>
        <v>25.523466294305265</v>
      </c>
      <c r="M37" s="313">
        <f>MeasureInputsANDResults!K205*inputWeightings!$B$21+MeasureInputsANDResults!N205*inputWeightings!$C$21+MeasureInputsANDResults!Q205*inputWeightings!$D$21+MeasureInputsANDResults!T205*inputWeightings!$E$21+MeasureInputsANDResults!W205*inputWeightings!$F$21</f>
        <v>10.063944461584166</v>
      </c>
      <c r="N37" s="314">
        <f>SUMPRODUCT(MeasureInputsANDResults!X205:AB205,inputWeightings!$B$34:$F$34)</f>
        <v>0.72176378834430832</v>
      </c>
    </row>
    <row r="38" spans="1:14" ht="15">
      <c r="A38" s="227" t="str">
        <f>MeasureInputsANDResults!B260</f>
        <v>Windo21</v>
      </c>
      <c r="B38" s="228" t="str">
        <f>MeasureInputsANDResults!C260</f>
        <v>Windows21</v>
      </c>
      <c r="C38" s="228" t="str">
        <f>MeasureInputsANDResults!D260</f>
        <v>Windows</v>
      </c>
      <c r="D38" s="228">
        <f>MeasureInputsANDResults!E260</f>
        <v>21</v>
      </c>
      <c r="E38" s="228" t="str">
        <f>MeasureInputsANDResults!F260</f>
        <v>Double Pane</v>
      </c>
      <c r="F38" s="228" t="str">
        <f>MeasureInputsANDResults!G260</f>
        <v>Class 22</v>
      </c>
      <c r="G38" s="229" t="s">
        <v>311</v>
      </c>
      <c r="H38" s="228" t="str">
        <f t="shared" si="2"/>
        <v>Windows - Double Pane to Class 22 - Heating Zone 1</v>
      </c>
      <c r="I38" s="230">
        <f>SUMPRODUCT(MeasureInputsANDResults!I260:M260,inputWeightings!$B$21:$F$21)</f>
        <v>14.611891590243264</v>
      </c>
      <c r="J38" s="231">
        <f>SUMPRODUCT(MeasureInputsANDResults!N260:R260,inputWeightings!$B$21:$F$21)</f>
        <v>0.15474971732589815</v>
      </c>
      <c r="K38" s="230">
        <f>MeasureInputsANDResults!I206*inputWeightings!$B$21+MeasureInputsANDResults!L206*inputWeightings!$C$21+MeasureInputsANDResults!O206*inputWeightings!$D$21+MeasureInputsANDResults!R206*inputWeightings!$E$21+MeasureInputsANDResults!U206*inputWeightings!$F$21</f>
        <v>14.717901643645687</v>
      </c>
      <c r="L38" s="230">
        <f>MeasureInputsANDResults!J206*inputWeightings!$B$21+MeasureInputsANDResults!M206*inputWeightings!$C$21+MeasureInputsANDResults!P206*inputWeightings!$D$21+MeasureInputsANDResults!S206*inputWeightings!$E$21+MeasureInputsANDResults!V206*inputWeightings!$F$21</f>
        <v>14.991558405652484</v>
      </c>
      <c r="M38" s="313">
        <f>MeasureInputsANDResults!K206*inputWeightings!$B$21+MeasureInputsANDResults!N206*inputWeightings!$C$21+MeasureInputsANDResults!Q206*inputWeightings!$D$21+MeasureInputsANDResults!T206*inputWeightings!$E$21+MeasureInputsANDResults!W206*inputWeightings!$F$21</f>
        <v>5.881414347090816</v>
      </c>
      <c r="N38" s="314">
        <f>SUMPRODUCT(MeasureInputsANDResults!X206:AB206,inputWeightings!$B$34:$F$34)</f>
        <v>1.2159785710295263</v>
      </c>
    </row>
    <row r="39" spans="1:14" ht="15">
      <c r="A39" s="227" t="str">
        <f>MeasureInputsANDResults!B261</f>
        <v>Windo22</v>
      </c>
      <c r="B39" s="228" t="str">
        <f>MeasureInputsANDResults!C261</f>
        <v>Windows22</v>
      </c>
      <c r="C39" s="228" t="str">
        <f>MeasureInputsANDResults!D261</f>
        <v>Windows</v>
      </c>
      <c r="D39" s="228">
        <f>MeasureInputsANDResults!E261</f>
        <v>22</v>
      </c>
      <c r="E39" s="228" t="str">
        <f>MeasureInputsANDResults!F261</f>
        <v>Single Pane</v>
      </c>
      <c r="F39" s="228" t="str">
        <f>MeasureInputsANDResults!G261</f>
        <v>Class 30</v>
      </c>
      <c r="G39" s="229" t="s">
        <v>311</v>
      </c>
      <c r="H39" s="228" t="str">
        <f t="shared" si="2"/>
        <v>Windows - Single Pane to Class 30 - Heating Zone 1</v>
      </c>
      <c r="I39" s="230">
        <f>SUMPRODUCT(MeasureInputsANDResults!I261:M261,inputWeightings!$B$21:$F$21)</f>
        <v>22.885264895116983</v>
      </c>
      <c r="J39" s="231">
        <f>SUMPRODUCT(MeasureInputsANDResults!N261:R261,inputWeightings!$B$21:$F$21)</f>
        <v>0.10099365989391489</v>
      </c>
      <c r="K39" s="230">
        <f>MeasureInputsANDResults!I207*inputWeightings!$B$21+MeasureInputsANDResults!L207*inputWeightings!$C$21+MeasureInputsANDResults!O207*inputWeightings!$D$21+MeasureInputsANDResults!R207*inputWeightings!$E$21+MeasureInputsANDResults!U207*inputWeightings!$F$21</f>
        <v>23.0506223914796</v>
      </c>
      <c r="L39" s="230">
        <f>MeasureInputsANDResults!J207*inputWeightings!$B$21+MeasureInputsANDResults!M207*inputWeightings!$C$21+MeasureInputsANDResults!P207*inputWeightings!$D$21+MeasureInputsANDResults!S207*inputWeightings!$E$21+MeasureInputsANDResults!V207*inputWeightings!$F$21</f>
        <v>23.467902941309831</v>
      </c>
      <c r="M39" s="313">
        <f>MeasureInputsANDResults!K207*inputWeightings!$B$21+MeasureInputsANDResults!N207*inputWeightings!$C$21+MeasureInputsANDResults!Q207*inputWeightings!$D$21+MeasureInputsANDResults!T207*inputWeightings!$E$21+MeasureInputsANDResults!W207*inputWeightings!$F$21</f>
        <v>9.284786484757074</v>
      </c>
      <c r="N39" s="314">
        <f>SUMPRODUCT(MeasureInputsANDResults!X207:AB207,inputWeightings!$B$34:$F$34)</f>
        <v>0.70219991939646476</v>
      </c>
    </row>
    <row r="40" spans="1:14" ht="15">
      <c r="A40" s="227" t="str">
        <f>MeasureInputsANDResults!B262</f>
        <v>Windo23</v>
      </c>
      <c r="B40" s="228" t="str">
        <f>MeasureInputsANDResults!C262</f>
        <v>Windows23</v>
      </c>
      <c r="C40" s="228" t="str">
        <f>MeasureInputsANDResults!D262</f>
        <v>Windows</v>
      </c>
      <c r="D40" s="228">
        <f>MeasureInputsANDResults!E262</f>
        <v>23</v>
      </c>
      <c r="E40" s="228" t="str">
        <f>MeasureInputsANDResults!F262</f>
        <v>Double Pane</v>
      </c>
      <c r="F40" s="228" t="str">
        <f>MeasureInputsANDResults!G262</f>
        <v>Class 30</v>
      </c>
      <c r="G40" s="229" t="s">
        <v>311</v>
      </c>
      <c r="H40" s="228" t="str">
        <f t="shared" si="2"/>
        <v>Windows - Double Pane to Class 30 - Heating Zone 1</v>
      </c>
      <c r="I40" s="230">
        <f>SUMPRODUCT(MeasureInputsANDResults!I262:M262,inputWeightings!$B$21:$F$21)</f>
        <v>12.613454885833926</v>
      </c>
      <c r="J40" s="231">
        <f>SUMPRODUCT(MeasureInputsANDResults!N262:R262,inputWeightings!$B$21:$F$21)</f>
        <v>0.14949316826322587</v>
      </c>
      <c r="K40" s="230">
        <f>MeasureInputsANDResults!I208*inputWeightings!$B$21+MeasureInputsANDResults!L208*inputWeightings!$C$21+MeasureInputsANDResults!O208*inputWeightings!$D$21+MeasureInputsANDResults!R208*inputWeightings!$E$21+MeasureInputsANDResults!U208*inputWeightings!$F$21</f>
        <v>12.704759135300696</v>
      </c>
      <c r="L40" s="230">
        <f>MeasureInputsANDResults!J208*inputWeightings!$B$21+MeasureInputsANDResults!M208*inputWeightings!$C$21+MeasureInputsANDResults!P208*inputWeightings!$D$21+MeasureInputsANDResults!S208*inputWeightings!$E$21+MeasureInputsANDResults!V208*inputWeightings!$F$21</f>
        <v>12.93599505265705</v>
      </c>
      <c r="M40" s="313">
        <f>MeasureInputsANDResults!K208*inputWeightings!$B$21+MeasureInputsANDResults!N208*inputWeightings!$C$21+MeasureInputsANDResults!Q208*inputWeightings!$D$21+MeasureInputsANDResults!T208*inputWeightings!$E$21+MeasureInputsANDResults!W208*inputWeightings!$F$21</f>
        <v>5.1022563702637216</v>
      </c>
      <c r="N40" s="314">
        <f>SUMPRODUCT(MeasureInputsANDResults!X208:AB208,inputWeightings!$B$34:$F$34)</f>
        <v>1.1964147020816822</v>
      </c>
    </row>
    <row r="41" spans="1:14" ht="15">
      <c r="A41" s="227" t="str">
        <f>MeasureInputsANDResults!B263</f>
        <v>Windo24</v>
      </c>
      <c r="B41" s="228" t="str">
        <f>MeasureInputsANDResults!C263</f>
        <v>Windows24</v>
      </c>
      <c r="C41" s="228" t="str">
        <f>MeasureInputsANDResults!D263</f>
        <v>Windows</v>
      </c>
      <c r="D41" s="228">
        <f>MeasureInputsANDResults!E263</f>
        <v>24</v>
      </c>
      <c r="E41" s="228" t="str">
        <f>MeasureInputsANDResults!F263</f>
        <v>Class 35</v>
      </c>
      <c r="F41" s="228" t="str">
        <f>MeasureInputsANDResults!G263</f>
        <v>Class 30</v>
      </c>
      <c r="G41" s="229" t="s">
        <v>311</v>
      </c>
      <c r="H41" s="228" t="str">
        <f t="shared" si="2"/>
        <v>Windows - Class 35 to Class 30 - Heating Zone 1</v>
      </c>
      <c r="I41" s="230">
        <f>SUMPRODUCT(MeasureInputsANDResults!I263:M263,inputWeightings!$B$21:$F$21)</f>
        <v>1.3690745457656468</v>
      </c>
      <c r="J41" s="231">
        <f>SUMPRODUCT(MeasureInputsANDResults!N263:R263,inputWeightings!$B$21:$F$21)</f>
        <v>5.7743309169279347E-4</v>
      </c>
      <c r="K41" s="230">
        <f>MeasureInputsANDResults!I209*inputWeightings!$B$21+MeasureInputsANDResults!L209*inputWeightings!$C$21+MeasureInputsANDResults!O209*inputWeightings!$D$21+MeasureInputsANDResults!R209*inputWeightings!$E$21+MeasureInputsANDResults!U209*inputWeightings!$F$21</f>
        <v>1.3792137015646844</v>
      </c>
      <c r="L41" s="230">
        <f>MeasureInputsANDResults!J209*inputWeightings!$B$21+MeasureInputsANDResults!M209*inputWeightings!$C$21+MeasureInputsANDResults!P209*inputWeightings!$D$21+MeasureInputsANDResults!S209*inputWeightings!$E$21+MeasureInputsANDResults!V209*inputWeightings!$F$21</f>
        <v>1.407429320723582</v>
      </c>
      <c r="M41" s="313">
        <f>MeasureInputsANDResults!K209*inputWeightings!$B$21+MeasureInputsANDResults!N209*inputWeightings!$C$21+MeasureInputsANDResults!Q209*inputWeightings!$D$21+MeasureInputsANDResults!T209*inputWeightings!$E$21+MeasureInputsANDResults!W209*inputWeightings!$F$21</f>
        <v>0.53031633072809536</v>
      </c>
      <c r="N41" s="314">
        <f>SUMPRODUCT(MeasureInputsANDResults!X209:AB209,inputWeightings!$B$34:$F$34)</f>
        <v>-1.1468776714063615E-2</v>
      </c>
    </row>
    <row r="42" spans="1:14" ht="15">
      <c r="A42" s="280" t="str">
        <f>MeasureInputsANDResults!B264</f>
        <v>Infil10</v>
      </c>
      <c r="B42" s="281" t="str">
        <f>MeasureInputsANDResults!C264</f>
        <v>Infiltration10</v>
      </c>
      <c r="C42" s="281" t="str">
        <f>MeasureInputsANDResults!D264</f>
        <v>Infiltration</v>
      </c>
      <c r="D42" s="281">
        <f>MeasureInputsANDResults!E264</f>
        <v>10</v>
      </c>
      <c r="E42" s="281" t="str">
        <f>MeasureInputsANDResults!F264</f>
        <v>0.45 ACHn</v>
      </c>
      <c r="F42" s="281" t="str">
        <f>MeasureInputsANDResults!G264</f>
        <v>0.35 ACHn</v>
      </c>
      <c r="G42" s="513" t="s">
        <v>311</v>
      </c>
      <c r="H42" s="281" t="str">
        <f>C42&amp;" Reduction - "&amp;E42&amp;" to "&amp;F42&amp;" - "&amp;G42</f>
        <v>Infiltration Reduction - 0.45 ACHn to 0.35 ACHn - Heating Zone 1</v>
      </c>
      <c r="I42" s="514">
        <f>SUMPRODUCT(MeasureInputsANDResults!I264:M264,inputWeightings!$B$21:$F$21)</f>
        <v>0</v>
      </c>
      <c r="J42" s="515">
        <f>SUMPRODUCT(MeasureInputsANDResults!N264:R264,inputWeightings!$B$21:$F$21)</f>
        <v>0</v>
      </c>
      <c r="K42" s="514">
        <f>MeasureInputsANDResults!I210*inputWeightings!$B$21+MeasureInputsANDResults!L210*inputWeightings!$C$21+MeasureInputsANDResults!O210*inputWeightings!$D$21+MeasureInputsANDResults!R210*inputWeightings!$E$21+MeasureInputsANDResults!U210*inputWeightings!$F$21</f>
        <v>0</v>
      </c>
      <c r="L42" s="514">
        <f>MeasureInputsANDResults!J210*inputWeightings!$B$21+MeasureInputsANDResults!M210*inputWeightings!$C$21+MeasureInputsANDResults!P210*inputWeightings!$D$21+MeasureInputsANDResults!S210*inputWeightings!$E$21+MeasureInputsANDResults!V210*inputWeightings!$F$21</f>
        <v>0</v>
      </c>
      <c r="M42" s="516">
        <f>MeasureInputsANDResults!K210*inputWeightings!$B$21+MeasureInputsANDResults!N210*inputWeightings!$C$21+MeasureInputsANDResults!Q210*inputWeightings!$D$21+MeasureInputsANDResults!T210*inputWeightings!$E$21+MeasureInputsANDResults!W210*inputWeightings!$F$21</f>
        <v>0</v>
      </c>
      <c r="N42" s="517">
        <f>SUMPRODUCT(MeasureInputsANDResults!X210:AB210,inputWeightings!$B$34:$F$34)</f>
        <v>0</v>
      </c>
    </row>
    <row r="43" spans="1:14" ht="15">
      <c r="A43" s="236" t="str">
        <f>MeasureInputsANDResults!B265</f>
        <v>Infil11</v>
      </c>
      <c r="B43" s="237" t="str">
        <f>MeasureInputsANDResults!C265</f>
        <v>Infiltration11</v>
      </c>
      <c r="C43" s="237" t="str">
        <f>MeasureInputsANDResults!D265</f>
        <v>Infiltration</v>
      </c>
      <c r="D43" s="237">
        <f>MeasureInputsANDResults!E265</f>
        <v>11</v>
      </c>
      <c r="E43" s="237" t="str">
        <f>MeasureInputsANDResults!F265</f>
        <v>0.45 ACHn</v>
      </c>
      <c r="F43" s="237" t="str">
        <f>MeasureInputsANDResults!G265</f>
        <v>0.20 ACHn</v>
      </c>
      <c r="G43" s="238" t="s">
        <v>311</v>
      </c>
      <c r="H43" s="237" t="str">
        <f t="shared" ref="H43:H44" si="3">C43&amp;" Reduction - "&amp;E43&amp;" to "&amp;F43&amp;" - "&amp;G43</f>
        <v>Infiltration Reduction - 0.45 ACHn to 0.20 ACHn - Heating Zone 1</v>
      </c>
      <c r="I43" s="239">
        <f>SUMPRODUCT(MeasureInputsANDResults!I265:M265,inputWeightings!$B$21:$F$21)</f>
        <v>0</v>
      </c>
      <c r="J43" s="240">
        <f>SUMPRODUCT(MeasureInputsANDResults!N265:R265,inputWeightings!$B$21:$F$21)</f>
        <v>0</v>
      </c>
      <c r="K43" s="239">
        <f>MeasureInputsANDResults!I211*inputWeightings!$B$21+MeasureInputsANDResults!L211*inputWeightings!$C$21+MeasureInputsANDResults!O211*inputWeightings!$D$21+MeasureInputsANDResults!R211*inputWeightings!$E$21+MeasureInputsANDResults!U211*inputWeightings!$F$21</f>
        <v>0</v>
      </c>
      <c r="L43" s="239">
        <f>MeasureInputsANDResults!J211*inputWeightings!$B$21+MeasureInputsANDResults!M211*inputWeightings!$C$21+MeasureInputsANDResults!P211*inputWeightings!$D$21+MeasureInputsANDResults!S211*inputWeightings!$E$21+MeasureInputsANDResults!V211*inputWeightings!$F$21</f>
        <v>0</v>
      </c>
      <c r="M43" s="518">
        <f>MeasureInputsANDResults!K211*inputWeightings!$B$21+MeasureInputsANDResults!N211*inputWeightings!$C$21+MeasureInputsANDResults!Q211*inputWeightings!$D$21+MeasureInputsANDResults!T211*inputWeightings!$E$21+MeasureInputsANDResults!W211*inputWeightings!$F$21</f>
        <v>0</v>
      </c>
      <c r="N43" s="316">
        <f>SUMPRODUCT(MeasureInputsANDResults!X211:AB211,inputWeightings!$B$34:$F$34)</f>
        <v>0</v>
      </c>
    </row>
    <row r="44" spans="1:14" ht="15">
      <c r="A44" s="273" t="str">
        <f>MeasureInputsANDResults!B266</f>
        <v>Infil12</v>
      </c>
      <c r="B44" s="274" t="str">
        <f>MeasureInputsANDResults!C266</f>
        <v>Infiltration12</v>
      </c>
      <c r="C44" s="274" t="str">
        <f>MeasureInputsANDResults!D266</f>
        <v>Infiltration</v>
      </c>
      <c r="D44" s="274">
        <f>MeasureInputsANDResults!E266</f>
        <v>12</v>
      </c>
      <c r="E44" s="274" t="str">
        <f>MeasureInputsANDResults!F266</f>
        <v>0.35 ACHn</v>
      </c>
      <c r="F44" s="274" t="str">
        <f>MeasureInputsANDResults!G266</f>
        <v>0.20 ACHn</v>
      </c>
      <c r="G44" s="275" t="s">
        <v>311</v>
      </c>
      <c r="H44" s="274" t="str">
        <f t="shared" si="3"/>
        <v>Infiltration Reduction - 0.35 ACHn to 0.20 ACHn - Heating Zone 1</v>
      </c>
      <c r="I44" s="276">
        <f>SUMPRODUCT(MeasureInputsANDResults!I266:M266,inputWeightings!$B$21:$F$21)</f>
        <v>0</v>
      </c>
      <c r="J44" s="277">
        <f>SUMPRODUCT(MeasureInputsANDResults!N266:R266,inputWeightings!$B$21:$F$21)</f>
        <v>0</v>
      </c>
      <c r="K44" s="276">
        <f>MeasureInputsANDResults!I212*inputWeightings!$B$21+MeasureInputsANDResults!L212*inputWeightings!$C$21+MeasureInputsANDResults!O212*inputWeightings!$D$21+MeasureInputsANDResults!R212*inputWeightings!$E$21+MeasureInputsANDResults!U212*inputWeightings!$F$21</f>
        <v>0</v>
      </c>
      <c r="L44" s="276">
        <f>MeasureInputsANDResults!J212*inputWeightings!$B$21+MeasureInputsANDResults!M212*inputWeightings!$C$21+MeasureInputsANDResults!P212*inputWeightings!$D$21+MeasureInputsANDResults!S212*inputWeightings!$E$21+MeasureInputsANDResults!V212*inputWeightings!$F$21</f>
        <v>0</v>
      </c>
      <c r="M44" s="519">
        <f>MeasureInputsANDResults!K212*inputWeightings!$B$21+MeasureInputsANDResults!N212*inputWeightings!$C$21+MeasureInputsANDResults!Q212*inputWeightings!$D$21+MeasureInputsANDResults!T212*inputWeightings!$E$21+MeasureInputsANDResults!W212*inputWeightings!$F$21</f>
        <v>0</v>
      </c>
      <c r="N44" s="323">
        <f>SUMPRODUCT(MeasureInputsANDResults!X212:AB212,inputWeightings!$B$34:$F$34)</f>
        <v>0</v>
      </c>
    </row>
    <row r="45" spans="1:14" ht="15">
      <c r="A45" s="236" t="str">
        <f>MeasureInputsANDResults!B267</f>
        <v>DuctT10</v>
      </c>
      <c r="B45" s="237" t="str">
        <f>MeasureInputsANDResults!C267</f>
        <v>DuctTightness10</v>
      </c>
      <c r="C45" s="237" t="str">
        <f>MeasureInputsANDResults!D267</f>
        <v>DuctTightness</v>
      </c>
      <c r="D45" s="237">
        <f>MeasureInputsANDResults!E267</f>
        <v>10</v>
      </c>
      <c r="E45" s="237" t="str">
        <f>MeasureInputsANDResults!F267</f>
        <v>Std-crawl</v>
      </c>
      <c r="F45" s="237" t="str">
        <f>MeasureInputsANDResults!G267</f>
        <v>PTCS-crawl</v>
      </c>
      <c r="G45" s="237" t="s">
        <v>311</v>
      </c>
      <c r="H45" s="237" t="str">
        <f>C45&amp;" - "&amp;E45&amp;" to "&amp;F45&amp;" - "&amp;G45</f>
        <v>DuctTightness - Std-crawl to PTCS-crawl - Heating Zone 1</v>
      </c>
      <c r="I45" s="284">
        <f>SUMPRODUCT(MeasureInputsANDResults!I267:M267,inputWeightings!$B$21:$F$21)</f>
        <v>775.27385705196264</v>
      </c>
      <c r="J45" s="285">
        <f>SUMPRODUCT(MeasureInputsANDResults!N267:R267,inputWeightings!$B$21:$F$21)</f>
        <v>32.372798594665554</v>
      </c>
      <c r="K45" s="284">
        <f>MeasureInputsANDResults!I213*inputWeightings!$B$21+MeasureInputsANDResults!L213*inputWeightings!$C$21+MeasureInputsANDResults!O213*inputWeightings!$D$21+MeasureInputsANDResults!R213*inputWeightings!$E$21+MeasureInputsANDResults!U213*inputWeightings!$F$21</f>
        <v>0</v>
      </c>
      <c r="L45" s="284">
        <f>MeasureInputsANDResults!J213*inputWeightings!$B$21+MeasureInputsANDResults!M213*inputWeightings!$C$21+MeasureInputsANDResults!P213*inputWeightings!$D$21+MeasureInputsANDResults!S213*inputWeightings!$E$21+MeasureInputsANDResults!V213*inputWeightings!$F$21</f>
        <v>383.90250975000157</v>
      </c>
      <c r="M45" s="328">
        <f>MeasureInputsANDResults!K213*inputWeightings!$B$21+MeasureInputsANDResults!N213*inputWeightings!$C$21+MeasureInputsANDResults!Q213*inputWeightings!$D$21+MeasureInputsANDResults!T213*inputWeightings!$E$21+MeasureInputsANDResults!W213*inputWeightings!$F$21</f>
        <v>1493.2119117647057</v>
      </c>
      <c r="N45" s="329">
        <f>SUMPRODUCT(MeasureInputsANDResults!X213:AB213,inputWeightings!$B$34:$F$34)</f>
        <v>181.45519657250045</v>
      </c>
    </row>
    <row r="46" spans="1:14" ht="15">
      <c r="A46" s="280" t="str">
        <f>MeasureInputsANDResults!B268</f>
        <v>DuctI10</v>
      </c>
      <c r="B46" s="281" t="str">
        <f>MeasureInputsANDResults!C268</f>
        <v>DuctInsulation10</v>
      </c>
      <c r="C46" s="281" t="str">
        <f>MeasureInputsANDResults!D268</f>
        <v>DuctInsulation</v>
      </c>
      <c r="D46" s="281">
        <f>MeasureInputsANDResults!E268</f>
        <v>10</v>
      </c>
      <c r="E46" s="281" t="str">
        <f>MeasureInputsANDResults!F268</f>
        <v>R-0</v>
      </c>
      <c r="F46" s="281" t="str">
        <f>MeasureInputsANDResults!G268</f>
        <v>R-4.2</v>
      </c>
      <c r="G46" s="281" t="s">
        <v>311</v>
      </c>
      <c r="H46" s="281" t="str">
        <f t="shared" ref="H46:H48" si="4">C46&amp;" - "&amp;E46&amp;" to "&amp;F46&amp;" - "&amp;G46</f>
        <v>DuctInsulation - R-0 to R-4.2 - Heating Zone 1</v>
      </c>
      <c r="I46" s="282">
        <f>SUMPRODUCT(MeasureInputsANDResults!I268:M268,inputWeightings!$B$21:$F$21)</f>
        <v>72.127724303817104</v>
      </c>
      <c r="J46" s="283">
        <f>SUMPRODUCT(MeasureInputsANDResults!N268:R268,inputWeightings!$B$21:$F$21)</f>
        <v>2.0531495091048133</v>
      </c>
      <c r="K46" s="282">
        <f>MeasureInputsANDResults!I214*inputWeightings!$B$21+MeasureInputsANDResults!L214*inputWeightings!$C$21+MeasureInputsANDResults!O214*inputWeightings!$D$21+MeasureInputsANDResults!R214*inputWeightings!$E$21+MeasureInputsANDResults!U214*inputWeightings!$F$21</f>
        <v>0</v>
      </c>
      <c r="L46" s="282">
        <f>MeasureInputsANDResults!J214*inputWeightings!$B$21+MeasureInputsANDResults!M214*inputWeightings!$C$21+MeasureInputsANDResults!P214*inputWeightings!$D$21+MeasureInputsANDResults!S214*inputWeightings!$E$21+MeasureInputsANDResults!V214*inputWeightings!$F$21</f>
        <v>74.943054970000247</v>
      </c>
      <c r="M46" s="326">
        <f>MeasureInputsANDResults!K214*inputWeightings!$B$21+MeasureInputsANDResults!N214*inputWeightings!$C$21+MeasureInputsANDResults!Q214*inputWeightings!$D$21+MeasureInputsANDResults!T214*inputWeightings!$E$21+MeasureInputsANDResults!W214*inputWeightings!$F$21</f>
        <v>66.9632352941166</v>
      </c>
      <c r="N46" s="327">
        <f>SUMPRODUCT(MeasureInputsANDResults!X214:AB214,inputWeightings!$B$34:$F$34)</f>
        <v>12.495959417500305</v>
      </c>
    </row>
    <row r="47" spans="1:14" ht="15">
      <c r="A47" s="236" t="str">
        <f>MeasureInputsANDResults!B269</f>
        <v>DuctI11</v>
      </c>
      <c r="B47" s="237" t="str">
        <f>MeasureInputsANDResults!C269</f>
        <v>DuctInsulation11</v>
      </c>
      <c r="C47" s="237" t="str">
        <f>MeasureInputsANDResults!D269</f>
        <v>DuctInsulation</v>
      </c>
      <c r="D47" s="237">
        <f>MeasureInputsANDResults!E269</f>
        <v>11</v>
      </c>
      <c r="E47" s="237" t="str">
        <f>MeasureInputsANDResults!F269</f>
        <v>R-0</v>
      </c>
      <c r="F47" s="237" t="str">
        <f>MeasureInputsANDResults!G269</f>
        <v>R-11</v>
      </c>
      <c r="G47" s="237" t="s">
        <v>311</v>
      </c>
      <c r="H47" s="237" t="str">
        <f t="shared" si="4"/>
        <v>DuctInsulation - R-0 to R-11 - Heating Zone 1</v>
      </c>
      <c r="I47" s="284">
        <f>SUMPRODUCT(MeasureInputsANDResults!I269:M269,inputWeightings!$B$21:$F$21)</f>
        <v>99.383708851329658</v>
      </c>
      <c r="J47" s="285">
        <f>SUMPRODUCT(MeasureInputsANDResults!N269:R269,inputWeightings!$B$21:$F$21)</f>
        <v>2.8470316462295289</v>
      </c>
      <c r="K47" s="284">
        <f>MeasureInputsANDResults!I215*inputWeightings!$B$21+MeasureInputsANDResults!L215*inputWeightings!$C$21+MeasureInputsANDResults!O215*inputWeightings!$D$21+MeasureInputsANDResults!R215*inputWeightings!$E$21+MeasureInputsANDResults!U215*inputWeightings!$F$21</f>
        <v>0</v>
      </c>
      <c r="L47" s="284">
        <f>MeasureInputsANDResults!J215*inputWeightings!$B$21+MeasureInputsANDResults!M215*inputWeightings!$C$21+MeasureInputsANDResults!P215*inputWeightings!$D$21+MeasureInputsANDResults!S215*inputWeightings!$E$21+MeasureInputsANDResults!V215*inputWeightings!$F$21</f>
        <v>102.62606221999783</v>
      </c>
      <c r="M47" s="328">
        <f>MeasureInputsANDResults!K215*inputWeightings!$B$21+MeasureInputsANDResults!N215*inputWeightings!$C$21+MeasureInputsANDResults!Q215*inputWeightings!$D$21+MeasureInputsANDResults!T215*inputWeightings!$E$21+MeasureInputsANDResults!W215*inputWeightings!$F$21</f>
        <v>93.435882352940297</v>
      </c>
      <c r="N47" s="329">
        <f>SUMPRODUCT(MeasureInputsANDResults!X215:AB215,inputWeightings!$B$34:$F$34)</f>
        <v>17.258210455000167</v>
      </c>
    </row>
    <row r="48" spans="1:14" ht="15">
      <c r="A48" s="273" t="str">
        <f>MeasureInputsANDResults!B270</f>
        <v>DuctI12</v>
      </c>
      <c r="B48" s="274" t="str">
        <f>MeasureInputsANDResults!C270</f>
        <v>DuctInsulation12</v>
      </c>
      <c r="C48" s="274" t="str">
        <f>MeasureInputsANDResults!D270</f>
        <v>DuctInsulation</v>
      </c>
      <c r="D48" s="274">
        <f>MeasureInputsANDResults!E270</f>
        <v>12</v>
      </c>
      <c r="E48" s="274" t="str">
        <f>MeasureInputsANDResults!F270</f>
        <v>R-4.2</v>
      </c>
      <c r="F48" s="274" t="str">
        <f>MeasureInputsANDResults!G270</f>
        <v>R-11</v>
      </c>
      <c r="G48" s="274" t="s">
        <v>311</v>
      </c>
      <c r="H48" s="274" t="str">
        <f t="shared" si="4"/>
        <v>DuctInsulation - R-4.2 to R-11 - Heating Zone 1</v>
      </c>
      <c r="I48" s="286">
        <f>SUMPRODUCT(MeasureInputsANDResults!I270:M270,inputWeightings!$B$21:$F$21)</f>
        <v>27.255984547512558</v>
      </c>
      <c r="J48" s="287">
        <f>SUMPRODUCT(MeasureInputsANDResults!N270:R270,inputWeightings!$B$21:$F$21)</f>
        <v>0.79388213712471567</v>
      </c>
      <c r="K48" s="286">
        <f>MeasureInputsANDResults!I216*inputWeightings!$B$21+MeasureInputsANDResults!L216*inputWeightings!$C$21+MeasureInputsANDResults!O216*inputWeightings!$D$21+MeasureInputsANDResults!R216*inputWeightings!$E$21+MeasureInputsANDResults!U216*inputWeightings!$F$21</f>
        <v>0</v>
      </c>
      <c r="L48" s="286">
        <f>MeasureInputsANDResults!J216*inputWeightings!$B$21+MeasureInputsANDResults!M216*inputWeightings!$C$21+MeasureInputsANDResults!P216*inputWeightings!$D$21+MeasureInputsANDResults!S216*inputWeightings!$E$21+MeasureInputsANDResults!V216*inputWeightings!$F$21</f>
        <v>27.683007249997601</v>
      </c>
      <c r="M48" s="330">
        <f>MeasureInputsANDResults!K216*inputWeightings!$B$21+MeasureInputsANDResults!N216*inputWeightings!$C$21+MeasureInputsANDResults!Q216*inputWeightings!$D$21+MeasureInputsANDResults!T216*inputWeightings!$E$21+MeasureInputsANDResults!W216*inputWeightings!$F$21</f>
        <v>26.472647058823693</v>
      </c>
      <c r="N48" s="331">
        <f>SUMPRODUCT(MeasureInputsANDResults!X216:AB216,inputWeightings!$B$34:$F$34)</f>
        <v>4.7622510374998601</v>
      </c>
    </row>
    <row r="49" spans="1:14" ht="15">
      <c r="A49" s="236" t="str">
        <f>MeasureInputsANDResults!B271</f>
        <v>HeatP10</v>
      </c>
      <c r="B49" s="237" t="str">
        <f>MeasureInputsANDResults!C271</f>
        <v>HeatPump10</v>
      </c>
      <c r="C49" s="237" t="str">
        <f>MeasureInputsANDResults!D271</f>
        <v>HeatPump</v>
      </c>
      <c r="D49" s="237">
        <f>MeasureInputsANDResults!E271</f>
        <v>10</v>
      </c>
      <c r="E49" s="237" t="str">
        <f>MeasureInputsANDResults!F271</f>
        <v>7.7/13</v>
      </c>
      <c r="F49" s="237" t="str">
        <f>MeasureInputsANDResults!G271</f>
        <v>8.5/13</v>
      </c>
      <c r="G49" s="237" t="s">
        <v>311</v>
      </c>
      <c r="H49" s="237" t="str">
        <f>C49&amp;" Upgrade - "&amp;E49&amp;" to "&amp;F49&amp;" - "&amp;G49</f>
        <v>HeatPump Upgrade - 7.7/13 to 8.5/13 - Heating Zone 1</v>
      </c>
      <c r="I49" s="284"/>
      <c r="J49" s="285"/>
      <c r="K49" s="284"/>
      <c r="L49" s="284"/>
      <c r="M49" s="328">
        <f>MeasureInputsANDResults!K217*inputWeightings!$B$21+MeasureInputsANDResults!N217*inputWeightings!$C$21+MeasureInputsANDResults!Q217*inputWeightings!$D$21+MeasureInputsANDResults!T217*inputWeightings!$E$21+MeasureInputsANDResults!W217*inputWeightings!$F$21</f>
        <v>453.45981245225323</v>
      </c>
      <c r="N49" s="329">
        <f>SUMPRODUCT(MeasureInputsANDResults!X217:AB217,inputWeightings!$B$34:$F$34)</f>
        <v>0</v>
      </c>
    </row>
    <row r="50" spans="1:14" ht="15">
      <c r="A50" s="236" t="str">
        <f>MeasureInputsANDResults!B272</f>
        <v>HeatP11</v>
      </c>
      <c r="B50" s="237" t="str">
        <f>MeasureInputsANDResults!C272</f>
        <v>HeatPump11</v>
      </c>
      <c r="C50" s="237" t="str">
        <f>MeasureInputsANDResults!D272</f>
        <v>HeatPump</v>
      </c>
      <c r="D50" s="237">
        <f>MeasureInputsANDResults!E272</f>
        <v>11</v>
      </c>
      <c r="E50" s="237" t="str">
        <f>MeasureInputsANDResults!F272</f>
        <v>7.7/13</v>
      </c>
      <c r="F50" s="237" t="str">
        <f>MeasureInputsANDResults!G272</f>
        <v>9.0/14</v>
      </c>
      <c r="G50" s="237" t="s">
        <v>311</v>
      </c>
      <c r="H50" s="237" t="str">
        <f t="shared" ref="H50:H52" si="5">C50&amp;" Upgrade - "&amp;E50&amp;" to "&amp;F50&amp;" - "&amp;G50</f>
        <v>HeatPump Upgrade - 7.7/13 to 9.0/14 - Heating Zone 1</v>
      </c>
      <c r="I50" s="284"/>
      <c r="J50" s="285"/>
      <c r="K50" s="284"/>
      <c r="L50" s="284"/>
      <c r="M50" s="328">
        <f>MeasureInputsANDResults!K218*inputWeightings!$B$21+MeasureInputsANDResults!N218*inputWeightings!$C$21+MeasureInputsANDResults!Q218*inputWeightings!$D$21+MeasureInputsANDResults!T218*inputWeightings!$E$21+MeasureInputsANDResults!W218*inputWeightings!$F$21</f>
        <v>665.49769480519456</v>
      </c>
      <c r="N50" s="329">
        <f>SUMPRODUCT(MeasureInputsANDResults!X218:AB218,inputWeightings!$B$34:$F$34)</f>
        <v>139.71938013428564</v>
      </c>
    </row>
    <row r="51" spans="1:14" ht="15">
      <c r="A51" s="273" t="str">
        <f>MeasureInputsANDResults!B273</f>
        <v>HeatP12</v>
      </c>
      <c r="B51" s="274" t="str">
        <f>MeasureInputsANDResults!C273</f>
        <v>HeatPump12</v>
      </c>
      <c r="C51" s="274" t="str">
        <f>MeasureInputsANDResults!D273</f>
        <v>HeatPump</v>
      </c>
      <c r="D51" s="274">
        <f>MeasureInputsANDResults!E273</f>
        <v>12</v>
      </c>
      <c r="E51" s="274" t="str">
        <f>MeasureInputsANDResults!F273</f>
        <v>7.7/13</v>
      </c>
      <c r="F51" s="274" t="str">
        <f>MeasureInputsANDResults!G273</f>
        <v>8.2/13</v>
      </c>
      <c r="G51" s="274" t="s">
        <v>311</v>
      </c>
      <c r="H51" s="274" t="str">
        <f t="shared" si="5"/>
        <v>HeatPump Upgrade - 7.7/13 to 8.2/13 - Heating Zone 1</v>
      </c>
      <c r="I51" s="286"/>
      <c r="J51" s="287"/>
      <c r="K51" s="286"/>
      <c r="L51" s="286"/>
      <c r="M51" s="330">
        <f>MeasureInputsANDResults!K219*inputWeightings!$B$21+MeasureInputsANDResults!N219*inputWeightings!$C$21+MeasureInputsANDResults!Q219*inputWeightings!$D$21+MeasureInputsANDResults!T219*inputWeightings!$E$21+MeasureInputsANDResults!W219*inputWeightings!$F$21</f>
        <v>313.82510943934028</v>
      </c>
      <c r="N51" s="329">
        <f>SUMPRODUCT(MeasureInputsANDResults!X219:AB219,inputWeightings!$B$34:$F$34)</f>
        <v>0</v>
      </c>
    </row>
    <row r="52" spans="1:14" ht="15.75" thickBot="1">
      <c r="A52" s="288" t="str">
        <f>MeasureInputsANDResults!B274</f>
        <v>HPCnt10</v>
      </c>
      <c r="B52" s="289" t="str">
        <f>MeasureInputsANDResults!C274</f>
        <v>HPCntrls10</v>
      </c>
      <c r="C52" s="289" t="str">
        <f>MeasureInputsANDResults!D274</f>
        <v>HPCntrls</v>
      </c>
      <c r="D52" s="289">
        <f>MeasureInputsANDResults!E274</f>
        <v>10</v>
      </c>
      <c r="E52" s="289" t="str">
        <f>MeasureInputsANDResults!F274</f>
        <v>Standard</v>
      </c>
      <c r="F52" s="289" t="str">
        <f>MeasureInputsANDResults!G274</f>
        <v>PTCS</v>
      </c>
      <c r="G52" s="289" t="s">
        <v>311</v>
      </c>
      <c r="H52" s="289" t="str">
        <f t="shared" si="5"/>
        <v>HPCntrls Upgrade - Standard to PTCS - Heating Zone 1</v>
      </c>
      <c r="I52" s="290"/>
      <c r="J52" s="291"/>
      <c r="K52" s="290"/>
      <c r="L52" s="290"/>
      <c r="M52" s="332">
        <f>MeasureInputsANDResults!K220*inputWeightings!$B$21+MeasureInputsANDResults!N220*inputWeightings!$C$21+MeasureInputsANDResults!Q220*inputWeightings!$D$21+MeasureInputsANDResults!T220*inputWeightings!$E$21+MeasureInputsANDResults!W220*inputWeightings!$F$21</f>
        <v>814.88431617647086</v>
      </c>
      <c r="N52" s="333">
        <f>SUMPRODUCT(MeasureInputsANDResults!X220:AB220,inputWeightings!B21:F21)</f>
        <v>-4.9397482949999683</v>
      </c>
    </row>
    <row r="53" spans="1:14" ht="15">
      <c r="A53" s="215" t="str">
        <f>A7</f>
        <v>Walls10</v>
      </c>
      <c r="B53" s="216" t="str">
        <f t="shared" ref="B53:F53" si="6">B7</f>
        <v>Walls10</v>
      </c>
      <c r="C53" s="216" t="str">
        <f t="shared" si="6"/>
        <v>Walls</v>
      </c>
      <c r="D53" s="216">
        <f t="shared" si="6"/>
        <v>10</v>
      </c>
      <c r="E53" s="216" t="str">
        <f t="shared" si="6"/>
        <v>R-0</v>
      </c>
      <c r="F53" s="216" t="str">
        <f t="shared" si="6"/>
        <v>R-11</v>
      </c>
      <c r="G53" s="217" t="s">
        <v>312</v>
      </c>
      <c r="H53" s="216" t="str">
        <f t="shared" ref="H53:H63" si="7">"Multi Family Weatherization - Insulate "&amp;C53&amp;" - "&amp;E53&amp;" to "&amp;F53&amp;" - "&amp;G53</f>
        <v>Multi Family Weatherization - Insulate Walls - R-0 to R-11 - Heating Zone 2</v>
      </c>
      <c r="I53" s="218">
        <f>SUMPRODUCT(MeasureInputsANDResults!I229:M229,inputWeightings!$B$22:$F$22)</f>
        <v>1.8471391035583458</v>
      </c>
      <c r="J53" s="219">
        <f>SUMPRODUCT(MeasureInputsANDResults!N229:R229,inputWeightings!$B$22:$F$22)</f>
        <v>6.6665041738030959E-5</v>
      </c>
      <c r="K53" s="218">
        <f>MeasureInputsANDResults!I175*inputWeightings!$B$22+MeasureInputsANDResults!L175*inputWeightings!$C$22+MeasureInputsANDResults!O175*inputWeightings!$D$22+MeasureInputsANDResults!R175*inputWeightings!$E$22+MeasureInputsANDResults!U175*inputWeightings!$F$22</f>
        <v>1.859176348801709</v>
      </c>
      <c r="L53" s="218">
        <f>MeasureInputsANDResults!J175*inputWeightings!$B$22+MeasureInputsANDResults!M175*inputWeightings!$C$22+MeasureInputsANDResults!P175*inputWeightings!$D$22+MeasureInputsANDResults!S175*inputWeightings!$E$22+MeasureInputsANDResults!V175*inputWeightings!$F$22</f>
        <v>1.8981031007016897</v>
      </c>
      <c r="M53" s="309">
        <f>MeasureInputsANDResults!K175*inputWeightings!$B$22+MeasureInputsANDResults!N175*inputWeightings!$C$22+MeasureInputsANDResults!Q175*inputWeightings!$D$22+MeasureInputsANDResults!T175*inputWeightings!$E$22+MeasureInputsANDResults!W175*inputWeightings!$F$22</f>
        <v>0.84140292947628281</v>
      </c>
      <c r="N53" s="310">
        <f>SUMPRODUCT(MeasureInputsANDResults!X175:AB175,inputWeightings!$B$35:$F$35)</f>
        <v>-6.1848477955718162E-3</v>
      </c>
    </row>
    <row r="54" spans="1:14" ht="15">
      <c r="A54" s="222" t="str">
        <f t="shared" ref="A54:F69" si="8">A8</f>
        <v>BGWal10</v>
      </c>
      <c r="B54" s="223" t="str">
        <f t="shared" si="8"/>
        <v>BGWalls10</v>
      </c>
      <c r="C54" s="223" t="str">
        <f t="shared" si="8"/>
        <v>BGWalls</v>
      </c>
      <c r="D54" s="223">
        <f t="shared" si="8"/>
        <v>10</v>
      </c>
      <c r="E54" s="223" t="str">
        <f t="shared" si="8"/>
        <v>R-0</v>
      </c>
      <c r="F54" s="223" t="str">
        <f t="shared" si="8"/>
        <v>R-11</v>
      </c>
      <c r="G54" s="224" t="s">
        <v>312</v>
      </c>
      <c r="H54" s="223" t="str">
        <f t="shared" si="7"/>
        <v>Multi Family Weatherization - Insulate BGWalls - R-0 to R-11 - Heating Zone 2</v>
      </c>
      <c r="I54" s="225">
        <f>SUMPRODUCT(MeasureInputsANDResults!I230:M230,inputWeightings!$B$22:$F$22)</f>
        <v>0</v>
      </c>
      <c r="J54" s="226">
        <f>SUMPRODUCT(MeasureInputsANDResults!N230:R230,inputWeightings!$B$22:$F$22)</f>
        <v>0</v>
      </c>
      <c r="K54" s="225">
        <f>MeasureInputsANDResults!I176*inputWeightings!$B$22+MeasureInputsANDResults!L176*inputWeightings!$C$22+MeasureInputsANDResults!O176*inputWeightings!$D$22+MeasureInputsANDResults!R176*inputWeightings!$E$22+MeasureInputsANDResults!U176*inputWeightings!$F$22</f>
        <v>0</v>
      </c>
      <c r="L54" s="225">
        <f>MeasureInputsANDResults!J176*inputWeightings!$B$22+MeasureInputsANDResults!M176*inputWeightings!$C$22+MeasureInputsANDResults!P176*inputWeightings!$D$22+MeasureInputsANDResults!S176*inputWeightings!$E$22+MeasureInputsANDResults!V176*inputWeightings!$F$22</f>
        <v>0</v>
      </c>
      <c r="M54" s="311">
        <f>MeasureInputsANDResults!K176*inputWeightings!$B$22+MeasureInputsANDResults!N176*inputWeightings!$C$22+MeasureInputsANDResults!Q176*inputWeightings!$D$22+MeasureInputsANDResults!T176*inputWeightings!$E$22+MeasureInputsANDResults!W176*inputWeightings!$F$22</f>
        <v>0</v>
      </c>
      <c r="N54" s="312">
        <f>SUMPRODUCT(MeasureInputsANDResults!X176:AB176,inputWeightings!$B$35:$F$35)</f>
        <v>0</v>
      </c>
    </row>
    <row r="55" spans="1:14" ht="15">
      <c r="A55" s="227" t="str">
        <f t="shared" si="8"/>
        <v>Floor10</v>
      </c>
      <c r="B55" s="228" t="str">
        <f t="shared" si="8"/>
        <v>Floors10</v>
      </c>
      <c r="C55" s="228" t="str">
        <f t="shared" si="8"/>
        <v>Floors</v>
      </c>
      <c r="D55" s="228">
        <f t="shared" si="8"/>
        <v>10</v>
      </c>
      <c r="E55" s="228" t="str">
        <f t="shared" si="8"/>
        <v>R-0</v>
      </c>
      <c r="F55" s="228" t="str">
        <f t="shared" si="8"/>
        <v>R-19</v>
      </c>
      <c r="G55" s="229" t="s">
        <v>312</v>
      </c>
      <c r="H55" s="228" t="str">
        <f t="shared" si="7"/>
        <v>Multi Family Weatherization - Insulate Floors - R-0 to R-19 - Heating Zone 2</v>
      </c>
      <c r="I55" s="230">
        <f>SUMPRODUCT(MeasureInputsANDResults!I231:M231,inputWeightings!$B$22:$F$22)</f>
        <v>0.75659771800754705</v>
      </c>
      <c r="J55" s="231">
        <f>SUMPRODUCT(MeasureInputsANDResults!N231:R231,inputWeightings!$B$22:$F$22)</f>
        <v>-8.4288292327183989E-3</v>
      </c>
      <c r="K55" s="230">
        <f>MeasureInputsANDResults!I177*inputWeightings!$B$22+MeasureInputsANDResults!L177*inputWeightings!$C$22+MeasureInputsANDResults!O177*inputWeightings!$D$22+MeasureInputsANDResults!R177*inputWeightings!$E$22+MeasureInputsANDResults!U177*inputWeightings!$F$22</f>
        <v>0.76270627381911749</v>
      </c>
      <c r="L55" s="230">
        <f>MeasureInputsANDResults!J177*inputWeightings!$B$22+MeasureInputsANDResults!M177*inputWeightings!$C$22+MeasureInputsANDResults!P177*inputWeightings!$D$22+MeasureInputsANDResults!S177*inputWeightings!$E$22+MeasureInputsANDResults!V177*inputWeightings!$F$22</f>
        <v>0.75266534716617617</v>
      </c>
      <c r="M55" s="313">
        <f>MeasureInputsANDResults!K177*inputWeightings!$B$22+MeasureInputsANDResults!N177*inputWeightings!$C$22+MeasureInputsANDResults!Q177*inputWeightings!$D$22+MeasureInputsANDResults!T177*inputWeightings!$E$22+MeasureInputsANDResults!W177*inputWeightings!$F$22</f>
        <v>0.30087221610569304</v>
      </c>
      <c r="N55" s="314">
        <f>SUMPRODUCT(MeasureInputsANDResults!X177:AB177,inputWeightings!$B$35:$F$35)</f>
        <v>-8.7799744784625683E-2</v>
      </c>
    </row>
    <row r="56" spans="1:14" ht="15">
      <c r="A56" s="236" t="str">
        <f t="shared" si="8"/>
        <v>Floor11</v>
      </c>
      <c r="B56" s="237" t="str">
        <f t="shared" si="8"/>
        <v>Floors11</v>
      </c>
      <c r="C56" s="237" t="str">
        <f t="shared" si="8"/>
        <v>Floors</v>
      </c>
      <c r="D56" s="237">
        <f t="shared" si="8"/>
        <v>11</v>
      </c>
      <c r="E56" s="237" t="str">
        <f t="shared" si="8"/>
        <v>R-0</v>
      </c>
      <c r="F56" s="237" t="str">
        <f t="shared" si="8"/>
        <v>R-25</v>
      </c>
      <c r="G56" s="238" t="s">
        <v>312</v>
      </c>
      <c r="H56" s="237" t="str">
        <f t="shared" si="7"/>
        <v>Multi Family Weatherization - Insulate Floors - R-0 to R-25 - Heating Zone 2</v>
      </c>
      <c r="I56" s="239">
        <f>SUMPRODUCT(MeasureInputsANDResults!I232:M232,inputWeightings!$B$22:$F$22)</f>
        <v>0.86886698664341477</v>
      </c>
      <c r="J56" s="240">
        <f>SUMPRODUCT(MeasureInputsANDResults!N232:R232,inputWeightings!$B$22:$F$22)</f>
        <v>-9.7798810619526971E-3</v>
      </c>
      <c r="K56" s="239">
        <f>MeasureInputsANDResults!I178*inputWeightings!$B$22+MeasureInputsANDResults!L178*inputWeightings!$C$22+MeasureInputsANDResults!O178*inputWeightings!$D$22+MeasureInputsANDResults!R178*inputWeightings!$E$22+MeasureInputsANDResults!U178*inputWeightings!$F$22</f>
        <v>0.87587266196684432</v>
      </c>
      <c r="L56" s="239">
        <f>MeasureInputsANDResults!J178*inputWeightings!$B$22+MeasureInputsANDResults!M178*inputWeightings!$C$22+MeasureInputsANDResults!P178*inputWeightings!$D$22+MeasureInputsANDResults!S178*inputWeightings!$E$22+MeasureInputsANDResults!V178*inputWeightings!$F$22</f>
        <v>0.86455560476123028</v>
      </c>
      <c r="M56" s="315">
        <f>MeasureInputsANDResults!K178*inputWeightings!$B$22+MeasureInputsANDResults!N178*inputWeightings!$C$22+MeasureInputsANDResults!Q178*inputWeightings!$D$22+MeasureInputsANDResults!T178*inputWeightings!$E$22+MeasureInputsANDResults!W178*inputWeightings!$F$22</f>
        <v>0.34584822271154431</v>
      </c>
      <c r="N56" s="316">
        <f>SUMPRODUCT(MeasureInputsANDResults!X178:AB178,inputWeightings!$B$35:$F$35)</f>
        <v>-0.10176093968556155</v>
      </c>
    </row>
    <row r="57" spans="1:14" ht="15">
      <c r="A57" s="227" t="str">
        <f t="shared" si="8"/>
        <v>Floor12</v>
      </c>
      <c r="B57" s="228" t="str">
        <f t="shared" si="8"/>
        <v>Floors12</v>
      </c>
      <c r="C57" s="228" t="str">
        <f t="shared" si="8"/>
        <v>Floors</v>
      </c>
      <c r="D57" s="228">
        <f t="shared" si="8"/>
        <v>12</v>
      </c>
      <c r="E57" s="228" t="str">
        <f t="shared" si="8"/>
        <v>R-0</v>
      </c>
      <c r="F57" s="228" t="str">
        <f t="shared" si="8"/>
        <v>R-30</v>
      </c>
      <c r="G57" s="229" t="s">
        <v>312</v>
      </c>
      <c r="H57" s="228" t="str">
        <f t="shared" si="7"/>
        <v>Multi Family Weatherization - Insulate Floors - R-0 to R-30 - Heating Zone 2</v>
      </c>
      <c r="I57" s="230">
        <f>SUMPRODUCT(MeasureInputsANDResults!I233:M233,inputWeightings!$B$22:$F$22)</f>
        <v>0.98754151664153544</v>
      </c>
      <c r="J57" s="231">
        <f>SUMPRODUCT(MeasureInputsANDResults!N233:R233,inputWeightings!$B$22:$F$22)</f>
        <v>-1.1236769422259785E-2</v>
      </c>
      <c r="K57" s="230">
        <f>MeasureInputsANDResults!I179*inputWeightings!$B$22+MeasureInputsANDResults!L179*inputWeightings!$C$22+MeasureInputsANDResults!O179*inputWeightings!$D$22+MeasureInputsANDResults!R179*inputWeightings!$E$22+MeasureInputsANDResults!U179*inputWeightings!$F$22</f>
        <v>0.99549709654184426</v>
      </c>
      <c r="L57" s="230">
        <f>MeasureInputsANDResults!J179*inputWeightings!$B$22+MeasureInputsANDResults!M179*inputWeightings!$C$22+MeasureInputsANDResults!P179*inputWeightings!$D$22+MeasureInputsANDResults!S179*inputWeightings!$E$22+MeasureInputsANDResults!V179*inputWeightings!$F$22</f>
        <v>0.98288373653569483</v>
      </c>
      <c r="M57" s="313">
        <f>MeasureInputsANDResults!K179*inputWeightings!$B$22+MeasureInputsANDResults!N179*inputWeightings!$C$22+MeasureInputsANDResults!Q179*inputWeightings!$D$22+MeasureInputsANDResults!T179*inputWeightings!$E$22+MeasureInputsANDResults!W179*inputWeightings!$F$22</f>
        <v>0.39316932997798054</v>
      </c>
      <c r="N57" s="314">
        <f>SUMPRODUCT(MeasureInputsANDResults!X179:AB179,inputWeightings!$B$35:$F$35)</f>
        <v>-0.11679539894251334</v>
      </c>
    </row>
    <row r="58" spans="1:14" ht="15">
      <c r="A58" s="236" t="str">
        <f t="shared" si="8"/>
        <v>Floor13</v>
      </c>
      <c r="B58" s="237" t="str">
        <f t="shared" si="8"/>
        <v>Floors13</v>
      </c>
      <c r="C58" s="237" t="str">
        <f t="shared" si="8"/>
        <v>Floors</v>
      </c>
      <c r="D58" s="237">
        <f t="shared" si="8"/>
        <v>13</v>
      </c>
      <c r="E58" s="237" t="str">
        <f t="shared" si="8"/>
        <v>R-0</v>
      </c>
      <c r="F58" s="237" t="str">
        <f t="shared" si="8"/>
        <v>R-38</v>
      </c>
      <c r="G58" s="238" t="s">
        <v>312</v>
      </c>
      <c r="H58" s="237" t="str">
        <f t="shared" si="7"/>
        <v>Multi Family Weatherization - Insulate Floors - R-0 to R-38 - Heating Zone 2</v>
      </c>
      <c r="I58" s="239">
        <f>SUMPRODUCT(MeasureInputsANDResults!I234:M234,inputWeightings!$B$22:$F$22)</f>
        <v>1.0191855749025427</v>
      </c>
      <c r="J58" s="240">
        <f>SUMPRODUCT(MeasureInputsANDResults!N234:R234,inputWeightings!$B$22:$F$22)</f>
        <v>-1.1630681065638594E-2</v>
      </c>
      <c r="K58" s="239">
        <f>MeasureInputsANDResults!I180*inputWeightings!$B$22+MeasureInputsANDResults!L180*inputWeightings!$C$22+MeasureInputsANDResults!O180*inputWeightings!$D$22+MeasureInputsANDResults!R180*inputWeightings!$E$22+MeasureInputsANDResults!U180*inputWeightings!$F$22</f>
        <v>1.0273941716431814</v>
      </c>
      <c r="L58" s="239">
        <f>MeasureInputsANDResults!J180*inputWeightings!$B$22+MeasureInputsANDResults!M180*inputWeightings!$C$22+MeasureInputsANDResults!P180*inputWeightings!$D$22+MeasureInputsANDResults!S180*inputWeightings!$E$22+MeasureInputsANDResults!V180*inputWeightings!$F$22</f>
        <v>1.0144421706398394</v>
      </c>
      <c r="M58" s="315">
        <f>MeasureInputsANDResults!K180*inputWeightings!$B$22+MeasureInputsANDResults!N180*inputWeightings!$C$22+MeasureInputsANDResults!Q180*inputWeightings!$D$22+MeasureInputsANDResults!T180*inputWeightings!$E$22+MeasureInputsANDResults!W180*inputWeightings!$F$22</f>
        <v>0.40579548600188736</v>
      </c>
      <c r="N58" s="316">
        <f>SUMPRODUCT(MeasureInputsANDResults!X180:AB180,inputWeightings!$B$35:$F$35)</f>
        <v>-0.12085605975187162</v>
      </c>
    </row>
    <row r="59" spans="1:14" ht="15">
      <c r="A59" s="236" t="str">
        <f t="shared" si="8"/>
        <v>Floor14</v>
      </c>
      <c r="B59" s="237" t="str">
        <f t="shared" si="8"/>
        <v>Floors14</v>
      </c>
      <c r="C59" s="237" t="str">
        <f t="shared" si="8"/>
        <v>Floors</v>
      </c>
      <c r="D59" s="237">
        <f t="shared" si="8"/>
        <v>14</v>
      </c>
      <c r="E59" s="237" t="str">
        <f t="shared" si="8"/>
        <v>R-19</v>
      </c>
      <c r="F59" s="237" t="str">
        <f t="shared" si="8"/>
        <v>R-25</v>
      </c>
      <c r="G59" s="238" t="s">
        <v>312</v>
      </c>
      <c r="H59" s="237" t="str">
        <f t="shared" si="7"/>
        <v>Multi Family Weatherization - Insulate Floors - R-19 to R-25 - Heating Zone 2</v>
      </c>
      <c r="I59" s="239">
        <f>SUMPRODUCT(MeasureInputsANDResults!I235:M235,inputWeightings!$B$22:$F$22)</f>
        <v>0.1122692686358677</v>
      </c>
      <c r="J59" s="240">
        <f>SUMPRODUCT(MeasureInputsANDResults!N235:R235,inputWeightings!$B$22:$F$22)</f>
        <v>-1.3510518292342987E-3</v>
      </c>
      <c r="K59" s="239">
        <f>MeasureInputsANDResults!I181*inputWeightings!$B$22+MeasureInputsANDResults!L181*inputWeightings!$C$22+MeasureInputsANDResults!O181*inputWeightings!$D$22+MeasureInputsANDResults!R181*inputWeightings!$E$22+MeasureInputsANDResults!U181*inputWeightings!$F$22</f>
        <v>0.11316638814772687</v>
      </c>
      <c r="L59" s="239">
        <f>MeasureInputsANDResults!J181*inputWeightings!$B$22+MeasureInputsANDResults!M181*inputWeightings!$C$22+MeasureInputsANDResults!P181*inputWeightings!$D$22+MeasureInputsANDResults!S181*inputWeightings!$E$22+MeasureInputsANDResults!V181*inputWeightings!$F$22</f>
        <v>0.11189025759505392</v>
      </c>
      <c r="M59" s="315">
        <f>MeasureInputsANDResults!K181*inputWeightings!$B$22+MeasureInputsANDResults!N181*inputWeightings!$C$22+MeasureInputsANDResults!Q181*inputWeightings!$D$22+MeasureInputsANDResults!T181*inputWeightings!$E$22+MeasureInputsANDResults!W181*inputWeightings!$F$22</f>
        <v>4.4976006605851299E-2</v>
      </c>
      <c r="N59" s="316">
        <f>SUMPRODUCT(MeasureInputsANDResults!X181:AB181,inputWeightings!$B$35:$F$35)</f>
        <v>-1.3961194900935866E-2</v>
      </c>
    </row>
    <row r="60" spans="1:14" ht="15">
      <c r="A60" s="227" t="str">
        <f t="shared" si="8"/>
        <v>Floor15</v>
      </c>
      <c r="B60" s="228" t="str">
        <f t="shared" si="8"/>
        <v>Floors15</v>
      </c>
      <c r="C60" s="228" t="str">
        <f t="shared" si="8"/>
        <v>Floors</v>
      </c>
      <c r="D60" s="228">
        <f t="shared" si="8"/>
        <v>15</v>
      </c>
      <c r="E60" s="228" t="str">
        <f t="shared" si="8"/>
        <v>R-19</v>
      </c>
      <c r="F60" s="228" t="str">
        <f t="shared" si="8"/>
        <v>R-30</v>
      </c>
      <c r="G60" s="229" t="s">
        <v>312</v>
      </c>
      <c r="H60" s="228" t="str">
        <f t="shared" si="7"/>
        <v>Multi Family Weatherization - Insulate Floors - R-19 to R-30 - Heating Zone 2</v>
      </c>
      <c r="I60" s="230">
        <f>SUMPRODUCT(MeasureInputsANDResults!I236:M236,inputWeightings!$B$22:$F$22)</f>
        <v>0.23094379863398856</v>
      </c>
      <c r="J60" s="231">
        <f>SUMPRODUCT(MeasureInputsANDResults!N236:R236,inputWeightings!$B$22:$F$22)</f>
        <v>-2.8079401895413866E-3</v>
      </c>
      <c r="K60" s="230">
        <f>MeasureInputsANDResults!I182*inputWeightings!$B$22+MeasureInputsANDResults!L182*inputWeightings!$C$22+MeasureInputsANDResults!O182*inputWeightings!$D$22+MeasureInputsANDResults!R182*inputWeightings!$E$22+MeasureInputsANDResults!U182*inputWeightings!$F$22</f>
        <v>0.23279082272272686</v>
      </c>
      <c r="L60" s="230">
        <f>MeasureInputsANDResults!J182*inputWeightings!$B$22+MeasureInputsANDResults!M182*inputWeightings!$C$22+MeasureInputsANDResults!P182*inputWeightings!$D$22+MeasureInputsANDResults!S182*inputWeightings!$E$22+MeasureInputsANDResults!V182*inputWeightings!$F$22</f>
        <v>0.23021838936951838</v>
      </c>
      <c r="M60" s="313">
        <f>MeasureInputsANDResults!K182*inputWeightings!$B$22+MeasureInputsANDResults!N182*inputWeightings!$C$22+MeasureInputsANDResults!Q182*inputWeightings!$D$22+MeasureInputsANDResults!T182*inputWeightings!$E$22+MeasureInputsANDResults!W182*inputWeightings!$F$22</f>
        <v>9.2297113872287423E-2</v>
      </c>
      <c r="N60" s="314">
        <f>SUMPRODUCT(MeasureInputsANDResults!X182:AB182,inputWeightings!$B$35:$F$35)</f>
        <v>-2.8995654157887654E-2</v>
      </c>
    </row>
    <row r="61" spans="1:14" ht="15">
      <c r="A61" s="236" t="str">
        <f t="shared" si="8"/>
        <v>Floor16</v>
      </c>
      <c r="B61" s="237" t="str">
        <f t="shared" si="8"/>
        <v>Floors16</v>
      </c>
      <c r="C61" s="237" t="str">
        <f t="shared" si="8"/>
        <v>Floors</v>
      </c>
      <c r="D61" s="237">
        <f t="shared" si="8"/>
        <v>16</v>
      </c>
      <c r="E61" s="237" t="str">
        <f t="shared" si="8"/>
        <v>R-19</v>
      </c>
      <c r="F61" s="237" t="str">
        <f t="shared" si="8"/>
        <v>R-38</v>
      </c>
      <c r="G61" s="238" t="s">
        <v>312</v>
      </c>
      <c r="H61" s="237" t="str">
        <f t="shared" si="7"/>
        <v>Multi Family Weatherization - Insulate Floors - R-19 to R-38 - Heating Zone 2</v>
      </c>
      <c r="I61" s="239">
        <f>SUMPRODUCT(MeasureInputsANDResults!I237:M237,inputWeightings!$B$22:$F$22)</f>
        <v>0.26258785689499553</v>
      </c>
      <c r="J61" s="240">
        <f>SUMPRODUCT(MeasureInputsANDResults!N237:R237,inputWeightings!$B$22:$F$22)</f>
        <v>-3.2018518329201945E-3</v>
      </c>
      <c r="K61" s="239">
        <f>MeasureInputsANDResults!I183*inputWeightings!$B$22+MeasureInputsANDResults!L183*inputWeightings!$C$22+MeasureInputsANDResults!O183*inputWeightings!$D$22+MeasureInputsANDResults!R183*inputWeightings!$E$22+MeasureInputsANDResults!U183*inputWeightings!$F$22</f>
        <v>0.2646878978240636</v>
      </c>
      <c r="L61" s="239">
        <f>MeasureInputsANDResults!J183*inputWeightings!$B$22+MeasureInputsANDResults!M183*inputWeightings!$C$22+MeasureInputsANDResults!P183*inputWeightings!$D$22+MeasureInputsANDResults!S183*inputWeightings!$E$22+MeasureInputsANDResults!V183*inputWeightings!$F$22</f>
        <v>0.26177682347366316</v>
      </c>
      <c r="M61" s="315">
        <f>MeasureInputsANDResults!K183*inputWeightings!$B$22+MeasureInputsANDResults!N183*inputWeightings!$C$22+MeasureInputsANDResults!Q183*inputWeightings!$D$22+MeasureInputsANDResults!T183*inputWeightings!$E$22+MeasureInputsANDResults!W183*inputWeightings!$F$22</f>
        <v>0.10492326989619437</v>
      </c>
      <c r="N61" s="316">
        <f>SUMPRODUCT(MeasureInputsANDResults!X183:AB183,inputWeightings!$B$35:$F$35)</f>
        <v>-3.3056314967245932E-2</v>
      </c>
    </row>
    <row r="62" spans="1:14" ht="15">
      <c r="A62" s="236" t="str">
        <f t="shared" si="8"/>
        <v>Floor17</v>
      </c>
      <c r="B62" s="237" t="str">
        <f t="shared" si="8"/>
        <v>Floors17</v>
      </c>
      <c r="C62" s="237" t="str">
        <f t="shared" si="8"/>
        <v>Floors</v>
      </c>
      <c r="D62" s="237">
        <f t="shared" si="8"/>
        <v>17</v>
      </c>
      <c r="E62" s="237" t="str">
        <f t="shared" si="8"/>
        <v>R-11</v>
      </c>
      <c r="F62" s="237" t="str">
        <f t="shared" si="8"/>
        <v>R-30</v>
      </c>
      <c r="G62" s="238" t="s">
        <v>312</v>
      </c>
      <c r="H62" s="237" t="str">
        <f t="shared" si="7"/>
        <v>Multi Family Weatherization - Insulate Floors - R-11 to R-30 - Heating Zone 2</v>
      </c>
      <c r="I62" s="239">
        <f>SUMPRODUCT(MeasureInputsANDResults!I238:M238,inputWeightings!$B$22:$F$22)</f>
        <v>2.1749172813621627</v>
      </c>
      <c r="J62" s="240">
        <f>SUMPRODUCT(MeasureInputsANDResults!N238:R238,inputWeightings!$B$22:$F$22)</f>
        <v>-2.2349939484283422E-2</v>
      </c>
      <c r="K62" s="239">
        <f>MeasureInputsANDResults!I184*inputWeightings!$B$22+MeasureInputsANDResults!L184*inputWeightings!$C$22+MeasureInputsANDResults!O184*inputWeightings!$D$22+MeasureInputsANDResults!R184*inputWeightings!$E$22+MeasureInputsANDResults!U184*inputWeightings!$F$22</f>
        <v>2.1925980571217916</v>
      </c>
      <c r="L62" s="239">
        <f>MeasureInputsANDResults!J184*inputWeightings!$B$22+MeasureInputsANDResults!M184*inputWeightings!$C$22+MeasureInputsANDResults!P184*inputWeightings!$D$22+MeasureInputsANDResults!S184*inputWeightings!$E$22+MeasureInputsANDResults!V184*inputWeightings!$F$22</f>
        <v>2.1587777960946517</v>
      </c>
      <c r="M62" s="315">
        <f>MeasureInputsANDResults!K184*inputWeightings!$B$22+MeasureInputsANDResults!N184*inputWeightings!$C$22+MeasureInputsANDResults!Q184*inputWeightings!$D$22+MeasureInputsANDResults!T184*inputWeightings!$E$22+MeasureInputsANDResults!W184*inputWeightings!$F$22</f>
        <v>0.86457984429065726</v>
      </c>
      <c r="N62" s="316">
        <f>SUMPRODUCT(MeasureInputsANDResults!X184:AB184,inputWeightings!$B$35:$F$35)</f>
        <v>-0.23462567023917102</v>
      </c>
    </row>
    <row r="63" spans="1:14" ht="15">
      <c r="A63" s="236" t="str">
        <f t="shared" si="8"/>
        <v>Floor18</v>
      </c>
      <c r="B63" s="237" t="str">
        <f t="shared" si="8"/>
        <v>Floors18</v>
      </c>
      <c r="C63" s="237" t="str">
        <f t="shared" si="8"/>
        <v>Floors</v>
      </c>
      <c r="D63" s="237">
        <f t="shared" si="8"/>
        <v>18</v>
      </c>
      <c r="E63" s="237" t="str">
        <f t="shared" si="8"/>
        <v>R-0</v>
      </c>
      <c r="F63" s="237" t="str">
        <f t="shared" si="8"/>
        <v>R-19</v>
      </c>
      <c r="G63" s="238" t="s">
        <v>312</v>
      </c>
      <c r="H63" s="237" t="str">
        <f t="shared" si="7"/>
        <v>Multi Family Weatherization - Insulate Floors - R-0 to R-19 - Heating Zone 2</v>
      </c>
      <c r="I63" s="239">
        <f>SUMPRODUCT(MeasureInputsANDResults!I239:M239,inputWeightings!$B$22:$F$22)</f>
        <v>0.75659771800754705</v>
      </c>
      <c r="J63" s="240">
        <f>SUMPRODUCT(MeasureInputsANDResults!N239:R239,inputWeightings!$B$22:$F$22)</f>
        <v>-8.4288292327183989E-3</v>
      </c>
      <c r="K63" s="239">
        <f>MeasureInputsANDResults!I185*inputWeightings!$B$22+MeasureInputsANDResults!L185*inputWeightings!$C$22+MeasureInputsANDResults!O185*inputWeightings!$D$22+MeasureInputsANDResults!R185*inputWeightings!$E$22+MeasureInputsANDResults!U185*inputWeightings!$F$22</f>
        <v>0.76270627381911749</v>
      </c>
      <c r="L63" s="239">
        <f>MeasureInputsANDResults!J185*inputWeightings!$B$22+MeasureInputsANDResults!M185*inputWeightings!$C$22+MeasureInputsANDResults!P185*inputWeightings!$D$22+MeasureInputsANDResults!S185*inputWeightings!$E$22+MeasureInputsANDResults!V185*inputWeightings!$F$22</f>
        <v>0.75266534716617617</v>
      </c>
      <c r="M63" s="315">
        <f>MeasureInputsANDResults!K185*inputWeightings!$B$22+MeasureInputsANDResults!N185*inputWeightings!$C$22+MeasureInputsANDResults!Q185*inputWeightings!$D$22+MeasureInputsANDResults!T185*inputWeightings!$E$22+MeasureInputsANDResults!W185*inputWeightings!$F$22</f>
        <v>0.30087221610569304</v>
      </c>
      <c r="N63" s="316">
        <f>SUMPRODUCT(MeasureInputsANDResults!X185:AB185,inputWeightings!$B$35:$F$35)</f>
        <v>-8.7799744784625683E-2</v>
      </c>
    </row>
    <row r="64" spans="1:14" ht="15">
      <c r="A64" s="263" t="str">
        <f t="shared" si="8"/>
        <v>Ceili10</v>
      </c>
      <c r="B64" s="264" t="str">
        <f t="shared" si="8"/>
        <v>Ceiling10</v>
      </c>
      <c r="C64" s="264" t="str">
        <f t="shared" si="8"/>
        <v>Ceiling</v>
      </c>
      <c r="D64" s="264">
        <f t="shared" si="8"/>
        <v>10</v>
      </c>
      <c r="E64" s="264" t="str">
        <f t="shared" si="8"/>
        <v>R-0</v>
      </c>
      <c r="F64" s="264" t="str">
        <f t="shared" si="8"/>
        <v>R-19</v>
      </c>
      <c r="G64" s="265" t="s">
        <v>312</v>
      </c>
      <c r="H64" s="264" t="str">
        <f t="shared" ref="H64:H72" si="9">"Multi Family Weatherization - Insulate Attic - "&amp;E64&amp;" to "&amp;F64&amp;" - "&amp;G64</f>
        <v>Multi Family Weatherization - Insulate Attic - R-0 to R-19 - Heating Zone 2</v>
      </c>
      <c r="I64" s="266">
        <f>SUMPRODUCT(MeasureInputsANDResults!I240:M240,inputWeightings!$B$22:$F$22)</f>
        <v>0.47960203660850631</v>
      </c>
      <c r="J64" s="267">
        <f>SUMPRODUCT(MeasureInputsANDResults!N240:R240,inputWeightings!$B$22:$F$22)</f>
        <v>9.7284950845621908E-3</v>
      </c>
      <c r="K64" s="266">
        <f>MeasureInputsANDResults!I186*inputWeightings!$B$22+MeasureInputsANDResults!L186*inputWeightings!$C$22+MeasureInputsANDResults!O186*inputWeightings!$D$22+MeasureInputsANDResults!R186*inputWeightings!$E$22+MeasureInputsANDResults!U186*inputWeightings!$F$22</f>
        <v>0.48317606585602269</v>
      </c>
      <c r="L64" s="266">
        <f>MeasureInputsANDResults!J186*inputWeightings!$B$22+MeasureInputsANDResults!M186*inputWeightings!$C$22+MeasureInputsANDResults!P186*inputWeightings!$D$22+MeasureInputsANDResults!S186*inputWeightings!$E$22+MeasureInputsANDResults!V186*inputWeightings!$F$22</f>
        <v>0.49483889284306926</v>
      </c>
      <c r="M64" s="317">
        <f>MeasureInputsANDResults!K186*inputWeightings!$B$22+MeasureInputsANDResults!N186*inputWeightings!$C$22+MeasureInputsANDResults!Q186*inputWeightings!$D$22+MeasureInputsANDResults!T186*inputWeightings!$E$22+MeasureInputsANDResults!W186*inputWeightings!$F$22</f>
        <v>0.18079219919786124</v>
      </c>
      <c r="N64" s="318">
        <f>SUMPRODUCT(MeasureInputsANDResults!X186:AB186,inputWeightings!$B$35:$F$35)</f>
        <v>9.1419631587727229E-2</v>
      </c>
    </row>
    <row r="65" spans="1:14" ht="15">
      <c r="A65" s="227" t="str">
        <f t="shared" si="8"/>
        <v>Ceili11</v>
      </c>
      <c r="B65" s="228" t="str">
        <f t="shared" si="8"/>
        <v>Ceiling11</v>
      </c>
      <c r="C65" s="228" t="str">
        <f t="shared" si="8"/>
        <v>Ceiling</v>
      </c>
      <c r="D65" s="228">
        <f t="shared" si="8"/>
        <v>11</v>
      </c>
      <c r="E65" s="228" t="str">
        <f t="shared" si="8"/>
        <v>R-0</v>
      </c>
      <c r="F65" s="228" t="str">
        <f t="shared" si="8"/>
        <v>R-38</v>
      </c>
      <c r="G65" s="229" t="s">
        <v>312</v>
      </c>
      <c r="H65" s="228" t="str">
        <f t="shared" si="9"/>
        <v>Multi Family Weatherization - Insulate Attic - R-0 to R-38 - Heating Zone 2</v>
      </c>
      <c r="I65" s="230">
        <f>SUMPRODUCT(MeasureInputsANDResults!I241:M241,inputWeightings!$B$22:$F$22)</f>
        <v>0.65455374024458046</v>
      </c>
      <c r="J65" s="231">
        <f>SUMPRODUCT(MeasureInputsANDResults!N241:R241,inputWeightings!$B$22:$F$22)</f>
        <v>1.3344024847129064E-2</v>
      </c>
      <c r="K65" s="230">
        <f>MeasureInputsANDResults!I187*inputWeightings!$B$22+MeasureInputsANDResults!L187*inputWeightings!$C$22+MeasureInputsANDResults!O187*inputWeightings!$D$22+MeasureInputsANDResults!R187*inputWeightings!$E$22+MeasureInputsANDResults!U187*inputWeightings!$F$22</f>
        <v>0.65943074865693219</v>
      </c>
      <c r="L65" s="230">
        <f>MeasureInputsANDResults!J187*inputWeightings!$B$22+MeasureInputsANDResults!M187*inputWeightings!$C$22+MeasureInputsANDResults!P187*inputWeightings!$D$22+MeasureInputsANDResults!S187*inputWeightings!$E$22+MeasureInputsANDResults!V187*inputWeightings!$F$22</f>
        <v>0.67533067136511449</v>
      </c>
      <c r="M65" s="313">
        <f>MeasureInputsANDResults!K187*inputWeightings!$B$22+MeasureInputsANDResults!N187*inputWeightings!$C$22+MeasureInputsANDResults!Q187*inputWeightings!$D$22+MeasureInputsANDResults!T187*inputWeightings!$E$22+MeasureInputsANDResults!W187*inputWeightings!$F$22</f>
        <v>0.24683435160427808</v>
      </c>
      <c r="N65" s="314">
        <f>SUMPRODUCT(MeasureInputsANDResults!X187:AB187,inputWeightings!$B$35:$F$35)</f>
        <v>0.12539089095068176</v>
      </c>
    </row>
    <row r="66" spans="1:14" ht="15">
      <c r="A66" s="227" t="str">
        <f t="shared" si="8"/>
        <v>Ceili12</v>
      </c>
      <c r="B66" s="228" t="str">
        <f t="shared" si="8"/>
        <v>Ceiling12</v>
      </c>
      <c r="C66" s="228" t="str">
        <f t="shared" si="8"/>
        <v>Ceiling</v>
      </c>
      <c r="D66" s="228">
        <f t="shared" si="8"/>
        <v>12</v>
      </c>
      <c r="E66" s="228" t="str">
        <f t="shared" si="8"/>
        <v>R-0</v>
      </c>
      <c r="F66" s="228" t="str">
        <f t="shared" si="8"/>
        <v>R-49</v>
      </c>
      <c r="G66" s="229" t="s">
        <v>312</v>
      </c>
      <c r="H66" s="228" t="str">
        <f t="shared" si="9"/>
        <v>Multi Family Weatherization - Insulate Attic - R-0 to R-49 - Heating Zone 2</v>
      </c>
      <c r="I66" s="230">
        <f>SUMPRODUCT(MeasureInputsANDResults!I242:M242,inputWeightings!$B$22:$F$22)</f>
        <v>0.69519458994019745</v>
      </c>
      <c r="J66" s="231">
        <f>SUMPRODUCT(MeasureInputsANDResults!N242:R242,inputWeightings!$B$22:$F$22)</f>
        <v>1.4192162180539189E-2</v>
      </c>
      <c r="K66" s="230">
        <f>MeasureInputsANDResults!I188*inputWeightings!$B$22+MeasureInputsANDResults!L188*inputWeightings!$C$22+MeasureInputsANDResults!O188*inputWeightings!$D$22+MeasureInputsANDResults!R188*inputWeightings!$E$22+MeasureInputsANDResults!U188*inputWeightings!$F$22</f>
        <v>0.70037432234965902</v>
      </c>
      <c r="L66" s="230">
        <f>MeasureInputsANDResults!J188*inputWeightings!$B$22+MeasureInputsANDResults!M188*inputWeightings!$C$22+MeasureInputsANDResults!P188*inputWeightings!$D$22+MeasureInputsANDResults!S188*inputWeightings!$E$22+MeasureInputsANDResults!V188*inputWeightings!$F$22</f>
        <v>0.71725835006113703</v>
      </c>
      <c r="M66" s="313">
        <f>MeasureInputsANDResults!K188*inputWeightings!$B$22+MeasureInputsANDResults!N188*inputWeightings!$C$22+MeasureInputsANDResults!Q188*inputWeightings!$D$22+MeasureInputsANDResults!T188*inputWeightings!$E$22+MeasureInputsANDResults!W188*inputWeightings!$F$22</f>
        <v>0.26217257352941159</v>
      </c>
      <c r="N66" s="314">
        <f>SUMPRODUCT(MeasureInputsANDResults!X188:AB188,inputWeightings!$B$35:$F$35)</f>
        <v>0.13335498068818183</v>
      </c>
    </row>
    <row r="67" spans="1:14" ht="15">
      <c r="A67" s="227" t="str">
        <f t="shared" si="8"/>
        <v>Ceili13</v>
      </c>
      <c r="B67" s="228" t="str">
        <f t="shared" si="8"/>
        <v>Ceiling13</v>
      </c>
      <c r="C67" s="228" t="str">
        <f t="shared" si="8"/>
        <v>Ceiling</v>
      </c>
      <c r="D67" s="228">
        <f t="shared" si="8"/>
        <v>13</v>
      </c>
      <c r="E67" s="228" t="str">
        <f t="shared" si="8"/>
        <v>R-30</v>
      </c>
      <c r="F67" s="228" t="str">
        <f t="shared" si="8"/>
        <v>R-38</v>
      </c>
      <c r="G67" s="229" t="s">
        <v>312</v>
      </c>
      <c r="H67" s="228" t="str">
        <f t="shared" si="9"/>
        <v>Multi Family Weatherization - Insulate Attic - R-30 to R-38 - Heating Zone 2</v>
      </c>
      <c r="I67" s="230">
        <f>SUMPRODUCT(MeasureInputsANDResults!I243:M243,inputWeightings!$B$22:$F$22)</f>
        <v>4.8215426803049716E-2</v>
      </c>
      <c r="J67" s="231">
        <f>SUMPRODUCT(MeasureInputsANDResults!N243:R243,inputWeightings!$B$22:$F$22)</f>
        <v>1.001818086455429E-3</v>
      </c>
      <c r="K67" s="230">
        <f>MeasureInputsANDResults!I189*inputWeightings!$B$22+MeasureInputsANDResults!L189*inputWeightings!$C$22+MeasureInputsANDResults!O189*inputWeightings!$D$22+MeasureInputsANDResults!R189*inputWeightings!$E$22+MeasureInputsANDResults!U189*inputWeightings!$F$22</f>
        <v>4.8575276758636633E-2</v>
      </c>
      <c r="L67" s="230">
        <f>MeasureInputsANDResults!J189*inputWeightings!$B$22+MeasureInputsANDResults!M189*inputWeightings!$C$22+MeasureInputsANDResults!P189*inputWeightings!$D$22+MeasureInputsANDResults!S189*inputWeightings!$E$22+MeasureInputsANDResults!V189*inputWeightings!$F$22</f>
        <v>4.9742969509886548E-2</v>
      </c>
      <c r="M67" s="313">
        <f>MeasureInputsANDResults!K189*inputWeightings!$B$22+MeasureInputsANDResults!N189*inputWeightings!$C$22+MeasureInputsANDResults!Q189*inputWeightings!$D$22+MeasureInputsANDResults!T189*inputWeightings!$E$22+MeasureInputsANDResults!W189*inputWeightings!$F$22</f>
        <v>1.8141918449197603E-2</v>
      </c>
      <c r="N67" s="314">
        <f>SUMPRODUCT(MeasureInputsANDResults!X189:AB189,inputWeightings!$B$35:$F$35)</f>
        <v>9.4101309119318157E-3</v>
      </c>
    </row>
    <row r="68" spans="1:14" ht="15">
      <c r="A68" s="227" t="str">
        <f t="shared" si="8"/>
        <v>Ceili14</v>
      </c>
      <c r="B68" s="228" t="str">
        <f t="shared" si="8"/>
        <v>Ceiling14</v>
      </c>
      <c r="C68" s="228" t="str">
        <f t="shared" si="8"/>
        <v>Ceiling</v>
      </c>
      <c r="D68" s="228">
        <f t="shared" si="8"/>
        <v>14</v>
      </c>
      <c r="E68" s="228" t="str">
        <f t="shared" si="8"/>
        <v>R-30</v>
      </c>
      <c r="F68" s="228" t="str">
        <f t="shared" si="8"/>
        <v>R-49</v>
      </c>
      <c r="G68" s="229" t="s">
        <v>312</v>
      </c>
      <c r="H68" s="228" t="str">
        <f t="shared" si="9"/>
        <v>Multi Family Weatherization - Insulate Attic - R-30 to R-49 - Heating Zone 2</v>
      </c>
      <c r="I68" s="230">
        <f>SUMPRODUCT(MeasureInputsANDResults!I244:M244,inputWeightings!$B$22:$F$22)</f>
        <v>8.8856276498666564E-2</v>
      </c>
      <c r="J68" s="231">
        <f>SUMPRODUCT(MeasureInputsANDResults!N244:R244,inputWeightings!$B$22:$F$22)</f>
        <v>1.8499554198655511E-3</v>
      </c>
      <c r="K68" s="230">
        <f>MeasureInputsANDResults!I190*inputWeightings!$B$22+MeasureInputsANDResults!L190*inputWeightings!$C$22+MeasureInputsANDResults!O190*inputWeightings!$D$22+MeasureInputsANDResults!R190*inputWeightings!$E$22+MeasureInputsANDResults!U190*inputWeightings!$F$22</f>
        <v>8.951885045136343E-2</v>
      </c>
      <c r="L68" s="230">
        <f>MeasureInputsANDResults!J190*inputWeightings!$B$22+MeasureInputsANDResults!M190*inputWeightings!$C$22+MeasureInputsANDResults!P190*inputWeightings!$D$22+MeasureInputsANDResults!S190*inputWeightings!$E$22+MeasureInputsANDResults!V190*inputWeightings!$F$22</f>
        <v>9.1670648205909117E-2</v>
      </c>
      <c r="M68" s="313">
        <f>MeasureInputsANDResults!K190*inputWeightings!$B$22+MeasureInputsANDResults!N190*inputWeightings!$C$22+MeasureInputsANDResults!Q190*inputWeightings!$D$22+MeasureInputsANDResults!T190*inputWeightings!$E$22+MeasureInputsANDResults!W190*inputWeightings!$F$22</f>
        <v>3.3480140374331148E-2</v>
      </c>
      <c r="N68" s="314">
        <f>SUMPRODUCT(MeasureInputsANDResults!X190:AB190,inputWeightings!$B$35:$F$35)</f>
        <v>1.7374220649431851E-2</v>
      </c>
    </row>
    <row r="69" spans="1:14" ht="15">
      <c r="A69" s="236" t="str">
        <f t="shared" si="8"/>
        <v>Ceili15</v>
      </c>
      <c r="B69" s="237" t="str">
        <f t="shared" si="8"/>
        <v>Ceiling15</v>
      </c>
      <c r="C69" s="237" t="str">
        <f t="shared" si="8"/>
        <v>Ceiling</v>
      </c>
      <c r="D69" s="237">
        <f t="shared" si="8"/>
        <v>15</v>
      </c>
      <c r="E69" s="237" t="str">
        <f t="shared" si="8"/>
        <v>R-19</v>
      </c>
      <c r="F69" s="237" t="str">
        <f t="shared" si="8"/>
        <v>R-30</v>
      </c>
      <c r="G69" s="238" t="s">
        <v>312</v>
      </c>
      <c r="H69" s="237" t="str">
        <f t="shared" si="9"/>
        <v>Multi Family Weatherization - Insulate Attic - R-19 to R-30 - Heating Zone 2</v>
      </c>
      <c r="I69" s="239">
        <f>SUMPRODUCT(MeasureInputsANDResults!I245:M245,inputWeightings!$B$22:$F$22)</f>
        <v>0.12673627683302449</v>
      </c>
      <c r="J69" s="240">
        <f>SUMPRODUCT(MeasureInputsANDResults!N245:R245,inputWeightings!$B$22:$F$22)</f>
        <v>2.6137116761114454E-3</v>
      </c>
      <c r="K69" s="239">
        <f>MeasureInputsANDResults!I191*inputWeightings!$B$22+MeasureInputsANDResults!L191*inputWeightings!$C$22+MeasureInputsANDResults!O191*inputWeightings!$D$22+MeasureInputsANDResults!R191*inputWeightings!$E$22+MeasureInputsANDResults!U191*inputWeightings!$F$22</f>
        <v>0.12767940604227285</v>
      </c>
      <c r="L69" s="239">
        <f>MeasureInputsANDResults!J191*inputWeightings!$B$22+MeasureInputsANDResults!M191*inputWeightings!$C$22+MeasureInputsANDResults!P191*inputWeightings!$D$22+MeasureInputsANDResults!S191*inputWeightings!$E$22+MeasureInputsANDResults!V191*inputWeightings!$F$22</f>
        <v>0.13074880901215871</v>
      </c>
      <c r="M69" s="315">
        <f>MeasureInputsANDResults!K191*inputWeightings!$B$22+MeasureInputsANDResults!N191*inputWeightings!$C$22+MeasureInputsANDResults!Q191*inputWeightings!$D$22+MeasureInputsANDResults!T191*inputWeightings!$E$22+MeasureInputsANDResults!W191*inputWeightings!$F$22</f>
        <v>4.7900233957219172E-2</v>
      </c>
      <c r="N69" s="316">
        <f>SUMPRODUCT(MeasureInputsANDResults!X191:AB191,inputWeightings!$B$35:$F$35)</f>
        <v>2.4561128451022738E-2</v>
      </c>
    </row>
    <row r="70" spans="1:14" ht="15">
      <c r="A70" s="227" t="str">
        <f t="shared" ref="A70:F85" si="10">A24</f>
        <v>Ceili16</v>
      </c>
      <c r="B70" s="228" t="str">
        <f t="shared" si="10"/>
        <v>Ceiling16</v>
      </c>
      <c r="C70" s="228" t="str">
        <f t="shared" si="10"/>
        <v>Ceiling</v>
      </c>
      <c r="D70" s="228">
        <f t="shared" si="10"/>
        <v>16</v>
      </c>
      <c r="E70" s="228" t="str">
        <f t="shared" si="10"/>
        <v>R-19</v>
      </c>
      <c r="F70" s="228" t="str">
        <f t="shared" si="10"/>
        <v>R-38</v>
      </c>
      <c r="G70" s="229" t="s">
        <v>312</v>
      </c>
      <c r="H70" s="228" t="str">
        <f t="shared" si="9"/>
        <v>Multi Family Weatherization - Insulate Attic - R-19 to R-38 - Heating Zone 2</v>
      </c>
      <c r="I70" s="230">
        <f>SUMPRODUCT(MeasureInputsANDResults!I246:M246,inputWeightings!$B$22:$F$22)</f>
        <v>0.17495170363607421</v>
      </c>
      <c r="J70" s="231">
        <f>SUMPRODUCT(MeasureInputsANDResults!N246:R246,inputWeightings!$B$22:$F$22)</f>
        <v>3.6155297625668752E-3</v>
      </c>
      <c r="K70" s="230">
        <f>MeasureInputsANDResults!I192*inputWeightings!$B$22+MeasureInputsANDResults!L192*inputWeightings!$C$22+MeasureInputsANDResults!O192*inputWeightings!$D$22+MeasureInputsANDResults!R192*inputWeightings!$E$22+MeasureInputsANDResults!U192*inputWeightings!$F$22</f>
        <v>0.17625468280090947</v>
      </c>
      <c r="L70" s="230">
        <f>MeasureInputsANDResults!J192*inputWeightings!$B$22+MeasureInputsANDResults!M192*inputWeightings!$C$22+MeasureInputsANDResults!P192*inputWeightings!$D$22+MeasureInputsANDResults!S192*inputWeightings!$E$22+MeasureInputsANDResults!V192*inputWeightings!$F$22</f>
        <v>0.18049177852204529</v>
      </c>
      <c r="M70" s="313">
        <f>MeasureInputsANDResults!K192*inputWeightings!$B$22+MeasureInputsANDResults!N192*inputWeightings!$C$22+MeasureInputsANDResults!Q192*inputWeightings!$D$22+MeasureInputsANDResults!T192*inputWeightings!$E$22+MeasureInputsANDResults!W192*inputWeightings!$F$22</f>
        <v>6.6042152406416796E-2</v>
      </c>
      <c r="N70" s="314">
        <f>SUMPRODUCT(MeasureInputsANDResults!X192:AB192,inputWeightings!$B$35:$F$35)</f>
        <v>3.3971259362954552E-2</v>
      </c>
    </row>
    <row r="71" spans="1:14" ht="15">
      <c r="A71" s="227" t="str">
        <f t="shared" si="10"/>
        <v>Ceili17</v>
      </c>
      <c r="B71" s="228" t="str">
        <f t="shared" si="10"/>
        <v>Ceiling17</v>
      </c>
      <c r="C71" s="228" t="str">
        <f t="shared" si="10"/>
        <v>Ceiling</v>
      </c>
      <c r="D71" s="228">
        <f t="shared" si="10"/>
        <v>17</v>
      </c>
      <c r="E71" s="228" t="str">
        <f t="shared" si="10"/>
        <v>R-19</v>
      </c>
      <c r="F71" s="228" t="str">
        <f t="shared" si="10"/>
        <v>R-49</v>
      </c>
      <c r="G71" s="229" t="s">
        <v>312</v>
      </c>
      <c r="H71" s="228" t="str">
        <f t="shared" si="9"/>
        <v>Multi Family Weatherization - Insulate Attic - R-19 to R-49 - Heating Zone 2</v>
      </c>
      <c r="I71" s="230">
        <f>SUMPRODUCT(MeasureInputsANDResults!I247:M247,inputWeightings!$B$22:$F$22)</f>
        <v>0.21559255333169106</v>
      </c>
      <c r="J71" s="231">
        <f>SUMPRODUCT(MeasureInputsANDResults!N247:R247,inputWeightings!$B$22:$F$22)</f>
        <v>4.4636670959769973E-3</v>
      </c>
      <c r="K71" s="230">
        <f>MeasureInputsANDResults!I193*inputWeightings!$B$22+MeasureInputsANDResults!L193*inputWeightings!$C$22+MeasureInputsANDResults!O193*inputWeightings!$D$22+MeasureInputsANDResults!R193*inputWeightings!$E$22+MeasureInputsANDResults!U193*inputWeightings!$F$22</f>
        <v>0.21719825649363625</v>
      </c>
      <c r="L71" s="230">
        <f>MeasureInputsANDResults!J193*inputWeightings!$B$22+MeasureInputsANDResults!M193*inputWeightings!$C$22+MeasureInputsANDResults!P193*inputWeightings!$D$22+MeasureInputsANDResults!S193*inputWeightings!$E$22+MeasureInputsANDResults!V193*inputWeightings!$F$22</f>
        <v>0.22241945721806783</v>
      </c>
      <c r="M71" s="313">
        <f>MeasureInputsANDResults!K193*inputWeightings!$B$22+MeasureInputsANDResults!N193*inputWeightings!$C$22+MeasureInputsANDResults!Q193*inputWeightings!$D$22+MeasureInputsANDResults!T193*inputWeightings!$E$22+MeasureInputsANDResults!W193*inputWeightings!$F$22</f>
        <v>8.1380374331550334E-2</v>
      </c>
      <c r="N71" s="314">
        <f>SUMPRODUCT(MeasureInputsANDResults!X193:AB193,inputWeightings!$B$35:$F$35)</f>
        <v>4.1935349100454586E-2</v>
      </c>
    </row>
    <row r="72" spans="1:14" ht="15">
      <c r="A72" s="268" t="str">
        <f t="shared" si="10"/>
        <v>Ceili18</v>
      </c>
      <c r="B72" s="269" t="str">
        <f t="shared" si="10"/>
        <v>Ceiling18</v>
      </c>
      <c r="C72" s="269" t="str">
        <f t="shared" si="10"/>
        <v>Ceiling</v>
      </c>
      <c r="D72" s="269">
        <f t="shared" si="10"/>
        <v>18</v>
      </c>
      <c r="E72" s="269" t="str">
        <f t="shared" si="10"/>
        <v>R-38</v>
      </c>
      <c r="F72" s="269" t="str">
        <f t="shared" si="10"/>
        <v>R-49</v>
      </c>
      <c r="G72" s="270" t="s">
        <v>312</v>
      </c>
      <c r="H72" s="269" t="str">
        <f t="shared" si="9"/>
        <v>Multi Family Weatherization - Insulate Attic - R-38 to R-49 - Heating Zone 2</v>
      </c>
      <c r="I72" s="271">
        <f>SUMPRODUCT(MeasureInputsANDResults!I248:M248,inputWeightings!$B$22:$F$22)</f>
        <v>4.0640849695616856E-2</v>
      </c>
      <c r="J72" s="272">
        <f>SUMPRODUCT(MeasureInputsANDResults!N248:R248,inputWeightings!$B$22:$F$22)</f>
        <v>8.481373334101221E-4</v>
      </c>
      <c r="K72" s="271">
        <f>MeasureInputsANDResults!I194*inputWeightings!$B$22+MeasureInputsANDResults!L194*inputWeightings!$C$22+MeasureInputsANDResults!O194*inputWeightings!$D$22+MeasureInputsANDResults!R194*inputWeightings!$E$22+MeasureInputsANDResults!U194*inputWeightings!$F$22</f>
        <v>4.094357369272679E-2</v>
      </c>
      <c r="L72" s="271">
        <f>MeasureInputsANDResults!J194*inputWeightings!$B$22+MeasureInputsANDResults!M194*inputWeightings!$C$22+MeasureInputsANDResults!P194*inputWeightings!$D$22+MeasureInputsANDResults!S194*inputWeightings!$E$22+MeasureInputsANDResults!V194*inputWeightings!$F$22</f>
        <v>4.1927678696022548E-2</v>
      </c>
      <c r="M72" s="320">
        <f>MeasureInputsANDResults!K194*inputWeightings!$B$22+MeasureInputsANDResults!N194*inputWeightings!$C$22+MeasureInputsANDResults!Q194*inputWeightings!$D$22+MeasureInputsANDResults!T194*inputWeightings!$E$22+MeasureInputsANDResults!W194*inputWeightings!$F$22</f>
        <v>1.5338221925133542E-2</v>
      </c>
      <c r="N72" s="321">
        <f>SUMPRODUCT(MeasureInputsANDResults!X194:AB194,inputWeightings!$B$35:$F$35)</f>
        <v>7.9640897375000356E-3</v>
      </c>
    </row>
    <row r="73" spans="1:14" ht="15">
      <c r="A73" s="236"/>
      <c r="B73" s="237"/>
      <c r="C73" s="237"/>
      <c r="D73" s="237"/>
      <c r="E73" s="237"/>
      <c r="F73" s="237"/>
      <c r="G73" s="238"/>
      <c r="H73" s="237"/>
      <c r="I73" s="239"/>
      <c r="J73" s="240"/>
      <c r="K73" s="239"/>
      <c r="L73" s="239"/>
      <c r="M73" s="315"/>
      <c r="N73" s="316"/>
    </row>
    <row r="74" spans="1:14" ht="15">
      <c r="A74" s="236"/>
      <c r="B74" s="237"/>
      <c r="C74" s="237"/>
      <c r="D74" s="237"/>
      <c r="E74" s="237"/>
      <c r="F74" s="237"/>
      <c r="G74" s="238"/>
      <c r="H74" s="237"/>
      <c r="I74" s="239"/>
      <c r="J74" s="240"/>
      <c r="K74" s="239"/>
      <c r="L74" s="239"/>
      <c r="M74" s="315"/>
      <c r="N74" s="316"/>
    </row>
    <row r="75" spans="1:14" ht="15">
      <c r="A75" s="236"/>
      <c r="B75" s="237"/>
      <c r="C75" s="237"/>
      <c r="D75" s="237"/>
      <c r="E75" s="237"/>
      <c r="F75" s="237"/>
      <c r="G75" s="238"/>
      <c r="H75" s="237"/>
      <c r="I75" s="239"/>
      <c r="J75" s="240"/>
      <c r="K75" s="239"/>
      <c r="L75" s="239"/>
      <c r="M75" s="315"/>
      <c r="N75" s="316"/>
    </row>
    <row r="76" spans="1:14" ht="15">
      <c r="A76" s="236"/>
      <c r="B76" s="237"/>
      <c r="C76" s="237"/>
      <c r="D76" s="237"/>
      <c r="E76" s="237"/>
      <c r="F76" s="237"/>
      <c r="G76" s="238"/>
      <c r="H76" s="237"/>
      <c r="I76" s="239"/>
      <c r="J76" s="240"/>
      <c r="K76" s="239"/>
      <c r="L76" s="239"/>
      <c r="M76" s="315"/>
      <c r="N76" s="316"/>
    </row>
    <row r="77" spans="1:14" ht="15">
      <c r="A77" s="236"/>
      <c r="B77" s="237"/>
      <c r="C77" s="237"/>
      <c r="D77" s="237"/>
      <c r="E77" s="237"/>
      <c r="F77" s="237"/>
      <c r="G77" s="238"/>
      <c r="H77" s="237"/>
      <c r="I77" s="239"/>
      <c r="J77" s="240"/>
      <c r="K77" s="239"/>
      <c r="L77" s="239"/>
      <c r="M77" s="315"/>
      <c r="N77" s="316"/>
    </row>
    <row r="78" spans="1:14" ht="15">
      <c r="A78" s="236"/>
      <c r="B78" s="237"/>
      <c r="C78" s="237"/>
      <c r="D78" s="237"/>
      <c r="E78" s="237"/>
      <c r="F78" s="237"/>
      <c r="G78" s="238"/>
      <c r="H78" s="237"/>
      <c r="I78" s="239"/>
      <c r="J78" s="240"/>
      <c r="K78" s="239"/>
      <c r="L78" s="239"/>
      <c r="M78" s="315"/>
      <c r="N78" s="316"/>
    </row>
    <row r="79" spans="1:14" ht="15">
      <c r="A79" s="236"/>
      <c r="B79" s="237"/>
      <c r="C79" s="237"/>
      <c r="D79" s="237"/>
      <c r="E79" s="237"/>
      <c r="F79" s="237"/>
      <c r="G79" s="238"/>
      <c r="H79" s="237"/>
      <c r="I79" s="239"/>
      <c r="J79" s="240"/>
      <c r="K79" s="239"/>
      <c r="L79" s="239"/>
      <c r="M79" s="315"/>
      <c r="N79" s="316"/>
    </row>
    <row r="80" spans="1:14" ht="15">
      <c r="A80" s="236"/>
      <c r="B80" s="237"/>
      <c r="C80" s="237"/>
      <c r="D80" s="237"/>
      <c r="E80" s="237"/>
      <c r="F80" s="237"/>
      <c r="G80" s="238"/>
      <c r="H80" s="237"/>
      <c r="I80" s="239"/>
      <c r="J80" s="240"/>
      <c r="K80" s="239"/>
      <c r="L80" s="239"/>
      <c r="M80" s="315"/>
      <c r="N80" s="316"/>
    </row>
    <row r="81" spans="1:14" ht="15">
      <c r="A81" s="236"/>
      <c r="B81" s="237"/>
      <c r="C81" s="237"/>
      <c r="D81" s="237"/>
      <c r="E81" s="237"/>
      <c r="F81" s="237"/>
      <c r="G81" s="238"/>
      <c r="H81" s="237"/>
      <c r="I81" s="239"/>
      <c r="J81" s="240"/>
      <c r="K81" s="239"/>
      <c r="L81" s="239"/>
      <c r="M81" s="315"/>
      <c r="N81" s="316"/>
    </row>
    <row r="82" spans="1:14" ht="15">
      <c r="A82" s="227" t="str">
        <f t="shared" si="10"/>
        <v>Windo19</v>
      </c>
      <c r="B82" s="228" t="str">
        <f t="shared" si="10"/>
        <v>Windows19</v>
      </c>
      <c r="C82" s="228" t="str">
        <f t="shared" si="10"/>
        <v>Windows</v>
      </c>
      <c r="D82" s="228">
        <f t="shared" si="10"/>
        <v>19</v>
      </c>
      <c r="E82" s="228" t="str">
        <f t="shared" si="10"/>
        <v>Class 35</v>
      </c>
      <c r="F82" s="228" t="str">
        <f t="shared" si="10"/>
        <v>Class 22</v>
      </c>
      <c r="G82" s="229" t="s">
        <v>312</v>
      </c>
      <c r="H82" s="228" t="str">
        <f t="shared" ref="H82:H87" si="11">C82&amp;" - "&amp;E82&amp;" to "&amp;F82&amp;" - "&amp;G82</f>
        <v>Windows - Class 35 to Class 22 - Heating Zone 2</v>
      </c>
      <c r="I82" s="230">
        <f>SUMPRODUCT(MeasureInputsANDResults!I258:M258,inputWeightings!$B$22:$F$22)</f>
        <v>4.6670287037313383</v>
      </c>
      <c r="J82" s="231">
        <f>SUMPRODUCT(MeasureInputsANDResults!N258:R258,inputWeightings!$B$22:$F$22)</f>
        <v>1.2410916261928641E-2</v>
      </c>
      <c r="K82" s="230">
        <f>MeasureInputsANDResults!I204*inputWeightings!$B$22+MeasureInputsANDResults!L204*inputWeightings!$C$22+MeasureInputsANDResults!O204*inputWeightings!$D$22+MeasureInputsANDResults!R204*inputWeightings!$E$22+MeasureInputsANDResults!U204*inputWeightings!$F$22</f>
        <v>4.6984118641552062</v>
      </c>
      <c r="L82" s="230">
        <f>MeasureInputsANDResults!J204*inputWeightings!$B$22+MeasureInputsANDResults!M204*inputWeightings!$C$22+MeasureInputsANDResults!P204*inputWeightings!$D$22+MeasureInputsANDResults!S204*inputWeightings!$E$22+MeasureInputsANDResults!V204*inputWeightings!$F$22</f>
        <v>4.7815485700395275</v>
      </c>
      <c r="M82" s="313">
        <f>MeasureInputsANDResults!K204*inputWeightings!$B$22+MeasureInputsANDResults!N204*inputWeightings!$C$22+MeasureInputsANDResults!Q204*inputWeightings!$D$22+MeasureInputsANDResults!T204*inputWeightings!$E$22+MeasureInputsANDResults!W204*inputWeightings!$F$22</f>
        <v>2.0785674276703681</v>
      </c>
      <c r="N82" s="314">
        <f>SUMPRODUCT(MeasureInputsANDResults!X204:AB204,inputWeightings!$B$35:$F$35)</f>
        <v>0.10483150438412975</v>
      </c>
    </row>
    <row r="83" spans="1:14" ht="15">
      <c r="A83" s="227" t="str">
        <f t="shared" si="10"/>
        <v>Windo20</v>
      </c>
      <c r="B83" s="228" t="str">
        <f t="shared" si="10"/>
        <v>Windows20</v>
      </c>
      <c r="C83" s="228" t="str">
        <f t="shared" si="10"/>
        <v>Windows</v>
      </c>
      <c r="D83" s="228">
        <f t="shared" si="10"/>
        <v>20</v>
      </c>
      <c r="E83" s="228" t="str">
        <f t="shared" si="10"/>
        <v>Single Pane</v>
      </c>
      <c r="F83" s="228" t="str">
        <f t="shared" si="10"/>
        <v>Class 22</v>
      </c>
      <c r="G83" s="229" t="s">
        <v>312</v>
      </c>
      <c r="H83" s="228" t="str">
        <f t="shared" si="11"/>
        <v>Windows - Single Pane to Class 22 - Heating Zone 2</v>
      </c>
      <c r="I83" s="230">
        <f>SUMPRODUCT(MeasureInputsANDResults!I259:M259,inputWeightings!$B$22:$F$22)</f>
        <v>33.680187501968007</v>
      </c>
      <c r="J83" s="231">
        <f>SUMPRODUCT(MeasureInputsANDResults!N259:R259,inputWeightings!$B$22:$F$22)</f>
        <v>0.14902230680011874</v>
      </c>
      <c r="K83" s="230">
        <f>MeasureInputsANDResults!I205*inputWeightings!$B$22+MeasureInputsANDResults!L205*inputWeightings!$C$22+MeasureInputsANDResults!O205*inputWeightings!$D$22+MeasureInputsANDResults!R205*inputWeightings!$E$22+MeasureInputsANDResults!U205*inputWeightings!$F$22</f>
        <v>33.880879731729017</v>
      </c>
      <c r="L83" s="230">
        <f>MeasureInputsANDResults!J205*inputWeightings!$B$22+MeasureInputsANDResults!M205*inputWeightings!$C$22+MeasureInputsANDResults!P205*inputWeightings!$D$22+MeasureInputsANDResults!S205*inputWeightings!$E$22+MeasureInputsANDResults!V205*inputWeightings!$F$22</f>
        <v>34.4470601259288</v>
      </c>
      <c r="M83" s="313">
        <f>MeasureInputsANDResults!K205*inputWeightings!$B$22+MeasureInputsANDResults!N205*inputWeightings!$C$22+MeasureInputsANDResults!Q205*inputWeightings!$D$22+MeasureInputsANDResults!T205*inputWeightings!$E$22+MeasureInputsANDResults!W205*inputWeightings!$F$22</f>
        <v>17.063890614287672</v>
      </c>
      <c r="N83" s="314">
        <f>SUMPRODUCT(MeasureInputsANDResults!X205:AB205,inputWeightings!$B$35:$F$35)</f>
        <v>1.3812324921104313</v>
      </c>
    </row>
    <row r="84" spans="1:14" ht="15">
      <c r="A84" s="227" t="str">
        <f t="shared" si="10"/>
        <v>Windo21</v>
      </c>
      <c r="B84" s="228" t="str">
        <f t="shared" si="10"/>
        <v>Windows21</v>
      </c>
      <c r="C84" s="228" t="str">
        <f t="shared" si="10"/>
        <v>Windows</v>
      </c>
      <c r="D84" s="228">
        <f t="shared" si="10"/>
        <v>21</v>
      </c>
      <c r="E84" s="228" t="str">
        <f t="shared" si="10"/>
        <v>Double Pane</v>
      </c>
      <c r="F84" s="228" t="str">
        <f t="shared" si="10"/>
        <v>Class 22</v>
      </c>
      <c r="G84" s="229" t="s">
        <v>312</v>
      </c>
      <c r="H84" s="228" t="str">
        <f t="shared" si="11"/>
        <v>Windows - Double Pane to Class 22 - Heating Zone 2</v>
      </c>
      <c r="I84" s="230">
        <f>SUMPRODUCT(MeasureInputsANDResults!I260:M260,inputWeightings!$B$22:$F$22)</f>
        <v>20.07921017663417</v>
      </c>
      <c r="J84" s="231">
        <f>SUMPRODUCT(MeasureInputsANDResults!N260:R260,inputWeightings!$B$22:$F$22)</f>
        <v>0.19054347516200631</v>
      </c>
      <c r="K84" s="230">
        <f>MeasureInputsANDResults!I206*inputWeightings!$B$22+MeasureInputsANDResults!L206*inputWeightings!$C$22+MeasureInputsANDResults!O206*inputWeightings!$D$22+MeasureInputsANDResults!R206*inputWeightings!$E$22+MeasureInputsANDResults!U206*inputWeightings!$F$22</f>
        <v>20.204047936502523</v>
      </c>
      <c r="L84" s="230">
        <f>MeasureInputsANDResults!J206*inputWeightings!$B$22+MeasureInputsANDResults!M206*inputWeightings!$C$22+MeasureInputsANDResults!P206*inputWeightings!$D$22+MeasureInputsANDResults!S206*inputWeightings!$E$22+MeasureInputsANDResults!V206*inputWeightings!$F$22</f>
        <v>20.538703350494654</v>
      </c>
      <c r="M84" s="313">
        <f>MeasureInputsANDResults!K206*inputWeightings!$B$22+MeasureInputsANDResults!N206*inputWeightings!$C$22+MeasureInputsANDResults!Q206*inputWeightings!$D$22+MeasureInputsANDResults!T206*inputWeightings!$E$22+MeasureInputsANDResults!W206*inputWeightings!$F$22</f>
        <v>9.7754336121394925</v>
      </c>
      <c r="N84" s="314">
        <f>SUMPRODUCT(MeasureInputsANDResults!X206:AB206,inputWeightings!$B$35:$F$35)</f>
        <v>1.8284578812169774</v>
      </c>
    </row>
    <row r="85" spans="1:14" ht="15">
      <c r="A85" s="227" t="str">
        <f t="shared" si="10"/>
        <v>Windo22</v>
      </c>
      <c r="B85" s="228" t="str">
        <f t="shared" si="10"/>
        <v>Windows22</v>
      </c>
      <c r="C85" s="228" t="str">
        <f t="shared" si="10"/>
        <v>Windows</v>
      </c>
      <c r="D85" s="228">
        <f t="shared" si="10"/>
        <v>22</v>
      </c>
      <c r="E85" s="228" t="str">
        <f t="shared" si="10"/>
        <v>Single Pane</v>
      </c>
      <c r="F85" s="228" t="str">
        <f t="shared" si="10"/>
        <v>Class 30</v>
      </c>
      <c r="G85" s="229" t="s">
        <v>312</v>
      </c>
      <c r="H85" s="228" t="str">
        <f t="shared" si="11"/>
        <v>Windows - Single Pane to Class 30 - Heating Zone 2</v>
      </c>
      <c r="I85" s="230">
        <f>SUMPRODUCT(MeasureInputsANDResults!I261:M261,inputWeightings!$B$22:$F$22)</f>
        <v>30.89982210802722</v>
      </c>
      <c r="J85" s="231">
        <f>SUMPRODUCT(MeasureInputsANDResults!N261:R261,inputWeightings!$B$22:$F$22)</f>
        <v>0.1395906291850664</v>
      </c>
      <c r="K85" s="230">
        <f>MeasureInputsANDResults!I207*inputWeightings!$B$22+MeasureInputsANDResults!L207*inputWeightings!$C$22+MeasureInputsANDResults!O207*inputWeightings!$D$22+MeasureInputsANDResults!R207*inputWeightings!$E$22+MeasureInputsANDResults!U207*inputWeightings!$F$22</f>
        <v>31.081808636926379</v>
      </c>
      <c r="L85" s="230">
        <f>MeasureInputsANDResults!J207*inputWeightings!$B$22+MeasureInputsANDResults!M207*inputWeightings!$C$22+MeasureInputsANDResults!P207*inputWeightings!$D$22+MeasureInputsANDResults!S207*inputWeightings!$E$22+MeasureInputsANDResults!V207*inputWeightings!$F$22</f>
        <v>31.598259034534191</v>
      </c>
      <c r="M85" s="313">
        <f>MeasureInputsANDResults!K207*inputWeightings!$B$22+MeasureInputsANDResults!N207*inputWeightings!$C$22+MeasureInputsANDResults!Q207*inputWeightings!$D$22+MeasureInputsANDResults!T207*inputWeightings!$E$22+MeasureInputsANDResults!W207*inputWeightings!$F$22</f>
        <v>15.826683086521323</v>
      </c>
      <c r="N85" s="314">
        <f>SUMPRODUCT(MeasureInputsANDResults!X207:AB207,inputWeightings!$B$35:$F$35)</f>
        <v>1.2986658936085858</v>
      </c>
    </row>
    <row r="86" spans="1:14" ht="15">
      <c r="A86" s="227" t="str">
        <f t="shared" ref="A86:F101" si="12">A40</f>
        <v>Windo23</v>
      </c>
      <c r="B86" s="228" t="str">
        <f t="shared" si="12"/>
        <v>Windows23</v>
      </c>
      <c r="C86" s="228" t="str">
        <f t="shared" si="12"/>
        <v>Windows</v>
      </c>
      <c r="D86" s="228">
        <f t="shared" si="12"/>
        <v>23</v>
      </c>
      <c r="E86" s="228" t="str">
        <f t="shared" si="12"/>
        <v>Double Pane</v>
      </c>
      <c r="F86" s="228" t="str">
        <f t="shared" si="12"/>
        <v>Class 30</v>
      </c>
      <c r="G86" s="229" t="s">
        <v>312</v>
      </c>
      <c r="H86" s="228" t="str">
        <f t="shared" si="11"/>
        <v>Windows - Double Pane to Class 30 - Heating Zone 2</v>
      </c>
      <c r="I86" s="230">
        <f>SUMPRODUCT(MeasureInputsANDResults!I262:M262,inputWeightings!$B$22:$F$22)</f>
        <v>17.298844782693379</v>
      </c>
      <c r="J86" s="231">
        <f>SUMPRODUCT(MeasureInputsANDResults!N262:R262,inputWeightings!$B$22:$F$22)</f>
        <v>0.18111179754695395</v>
      </c>
      <c r="K86" s="230">
        <f>MeasureInputsANDResults!I208*inputWeightings!$B$22+MeasureInputsANDResults!L208*inputWeightings!$C$22+MeasureInputsANDResults!O208*inputWeightings!$D$22+MeasureInputsANDResults!R208*inputWeightings!$E$22+MeasureInputsANDResults!U208*inputWeightings!$F$22</f>
        <v>17.404976841699881</v>
      </c>
      <c r="L86" s="230">
        <f>MeasureInputsANDResults!J208*inputWeightings!$B$22+MeasureInputsANDResults!M208*inputWeightings!$C$22+MeasureInputsANDResults!P208*inputWeightings!$D$22+MeasureInputsANDResults!S208*inputWeightings!$E$22+MeasureInputsANDResults!V208*inputWeightings!$F$22</f>
        <v>17.689902259100037</v>
      </c>
      <c r="M86" s="313">
        <f>MeasureInputsANDResults!K208*inputWeightings!$B$22+MeasureInputsANDResults!N208*inputWeightings!$C$22+MeasureInputsANDResults!Q208*inputWeightings!$D$22+MeasureInputsANDResults!T208*inputWeightings!$E$22+MeasureInputsANDResults!W208*inputWeightings!$F$22</f>
        <v>8.5382260843731412</v>
      </c>
      <c r="N86" s="314">
        <f>SUMPRODUCT(MeasureInputsANDResults!X208:AB208,inputWeightings!$B$35:$F$35)</f>
        <v>1.7458912827151318</v>
      </c>
    </row>
    <row r="87" spans="1:14" ht="15">
      <c r="A87" s="227" t="str">
        <f t="shared" si="12"/>
        <v>Windo24</v>
      </c>
      <c r="B87" s="228" t="str">
        <f t="shared" si="12"/>
        <v>Windows24</v>
      </c>
      <c r="C87" s="228" t="str">
        <f t="shared" si="12"/>
        <v>Windows</v>
      </c>
      <c r="D87" s="228">
        <f t="shared" si="12"/>
        <v>24</v>
      </c>
      <c r="E87" s="228" t="str">
        <f t="shared" si="12"/>
        <v>Class 35</v>
      </c>
      <c r="F87" s="228" t="str">
        <f t="shared" si="12"/>
        <v>Class 30</v>
      </c>
      <c r="G87" s="229" t="s">
        <v>312</v>
      </c>
      <c r="H87" s="228" t="str">
        <f t="shared" si="11"/>
        <v>Windows - Class 35 to Class 30 - Heating Zone 2</v>
      </c>
      <c r="I87" s="230">
        <f>SUMPRODUCT(MeasureInputsANDResults!I263:M263,inputWeightings!$B$22:$F$22)</f>
        <v>1.8866633097905505</v>
      </c>
      <c r="J87" s="231">
        <f>SUMPRODUCT(MeasureInputsANDResults!N263:R263,inputWeightings!$B$22:$F$22)</f>
        <v>2.9792386468763051E-3</v>
      </c>
      <c r="K87" s="230">
        <f>MeasureInputsANDResults!I209*inputWeightings!$B$22+MeasureInputsANDResults!L209*inputWeightings!$C$22+MeasureInputsANDResults!O209*inputWeightings!$D$22+MeasureInputsANDResults!R209*inputWeightings!$E$22+MeasureInputsANDResults!U209*inputWeightings!$F$22</f>
        <v>1.8993407693525641</v>
      </c>
      <c r="L87" s="230">
        <f>MeasureInputsANDResults!J209*inputWeightings!$B$22+MeasureInputsANDResults!M209*inputWeightings!$C$22+MeasureInputsANDResults!P209*inputWeightings!$D$22+MeasureInputsANDResults!S209*inputWeightings!$E$22+MeasureInputsANDResults!V209*inputWeightings!$F$22</f>
        <v>1.9327474786449097</v>
      </c>
      <c r="M87" s="313">
        <f>MeasureInputsANDResults!K209*inputWeightings!$B$22+MeasureInputsANDResults!N209*inputWeightings!$C$22+MeasureInputsANDResults!Q209*inputWeightings!$D$22+MeasureInputsANDResults!T209*inputWeightings!$E$22+MeasureInputsANDResults!W209*inputWeightings!$F$22</f>
        <v>0.84135989990401749</v>
      </c>
      <c r="N87" s="314">
        <f>SUMPRODUCT(MeasureInputsANDResults!X209:AB209,inputWeightings!$B$35:$F$35)</f>
        <v>2.2264905882284219E-2</v>
      </c>
    </row>
    <row r="88" spans="1:14" ht="15">
      <c r="A88" s="280" t="str">
        <f t="shared" si="12"/>
        <v>Infil10</v>
      </c>
      <c r="B88" s="281" t="str">
        <f t="shared" si="12"/>
        <v>Infiltration10</v>
      </c>
      <c r="C88" s="281" t="str">
        <f t="shared" si="12"/>
        <v>Infiltration</v>
      </c>
      <c r="D88" s="281">
        <f t="shared" si="12"/>
        <v>10</v>
      </c>
      <c r="E88" s="281" t="str">
        <f t="shared" si="12"/>
        <v>0.45 ACHn</v>
      </c>
      <c r="F88" s="281" t="str">
        <f t="shared" si="12"/>
        <v>0.35 ACHn</v>
      </c>
      <c r="G88" s="513" t="s">
        <v>312</v>
      </c>
      <c r="H88" s="281" t="str">
        <f>C88&amp;" Reduction - "&amp;E88&amp;" to "&amp;F88&amp;" - "&amp;G88</f>
        <v>Infiltration Reduction - 0.45 ACHn to 0.35 ACHn - Heating Zone 2</v>
      </c>
      <c r="I88" s="514">
        <f>SUMPRODUCT(MeasureInputsANDResults!I264:M264,inputWeightings!$B$22:$F$22)</f>
        <v>0</v>
      </c>
      <c r="J88" s="515">
        <f>SUMPRODUCT(MeasureInputsANDResults!N264:R264,inputWeightings!$B$22:$F$22)</f>
        <v>0</v>
      </c>
      <c r="K88" s="514">
        <f>MeasureInputsANDResults!I210*inputWeightings!$B$22+MeasureInputsANDResults!L210*inputWeightings!$C$22+MeasureInputsANDResults!O210*inputWeightings!$D$22+MeasureInputsANDResults!R210*inputWeightings!$E$22+MeasureInputsANDResults!U210*inputWeightings!$F$22</f>
        <v>0</v>
      </c>
      <c r="L88" s="514">
        <f>MeasureInputsANDResults!J210*inputWeightings!$B$22+MeasureInputsANDResults!M210*inputWeightings!$C$22+MeasureInputsANDResults!P210*inputWeightings!$D$22+MeasureInputsANDResults!S210*inputWeightings!$E$22+MeasureInputsANDResults!V210*inputWeightings!$F$22</f>
        <v>0</v>
      </c>
      <c r="M88" s="516">
        <f>MeasureInputsANDResults!K210*inputWeightings!$B$22+MeasureInputsANDResults!N210*inputWeightings!$C$22+MeasureInputsANDResults!Q210*inputWeightings!$D$22+MeasureInputsANDResults!T210*inputWeightings!$E$22+MeasureInputsANDResults!W210*inputWeightings!$F$22</f>
        <v>0</v>
      </c>
      <c r="N88" s="517">
        <f>SUMPRODUCT(MeasureInputsANDResults!X210:AB210,inputWeightings!$B$35:$F$35)</f>
        <v>0</v>
      </c>
    </row>
    <row r="89" spans="1:14" ht="15">
      <c r="A89" s="236" t="str">
        <f t="shared" si="12"/>
        <v>Infil11</v>
      </c>
      <c r="B89" s="237" t="str">
        <f t="shared" si="12"/>
        <v>Infiltration11</v>
      </c>
      <c r="C89" s="237" t="str">
        <f t="shared" si="12"/>
        <v>Infiltration</v>
      </c>
      <c r="D89" s="237">
        <f t="shared" si="12"/>
        <v>11</v>
      </c>
      <c r="E89" s="237" t="str">
        <f t="shared" si="12"/>
        <v>0.45 ACHn</v>
      </c>
      <c r="F89" s="237" t="str">
        <f t="shared" si="12"/>
        <v>0.20 ACHn</v>
      </c>
      <c r="G89" s="238" t="s">
        <v>312</v>
      </c>
      <c r="H89" s="237" t="str">
        <f t="shared" ref="H89:H90" si="13">C89&amp;" Reduction - "&amp;E89&amp;" to "&amp;F89&amp;" - "&amp;G89</f>
        <v>Infiltration Reduction - 0.45 ACHn to 0.20 ACHn - Heating Zone 2</v>
      </c>
      <c r="I89" s="239">
        <f>SUMPRODUCT(MeasureInputsANDResults!I265:M265,inputWeightings!$B$22:$F$22)</f>
        <v>0</v>
      </c>
      <c r="J89" s="240">
        <f>SUMPRODUCT(MeasureInputsANDResults!N265:R265,inputWeightings!$B$22:$F$22)</f>
        <v>0</v>
      </c>
      <c r="K89" s="239">
        <f>MeasureInputsANDResults!I211*inputWeightings!$B$22+MeasureInputsANDResults!L211*inputWeightings!$C$22+MeasureInputsANDResults!O211*inputWeightings!$D$22+MeasureInputsANDResults!R211*inputWeightings!$E$22+MeasureInputsANDResults!U211*inputWeightings!$F$22</f>
        <v>0</v>
      </c>
      <c r="L89" s="239">
        <f>MeasureInputsANDResults!J211*inputWeightings!$B$22+MeasureInputsANDResults!M211*inputWeightings!$C$22+MeasureInputsANDResults!P211*inputWeightings!$D$22+MeasureInputsANDResults!S211*inputWeightings!$E$22+MeasureInputsANDResults!V211*inputWeightings!$F$22</f>
        <v>0</v>
      </c>
      <c r="M89" s="518">
        <f>MeasureInputsANDResults!K211*inputWeightings!$B$22+MeasureInputsANDResults!N211*inputWeightings!$C$22+MeasureInputsANDResults!Q211*inputWeightings!$D$22+MeasureInputsANDResults!T211*inputWeightings!$E$22+MeasureInputsANDResults!W211*inputWeightings!$F$22</f>
        <v>0</v>
      </c>
      <c r="N89" s="316">
        <f>SUMPRODUCT(MeasureInputsANDResults!X211:AB211,inputWeightings!$B$35:$F$35)</f>
        <v>0</v>
      </c>
    </row>
    <row r="90" spans="1:14" ht="15">
      <c r="A90" s="273" t="str">
        <f t="shared" si="12"/>
        <v>Infil12</v>
      </c>
      <c r="B90" s="274" t="str">
        <f t="shared" si="12"/>
        <v>Infiltration12</v>
      </c>
      <c r="C90" s="274" t="str">
        <f t="shared" si="12"/>
        <v>Infiltration</v>
      </c>
      <c r="D90" s="274">
        <f t="shared" si="12"/>
        <v>12</v>
      </c>
      <c r="E90" s="274" t="str">
        <f t="shared" si="12"/>
        <v>0.35 ACHn</v>
      </c>
      <c r="F90" s="274" t="str">
        <f t="shared" si="12"/>
        <v>0.20 ACHn</v>
      </c>
      <c r="G90" s="275" t="s">
        <v>312</v>
      </c>
      <c r="H90" s="274" t="str">
        <f t="shared" si="13"/>
        <v>Infiltration Reduction - 0.35 ACHn to 0.20 ACHn - Heating Zone 2</v>
      </c>
      <c r="I90" s="276">
        <f>SUMPRODUCT(MeasureInputsANDResults!I266:M266,inputWeightings!$B$22:$F$22)</f>
        <v>0</v>
      </c>
      <c r="J90" s="277">
        <f>SUMPRODUCT(MeasureInputsANDResults!N266:R266,inputWeightings!$B$22:$F$22)</f>
        <v>0</v>
      </c>
      <c r="K90" s="276">
        <f>MeasureInputsANDResults!I212*inputWeightings!$B$22+MeasureInputsANDResults!L212*inputWeightings!$C$22+MeasureInputsANDResults!O212*inputWeightings!$D$22+MeasureInputsANDResults!R212*inputWeightings!$E$22+MeasureInputsANDResults!U212*inputWeightings!$F$22</f>
        <v>0</v>
      </c>
      <c r="L90" s="276">
        <f>MeasureInputsANDResults!J212*inputWeightings!$B$22+MeasureInputsANDResults!M212*inputWeightings!$C$22+MeasureInputsANDResults!P212*inputWeightings!$D$22+MeasureInputsANDResults!S212*inputWeightings!$E$22+MeasureInputsANDResults!V212*inputWeightings!$F$22</f>
        <v>0</v>
      </c>
      <c r="M90" s="519">
        <f>MeasureInputsANDResults!K212*inputWeightings!$B$22+MeasureInputsANDResults!N212*inputWeightings!$C$22+MeasureInputsANDResults!Q212*inputWeightings!$D$22+MeasureInputsANDResults!T212*inputWeightings!$E$22+MeasureInputsANDResults!W212*inputWeightings!$F$22</f>
        <v>0</v>
      </c>
      <c r="N90" s="323">
        <f>SUMPRODUCT(MeasureInputsANDResults!X212:AB212,inputWeightings!$B$35:$F$35)</f>
        <v>0</v>
      </c>
    </row>
    <row r="91" spans="1:14" ht="15">
      <c r="A91" s="236" t="str">
        <f t="shared" si="12"/>
        <v>DuctT10</v>
      </c>
      <c r="B91" s="237" t="str">
        <f t="shared" si="12"/>
        <v>DuctTightness10</v>
      </c>
      <c r="C91" s="237" t="str">
        <f t="shared" si="12"/>
        <v>DuctTightness</v>
      </c>
      <c r="D91" s="237">
        <f t="shared" si="12"/>
        <v>10</v>
      </c>
      <c r="E91" s="237" t="str">
        <f t="shared" si="12"/>
        <v>Std-crawl</v>
      </c>
      <c r="F91" s="237" t="str">
        <f t="shared" si="12"/>
        <v>PTCS-crawl</v>
      </c>
      <c r="G91" s="237" t="s">
        <v>312</v>
      </c>
      <c r="H91" s="237" t="str">
        <f>C91&amp;" - "&amp;E91&amp;" to "&amp;F91&amp;" - "&amp;G91</f>
        <v>DuctTightness - Std-crawl to PTCS-crawl - Heating Zone 2</v>
      </c>
      <c r="I91" s="284">
        <f>SUMPRODUCT(MeasureInputsANDResults!I267:M267,inputWeightings!$B$22:$F$22)</f>
        <v>1573.8375590492565</v>
      </c>
      <c r="J91" s="285">
        <f>SUMPRODUCT(MeasureInputsANDResults!N267:R267,inputWeightings!$B$22:$F$22)</f>
        <v>42.581456968813093</v>
      </c>
      <c r="K91" s="284">
        <f>MeasureInputsANDResults!I213*inputWeightings!$B$22+MeasureInputsANDResults!L213*inputWeightings!$C$22+MeasureInputsANDResults!O213*inputWeightings!$D$22+MeasureInputsANDResults!R213*inputWeightings!$E$22+MeasureInputsANDResults!U213*inputWeightings!$F$22</f>
        <v>0</v>
      </c>
      <c r="L91" s="284">
        <f>MeasureInputsANDResults!J213*inputWeightings!$B$22+MeasureInputsANDResults!M213*inputWeightings!$C$22+MeasureInputsANDResults!P213*inputWeightings!$D$22+MeasureInputsANDResults!S213*inputWeightings!$E$22+MeasureInputsANDResults!V213*inputWeightings!$F$22</f>
        <v>518.45398848500201</v>
      </c>
      <c r="M91" s="328">
        <f>MeasureInputsANDResults!K213*inputWeightings!$B$22+MeasureInputsANDResults!N213*inputWeightings!$C$22+MeasureInputsANDResults!Q213*inputWeightings!$D$22+MeasureInputsANDResults!T213*inputWeightings!$E$22+MeasureInputsANDResults!W213*inputWeightings!$F$22</f>
        <v>3509.8505882352911</v>
      </c>
      <c r="N91" s="329">
        <f>SUMPRODUCT(MeasureInputsANDResults!X213:AB213,inputWeightings!$B$35:$F$35)</f>
        <v>412.36592717000002</v>
      </c>
    </row>
    <row r="92" spans="1:14" ht="15">
      <c r="A92" s="280" t="str">
        <f t="shared" si="12"/>
        <v>DuctI10</v>
      </c>
      <c r="B92" s="281" t="str">
        <f t="shared" si="12"/>
        <v>DuctInsulation10</v>
      </c>
      <c r="C92" s="281" t="str">
        <f t="shared" si="12"/>
        <v>DuctInsulation</v>
      </c>
      <c r="D92" s="281">
        <f t="shared" si="12"/>
        <v>10</v>
      </c>
      <c r="E92" s="281" t="str">
        <f t="shared" si="12"/>
        <v>R-0</v>
      </c>
      <c r="F92" s="281" t="str">
        <f t="shared" si="12"/>
        <v>R-4.2</v>
      </c>
      <c r="G92" s="281" t="s">
        <v>312</v>
      </c>
      <c r="H92" s="281" t="str">
        <f t="shared" ref="H92:H94" si="14">C92&amp;" - "&amp;E92&amp;" to "&amp;F92&amp;" - "&amp;G92</f>
        <v>DuctInsulation - R-0 to R-4.2 - Heating Zone 2</v>
      </c>
      <c r="I92" s="282">
        <f>SUMPRODUCT(MeasureInputsANDResults!I268:M268,inputWeightings!$B$22:$F$22)</f>
        <v>113.28378369264576</v>
      </c>
      <c r="J92" s="283">
        <f>SUMPRODUCT(MeasureInputsANDResults!N268:R268,inputWeightings!$B$22:$F$22)</f>
        <v>2.7105499735994965</v>
      </c>
      <c r="K92" s="282">
        <f>MeasureInputsANDResults!I214*inputWeightings!$B$22+MeasureInputsANDResults!L214*inputWeightings!$C$22+MeasureInputsANDResults!O214*inputWeightings!$D$22+MeasureInputsANDResults!R214*inputWeightings!$E$22+MeasureInputsANDResults!U214*inputWeightings!$F$22</f>
        <v>0</v>
      </c>
      <c r="L92" s="282">
        <f>MeasureInputsANDResults!J214*inputWeightings!$B$22+MeasureInputsANDResults!M214*inputWeightings!$C$22+MeasureInputsANDResults!P214*inputWeightings!$D$22+MeasureInputsANDResults!S214*inputWeightings!$E$22+MeasureInputsANDResults!V214*inputWeightings!$F$22</f>
        <v>103.65014884500056</v>
      </c>
      <c r="M92" s="326">
        <f>MeasureInputsANDResults!K214*inputWeightings!$B$22+MeasureInputsANDResults!N214*inputWeightings!$C$22+MeasureInputsANDResults!Q214*inputWeightings!$D$22+MeasureInputsANDResults!T214*inputWeightings!$E$22+MeasureInputsANDResults!W214*inputWeightings!$F$22</f>
        <v>130.95588235293675</v>
      </c>
      <c r="N92" s="327">
        <f>SUMPRODUCT(MeasureInputsANDResults!X214:AB214,inputWeightings!$B$35:$F$35)</f>
        <v>26.164713032499911</v>
      </c>
    </row>
    <row r="93" spans="1:14" ht="15">
      <c r="A93" s="236" t="str">
        <f t="shared" si="12"/>
        <v>DuctI11</v>
      </c>
      <c r="B93" s="237" t="str">
        <f t="shared" si="12"/>
        <v>DuctInsulation11</v>
      </c>
      <c r="C93" s="237" t="str">
        <f t="shared" si="12"/>
        <v>DuctInsulation</v>
      </c>
      <c r="D93" s="237">
        <f t="shared" si="12"/>
        <v>11</v>
      </c>
      <c r="E93" s="237" t="str">
        <f t="shared" si="12"/>
        <v>R-0</v>
      </c>
      <c r="F93" s="237" t="str">
        <f t="shared" si="12"/>
        <v>R-11</v>
      </c>
      <c r="G93" s="237" t="s">
        <v>312</v>
      </c>
      <c r="H93" s="237" t="str">
        <f t="shared" si="14"/>
        <v>DuctInsulation - R-0 to R-11 - Heating Zone 2</v>
      </c>
      <c r="I93" s="284">
        <f>SUMPRODUCT(MeasureInputsANDResults!I269:M269,inputWeightings!$B$22:$F$22)</f>
        <v>156.76698810341202</v>
      </c>
      <c r="J93" s="285">
        <f>SUMPRODUCT(MeasureInputsANDResults!N269:R269,inputWeightings!$B$22:$F$22)</f>
        <v>3.7479379652400966</v>
      </c>
      <c r="K93" s="284">
        <f>MeasureInputsANDResults!I215*inputWeightings!$B$22+MeasureInputsANDResults!L215*inputWeightings!$C$22+MeasureInputsANDResults!O215*inputWeightings!$D$22+MeasureInputsANDResults!R215*inputWeightings!$E$22+MeasureInputsANDResults!U215*inputWeightings!$F$22</f>
        <v>0</v>
      </c>
      <c r="L93" s="284">
        <f>MeasureInputsANDResults!J215*inputWeightings!$B$22+MeasureInputsANDResults!M215*inputWeightings!$C$22+MeasureInputsANDResults!P215*inputWeightings!$D$22+MeasureInputsANDResults!S215*inputWeightings!$E$22+MeasureInputsANDResults!V215*inputWeightings!$F$22</f>
        <v>142.4810315949963</v>
      </c>
      <c r="M93" s="328">
        <f>MeasureInputsANDResults!K215*inputWeightings!$B$22+MeasureInputsANDResults!N215*inputWeightings!$C$22+MeasureInputsANDResults!Q215*inputWeightings!$D$22+MeasureInputsANDResults!T215*inputWeightings!$E$22+MeasureInputsANDResults!W215*inputWeightings!$F$22</f>
        <v>182.9733823529366</v>
      </c>
      <c r="N93" s="329">
        <f>SUMPRODUCT(MeasureInputsANDResults!X215:AB215,inputWeightings!$B$35:$F$35)</f>
        <v>36.226064100000485</v>
      </c>
    </row>
    <row r="94" spans="1:14" ht="15">
      <c r="A94" s="273" t="str">
        <f t="shared" si="12"/>
        <v>DuctI12</v>
      </c>
      <c r="B94" s="274" t="str">
        <f t="shared" si="12"/>
        <v>DuctInsulation12</v>
      </c>
      <c r="C94" s="274" t="str">
        <f t="shared" si="12"/>
        <v>DuctInsulation</v>
      </c>
      <c r="D94" s="274">
        <f t="shared" si="12"/>
        <v>12</v>
      </c>
      <c r="E94" s="274" t="str">
        <f t="shared" si="12"/>
        <v>R-4.2</v>
      </c>
      <c r="F94" s="274" t="str">
        <f t="shared" si="12"/>
        <v>R-11</v>
      </c>
      <c r="G94" s="274" t="s">
        <v>312</v>
      </c>
      <c r="H94" s="274" t="str">
        <f t="shared" si="14"/>
        <v>DuctInsulation - R-4.2 to R-11 - Heating Zone 2</v>
      </c>
      <c r="I94" s="286">
        <f>SUMPRODUCT(MeasureInputsANDResults!I270:M270,inputWeightings!$B$22:$F$22)</f>
        <v>43.483204410766248</v>
      </c>
      <c r="J94" s="287">
        <f>SUMPRODUCT(MeasureInputsANDResults!N270:R270,inputWeightings!$B$22:$F$22)</f>
        <v>1.037387991640599</v>
      </c>
      <c r="K94" s="286">
        <f>MeasureInputsANDResults!I216*inputWeightings!$B$22+MeasureInputsANDResults!L216*inputWeightings!$C$22+MeasureInputsANDResults!O216*inputWeightings!$D$22+MeasureInputsANDResults!R216*inputWeightings!$E$22+MeasureInputsANDResults!U216*inputWeightings!$F$22</f>
        <v>0</v>
      </c>
      <c r="L94" s="286">
        <f>MeasureInputsANDResults!J216*inputWeightings!$B$22+MeasureInputsANDResults!M216*inputWeightings!$C$22+MeasureInputsANDResults!P216*inputWeightings!$D$22+MeasureInputsANDResults!S216*inputWeightings!$E$22+MeasureInputsANDResults!V216*inputWeightings!$F$22</f>
        <v>38.830882749995737</v>
      </c>
      <c r="M94" s="330">
        <f>MeasureInputsANDResults!K216*inputWeightings!$B$22+MeasureInputsANDResults!N216*inputWeightings!$C$22+MeasureInputsANDResults!Q216*inputWeightings!$D$22+MeasureInputsANDResults!T216*inputWeightings!$E$22+MeasureInputsANDResults!W216*inputWeightings!$F$22</f>
        <v>52.017499999999842</v>
      </c>
      <c r="N94" s="331">
        <f>SUMPRODUCT(MeasureInputsANDResults!X216:AB216,inputWeightings!$B$35:$F$35)</f>
        <v>10.061351067500571</v>
      </c>
    </row>
    <row r="95" spans="1:14" ht="15">
      <c r="A95" s="236" t="str">
        <f t="shared" si="12"/>
        <v>HeatP10</v>
      </c>
      <c r="B95" s="237" t="str">
        <f t="shared" si="12"/>
        <v>HeatPump10</v>
      </c>
      <c r="C95" s="237" t="str">
        <f t="shared" si="12"/>
        <v>HeatPump</v>
      </c>
      <c r="D95" s="237">
        <f t="shared" si="12"/>
        <v>10</v>
      </c>
      <c r="E95" s="237" t="str">
        <f t="shared" si="12"/>
        <v>7.7/13</v>
      </c>
      <c r="F95" s="237" t="str">
        <f t="shared" si="12"/>
        <v>8.5/13</v>
      </c>
      <c r="G95" s="237" t="s">
        <v>312</v>
      </c>
      <c r="H95" s="237" t="str">
        <f>C95&amp;" Upgrade - "&amp;E95&amp;" to "&amp;F95&amp;" - "&amp;G95</f>
        <v>HeatPump Upgrade - 7.7/13 to 8.5/13 - Heating Zone 2</v>
      </c>
      <c r="I95" s="284"/>
      <c r="J95" s="285"/>
      <c r="K95" s="284"/>
      <c r="L95" s="284"/>
      <c r="M95" s="328">
        <f>MeasureInputsANDResults!K217*inputWeightings!$B$22+MeasureInputsANDResults!N217*inputWeightings!$C$22+MeasureInputsANDResults!Q217*inputWeightings!$D$22+MeasureInputsANDResults!T217*inputWeightings!$E$22+MeasureInputsANDResults!W217*inputWeightings!$F$22</f>
        <v>620.51158326967038</v>
      </c>
      <c r="N95" s="329">
        <f>SUMPRODUCT(MeasureInputsANDResults!X217:AB217,inputWeightings!$B$35:$F$35)</f>
        <v>0</v>
      </c>
    </row>
    <row r="96" spans="1:14" ht="15">
      <c r="A96" s="236" t="str">
        <f t="shared" si="12"/>
        <v>HeatP11</v>
      </c>
      <c r="B96" s="237" t="str">
        <f t="shared" si="12"/>
        <v>HeatPump11</v>
      </c>
      <c r="C96" s="237" t="str">
        <f t="shared" si="12"/>
        <v>HeatPump</v>
      </c>
      <c r="D96" s="237">
        <f t="shared" si="12"/>
        <v>11</v>
      </c>
      <c r="E96" s="237" t="str">
        <f t="shared" si="12"/>
        <v>7.7/13</v>
      </c>
      <c r="F96" s="237" t="str">
        <f t="shared" si="12"/>
        <v>9.0/14</v>
      </c>
      <c r="G96" s="237" t="s">
        <v>312</v>
      </c>
      <c r="H96" s="237" t="str">
        <f t="shared" ref="H96:H98" si="15">C96&amp;" Upgrade - "&amp;E96&amp;" to "&amp;F96&amp;" - "&amp;G96</f>
        <v>HeatPump Upgrade - 7.7/13 to 9.0/14 - Heating Zone 2</v>
      </c>
      <c r="I96" s="284"/>
      <c r="J96" s="285"/>
      <c r="K96" s="284"/>
      <c r="L96" s="284"/>
      <c r="M96" s="328">
        <f>MeasureInputsANDResults!K218*inputWeightings!$B$22+MeasureInputsANDResults!N218*inputWeightings!$C$22+MeasureInputsANDResults!Q218*inputWeightings!$D$22+MeasureInputsANDResults!T218*inputWeightings!$E$22+MeasureInputsANDResults!W218*inputWeightings!$F$22</f>
        <v>919.25375974025872</v>
      </c>
      <c r="N96" s="329">
        <f>SUMPRODUCT(MeasureInputsANDResults!X218:AB218,inputWeightings!$B$35:$F$35)</f>
        <v>213.6506191385713</v>
      </c>
    </row>
    <row r="97" spans="1:14" ht="15">
      <c r="A97" s="273" t="str">
        <f t="shared" si="12"/>
        <v>HeatP12</v>
      </c>
      <c r="B97" s="274" t="str">
        <f t="shared" si="12"/>
        <v>HeatPump12</v>
      </c>
      <c r="C97" s="274" t="str">
        <f t="shared" si="12"/>
        <v>HeatPump</v>
      </c>
      <c r="D97" s="274">
        <f t="shared" si="12"/>
        <v>12</v>
      </c>
      <c r="E97" s="274" t="str">
        <f t="shared" si="12"/>
        <v>7.7/13</v>
      </c>
      <c r="F97" s="274" t="str">
        <f t="shared" si="12"/>
        <v>8.2/13</v>
      </c>
      <c r="G97" s="274" t="s">
        <v>312</v>
      </c>
      <c r="H97" s="274" t="str">
        <f t="shared" si="15"/>
        <v>HeatPump Upgrade - 7.7/13 to 8.2/13 - Heating Zone 2</v>
      </c>
      <c r="I97" s="286"/>
      <c r="J97" s="287"/>
      <c r="K97" s="286"/>
      <c r="L97" s="286"/>
      <c r="M97" s="330">
        <f>MeasureInputsANDResults!K219*inputWeightings!$B$22+MeasureInputsANDResults!N219*inputWeightings!$C$22+MeasureInputsANDResults!Q219*inputWeightings!$D$22+MeasureInputsANDResults!T219*inputWeightings!$E$22+MeasureInputsANDResults!W219*inputWeightings!$F$22</f>
        <v>423.77893047196534</v>
      </c>
      <c r="N97" s="329">
        <f>SUMPRODUCT(MeasureInputsANDResults!X219:AB219,inputWeightings!$B$35:$F$35)</f>
        <v>0</v>
      </c>
    </row>
    <row r="98" spans="1:14" ht="15.75" thickBot="1">
      <c r="A98" s="288" t="str">
        <f t="shared" si="12"/>
        <v>HPCnt10</v>
      </c>
      <c r="B98" s="289" t="str">
        <f t="shared" si="12"/>
        <v>HPCntrls10</v>
      </c>
      <c r="C98" s="289" t="str">
        <f t="shared" si="12"/>
        <v>HPCntrls</v>
      </c>
      <c r="D98" s="289">
        <f t="shared" si="12"/>
        <v>10</v>
      </c>
      <c r="E98" s="289" t="str">
        <f t="shared" si="12"/>
        <v>Standard</v>
      </c>
      <c r="F98" s="289" t="str">
        <f t="shared" si="12"/>
        <v>PTCS</v>
      </c>
      <c r="G98" s="289" t="s">
        <v>312</v>
      </c>
      <c r="H98" s="289" t="str">
        <f t="shared" si="15"/>
        <v>HPCntrls Upgrade - Standard to PTCS - Heating Zone 2</v>
      </c>
      <c r="I98" s="290"/>
      <c r="J98" s="291"/>
      <c r="K98" s="290"/>
      <c r="L98" s="290"/>
      <c r="M98" s="332">
        <f>MeasureInputsANDResults!K220*inputWeightings!$B$22+MeasureInputsANDResults!N220*inputWeightings!$C$22+MeasureInputsANDResults!Q220*inputWeightings!$D$22+MeasureInputsANDResults!T220*inputWeightings!$E$22+MeasureInputsANDResults!W220*inputWeightings!$F$22</f>
        <v>1932.6027941176474</v>
      </c>
      <c r="N98" s="333">
        <f>SUMPRODUCT(MeasureInputsANDResults!X220:AB220,inputWeightings!B35:F35)</f>
        <v>-3.99093603750004</v>
      </c>
    </row>
    <row r="99" spans="1:14" ht="15">
      <c r="A99" s="215" t="str">
        <f t="shared" si="12"/>
        <v>Walls10</v>
      </c>
      <c r="B99" s="216" t="str">
        <f t="shared" si="12"/>
        <v>Walls10</v>
      </c>
      <c r="C99" s="216" t="str">
        <f t="shared" si="12"/>
        <v>Walls</v>
      </c>
      <c r="D99" s="216">
        <f t="shared" si="12"/>
        <v>10</v>
      </c>
      <c r="E99" s="216" t="str">
        <f t="shared" si="12"/>
        <v>R-0</v>
      </c>
      <c r="F99" s="216" t="str">
        <f t="shared" si="12"/>
        <v>R-11</v>
      </c>
      <c r="G99" s="217" t="s">
        <v>313</v>
      </c>
      <c r="H99" s="216" t="str">
        <f t="shared" ref="H99:H109" si="16">"Multi Family Weatherization - Insulate "&amp;C99&amp;" - "&amp;E99&amp;" to "&amp;F99&amp;" - "&amp;G99</f>
        <v>Multi Family Weatherization - Insulate Walls - R-0 to R-11 - Heating Zone 3</v>
      </c>
      <c r="I99" s="218">
        <f>SUMPRODUCT(MeasureInputsANDResults!I229:M229,inputWeightings!$B$23:$F$23)</f>
        <v>2.2192391956351711</v>
      </c>
      <c r="J99" s="219">
        <f>SUMPRODUCT(MeasureInputsANDResults!N229:R229,inputWeightings!$B$23:$F$23)</f>
        <v>-1.2183909619249513E-3</v>
      </c>
      <c r="K99" s="218">
        <f>MeasureInputsANDResults!I175*inputWeightings!$B$23+MeasureInputsANDResults!L175*inputWeightings!$C$23+MeasureInputsANDResults!O175*inputWeightings!$D$23+MeasureInputsANDResults!R175*inputWeightings!$E$23+MeasureInputsANDResults!U175*inputWeightings!$F$23</f>
        <v>2.2317370823219416</v>
      </c>
      <c r="L99" s="218">
        <f>MeasureInputsANDResults!J175*inputWeightings!$B$23+MeasureInputsANDResults!M175*inputWeightings!$C$23+MeasureInputsANDResults!P175*inputWeightings!$D$23+MeasureInputsANDResults!S175*inputWeightings!$E$23+MeasureInputsANDResults!V175*inputWeightings!$F$23</f>
        <v>2.2760980852113253</v>
      </c>
      <c r="M99" s="309">
        <f>MeasureInputsANDResults!K175*inputWeightings!$B$23+MeasureInputsANDResults!N175*inputWeightings!$C$23+MeasureInputsANDResults!Q175*inputWeightings!$D$23+MeasureInputsANDResults!T175*inputWeightings!$E$23+MeasureInputsANDResults!W175*inputWeightings!$F$23</f>
        <v>1.1677794555296441</v>
      </c>
      <c r="N99" s="310">
        <f>SUMPRODUCT(MeasureInputsANDResults!X175:AB175,inputWeightings!$B$36:$F$36)</f>
        <v>2.1364962966936268E-2</v>
      </c>
    </row>
    <row r="100" spans="1:14" ht="15">
      <c r="A100" s="222" t="str">
        <f t="shared" si="12"/>
        <v>BGWal10</v>
      </c>
      <c r="B100" s="223" t="str">
        <f t="shared" si="12"/>
        <v>BGWalls10</v>
      </c>
      <c r="C100" s="223" t="str">
        <f t="shared" si="12"/>
        <v>BGWalls</v>
      </c>
      <c r="D100" s="223">
        <f t="shared" si="12"/>
        <v>10</v>
      </c>
      <c r="E100" s="223" t="str">
        <f t="shared" si="12"/>
        <v>R-0</v>
      </c>
      <c r="F100" s="223" t="str">
        <f t="shared" si="12"/>
        <v>R-11</v>
      </c>
      <c r="G100" s="224" t="s">
        <v>313</v>
      </c>
      <c r="H100" s="223" t="str">
        <f t="shared" si="16"/>
        <v>Multi Family Weatherization - Insulate BGWalls - R-0 to R-11 - Heating Zone 3</v>
      </c>
      <c r="I100" s="225">
        <f>SUMPRODUCT(MeasureInputsANDResults!I230:M230,inputWeightings!$B$23:$F$23)</f>
        <v>0</v>
      </c>
      <c r="J100" s="226">
        <f>SUMPRODUCT(MeasureInputsANDResults!N230:R230,inputWeightings!$B$23:$F$23)</f>
        <v>0</v>
      </c>
      <c r="K100" s="225">
        <f>MeasureInputsANDResults!I176*inputWeightings!$B$23+MeasureInputsANDResults!L176*inputWeightings!$C$23+MeasureInputsANDResults!O176*inputWeightings!$D$23+MeasureInputsANDResults!R176*inputWeightings!$E$23+MeasureInputsANDResults!U176*inputWeightings!$F$23</f>
        <v>0</v>
      </c>
      <c r="L100" s="225">
        <f>MeasureInputsANDResults!J176*inputWeightings!$B$23+MeasureInputsANDResults!M176*inputWeightings!$C$23+MeasureInputsANDResults!P176*inputWeightings!$D$23+MeasureInputsANDResults!S176*inputWeightings!$E$23+MeasureInputsANDResults!V176*inputWeightings!$F$23</f>
        <v>0</v>
      </c>
      <c r="M100" s="311">
        <f>MeasureInputsANDResults!K176*inputWeightings!$B$23+MeasureInputsANDResults!N176*inputWeightings!$C$23+MeasureInputsANDResults!Q176*inputWeightings!$D$23+MeasureInputsANDResults!T176*inputWeightings!$E$23+MeasureInputsANDResults!W176*inputWeightings!$F$23</f>
        <v>0</v>
      </c>
      <c r="N100" s="312">
        <f>SUMPRODUCT(MeasureInputsANDResults!X176:AB176,inputWeightings!$B$36:$F$36)</f>
        <v>0</v>
      </c>
    </row>
    <row r="101" spans="1:14" ht="15">
      <c r="A101" s="227" t="str">
        <f t="shared" si="12"/>
        <v>Floor10</v>
      </c>
      <c r="B101" s="228" t="str">
        <f t="shared" si="12"/>
        <v>Floors10</v>
      </c>
      <c r="C101" s="228" t="str">
        <f t="shared" si="12"/>
        <v>Floors</v>
      </c>
      <c r="D101" s="228">
        <f t="shared" si="12"/>
        <v>10</v>
      </c>
      <c r="E101" s="228" t="str">
        <f t="shared" si="12"/>
        <v>R-0</v>
      </c>
      <c r="F101" s="228" t="str">
        <f t="shared" si="12"/>
        <v>R-19</v>
      </c>
      <c r="G101" s="229" t="s">
        <v>313</v>
      </c>
      <c r="H101" s="228" t="str">
        <f t="shared" si="16"/>
        <v>Multi Family Weatherization - Insulate Floors - R-0 to R-19 - Heating Zone 3</v>
      </c>
      <c r="I101" s="230">
        <f>SUMPRODUCT(MeasureInputsANDResults!I231:M231,inputWeightings!$B$23:$F$23)</f>
        <v>0.87781434572724071</v>
      </c>
      <c r="J101" s="231">
        <f>SUMPRODUCT(MeasureInputsANDResults!N231:R231,inputWeightings!$B$23:$F$23)</f>
        <v>-8.3155143486764727E-3</v>
      </c>
      <c r="K101" s="230">
        <f>MeasureInputsANDResults!I177*inputWeightings!$B$23+MeasureInputsANDResults!L177*inputWeightings!$C$23+MeasureInputsANDResults!O177*inputWeightings!$D$23+MeasureInputsANDResults!R177*inputWeightings!$E$23+MeasureInputsANDResults!U177*inputWeightings!$F$23</f>
        <v>0.88466842380214095</v>
      </c>
      <c r="L101" s="230">
        <f>MeasureInputsANDResults!J177*inputWeightings!$B$23+MeasureInputsANDResults!M177*inputWeightings!$C$23+MeasureInputsANDResults!P177*inputWeightings!$D$23+MeasureInputsANDResults!S177*inputWeightings!$E$23+MeasureInputsANDResults!V177*inputWeightings!$F$23</f>
        <v>0.87019508074599128</v>
      </c>
      <c r="M101" s="313">
        <f>MeasureInputsANDResults!K177*inputWeightings!$B$23+MeasureInputsANDResults!N177*inputWeightings!$C$23+MeasureInputsANDResults!Q177*inputWeightings!$D$23+MeasureInputsANDResults!T177*inputWeightings!$E$23+MeasureInputsANDResults!W177*inputWeightings!$F$23</f>
        <v>0.37235246932997834</v>
      </c>
      <c r="N101" s="314">
        <f>SUMPRODUCT(MeasureInputsANDResults!X177:AB177,inputWeightings!$B$36:$F$36)</f>
        <v>-8.9849703227272593E-2</v>
      </c>
    </row>
    <row r="102" spans="1:14" ht="15">
      <c r="A102" s="236" t="str">
        <f t="shared" ref="A102:F117" si="17">A56</f>
        <v>Floor11</v>
      </c>
      <c r="B102" s="237" t="str">
        <f t="shared" si="17"/>
        <v>Floors11</v>
      </c>
      <c r="C102" s="237" t="str">
        <f t="shared" si="17"/>
        <v>Floors</v>
      </c>
      <c r="D102" s="237">
        <f t="shared" si="17"/>
        <v>11</v>
      </c>
      <c r="E102" s="237" t="str">
        <f t="shared" si="17"/>
        <v>R-0</v>
      </c>
      <c r="F102" s="237" t="str">
        <f t="shared" si="17"/>
        <v>R-25</v>
      </c>
      <c r="G102" s="238" t="s">
        <v>313</v>
      </c>
      <c r="H102" s="237" t="str">
        <f t="shared" si="16"/>
        <v>Multi Family Weatherization - Insulate Floors - R-0 to R-25 - Heating Zone 3</v>
      </c>
      <c r="I102" s="239">
        <f>SUMPRODUCT(MeasureInputsANDResults!I232:M232,inputWeightings!$B$23:$F$23)</f>
        <v>1.0078877306981222</v>
      </c>
      <c r="J102" s="240">
        <f>SUMPRODUCT(MeasureInputsANDResults!N232:R232,inputWeightings!$B$23:$F$23)</f>
        <v>-9.6653240338565646E-3</v>
      </c>
      <c r="K102" s="239">
        <f>MeasureInputsANDResults!I178*inputWeightings!$B$23+MeasureInputsANDResults!L178*inputWeightings!$C$23+MeasureInputsANDResults!O178*inputWeightings!$D$23+MeasureInputsANDResults!R178*inputWeightings!$E$23+MeasureInputsANDResults!U178*inputWeightings!$F$23</f>
        <v>1.0157472710294122</v>
      </c>
      <c r="L102" s="239">
        <f>MeasureInputsANDResults!J178*inputWeightings!$B$23+MeasureInputsANDResults!M178*inputWeightings!$C$23+MeasureInputsANDResults!P178*inputWeightings!$D$23+MeasureInputsANDResults!S178*inputWeightings!$E$23+MeasureInputsANDResults!V178*inputWeightings!$F$23</f>
        <v>0.99937294151337086</v>
      </c>
      <c r="M102" s="315">
        <f>MeasureInputsANDResults!K178*inputWeightings!$B$23+MeasureInputsANDResults!N178*inputWeightings!$C$23+MeasureInputsANDResults!Q178*inputWeightings!$D$23+MeasureInputsANDResults!T178*inputWeightings!$E$23+MeasureInputsANDResults!W178*inputWeightings!$F$23</f>
        <v>0.42786929852154842</v>
      </c>
      <c r="N102" s="316">
        <f>SUMPRODUCT(MeasureInputsANDResults!X178:AB178,inputWeightings!$B$36:$F$36)</f>
        <v>-0.10425865074064163</v>
      </c>
    </row>
    <row r="103" spans="1:14" ht="15">
      <c r="A103" s="227" t="str">
        <f t="shared" si="17"/>
        <v>Floor12</v>
      </c>
      <c r="B103" s="228" t="str">
        <f t="shared" si="17"/>
        <v>Floors12</v>
      </c>
      <c r="C103" s="228" t="str">
        <f t="shared" si="17"/>
        <v>Floors</v>
      </c>
      <c r="D103" s="228">
        <f t="shared" si="17"/>
        <v>12</v>
      </c>
      <c r="E103" s="228" t="str">
        <f t="shared" si="17"/>
        <v>R-0</v>
      </c>
      <c r="F103" s="228" t="str">
        <f t="shared" si="17"/>
        <v>R-30</v>
      </c>
      <c r="G103" s="229" t="s">
        <v>313</v>
      </c>
      <c r="H103" s="228" t="str">
        <f t="shared" si="16"/>
        <v>Multi Family Weatherization - Insulate Floors - R-0 to R-30 - Heating Zone 3</v>
      </c>
      <c r="I103" s="230">
        <f>SUMPRODUCT(MeasureInputsANDResults!I233:M233,inputWeightings!$B$23:$F$23)</f>
        <v>1.1455593689656125</v>
      </c>
      <c r="J103" s="231">
        <f>SUMPRODUCT(MeasureInputsANDResults!N233:R233,inputWeightings!$B$23:$F$23)</f>
        <v>-1.1128709345584874E-2</v>
      </c>
      <c r="K103" s="230">
        <f>MeasureInputsANDResults!I179*inputWeightings!$B$23+MeasureInputsANDResults!L179*inputWeightings!$C$23+MeasureInputsANDResults!O179*inputWeightings!$D$23+MeasureInputsANDResults!R179*inputWeightings!$E$23+MeasureInputsANDResults!U179*inputWeightings!$F$23</f>
        <v>1.1544904382566858</v>
      </c>
      <c r="L103" s="230">
        <f>MeasureInputsANDResults!J179*inputWeightings!$B$23+MeasureInputsANDResults!M179*inputWeightings!$C$23+MeasureInputsANDResults!P179*inputWeightings!$D$23+MeasureInputsANDResults!S179*inputWeightings!$E$23+MeasureInputsANDResults!V179*inputWeightings!$F$23</f>
        <v>1.1361631078181835</v>
      </c>
      <c r="M103" s="313">
        <f>MeasureInputsANDResults!K179*inputWeightings!$B$23+MeasureInputsANDResults!N179*inputWeightings!$C$23+MeasureInputsANDResults!Q179*inputWeightings!$D$23+MeasureInputsANDResults!T179*inputWeightings!$E$23+MeasureInputsANDResults!W179*inputWeightings!$F$23</f>
        <v>0.48595171437558971</v>
      </c>
      <c r="N103" s="314">
        <f>SUMPRODUCT(MeasureInputsANDResults!X179:AB179,inputWeightings!$B$36:$F$36)</f>
        <v>-0.11983911942513364</v>
      </c>
    </row>
    <row r="104" spans="1:14" ht="15">
      <c r="A104" s="236" t="str">
        <f t="shared" si="17"/>
        <v>Floor13</v>
      </c>
      <c r="B104" s="237" t="str">
        <f t="shared" si="17"/>
        <v>Floors13</v>
      </c>
      <c r="C104" s="237" t="str">
        <f t="shared" si="17"/>
        <v>Floors</v>
      </c>
      <c r="D104" s="237">
        <f t="shared" si="17"/>
        <v>13</v>
      </c>
      <c r="E104" s="237" t="str">
        <f t="shared" si="17"/>
        <v>R-0</v>
      </c>
      <c r="F104" s="237" t="str">
        <f t="shared" si="17"/>
        <v>R-38</v>
      </c>
      <c r="G104" s="238" t="s">
        <v>313</v>
      </c>
      <c r="H104" s="237" t="str">
        <f t="shared" si="16"/>
        <v>Multi Family Weatherization - Insulate Floors - R-0 to R-38 - Heating Zone 3</v>
      </c>
      <c r="I104" s="239">
        <f>SUMPRODUCT(MeasureInputsANDResults!I234:M234,inputWeightings!$B$23:$F$23)</f>
        <v>1.1822957706115718</v>
      </c>
      <c r="J104" s="240">
        <f>SUMPRODUCT(MeasureInputsANDResults!N234:R234,inputWeightings!$B$23:$F$23)</f>
        <v>-1.1524572227190943E-2</v>
      </c>
      <c r="K104" s="239">
        <f>MeasureInputsANDResults!I180*inputWeightings!$B$23+MeasureInputsANDResults!L180*inputWeightings!$C$23+MeasureInputsANDResults!O180*inputWeightings!$D$23+MeasureInputsANDResults!R180*inputWeightings!$E$23+MeasureInputsANDResults!U180*inputWeightings!$F$23</f>
        <v>1.1915138943395736</v>
      </c>
      <c r="L104" s="239">
        <f>MeasureInputsANDResults!J180*inputWeightings!$B$23+MeasureInputsANDResults!M180*inputWeightings!$C$23+MeasureInputsANDResults!P180*inputWeightings!$D$23+MeasureInputsANDResults!S180*inputWeightings!$E$23+MeasureInputsANDResults!V180*inputWeightings!$F$23</f>
        <v>1.1726735664679153</v>
      </c>
      <c r="M104" s="315">
        <f>MeasureInputsANDResults!K180*inputWeightings!$B$23+MeasureInputsANDResults!N180*inputWeightings!$C$23+MeasureInputsANDResults!Q180*inputWeightings!$D$23+MeasureInputsANDResults!T180*inputWeightings!$E$23+MeasureInputsANDResults!W180*inputWeightings!$F$23</f>
        <v>0.50134806542938026</v>
      </c>
      <c r="N104" s="316">
        <f>SUMPRODUCT(MeasureInputsANDResults!X180:AB180,inputWeightings!$B$36:$F$36)</f>
        <v>-0.12405266836096229</v>
      </c>
    </row>
    <row r="105" spans="1:14" ht="15">
      <c r="A105" s="236" t="str">
        <f t="shared" si="17"/>
        <v>Floor14</v>
      </c>
      <c r="B105" s="237" t="str">
        <f t="shared" si="17"/>
        <v>Floors14</v>
      </c>
      <c r="C105" s="237" t="str">
        <f t="shared" si="17"/>
        <v>Floors</v>
      </c>
      <c r="D105" s="237">
        <f t="shared" si="17"/>
        <v>14</v>
      </c>
      <c r="E105" s="237" t="str">
        <f t="shared" si="17"/>
        <v>R-19</v>
      </c>
      <c r="F105" s="237" t="str">
        <f t="shared" si="17"/>
        <v>R-25</v>
      </c>
      <c r="G105" s="238" t="s">
        <v>313</v>
      </c>
      <c r="H105" s="237" t="str">
        <f t="shared" si="16"/>
        <v>Multi Family Weatherization - Insulate Floors - R-19 to R-25 - Heating Zone 3</v>
      </c>
      <c r="I105" s="239">
        <f>SUMPRODUCT(MeasureInputsANDResults!I235:M235,inputWeightings!$B$23:$F$23)</f>
        <v>0.13007338497088153</v>
      </c>
      <c r="J105" s="240">
        <f>SUMPRODUCT(MeasureInputsANDResults!N235:R235,inputWeightings!$B$23:$F$23)</f>
        <v>-1.3498096851800915E-3</v>
      </c>
      <c r="K105" s="239">
        <f>MeasureInputsANDResults!I181*inputWeightings!$B$23+MeasureInputsANDResults!L181*inputWeightings!$C$23+MeasureInputsANDResults!O181*inputWeightings!$D$23+MeasureInputsANDResults!R181*inputWeightings!$E$23+MeasureInputsANDResults!U181*inputWeightings!$F$23</f>
        <v>0.13107884722727128</v>
      </c>
      <c r="L105" s="239">
        <f>MeasureInputsANDResults!J181*inputWeightings!$B$23+MeasureInputsANDResults!M181*inputWeightings!$C$23+MeasureInputsANDResults!P181*inputWeightings!$D$23+MeasureInputsANDResults!S181*inputWeightings!$E$23+MeasureInputsANDResults!V181*inputWeightings!$F$23</f>
        <v>0.12917786076737955</v>
      </c>
      <c r="M105" s="315">
        <f>MeasureInputsANDResults!K181*inputWeightings!$B$23+MeasureInputsANDResults!N181*inputWeightings!$C$23+MeasureInputsANDResults!Q181*inputWeightings!$D$23+MeasureInputsANDResults!T181*inputWeightings!$E$23+MeasureInputsANDResults!W181*inputWeightings!$F$23</f>
        <v>5.5516829191570083E-2</v>
      </c>
      <c r="N105" s="316">
        <f>SUMPRODUCT(MeasureInputsANDResults!X181:AB181,inputWeightings!$B$36:$F$36)</f>
        <v>-1.4408947513369016E-2</v>
      </c>
    </row>
    <row r="106" spans="1:14" ht="15">
      <c r="A106" s="227" t="str">
        <f t="shared" si="17"/>
        <v>Floor15</v>
      </c>
      <c r="B106" s="228" t="str">
        <f t="shared" si="17"/>
        <v>Floors15</v>
      </c>
      <c r="C106" s="228" t="str">
        <f t="shared" si="17"/>
        <v>Floors</v>
      </c>
      <c r="D106" s="228">
        <f t="shared" si="17"/>
        <v>15</v>
      </c>
      <c r="E106" s="228" t="str">
        <f t="shared" si="17"/>
        <v>R-19</v>
      </c>
      <c r="F106" s="228" t="str">
        <f t="shared" si="17"/>
        <v>R-30</v>
      </c>
      <c r="G106" s="229" t="s">
        <v>313</v>
      </c>
      <c r="H106" s="228" t="str">
        <f t="shared" si="16"/>
        <v>Multi Family Weatherization - Insulate Floors - R-19 to R-30 - Heating Zone 3</v>
      </c>
      <c r="I106" s="230">
        <f>SUMPRODUCT(MeasureInputsANDResults!I236:M236,inputWeightings!$B$23:$F$23)</f>
        <v>0.2677450232383719</v>
      </c>
      <c r="J106" s="231">
        <f>SUMPRODUCT(MeasureInputsANDResults!N236:R236,inputWeightings!$B$23:$F$23)</f>
        <v>-2.8131949969084006E-3</v>
      </c>
      <c r="K106" s="230">
        <f>MeasureInputsANDResults!I182*inputWeightings!$B$23+MeasureInputsANDResults!L182*inputWeightings!$C$23+MeasureInputsANDResults!O182*inputWeightings!$D$23+MeasureInputsANDResults!R182*inputWeightings!$E$23+MeasureInputsANDResults!U182*inputWeightings!$F$23</f>
        <v>0.26982201445454501</v>
      </c>
      <c r="L106" s="230">
        <f>MeasureInputsANDResults!J182*inputWeightings!$B$23+MeasureInputsANDResults!M182*inputWeightings!$C$23+MeasureInputsANDResults!P182*inputWeightings!$D$23+MeasureInputsANDResults!S182*inputWeightings!$E$23+MeasureInputsANDResults!V182*inputWeightings!$F$23</f>
        <v>0.26596802707219236</v>
      </c>
      <c r="M106" s="313">
        <f>MeasureInputsANDResults!K182*inputWeightings!$B$23+MeasureInputsANDResults!N182*inputWeightings!$C$23+MeasureInputsANDResults!Q182*inputWeightings!$D$23+MeasureInputsANDResults!T182*inputWeightings!$E$23+MeasureInputsANDResults!W182*inputWeightings!$F$23</f>
        <v>0.11359924504561136</v>
      </c>
      <c r="N106" s="314">
        <f>SUMPRODUCT(MeasureInputsANDResults!X182:AB182,inputWeightings!$B$36:$F$36)</f>
        <v>-2.9989416197861055E-2</v>
      </c>
    </row>
    <row r="107" spans="1:14" ht="15">
      <c r="A107" s="236" t="str">
        <f t="shared" si="17"/>
        <v>Floor16</v>
      </c>
      <c r="B107" s="237" t="str">
        <f t="shared" si="17"/>
        <v>Floors16</v>
      </c>
      <c r="C107" s="237" t="str">
        <f t="shared" si="17"/>
        <v>Floors</v>
      </c>
      <c r="D107" s="237">
        <f t="shared" si="17"/>
        <v>16</v>
      </c>
      <c r="E107" s="237" t="str">
        <f t="shared" si="17"/>
        <v>R-19</v>
      </c>
      <c r="F107" s="237" t="str">
        <f t="shared" si="17"/>
        <v>R-38</v>
      </c>
      <c r="G107" s="238" t="s">
        <v>313</v>
      </c>
      <c r="H107" s="237" t="str">
        <f t="shared" si="16"/>
        <v>Multi Family Weatherization - Insulate Floors - R-19 to R-38 - Heating Zone 3</v>
      </c>
      <c r="I107" s="239">
        <f>SUMPRODUCT(MeasureInputsANDResults!I237:M237,inputWeightings!$B$23:$F$23)</f>
        <v>0.30448142488433083</v>
      </c>
      <c r="J107" s="240">
        <f>SUMPRODUCT(MeasureInputsANDResults!N237:R237,inputWeightings!$B$23:$F$23)</f>
        <v>-3.2090578785144703E-3</v>
      </c>
      <c r="K107" s="239">
        <f>MeasureInputsANDResults!I183*inputWeightings!$B$23+MeasureInputsANDResults!L183*inputWeightings!$C$23+MeasureInputsANDResults!O183*inputWeightings!$D$23+MeasureInputsANDResults!R183*inputWeightings!$E$23+MeasureInputsANDResults!U183*inputWeightings!$F$23</f>
        <v>0.30684547053743255</v>
      </c>
      <c r="L107" s="239">
        <f>MeasureInputsANDResults!J183*inputWeightings!$B$23+MeasureInputsANDResults!M183*inputWeightings!$C$23+MeasureInputsANDResults!P183*inputWeightings!$D$23+MeasureInputsANDResults!S183*inputWeightings!$E$23+MeasureInputsANDResults!V183*inputWeightings!$F$23</f>
        <v>0.30247848572192415</v>
      </c>
      <c r="M107" s="315">
        <f>MeasureInputsANDResults!K183*inputWeightings!$B$23+MeasureInputsANDResults!N183*inputWeightings!$C$23+MeasureInputsANDResults!Q183*inputWeightings!$D$23+MeasureInputsANDResults!T183*inputWeightings!$E$23+MeasureInputsANDResults!W183*inputWeightings!$F$23</f>
        <v>0.12899559609940189</v>
      </c>
      <c r="N107" s="316">
        <f>SUMPRODUCT(MeasureInputsANDResults!X183:AB183,inputWeightings!$B$36:$F$36)</f>
        <v>-3.4202965133689686E-2</v>
      </c>
    </row>
    <row r="108" spans="1:14" ht="15">
      <c r="A108" s="236" t="str">
        <f t="shared" si="17"/>
        <v>Floor17</v>
      </c>
      <c r="B108" s="237" t="str">
        <f t="shared" si="17"/>
        <v>Floors17</v>
      </c>
      <c r="C108" s="237" t="str">
        <f t="shared" si="17"/>
        <v>Floors</v>
      </c>
      <c r="D108" s="237">
        <f t="shared" si="17"/>
        <v>17</v>
      </c>
      <c r="E108" s="237" t="str">
        <f t="shared" si="17"/>
        <v>R-11</v>
      </c>
      <c r="F108" s="237" t="str">
        <f t="shared" si="17"/>
        <v>R-30</v>
      </c>
      <c r="G108" s="238" t="s">
        <v>313</v>
      </c>
      <c r="H108" s="237" t="str">
        <f t="shared" si="16"/>
        <v>Multi Family Weatherization - Insulate Floors - R-11 to R-30 - Heating Zone 3</v>
      </c>
      <c r="I108" s="239">
        <f>SUMPRODUCT(MeasureInputsANDResults!I238:M238,inputWeightings!$B$23:$F$23)</f>
        <v>2.5250254137254768</v>
      </c>
      <c r="J108" s="240">
        <f>SUMPRODUCT(MeasureInputsANDResults!N238:R238,inputWeightings!$B$23:$F$23)</f>
        <v>-2.1853660973660857E-2</v>
      </c>
      <c r="K108" s="239">
        <f>MeasureInputsANDResults!I184*inputWeightings!$B$23+MeasureInputsANDResults!L184*inputWeightings!$C$23+MeasureInputsANDResults!O184*inputWeightings!$D$23+MeasureInputsANDResults!R184*inputWeightings!$E$23+MeasureInputsANDResults!U184*inputWeightings!$F$23</f>
        <v>2.5448553316042783</v>
      </c>
      <c r="L108" s="239">
        <f>MeasureInputsANDResults!J184*inputWeightings!$B$23+MeasureInputsANDResults!M184*inputWeightings!$C$23+MeasureInputsANDResults!P184*inputWeightings!$D$23+MeasureInputsANDResults!S184*inputWeightings!$E$23+MeasureInputsANDResults!V184*inputWeightings!$F$23</f>
        <v>2.4976591291844934</v>
      </c>
      <c r="M108" s="315">
        <f>MeasureInputsANDResults!K184*inputWeightings!$B$23+MeasureInputsANDResults!N184*inputWeightings!$C$23+MeasureInputsANDResults!Q184*inputWeightings!$D$23+MeasureInputsANDResults!T184*inputWeightings!$E$23+MeasureInputsANDResults!W184*inputWeightings!$F$23</f>
        <v>1.0724090909090902</v>
      </c>
      <c r="N108" s="316">
        <f>SUMPRODUCT(MeasureInputsANDResults!X184:AB184,inputWeightings!$B$36:$F$36)</f>
        <v>-0.23861891767112287</v>
      </c>
    </row>
    <row r="109" spans="1:14" ht="15">
      <c r="A109" s="236" t="str">
        <f t="shared" si="17"/>
        <v>Floor18</v>
      </c>
      <c r="B109" s="237" t="str">
        <f t="shared" si="17"/>
        <v>Floors18</v>
      </c>
      <c r="C109" s="237" t="str">
        <f t="shared" si="17"/>
        <v>Floors</v>
      </c>
      <c r="D109" s="237">
        <f t="shared" si="17"/>
        <v>18</v>
      </c>
      <c r="E109" s="237" t="str">
        <f t="shared" si="17"/>
        <v>R-0</v>
      </c>
      <c r="F109" s="237" t="str">
        <f t="shared" si="17"/>
        <v>R-19</v>
      </c>
      <c r="G109" s="238" t="s">
        <v>313</v>
      </c>
      <c r="H109" s="237" t="str">
        <f t="shared" si="16"/>
        <v>Multi Family Weatherization - Insulate Floors - R-0 to R-19 - Heating Zone 3</v>
      </c>
      <c r="I109" s="239">
        <f>SUMPRODUCT(MeasureInputsANDResults!I239:M239,inputWeightings!$B$23:$F$23)</f>
        <v>0.87781434572724071</v>
      </c>
      <c r="J109" s="240">
        <f>SUMPRODUCT(MeasureInputsANDResults!N239:R239,inputWeightings!$B$23:$F$23)</f>
        <v>-8.3155143486764727E-3</v>
      </c>
      <c r="K109" s="239">
        <f>MeasureInputsANDResults!I185*inputWeightings!$B$23+MeasureInputsANDResults!L185*inputWeightings!$C$23+MeasureInputsANDResults!O185*inputWeightings!$D$23+MeasureInputsANDResults!R185*inputWeightings!$E$23+MeasureInputsANDResults!U185*inputWeightings!$F$23</f>
        <v>0.88466842380214095</v>
      </c>
      <c r="L109" s="239">
        <f>MeasureInputsANDResults!J185*inputWeightings!$B$23+MeasureInputsANDResults!M185*inputWeightings!$C$23+MeasureInputsANDResults!P185*inputWeightings!$D$23+MeasureInputsANDResults!S185*inputWeightings!$E$23+MeasureInputsANDResults!V185*inputWeightings!$F$23</f>
        <v>0.87019508074599128</v>
      </c>
      <c r="M109" s="315">
        <f>MeasureInputsANDResults!K185*inputWeightings!$B$23+MeasureInputsANDResults!N185*inputWeightings!$C$23+MeasureInputsANDResults!Q185*inputWeightings!$D$23+MeasureInputsANDResults!T185*inputWeightings!$E$23+MeasureInputsANDResults!W185*inputWeightings!$F$23</f>
        <v>0.37235246932997834</v>
      </c>
      <c r="N109" s="316">
        <f>SUMPRODUCT(MeasureInputsANDResults!X185:AB185,inputWeightings!$B$36:$F$36)</f>
        <v>-8.9849703227272593E-2</v>
      </c>
    </row>
    <row r="110" spans="1:14" ht="15">
      <c r="A110" s="263" t="str">
        <f t="shared" si="17"/>
        <v>Ceili10</v>
      </c>
      <c r="B110" s="264" t="str">
        <f t="shared" si="17"/>
        <v>Ceiling10</v>
      </c>
      <c r="C110" s="264" t="str">
        <f t="shared" si="17"/>
        <v>Ceiling</v>
      </c>
      <c r="D110" s="264">
        <f t="shared" si="17"/>
        <v>10</v>
      </c>
      <c r="E110" s="264" t="str">
        <f t="shared" si="17"/>
        <v>R-0</v>
      </c>
      <c r="F110" s="264" t="str">
        <f t="shared" si="17"/>
        <v>R-19</v>
      </c>
      <c r="G110" s="265" t="s">
        <v>313</v>
      </c>
      <c r="H110" s="264" t="str">
        <f t="shared" ref="H110:H118" si="18">"Multi Family Weatherization - Insulate Attic - "&amp;E110&amp;" to "&amp;F110&amp;" - "&amp;G110</f>
        <v>Multi Family Weatherization - Insulate Attic - R-0 to R-19 - Heating Zone 3</v>
      </c>
      <c r="I110" s="266">
        <f>SUMPRODUCT(MeasureInputsANDResults!I240:M240,inputWeightings!$B$23:$F$23)</f>
        <v>0.42664993336602086</v>
      </c>
      <c r="J110" s="267">
        <f>SUMPRODUCT(MeasureInputsANDResults!N240:R240,inputWeightings!$B$23:$F$23)</f>
        <v>8.0849091070378572E-3</v>
      </c>
      <c r="K110" s="266">
        <f>MeasureInputsANDResults!I186*inputWeightings!$B$23+MeasureInputsANDResults!L186*inputWeightings!$C$23+MeasureInputsANDResults!O186*inputWeightings!$D$23+MeasureInputsANDResults!R186*inputWeightings!$E$23+MeasureInputsANDResults!U186*inputWeightings!$F$23</f>
        <v>0.42976654735909225</v>
      </c>
      <c r="L110" s="266">
        <f>MeasureInputsANDResults!J186*inputWeightings!$B$23+MeasureInputsANDResults!M186*inputWeightings!$C$23+MeasureInputsANDResults!P186*inputWeightings!$D$23+MeasureInputsANDResults!S186*inputWeightings!$E$23+MeasureInputsANDResults!V186*inputWeightings!$F$23</f>
        <v>0.44255362667272646</v>
      </c>
      <c r="M110" s="317">
        <f>MeasureInputsANDResults!K186*inputWeightings!$B$23+MeasureInputsANDResults!N186*inputWeightings!$C$23+MeasureInputsANDResults!Q186*inputWeightings!$D$23+MeasureInputsANDResults!T186*inputWeightings!$E$23+MeasureInputsANDResults!W186*inputWeightings!$F$23</f>
        <v>0.16128221925133709</v>
      </c>
      <c r="N110" s="318">
        <f>SUMPRODUCT(MeasureInputsANDResults!X186:AB186,inputWeightings!$B$36:$F$36)</f>
        <v>0.14461252329545426</v>
      </c>
    </row>
    <row r="111" spans="1:14" ht="15">
      <c r="A111" s="227" t="str">
        <f t="shared" si="17"/>
        <v>Ceili11</v>
      </c>
      <c r="B111" s="228" t="str">
        <f t="shared" si="17"/>
        <v>Ceiling11</v>
      </c>
      <c r="C111" s="228" t="str">
        <f t="shared" si="17"/>
        <v>Ceiling</v>
      </c>
      <c r="D111" s="228">
        <f t="shared" si="17"/>
        <v>11</v>
      </c>
      <c r="E111" s="228" t="str">
        <f t="shared" si="17"/>
        <v>R-0</v>
      </c>
      <c r="F111" s="228" t="str">
        <f t="shared" si="17"/>
        <v>R-38</v>
      </c>
      <c r="G111" s="229" t="s">
        <v>313</v>
      </c>
      <c r="H111" s="228" t="str">
        <f t="shared" si="18"/>
        <v>Multi Family Weatherization - Insulate Attic - R-0 to R-38 - Heating Zone 3</v>
      </c>
      <c r="I111" s="230">
        <f>SUMPRODUCT(MeasureInputsANDResults!I241:M241,inputWeightings!$B$23:$F$23)</f>
        <v>0.58244754332923432</v>
      </c>
      <c r="J111" s="231">
        <f>SUMPRODUCT(MeasureInputsANDResults!N241:R241,inputWeightings!$B$23:$F$23)</f>
        <v>1.1075518258404962E-2</v>
      </c>
      <c r="K111" s="230">
        <f>MeasureInputsANDResults!I187*inputWeightings!$B$23+MeasureInputsANDResults!L187*inputWeightings!$C$23+MeasureInputsANDResults!O187*inputWeightings!$D$23+MeasureInputsANDResults!R187*inputWeightings!$E$23+MeasureInputsANDResults!U187*inputWeightings!$F$23</f>
        <v>0.58669332392045492</v>
      </c>
      <c r="L111" s="230">
        <f>MeasureInputsANDResults!J187*inputWeightings!$B$23+MeasureInputsANDResults!M187*inputWeightings!$C$23+MeasureInputsANDResults!P187*inputWeightings!$D$23+MeasureInputsANDResults!S187*inputWeightings!$E$23+MeasureInputsANDResults!V187*inputWeightings!$F$23</f>
        <v>0.60409956898409101</v>
      </c>
      <c r="M111" s="313">
        <f>MeasureInputsANDResults!K187*inputWeightings!$B$23+MeasureInputsANDResults!N187*inputWeightings!$C$23+MeasureInputsANDResults!Q187*inputWeightings!$D$23+MeasureInputsANDResults!T187*inputWeightings!$E$23+MeasureInputsANDResults!W187*inputWeightings!$F$23</f>
        <v>0.22096069518716607</v>
      </c>
      <c r="N111" s="314">
        <f>SUMPRODUCT(MeasureInputsANDResults!X187:AB187,inputWeightings!$B$36:$F$36)</f>
        <v>0.1986951684409089</v>
      </c>
    </row>
    <row r="112" spans="1:14" ht="15">
      <c r="A112" s="227" t="str">
        <f t="shared" si="17"/>
        <v>Ceili12</v>
      </c>
      <c r="B112" s="228" t="str">
        <f t="shared" si="17"/>
        <v>Ceiling12</v>
      </c>
      <c r="C112" s="228" t="str">
        <f t="shared" si="17"/>
        <v>Ceiling</v>
      </c>
      <c r="D112" s="228">
        <f t="shared" si="17"/>
        <v>12</v>
      </c>
      <c r="E112" s="228" t="str">
        <f t="shared" si="17"/>
        <v>R-0</v>
      </c>
      <c r="F112" s="228" t="str">
        <f t="shared" si="17"/>
        <v>R-49</v>
      </c>
      <c r="G112" s="229" t="s">
        <v>313</v>
      </c>
      <c r="H112" s="228" t="str">
        <f t="shared" si="18"/>
        <v>Multi Family Weatherization - Insulate Attic - R-0 to R-49 - Heating Zone 3</v>
      </c>
      <c r="I112" s="230">
        <f>SUMPRODUCT(MeasureInputsANDResults!I242:M242,inputWeightings!$B$23:$F$23)</f>
        <v>0.61870004698925685</v>
      </c>
      <c r="J112" s="231">
        <f>SUMPRODUCT(MeasureInputsANDResults!N242:R242,inputWeightings!$B$23:$F$23)</f>
        <v>1.1775656372504424E-2</v>
      </c>
      <c r="K112" s="230">
        <f>MeasureInputsANDResults!I188*inputWeightings!$B$23+MeasureInputsANDResults!L188*inputWeightings!$C$23+MeasureInputsANDResults!O188*inputWeightings!$D$23+MeasureInputsANDResults!R188*inputWeightings!$E$23+MeasureInputsANDResults!U188*inputWeightings!$F$23</f>
        <v>0.6232113780090921</v>
      </c>
      <c r="L112" s="230">
        <f>MeasureInputsANDResults!J188*inputWeightings!$B$23+MeasureInputsANDResults!M188*inputWeightings!$C$23+MeasureInputsANDResults!P188*inputWeightings!$D$23+MeasureInputsANDResults!S188*inputWeightings!$E$23+MeasureInputsANDResults!V188*inputWeightings!$F$23</f>
        <v>0.64168771721818163</v>
      </c>
      <c r="M112" s="313">
        <f>MeasureInputsANDResults!K188*inputWeightings!$B$23+MeasureInputsANDResults!N188*inputWeightings!$C$23+MeasureInputsANDResults!Q188*inputWeightings!$D$23+MeasureInputsANDResults!T188*inputWeightings!$E$23+MeasureInputsANDResults!W188*inputWeightings!$F$23</f>
        <v>0.23463823529411784</v>
      </c>
      <c r="N112" s="314">
        <f>SUMPRODUCT(MeasureInputsANDResults!X188:AB188,inputWeightings!$B$36:$F$36)</f>
        <v>0.21139324117499986</v>
      </c>
    </row>
    <row r="113" spans="1:14" ht="15">
      <c r="A113" s="227" t="str">
        <f t="shared" si="17"/>
        <v>Ceili13</v>
      </c>
      <c r="B113" s="228" t="str">
        <f t="shared" si="17"/>
        <v>Ceiling13</v>
      </c>
      <c r="C113" s="228" t="str">
        <f t="shared" si="17"/>
        <v>Ceiling</v>
      </c>
      <c r="D113" s="228">
        <f t="shared" si="17"/>
        <v>13</v>
      </c>
      <c r="E113" s="228" t="str">
        <f t="shared" si="17"/>
        <v>R-30</v>
      </c>
      <c r="F113" s="228" t="str">
        <f t="shared" si="17"/>
        <v>R-38</v>
      </c>
      <c r="G113" s="229" t="s">
        <v>313</v>
      </c>
      <c r="H113" s="228" t="str">
        <f t="shared" si="18"/>
        <v>Multi Family Weatherization - Insulate Attic - R-30 to R-38 - Heating Zone 3</v>
      </c>
      <c r="I113" s="230">
        <f>SUMPRODUCT(MeasureInputsANDResults!I243:M243,inputWeightings!$B$23:$F$23)</f>
        <v>4.299124974459223E-2</v>
      </c>
      <c r="J113" s="231">
        <f>SUMPRODUCT(MeasureInputsANDResults!N243:R243,inputWeightings!$B$23:$F$23)</f>
        <v>8.2753266476954417E-4</v>
      </c>
      <c r="K113" s="230">
        <f>MeasureInputsANDResults!I189*inputWeightings!$B$23+MeasureInputsANDResults!L189*inputWeightings!$C$23+MeasureInputsANDResults!O189*inputWeightings!$D$23+MeasureInputsANDResults!R189*inputWeightings!$E$23+MeasureInputsANDResults!U189*inputWeightings!$F$23</f>
        <v>4.3304056838635613E-2</v>
      </c>
      <c r="L113" s="230">
        <f>MeasureInputsANDResults!J189*inputWeightings!$B$23+MeasureInputsANDResults!M189*inputWeightings!$C$23+MeasureInputsANDResults!P189*inputWeightings!$D$23+MeasureInputsANDResults!S189*inputWeightings!$E$23+MeasureInputsANDResults!V189*inputWeightings!$F$23</f>
        <v>4.4575718293182603E-2</v>
      </c>
      <c r="M113" s="313">
        <f>MeasureInputsANDResults!K189*inputWeightings!$B$23+MeasureInputsANDResults!N189*inputWeightings!$C$23+MeasureInputsANDResults!Q189*inputWeightings!$D$23+MeasureInputsANDResults!T189*inputWeightings!$E$23+MeasureInputsANDResults!W189*inputWeightings!$F$23</f>
        <v>1.6378475935829497E-2</v>
      </c>
      <c r="N113" s="314">
        <f>SUMPRODUCT(MeasureInputsANDResults!X189:AB189,inputWeightings!$B$36:$F$36)</f>
        <v>1.4999812595454553E-2</v>
      </c>
    </row>
    <row r="114" spans="1:14" ht="15">
      <c r="A114" s="227" t="str">
        <f t="shared" si="17"/>
        <v>Ceili14</v>
      </c>
      <c r="B114" s="228" t="str">
        <f t="shared" si="17"/>
        <v>Ceiling14</v>
      </c>
      <c r="C114" s="228" t="str">
        <f t="shared" si="17"/>
        <v>Ceiling</v>
      </c>
      <c r="D114" s="228">
        <f t="shared" si="17"/>
        <v>14</v>
      </c>
      <c r="E114" s="228" t="str">
        <f t="shared" si="17"/>
        <v>R-30</v>
      </c>
      <c r="F114" s="228" t="str">
        <f t="shared" si="17"/>
        <v>R-49</v>
      </c>
      <c r="G114" s="229" t="s">
        <v>313</v>
      </c>
      <c r="H114" s="228" t="str">
        <f t="shared" si="18"/>
        <v>Multi Family Weatherization - Insulate Attic - R-30 to R-49 - Heating Zone 3</v>
      </c>
      <c r="I114" s="230">
        <f>SUMPRODUCT(MeasureInputsANDResults!I244:M244,inputWeightings!$B$23:$F$23)</f>
        <v>7.9243753404614745E-2</v>
      </c>
      <c r="J114" s="231">
        <f>SUMPRODUCT(MeasureInputsANDResults!N244:R244,inputWeightings!$B$23:$F$23)</f>
        <v>1.5276707788690045E-3</v>
      </c>
      <c r="K114" s="230">
        <f>MeasureInputsANDResults!I190*inputWeightings!$B$23+MeasureInputsANDResults!L190*inputWeightings!$C$23+MeasureInputsANDResults!O190*inputWeightings!$D$23+MeasureInputsANDResults!R190*inputWeightings!$E$23+MeasureInputsANDResults!U190*inputWeightings!$F$23</f>
        <v>7.9822110927272844E-2</v>
      </c>
      <c r="L114" s="230">
        <f>MeasureInputsANDResults!J190*inputWeightings!$B$23+MeasureInputsANDResults!M190*inputWeightings!$C$23+MeasureInputsANDResults!P190*inputWeightings!$D$23+MeasureInputsANDResults!S190*inputWeightings!$E$23+MeasureInputsANDResults!V190*inputWeightings!$F$23</f>
        <v>8.2163866527273241E-2</v>
      </c>
      <c r="M114" s="313">
        <f>MeasureInputsANDResults!K190*inputWeightings!$B$23+MeasureInputsANDResults!N190*inputWeightings!$C$23+MeasureInputsANDResults!Q190*inputWeightings!$D$23+MeasureInputsANDResults!T190*inputWeightings!$E$23+MeasureInputsANDResults!W190*inputWeightings!$F$23</f>
        <v>3.0056016042781238E-2</v>
      </c>
      <c r="N114" s="314">
        <f>SUMPRODUCT(MeasureInputsANDResults!X190:AB190,inputWeightings!$B$36:$F$36)</f>
        <v>2.7697885329545521E-2</v>
      </c>
    </row>
    <row r="115" spans="1:14" ht="15">
      <c r="A115" s="236" t="str">
        <f t="shared" si="17"/>
        <v>Ceili15</v>
      </c>
      <c r="B115" s="237" t="str">
        <f t="shared" si="17"/>
        <v>Ceiling15</v>
      </c>
      <c r="C115" s="237" t="str">
        <f t="shared" si="17"/>
        <v>Ceiling</v>
      </c>
      <c r="D115" s="237">
        <f t="shared" si="17"/>
        <v>15</v>
      </c>
      <c r="E115" s="237" t="str">
        <f t="shared" si="17"/>
        <v>R-19</v>
      </c>
      <c r="F115" s="237" t="str">
        <f t="shared" si="17"/>
        <v>R-30</v>
      </c>
      <c r="G115" s="238" t="s">
        <v>313</v>
      </c>
      <c r="H115" s="237" t="str">
        <f t="shared" si="18"/>
        <v>Multi Family Weatherization - Insulate Attic - R-19 to R-30 - Heating Zone 3</v>
      </c>
      <c r="I115" s="239">
        <f>SUMPRODUCT(MeasureInputsANDResults!I245:M245,inputWeightings!$B$23:$F$23)</f>
        <v>0.11280636021862124</v>
      </c>
      <c r="J115" s="240">
        <f>SUMPRODUCT(MeasureInputsANDResults!N245:R245,inputWeightings!$B$23:$F$23)</f>
        <v>2.1630764865975599E-3</v>
      </c>
      <c r="K115" s="239">
        <f>MeasureInputsANDResults!I191*inputWeightings!$B$23+MeasureInputsANDResults!L191*inputWeightings!$C$23+MeasureInputsANDResults!O191*inputWeightings!$D$23+MeasureInputsANDResults!R191*inputWeightings!$E$23+MeasureInputsANDResults!U191*inputWeightings!$F$23</f>
        <v>0.11362271972272704</v>
      </c>
      <c r="L115" s="239">
        <f>MeasureInputsANDResults!J191*inputWeightings!$B$23+MeasureInputsANDResults!M191*inputWeightings!$C$23+MeasureInputsANDResults!P191*inputWeightings!$D$23+MeasureInputsANDResults!S191*inputWeightings!$E$23+MeasureInputsANDResults!V191*inputWeightings!$F$23</f>
        <v>0.11697022401818194</v>
      </c>
      <c r="M115" s="315">
        <f>MeasureInputsANDResults!K191*inputWeightings!$B$23+MeasureInputsANDResults!N191*inputWeightings!$C$23+MeasureInputsANDResults!Q191*inputWeightings!$D$23+MeasureInputsANDResults!T191*inputWeightings!$E$23+MeasureInputsANDResults!W191*inputWeightings!$F$23</f>
        <v>4.3299999999999492E-2</v>
      </c>
      <c r="N115" s="316">
        <f>SUMPRODUCT(MeasureInputsANDResults!X191:AB191,inputWeightings!$B$36:$F$36)</f>
        <v>3.9082832550000078E-2</v>
      </c>
    </row>
    <row r="116" spans="1:14" ht="15">
      <c r="A116" s="227" t="str">
        <f t="shared" si="17"/>
        <v>Ceili16</v>
      </c>
      <c r="B116" s="228" t="str">
        <f t="shared" si="17"/>
        <v>Ceiling16</v>
      </c>
      <c r="C116" s="228" t="str">
        <f t="shared" si="17"/>
        <v>Ceiling</v>
      </c>
      <c r="D116" s="228">
        <f t="shared" si="17"/>
        <v>16</v>
      </c>
      <c r="E116" s="228" t="str">
        <f t="shared" si="17"/>
        <v>R-19</v>
      </c>
      <c r="F116" s="228" t="str">
        <f t="shared" si="17"/>
        <v>R-38</v>
      </c>
      <c r="G116" s="229" t="s">
        <v>313</v>
      </c>
      <c r="H116" s="228" t="str">
        <f t="shared" si="18"/>
        <v>Multi Family Weatherization - Insulate Attic - R-19 to R-38 - Heating Zone 3</v>
      </c>
      <c r="I116" s="230">
        <f>SUMPRODUCT(MeasureInputsANDResults!I246:M246,inputWeightings!$B$23:$F$23)</f>
        <v>0.15579760996321346</v>
      </c>
      <c r="J116" s="231">
        <f>SUMPRODUCT(MeasureInputsANDResults!N246:R246,inputWeightings!$B$23:$F$23)</f>
        <v>2.9906091513671042E-3</v>
      </c>
      <c r="K116" s="230">
        <f>MeasureInputsANDResults!I192*inputWeightings!$B$23+MeasureInputsANDResults!L192*inputWeightings!$C$23+MeasureInputsANDResults!O192*inputWeightings!$D$23+MeasureInputsANDResults!R192*inputWeightings!$E$23+MeasureInputsANDResults!U192*inputWeightings!$F$23</f>
        <v>0.15692677656136267</v>
      </c>
      <c r="L116" s="230">
        <f>MeasureInputsANDResults!J192*inputWeightings!$B$23+MeasureInputsANDResults!M192*inputWeightings!$C$23+MeasureInputsANDResults!P192*inputWeightings!$D$23+MeasureInputsANDResults!S192*inputWeightings!$E$23+MeasureInputsANDResults!V192*inputWeightings!$F$23</f>
        <v>0.16154594231136454</v>
      </c>
      <c r="M116" s="313">
        <f>MeasureInputsANDResults!K192*inputWeightings!$B$23+MeasureInputsANDResults!N192*inputWeightings!$C$23+MeasureInputsANDResults!Q192*inputWeightings!$D$23+MeasureInputsANDResults!T192*inputWeightings!$E$23+MeasureInputsANDResults!W192*inputWeightings!$F$23</f>
        <v>5.9678475935828992E-2</v>
      </c>
      <c r="N116" s="314">
        <f>SUMPRODUCT(MeasureInputsANDResults!X192:AB192,inputWeightings!$B$36:$F$36)</f>
        <v>5.4082645145454626E-2</v>
      </c>
    </row>
    <row r="117" spans="1:14" ht="15">
      <c r="A117" s="227" t="str">
        <f t="shared" si="17"/>
        <v>Ceili17</v>
      </c>
      <c r="B117" s="228" t="str">
        <f t="shared" si="17"/>
        <v>Ceiling17</v>
      </c>
      <c r="C117" s="228" t="str">
        <f t="shared" si="17"/>
        <v>Ceiling</v>
      </c>
      <c r="D117" s="228">
        <f t="shared" si="17"/>
        <v>17</v>
      </c>
      <c r="E117" s="228" t="str">
        <f t="shared" si="17"/>
        <v>R-19</v>
      </c>
      <c r="F117" s="228" t="str">
        <f t="shared" si="17"/>
        <v>R-49</v>
      </c>
      <c r="G117" s="229" t="s">
        <v>313</v>
      </c>
      <c r="H117" s="228" t="str">
        <f t="shared" si="18"/>
        <v>Multi Family Weatherization - Insulate Attic - R-19 to R-49 - Heating Zone 3</v>
      </c>
      <c r="I117" s="230">
        <f>SUMPRODUCT(MeasureInputsANDResults!I247:M247,inputWeightings!$B$23:$F$23)</f>
        <v>0.19205011362323596</v>
      </c>
      <c r="J117" s="231">
        <f>SUMPRODUCT(MeasureInputsANDResults!N247:R247,inputWeightings!$B$23:$F$23)</f>
        <v>3.6907472654665648E-3</v>
      </c>
      <c r="K117" s="230">
        <f>MeasureInputsANDResults!I193*inputWeightings!$B$23+MeasureInputsANDResults!L193*inputWeightings!$C$23+MeasureInputsANDResults!O193*inputWeightings!$D$23+MeasureInputsANDResults!R193*inputWeightings!$E$23+MeasureInputsANDResults!U193*inputWeightings!$F$23</f>
        <v>0.19344483064999987</v>
      </c>
      <c r="L117" s="230">
        <f>MeasureInputsANDResults!J193*inputWeightings!$B$23+MeasureInputsANDResults!M193*inputWeightings!$C$23+MeasureInputsANDResults!P193*inputWeightings!$D$23+MeasureInputsANDResults!S193*inputWeightings!$E$23+MeasureInputsANDResults!V193*inputWeightings!$F$23</f>
        <v>0.19913409054545519</v>
      </c>
      <c r="M117" s="313">
        <f>MeasureInputsANDResults!K193*inputWeightings!$B$23+MeasureInputsANDResults!N193*inputWeightings!$C$23+MeasureInputsANDResults!Q193*inputWeightings!$D$23+MeasureInputsANDResults!T193*inputWeightings!$E$23+MeasureInputsANDResults!W193*inputWeightings!$F$23</f>
        <v>7.3356016042780733E-2</v>
      </c>
      <c r="N117" s="314">
        <f>SUMPRODUCT(MeasureInputsANDResults!X193:AB193,inputWeightings!$B$36:$F$36)</f>
        <v>6.6780717879545592E-2</v>
      </c>
    </row>
    <row r="118" spans="1:14" ht="15">
      <c r="A118" s="268" t="str">
        <f t="shared" ref="A118:F133" si="19">A72</f>
        <v>Ceili18</v>
      </c>
      <c r="B118" s="269" t="str">
        <f t="shared" si="19"/>
        <v>Ceiling18</v>
      </c>
      <c r="C118" s="269" t="str">
        <f t="shared" si="19"/>
        <v>Ceiling</v>
      </c>
      <c r="D118" s="269">
        <f t="shared" si="19"/>
        <v>18</v>
      </c>
      <c r="E118" s="269" t="str">
        <f t="shared" si="19"/>
        <v>R-38</v>
      </c>
      <c r="F118" s="269" t="str">
        <f t="shared" si="19"/>
        <v>R-49</v>
      </c>
      <c r="G118" s="270" t="s">
        <v>313</v>
      </c>
      <c r="H118" s="269" t="str">
        <f t="shared" si="18"/>
        <v>Multi Family Weatherization - Insulate Attic - R-38 to R-49 - Heating Zone 3</v>
      </c>
      <c r="I118" s="271">
        <f>SUMPRODUCT(MeasureInputsANDResults!I248:M248,inputWeightings!$B$23:$F$23)</f>
        <v>3.6252503660022507E-2</v>
      </c>
      <c r="J118" s="272">
        <f>SUMPRODUCT(MeasureInputsANDResults!N248:R248,inputWeightings!$B$23:$F$23)</f>
        <v>7.0013811409946013E-4</v>
      </c>
      <c r="K118" s="271">
        <f>MeasureInputsANDResults!I194*inputWeightings!$B$23+MeasureInputsANDResults!L194*inputWeightings!$C$23+MeasureInputsANDResults!O194*inputWeightings!$D$23+MeasureInputsANDResults!R194*inputWeightings!$E$23+MeasureInputsANDResults!U194*inputWeightings!$F$23</f>
        <v>3.6518054088637224E-2</v>
      </c>
      <c r="L118" s="271">
        <f>MeasureInputsANDResults!J194*inputWeightings!$B$23+MeasureInputsANDResults!M194*inputWeightings!$C$23+MeasureInputsANDResults!P194*inputWeightings!$D$23+MeasureInputsANDResults!S194*inputWeightings!$E$23+MeasureInputsANDResults!V194*inputWeightings!$F$23</f>
        <v>3.7588148234090658E-2</v>
      </c>
      <c r="M118" s="320">
        <f>MeasureInputsANDResults!K194*inputWeightings!$B$23+MeasureInputsANDResults!N194*inputWeightings!$C$23+MeasureInputsANDResults!Q194*inputWeightings!$D$23+MeasureInputsANDResults!T194*inputWeightings!$E$23+MeasureInputsANDResults!W194*inputWeightings!$F$23</f>
        <v>1.3677540106951741E-2</v>
      </c>
      <c r="N118" s="321">
        <f>SUMPRODUCT(MeasureInputsANDResults!X194:AB194,inputWeightings!$B$36:$F$36)</f>
        <v>1.2698072734090963E-2</v>
      </c>
    </row>
    <row r="119" spans="1:14" ht="15">
      <c r="A119" s="236"/>
      <c r="B119" s="237"/>
      <c r="C119" s="237"/>
      <c r="D119" s="237"/>
      <c r="E119" s="237"/>
      <c r="F119" s="237"/>
      <c r="G119" s="238"/>
      <c r="H119" s="237"/>
      <c r="I119" s="239"/>
      <c r="J119" s="240"/>
      <c r="K119" s="239"/>
      <c r="L119" s="239"/>
      <c r="M119" s="315"/>
      <c r="N119" s="316"/>
    </row>
    <row r="120" spans="1:14" ht="15">
      <c r="A120" s="236"/>
      <c r="B120" s="237"/>
      <c r="C120" s="237"/>
      <c r="D120" s="237"/>
      <c r="E120" s="237"/>
      <c r="F120" s="237"/>
      <c r="G120" s="238"/>
      <c r="H120" s="237"/>
      <c r="I120" s="239"/>
      <c r="J120" s="240"/>
      <c r="K120" s="239"/>
      <c r="L120" s="239"/>
      <c r="M120" s="315"/>
      <c r="N120" s="316"/>
    </row>
    <row r="121" spans="1:14" ht="15">
      <c r="A121" s="236"/>
      <c r="B121" s="237"/>
      <c r="C121" s="237"/>
      <c r="D121" s="237"/>
      <c r="E121" s="237"/>
      <c r="F121" s="237"/>
      <c r="G121" s="238"/>
      <c r="H121" s="237"/>
      <c r="I121" s="239"/>
      <c r="J121" s="240"/>
      <c r="K121" s="239"/>
      <c r="L121" s="239"/>
      <c r="M121" s="315"/>
      <c r="N121" s="316"/>
    </row>
    <row r="122" spans="1:14" ht="15">
      <c r="A122" s="236"/>
      <c r="B122" s="237"/>
      <c r="C122" s="237"/>
      <c r="D122" s="237"/>
      <c r="E122" s="237"/>
      <c r="F122" s="237"/>
      <c r="G122" s="238"/>
      <c r="H122" s="237"/>
      <c r="I122" s="239"/>
      <c r="J122" s="240"/>
      <c r="K122" s="239"/>
      <c r="L122" s="239"/>
      <c r="M122" s="315"/>
      <c r="N122" s="316"/>
    </row>
    <row r="123" spans="1:14" ht="15">
      <c r="A123" s="236"/>
      <c r="B123" s="237"/>
      <c r="C123" s="237"/>
      <c r="D123" s="237"/>
      <c r="E123" s="237"/>
      <c r="F123" s="237"/>
      <c r="G123" s="238"/>
      <c r="H123" s="237"/>
      <c r="I123" s="239"/>
      <c r="J123" s="240"/>
      <c r="K123" s="239"/>
      <c r="L123" s="239"/>
      <c r="M123" s="315"/>
      <c r="N123" s="316"/>
    </row>
    <row r="124" spans="1:14" ht="15">
      <c r="A124" s="236"/>
      <c r="B124" s="237"/>
      <c r="C124" s="237"/>
      <c r="D124" s="237"/>
      <c r="E124" s="237"/>
      <c r="F124" s="237"/>
      <c r="G124" s="238"/>
      <c r="H124" s="237"/>
      <c r="I124" s="239"/>
      <c r="J124" s="240"/>
      <c r="K124" s="239"/>
      <c r="L124" s="239"/>
      <c r="M124" s="315"/>
      <c r="N124" s="316"/>
    </row>
    <row r="125" spans="1:14" ht="15">
      <c r="A125" s="236"/>
      <c r="B125" s="237"/>
      <c r="C125" s="237"/>
      <c r="D125" s="237"/>
      <c r="E125" s="237"/>
      <c r="F125" s="237"/>
      <c r="G125" s="238"/>
      <c r="H125" s="237"/>
      <c r="I125" s="239"/>
      <c r="J125" s="240"/>
      <c r="K125" s="239"/>
      <c r="L125" s="239"/>
      <c r="M125" s="315"/>
      <c r="N125" s="316"/>
    </row>
    <row r="126" spans="1:14" ht="15">
      <c r="A126" s="236"/>
      <c r="B126" s="237"/>
      <c r="C126" s="237"/>
      <c r="D126" s="237"/>
      <c r="E126" s="237"/>
      <c r="F126" s="237"/>
      <c r="G126" s="238"/>
      <c r="H126" s="237"/>
      <c r="I126" s="239"/>
      <c r="J126" s="240"/>
      <c r="K126" s="239"/>
      <c r="L126" s="239"/>
      <c r="M126" s="315"/>
      <c r="N126" s="316"/>
    </row>
    <row r="127" spans="1:14" ht="15">
      <c r="A127" s="236"/>
      <c r="B127" s="237"/>
      <c r="C127" s="237"/>
      <c r="D127" s="237"/>
      <c r="E127" s="237"/>
      <c r="F127" s="237"/>
      <c r="G127" s="238"/>
      <c r="H127" s="237"/>
      <c r="I127" s="239"/>
      <c r="J127" s="240"/>
      <c r="K127" s="239"/>
      <c r="L127" s="239"/>
      <c r="M127" s="315"/>
      <c r="N127" s="316"/>
    </row>
    <row r="128" spans="1:14" ht="15">
      <c r="A128" s="227" t="str">
        <f t="shared" si="19"/>
        <v>Windo19</v>
      </c>
      <c r="B128" s="228" t="str">
        <f t="shared" si="19"/>
        <v>Windows19</v>
      </c>
      <c r="C128" s="228" t="str">
        <f t="shared" si="19"/>
        <v>Windows</v>
      </c>
      <c r="D128" s="228">
        <f t="shared" si="19"/>
        <v>19</v>
      </c>
      <c r="E128" s="228" t="str">
        <f t="shared" si="19"/>
        <v>Class 35</v>
      </c>
      <c r="F128" s="228" t="str">
        <f t="shared" si="19"/>
        <v>Class 22</v>
      </c>
      <c r="G128" s="229" t="s">
        <v>313</v>
      </c>
      <c r="H128" s="228" t="str">
        <f t="shared" ref="H128:H133" si="20">C128&amp;" - "&amp;E128&amp;" to "&amp;F128&amp;" - "&amp;G128</f>
        <v>Windows - Class 35 to Class 22 - Heating Zone 3</v>
      </c>
      <c r="I128" s="230">
        <f>SUMPRODUCT(MeasureInputsANDResults!I258:M258,inputWeightings!$B$23:$F$23)</f>
        <v>5.6638317498215178</v>
      </c>
      <c r="J128" s="231">
        <f>SUMPRODUCT(MeasureInputsANDResults!N258:R258,inputWeightings!$B$23:$F$23)</f>
        <v>6.4535002087659429E-3</v>
      </c>
      <c r="K128" s="230">
        <f>MeasureInputsANDResults!I204*inputWeightings!$B$23+MeasureInputsANDResults!L204*inputWeightings!$C$23+MeasureInputsANDResults!O204*inputWeightings!$D$23+MeasureInputsANDResults!R204*inputWeightings!$E$23+MeasureInputsANDResults!U204*inputWeightings!$F$23</f>
        <v>5.6976120782498043</v>
      </c>
      <c r="L128" s="230">
        <f>MeasureInputsANDResults!J204*inputWeightings!$B$23+MeasureInputsANDResults!M204*inputWeightings!$C$23+MeasureInputsANDResults!P204*inputWeightings!$D$23+MeasureInputsANDResults!S204*inputWeightings!$E$23+MeasureInputsANDResults!V204*inputWeightings!$F$23</f>
        <v>5.7928765188578097</v>
      </c>
      <c r="M128" s="313">
        <f>MeasureInputsANDResults!K204*inputWeightings!$B$23+MeasureInputsANDResults!N204*inputWeightings!$C$23+MeasureInputsANDResults!Q204*inputWeightings!$D$23+MeasureInputsANDResults!T204*inputWeightings!$E$23+MeasureInputsANDResults!W204*inputWeightings!$F$23</f>
        <v>2.8670555098496275</v>
      </c>
      <c r="N128" s="314">
        <f>SUMPRODUCT(MeasureInputsANDResults!X204:AB204,inputWeightings!$B$36:$F$36)</f>
        <v>0.22052934638888888</v>
      </c>
    </row>
    <row r="129" spans="1:14" ht="15">
      <c r="A129" s="227" t="str">
        <f t="shared" si="19"/>
        <v>Windo20</v>
      </c>
      <c r="B129" s="228" t="str">
        <f t="shared" si="19"/>
        <v>Windows20</v>
      </c>
      <c r="C129" s="228" t="str">
        <f t="shared" si="19"/>
        <v>Windows</v>
      </c>
      <c r="D129" s="228">
        <f t="shared" si="19"/>
        <v>20</v>
      </c>
      <c r="E129" s="228" t="str">
        <f t="shared" si="19"/>
        <v>Single Pane</v>
      </c>
      <c r="F129" s="228" t="str">
        <f t="shared" si="19"/>
        <v>Class 22</v>
      </c>
      <c r="G129" s="229" t="s">
        <v>313</v>
      </c>
      <c r="H129" s="228" t="str">
        <f t="shared" si="20"/>
        <v>Windows - Single Pane to Class 22 - Heating Zone 3</v>
      </c>
      <c r="I129" s="230">
        <f>SUMPRODUCT(MeasureInputsANDResults!I259:M259,inputWeightings!$B$23:$F$23)</f>
        <v>40.786648667650496</v>
      </c>
      <c r="J129" s="231">
        <f>SUMPRODUCT(MeasureInputsANDResults!N259:R259,inputWeightings!$B$23:$F$23)</f>
        <v>0.11294822180098626</v>
      </c>
      <c r="K129" s="230">
        <f>MeasureInputsANDResults!I205*inputWeightings!$B$23+MeasureInputsANDResults!L205*inputWeightings!$C$23+MeasureInputsANDResults!O205*inputWeightings!$D$23+MeasureInputsANDResults!R205*inputWeightings!$E$23+MeasureInputsANDResults!U205*inputWeightings!$F$23</f>
        <v>40.981028357385391</v>
      </c>
      <c r="L129" s="230">
        <f>MeasureInputsANDResults!J205*inputWeightings!$B$23+MeasureInputsANDResults!M205*inputWeightings!$C$23+MeasureInputsANDResults!P205*inputWeightings!$D$23+MeasureInputsANDResults!S205*inputWeightings!$E$23+MeasureInputsANDResults!V205*inputWeightings!$F$23</f>
        <v>41.634558119607604</v>
      </c>
      <c r="M129" s="313">
        <f>MeasureInputsANDResults!K205*inputWeightings!$B$23+MeasureInputsANDResults!N205*inputWeightings!$C$23+MeasureInputsANDResults!Q205*inputWeightings!$D$23+MeasureInputsANDResults!T205*inputWeightings!$E$23+MeasureInputsANDResults!W205*inputWeightings!$F$23</f>
        <v>24.500094611271084</v>
      </c>
      <c r="N129" s="314">
        <f>SUMPRODUCT(MeasureInputsANDResults!X205:AB205,inputWeightings!$B$36:$F$36)</f>
        <v>2.1687925323523696</v>
      </c>
    </row>
    <row r="130" spans="1:14" ht="15">
      <c r="A130" s="227" t="str">
        <f t="shared" si="19"/>
        <v>Windo21</v>
      </c>
      <c r="B130" s="228" t="str">
        <f t="shared" si="19"/>
        <v>Windows21</v>
      </c>
      <c r="C130" s="228" t="str">
        <f t="shared" si="19"/>
        <v>Windows</v>
      </c>
      <c r="D130" s="228">
        <f t="shared" si="19"/>
        <v>21</v>
      </c>
      <c r="E130" s="228" t="str">
        <f t="shared" si="19"/>
        <v>Double Pane</v>
      </c>
      <c r="F130" s="228" t="str">
        <f t="shared" si="19"/>
        <v>Class 22</v>
      </c>
      <c r="G130" s="229" t="s">
        <v>313</v>
      </c>
      <c r="H130" s="228" t="str">
        <f t="shared" si="20"/>
        <v>Windows - Double Pane to Class 22 - Heating Zone 3</v>
      </c>
      <c r="I130" s="230">
        <f>SUMPRODUCT(MeasureInputsANDResults!I260:M260,inputWeightings!$B$23:$F$23)</f>
        <v>24.636664840955845</v>
      </c>
      <c r="J130" s="231">
        <f>SUMPRODUCT(MeasureInputsANDResults!N260:R260,inputWeightings!$B$23:$F$23)</f>
        <v>0.15215933097871262</v>
      </c>
      <c r="K130" s="230">
        <f>MeasureInputsANDResults!I206*inputWeightings!$B$23+MeasureInputsANDResults!L206*inputWeightings!$C$23+MeasureInputsANDResults!O206*inputWeightings!$D$23+MeasureInputsANDResults!R206*inputWeightings!$E$23+MeasureInputsANDResults!U206*inputWeightings!$F$23</f>
        <v>24.760995799935891</v>
      </c>
      <c r="L130" s="230">
        <f>MeasureInputsANDResults!J206*inputWeightings!$B$23+MeasureInputsANDResults!M206*inputWeightings!$C$23+MeasureInputsANDResults!P206*inputWeightings!$D$23+MeasureInputsANDResults!S206*inputWeightings!$E$23+MeasureInputsANDResults!V206*inputWeightings!$F$23</f>
        <v>25.151612846231544</v>
      </c>
      <c r="M130" s="313">
        <f>MeasureInputsANDResults!K206*inputWeightings!$B$23+MeasureInputsANDResults!N206*inputWeightings!$C$23+MeasureInputsANDResults!Q206*inputWeightings!$D$23+MeasureInputsANDResults!T206*inputWeightings!$E$23+MeasureInputsANDResults!W206*inputWeightings!$F$23</f>
        <v>14.269569107363225</v>
      </c>
      <c r="N130" s="314">
        <f>SUMPRODUCT(MeasureInputsANDResults!X206:AB206,inputWeightings!$B$36:$F$36)</f>
        <v>2.6262478786499615</v>
      </c>
    </row>
    <row r="131" spans="1:14" ht="15">
      <c r="A131" s="227" t="str">
        <f t="shared" si="19"/>
        <v>Windo22</v>
      </c>
      <c r="B131" s="228" t="str">
        <f t="shared" si="19"/>
        <v>Windows22</v>
      </c>
      <c r="C131" s="228" t="str">
        <f t="shared" si="19"/>
        <v>Windows</v>
      </c>
      <c r="D131" s="228">
        <f t="shared" si="19"/>
        <v>22</v>
      </c>
      <c r="E131" s="228" t="str">
        <f t="shared" si="19"/>
        <v>Single Pane</v>
      </c>
      <c r="F131" s="228" t="str">
        <f t="shared" si="19"/>
        <v>Class 30</v>
      </c>
      <c r="G131" s="229" t="s">
        <v>313</v>
      </c>
      <c r="H131" s="228" t="str">
        <f t="shared" si="20"/>
        <v>Windows - Single Pane to Class 30 - Heating Zone 3</v>
      </c>
      <c r="I131" s="230">
        <f>SUMPRODUCT(MeasureInputsANDResults!I261:M261,inputWeightings!$B$23:$F$23)</f>
        <v>37.399505500675247</v>
      </c>
      <c r="J131" s="231">
        <f>SUMPRODUCT(MeasureInputsANDResults!N261:R261,inputWeightings!$B$23:$F$23)</f>
        <v>0.10750098117002868</v>
      </c>
      <c r="K131" s="230">
        <f>MeasureInputsANDResults!I207*inputWeightings!$B$23+MeasureInputsANDResults!L207*inputWeightings!$C$23+MeasureInputsANDResults!O207*inputWeightings!$D$23+MeasureInputsANDResults!R207*inputWeightings!$E$23+MeasureInputsANDResults!U207*inputWeightings!$F$23</f>
        <v>37.57358426914918</v>
      </c>
      <c r="L131" s="230">
        <f>MeasureInputsANDResults!J207*inputWeightings!$B$23+MeasureInputsANDResults!M207*inputWeightings!$C$23+MeasureInputsANDResults!P207*inputWeightings!$D$23+MeasureInputsANDResults!S207*inputWeightings!$E$23+MeasureInputsANDResults!V207*inputWeightings!$F$23</f>
        <v>38.169948171736593</v>
      </c>
      <c r="M131" s="313">
        <f>MeasureInputsANDResults!K207*inputWeightings!$B$23+MeasureInputsANDResults!N207*inputWeightings!$C$23+MeasureInputsANDResults!Q207*inputWeightings!$D$23+MeasureInputsANDResults!T207*inputWeightings!$E$23+MeasureInputsANDResults!W207*inputWeightings!$F$23</f>
        <v>22.793570432835139</v>
      </c>
      <c r="N131" s="314">
        <f>SUMPRODUCT(MeasureInputsANDResults!X207:AB207,inputWeightings!$B$36:$F$36)</f>
        <v>2.0103002416550115</v>
      </c>
    </row>
    <row r="132" spans="1:14" ht="15">
      <c r="A132" s="227" t="str">
        <f t="shared" si="19"/>
        <v>Windo23</v>
      </c>
      <c r="B132" s="228" t="str">
        <f t="shared" si="19"/>
        <v>Windows23</v>
      </c>
      <c r="C132" s="228" t="str">
        <f t="shared" si="19"/>
        <v>Windows</v>
      </c>
      <c r="D132" s="228">
        <f t="shared" si="19"/>
        <v>23</v>
      </c>
      <c r="E132" s="228" t="str">
        <f t="shared" si="19"/>
        <v>Double Pane</v>
      </c>
      <c r="F132" s="228" t="str">
        <f t="shared" si="19"/>
        <v>Class 30</v>
      </c>
      <c r="G132" s="229" t="s">
        <v>313</v>
      </c>
      <c r="H132" s="228" t="str">
        <f t="shared" si="20"/>
        <v>Windows - Double Pane to Class 30 - Heating Zone 3</v>
      </c>
      <c r="I132" s="230">
        <f>SUMPRODUCT(MeasureInputsANDResults!I262:M262,inputWeightings!$B$23:$F$23)</f>
        <v>21.249521673980595</v>
      </c>
      <c r="J132" s="231">
        <f>SUMPRODUCT(MeasureInputsANDResults!N262:R262,inputWeightings!$B$23:$F$23)</f>
        <v>0.14671209034775501</v>
      </c>
      <c r="K132" s="230">
        <f>MeasureInputsANDResults!I208*inputWeightings!$B$23+MeasureInputsANDResults!L208*inputWeightings!$C$23+MeasureInputsANDResults!O208*inputWeightings!$D$23+MeasureInputsANDResults!R208*inputWeightings!$E$23+MeasureInputsANDResults!U208*inputWeightings!$F$23</f>
        <v>21.353551711699687</v>
      </c>
      <c r="L132" s="230">
        <f>MeasureInputsANDResults!J208*inputWeightings!$B$23+MeasureInputsANDResults!M208*inputWeightings!$C$23+MeasureInputsANDResults!P208*inputWeightings!$D$23+MeasureInputsANDResults!S208*inputWeightings!$E$23+MeasureInputsANDResults!V208*inputWeightings!$F$23</f>
        <v>21.687002898360529</v>
      </c>
      <c r="M132" s="313">
        <f>MeasureInputsANDResults!K208*inputWeightings!$B$23+MeasureInputsANDResults!N208*inputWeightings!$C$23+MeasureInputsANDResults!Q208*inputWeightings!$D$23+MeasureInputsANDResults!T208*inputWeightings!$E$23+MeasureInputsANDResults!W208*inputWeightings!$F$23</f>
        <v>12.563044928927281</v>
      </c>
      <c r="N132" s="314">
        <f>SUMPRODUCT(MeasureInputsANDResults!X208:AB208,inputWeightings!$B$36:$F$36)</f>
        <v>2.467755587952603</v>
      </c>
    </row>
    <row r="133" spans="1:14" ht="15">
      <c r="A133" s="227" t="str">
        <f t="shared" si="19"/>
        <v>Windo24</v>
      </c>
      <c r="B133" s="228" t="str">
        <f t="shared" si="19"/>
        <v>Windows24</v>
      </c>
      <c r="C133" s="228" t="str">
        <f t="shared" si="19"/>
        <v>Windows</v>
      </c>
      <c r="D133" s="228">
        <f t="shared" si="19"/>
        <v>24</v>
      </c>
      <c r="E133" s="228" t="str">
        <f t="shared" si="19"/>
        <v>Class 35</v>
      </c>
      <c r="F133" s="228" t="str">
        <f t="shared" si="19"/>
        <v>Class 30</v>
      </c>
      <c r="G133" s="229" t="s">
        <v>313</v>
      </c>
      <c r="H133" s="228" t="str">
        <f t="shared" si="20"/>
        <v>Windows - Class 35 to Class 30 - Heating Zone 3</v>
      </c>
      <c r="I133" s="230">
        <f>SUMPRODUCT(MeasureInputsANDResults!I263:M263,inputWeightings!$B$23:$F$23)</f>
        <v>2.2766885828462637</v>
      </c>
      <c r="J133" s="231">
        <f>SUMPRODUCT(MeasureInputsANDResults!N263:R263,inputWeightings!$B$23:$F$23)</f>
        <v>1.0062595778083613E-3</v>
      </c>
      <c r="K133" s="230">
        <f>MeasureInputsANDResults!I209*inputWeightings!$B$23+MeasureInputsANDResults!L209*inputWeightings!$C$23+MeasureInputsANDResults!O209*inputWeightings!$D$23+MeasureInputsANDResults!R209*inputWeightings!$E$23+MeasureInputsANDResults!U209*inputWeightings!$F$23</f>
        <v>2.2901679900135967</v>
      </c>
      <c r="L133" s="230">
        <f>MeasureInputsANDResults!J209*inputWeightings!$B$23+MeasureInputsANDResults!M209*inputWeightings!$C$23+MeasureInputsANDResults!P209*inputWeightings!$D$23+MeasureInputsANDResults!S209*inputWeightings!$E$23+MeasureInputsANDResults!V209*inputWeightings!$F$23</f>
        <v>2.3282665709867931</v>
      </c>
      <c r="M133" s="313">
        <f>MeasureInputsANDResults!K209*inputWeightings!$B$23+MeasureInputsANDResults!N209*inputWeightings!$C$23+MeasureInputsANDResults!Q209*inputWeightings!$D$23+MeasureInputsANDResults!T209*inputWeightings!$E$23+MeasureInputsANDResults!W209*inputWeightings!$F$23</f>
        <v>1.1605313314136856</v>
      </c>
      <c r="N133" s="314">
        <f>SUMPRODUCT(MeasureInputsANDResults!X209:AB209,inputWeightings!$B$36:$F$36)</f>
        <v>6.2037055691530542E-2</v>
      </c>
    </row>
    <row r="134" spans="1:14" ht="15">
      <c r="A134" s="280" t="str">
        <f t="shared" ref="A134:F144" si="21">A88</f>
        <v>Infil10</v>
      </c>
      <c r="B134" s="281" t="str">
        <f t="shared" si="21"/>
        <v>Infiltration10</v>
      </c>
      <c r="C134" s="281" t="str">
        <f t="shared" si="21"/>
        <v>Infiltration</v>
      </c>
      <c r="D134" s="281">
        <f t="shared" si="21"/>
        <v>10</v>
      </c>
      <c r="E134" s="281" t="str">
        <f t="shared" si="21"/>
        <v>0.45 ACHn</v>
      </c>
      <c r="F134" s="281" t="str">
        <f t="shared" si="21"/>
        <v>0.35 ACHn</v>
      </c>
      <c r="G134" s="513" t="s">
        <v>313</v>
      </c>
      <c r="H134" s="281" t="str">
        <f>C134&amp;" Reduction - "&amp;E134&amp;" to "&amp;F134&amp;" - "&amp;G134</f>
        <v>Infiltration Reduction - 0.45 ACHn to 0.35 ACHn - Heating Zone 3</v>
      </c>
      <c r="I134" s="514">
        <f>SUMPRODUCT(MeasureInputsANDResults!I264:M264,inputWeightings!$B$23:$F$23)</f>
        <v>0</v>
      </c>
      <c r="J134" s="515">
        <f>SUMPRODUCT(MeasureInputsANDResults!N264:R264,inputWeightings!$B$23:$F$23)</f>
        <v>0</v>
      </c>
      <c r="K134" s="514">
        <f>MeasureInputsANDResults!I210*inputWeightings!$B$23+MeasureInputsANDResults!L210*inputWeightings!$C$23+MeasureInputsANDResults!O210*inputWeightings!$D$23+MeasureInputsANDResults!R210*inputWeightings!$E$23+MeasureInputsANDResults!U210*inputWeightings!$F$23</f>
        <v>0</v>
      </c>
      <c r="L134" s="514">
        <f>MeasureInputsANDResults!J210*inputWeightings!$B$23+MeasureInputsANDResults!M210*inputWeightings!$C$23+MeasureInputsANDResults!P210*inputWeightings!$D$23+MeasureInputsANDResults!S210*inputWeightings!$E$23+MeasureInputsANDResults!V210*inputWeightings!$F$23</f>
        <v>0</v>
      </c>
      <c r="M134" s="516">
        <f>MeasureInputsANDResults!K210*inputWeightings!$B$23+MeasureInputsANDResults!N210*inputWeightings!$C$23+MeasureInputsANDResults!Q210*inputWeightings!$D$23+MeasureInputsANDResults!T210*inputWeightings!$E$23+MeasureInputsANDResults!W210*inputWeightings!$F$23</f>
        <v>0</v>
      </c>
      <c r="N134" s="517">
        <f>SUMPRODUCT(MeasureInputsANDResults!X210:AB210,inputWeightings!$B$36:$F$36)</f>
        <v>0</v>
      </c>
    </row>
    <row r="135" spans="1:14" ht="15">
      <c r="A135" s="236" t="str">
        <f t="shared" si="21"/>
        <v>Infil11</v>
      </c>
      <c r="B135" s="237" t="str">
        <f t="shared" si="21"/>
        <v>Infiltration11</v>
      </c>
      <c r="C135" s="237" t="str">
        <f t="shared" si="21"/>
        <v>Infiltration</v>
      </c>
      <c r="D135" s="237">
        <f t="shared" si="21"/>
        <v>11</v>
      </c>
      <c r="E135" s="237" t="str">
        <f t="shared" si="21"/>
        <v>0.45 ACHn</v>
      </c>
      <c r="F135" s="237" t="str">
        <f t="shared" si="21"/>
        <v>0.20 ACHn</v>
      </c>
      <c r="G135" s="238" t="s">
        <v>313</v>
      </c>
      <c r="H135" s="237" t="str">
        <f t="shared" ref="H135:H136" si="22">C135&amp;" Reduction - "&amp;E135&amp;" to "&amp;F135&amp;" - "&amp;G135</f>
        <v>Infiltration Reduction - 0.45 ACHn to 0.20 ACHn - Heating Zone 3</v>
      </c>
      <c r="I135" s="239">
        <f>SUMPRODUCT(MeasureInputsANDResults!I265:M265,inputWeightings!$B$23:$F$23)</f>
        <v>0</v>
      </c>
      <c r="J135" s="240">
        <f>SUMPRODUCT(MeasureInputsANDResults!N265:R265,inputWeightings!$B$23:$F$23)</f>
        <v>0</v>
      </c>
      <c r="K135" s="239">
        <f>MeasureInputsANDResults!I211*inputWeightings!$B$23+MeasureInputsANDResults!L211*inputWeightings!$C$23+MeasureInputsANDResults!O211*inputWeightings!$D$23+MeasureInputsANDResults!R211*inputWeightings!$E$23+MeasureInputsANDResults!U211*inputWeightings!$F$23</f>
        <v>0</v>
      </c>
      <c r="L135" s="239">
        <f>MeasureInputsANDResults!J211*inputWeightings!$B$23+MeasureInputsANDResults!M211*inputWeightings!$C$23+MeasureInputsANDResults!P211*inputWeightings!$D$23+MeasureInputsANDResults!S211*inputWeightings!$E$23+MeasureInputsANDResults!V211*inputWeightings!$F$23</f>
        <v>0</v>
      </c>
      <c r="M135" s="518">
        <f>MeasureInputsANDResults!K211*inputWeightings!$B$23+MeasureInputsANDResults!N211*inputWeightings!$C$23+MeasureInputsANDResults!Q211*inputWeightings!$D$23+MeasureInputsANDResults!T211*inputWeightings!$E$23+MeasureInputsANDResults!W211*inputWeightings!$F$23</f>
        <v>0</v>
      </c>
      <c r="N135" s="316">
        <f>SUMPRODUCT(MeasureInputsANDResults!X211:AB211,inputWeightings!$B$36:$F$36)</f>
        <v>0</v>
      </c>
    </row>
    <row r="136" spans="1:14" ht="15">
      <c r="A136" s="273" t="str">
        <f t="shared" si="21"/>
        <v>Infil12</v>
      </c>
      <c r="B136" s="274" t="str">
        <f t="shared" si="21"/>
        <v>Infiltration12</v>
      </c>
      <c r="C136" s="274" t="str">
        <f t="shared" si="21"/>
        <v>Infiltration</v>
      </c>
      <c r="D136" s="274">
        <f t="shared" si="21"/>
        <v>12</v>
      </c>
      <c r="E136" s="274" t="str">
        <f t="shared" si="21"/>
        <v>0.35 ACHn</v>
      </c>
      <c r="F136" s="274" t="str">
        <f t="shared" si="21"/>
        <v>0.20 ACHn</v>
      </c>
      <c r="G136" s="275" t="s">
        <v>313</v>
      </c>
      <c r="H136" s="274" t="str">
        <f t="shared" si="22"/>
        <v>Infiltration Reduction - 0.35 ACHn to 0.20 ACHn - Heating Zone 3</v>
      </c>
      <c r="I136" s="276">
        <f>SUMPRODUCT(MeasureInputsANDResults!I266:M266,inputWeightings!$B$23:$F$23)</f>
        <v>0</v>
      </c>
      <c r="J136" s="277">
        <f>SUMPRODUCT(MeasureInputsANDResults!N266:R266,inputWeightings!$B$23:$F$23)</f>
        <v>0</v>
      </c>
      <c r="K136" s="276">
        <f>MeasureInputsANDResults!I212*inputWeightings!$B$23+MeasureInputsANDResults!L212*inputWeightings!$C$23+MeasureInputsANDResults!O212*inputWeightings!$D$23+MeasureInputsANDResults!R212*inputWeightings!$E$23+MeasureInputsANDResults!U212*inputWeightings!$F$23</f>
        <v>0</v>
      </c>
      <c r="L136" s="276">
        <f>MeasureInputsANDResults!J212*inputWeightings!$B$23+MeasureInputsANDResults!M212*inputWeightings!$C$23+MeasureInputsANDResults!P212*inputWeightings!$D$23+MeasureInputsANDResults!S212*inputWeightings!$E$23+MeasureInputsANDResults!V212*inputWeightings!$F$23</f>
        <v>0</v>
      </c>
      <c r="M136" s="519">
        <f>MeasureInputsANDResults!K212*inputWeightings!$B$23+MeasureInputsANDResults!N212*inputWeightings!$C$23+MeasureInputsANDResults!Q212*inputWeightings!$D$23+MeasureInputsANDResults!T212*inputWeightings!$E$23+MeasureInputsANDResults!W212*inputWeightings!$F$23</f>
        <v>0</v>
      </c>
      <c r="N136" s="323">
        <f>SUMPRODUCT(MeasureInputsANDResults!X212:AB212,inputWeightings!$B$36:$F$36)</f>
        <v>0</v>
      </c>
    </row>
    <row r="137" spans="1:14" ht="15">
      <c r="A137" s="236" t="str">
        <f t="shared" si="21"/>
        <v>DuctT10</v>
      </c>
      <c r="B137" s="237" t="str">
        <f t="shared" si="21"/>
        <v>DuctTightness10</v>
      </c>
      <c r="C137" s="237" t="str">
        <f t="shared" si="21"/>
        <v>DuctTightness</v>
      </c>
      <c r="D137" s="237">
        <f t="shared" si="21"/>
        <v>10</v>
      </c>
      <c r="E137" s="237" t="str">
        <f t="shared" si="21"/>
        <v>Std-crawl</v>
      </c>
      <c r="F137" s="237" t="str">
        <f t="shared" si="21"/>
        <v>PTCS-crawl</v>
      </c>
      <c r="G137" s="237" t="s">
        <v>313</v>
      </c>
      <c r="H137" s="237" t="str">
        <f>C137&amp;" - "&amp;E137&amp;" to "&amp;F137&amp;" - "&amp;G137</f>
        <v>DuctTightness - Std-crawl to PTCS-crawl - Heating Zone 3</v>
      </c>
      <c r="I137" s="284">
        <f>SUMPRODUCT(MeasureInputsANDResults!I267:M267,inputWeightings!$B$23:$F$23)</f>
        <v>2315.1063670239541</v>
      </c>
      <c r="J137" s="285">
        <f>SUMPRODUCT(MeasureInputsANDResults!N267:R267,inputWeightings!$B$23:$F$23)</f>
        <v>26.784718342261296</v>
      </c>
      <c r="K137" s="284">
        <f>MeasureInputsANDResults!I213*inputWeightings!$B$23+MeasureInputsANDResults!L213*inputWeightings!$C$23+MeasureInputsANDResults!O213*inputWeightings!$D$23+MeasureInputsANDResults!R213*inputWeightings!$E$23+MeasureInputsANDResults!U213*inputWeightings!$F$23</f>
        <v>0</v>
      </c>
      <c r="L137" s="284">
        <f>MeasureInputsANDResults!J213*inputWeightings!$B$23+MeasureInputsANDResults!M213*inputWeightings!$C$23+MeasureInputsANDResults!P213*inputWeightings!$D$23+MeasureInputsANDResults!S213*inputWeightings!$E$23+MeasureInputsANDResults!V213*inputWeightings!$F$23</f>
        <v>477.1139349500063</v>
      </c>
      <c r="M137" s="328">
        <f>MeasureInputsANDResults!K213*inputWeightings!$B$23+MeasureInputsANDResults!N213*inputWeightings!$C$23+MeasureInputsANDResults!Q213*inputWeightings!$D$23+MeasureInputsANDResults!T213*inputWeightings!$E$23+MeasureInputsANDResults!W213*inputWeightings!$F$23</f>
        <v>5686.7499999999982</v>
      </c>
      <c r="N137" s="329">
        <f>SUMPRODUCT(MeasureInputsANDResults!X213:AB213,inputWeightings!$B$36:$F$36)</f>
        <v>813.60827285000096</v>
      </c>
    </row>
    <row r="138" spans="1:14" ht="15">
      <c r="A138" s="280" t="str">
        <f t="shared" si="21"/>
        <v>DuctI10</v>
      </c>
      <c r="B138" s="281" t="str">
        <f t="shared" si="21"/>
        <v>DuctInsulation10</v>
      </c>
      <c r="C138" s="281" t="str">
        <f t="shared" si="21"/>
        <v>DuctInsulation</v>
      </c>
      <c r="D138" s="281">
        <f t="shared" si="21"/>
        <v>10</v>
      </c>
      <c r="E138" s="281" t="str">
        <f t="shared" si="21"/>
        <v>R-0</v>
      </c>
      <c r="F138" s="281" t="str">
        <f t="shared" si="21"/>
        <v>R-4.2</v>
      </c>
      <c r="G138" s="281" t="s">
        <v>313</v>
      </c>
      <c r="H138" s="281" t="str">
        <f t="shared" ref="H138:H140" si="23">C138&amp;" - "&amp;E138&amp;" to "&amp;F138&amp;" - "&amp;G138</f>
        <v>DuctInsulation - R-0 to R-4.2 - Heating Zone 3</v>
      </c>
      <c r="I138" s="282">
        <f>SUMPRODUCT(MeasureInputsANDResults!I268:M268,inputWeightings!$B$23:$F$23)</f>
        <v>141.89240135659409</v>
      </c>
      <c r="J138" s="283">
        <f>SUMPRODUCT(MeasureInputsANDResults!N268:R268,inputWeightings!$B$23:$F$23)</f>
        <v>1.7957795234653462</v>
      </c>
      <c r="K138" s="282">
        <f>MeasureInputsANDResults!I214*inputWeightings!$B$23+MeasureInputsANDResults!L214*inputWeightings!$C$23+MeasureInputsANDResults!O214*inputWeightings!$D$23+MeasureInputsANDResults!R214*inputWeightings!$E$23+MeasureInputsANDResults!U214*inputWeightings!$F$23</f>
        <v>0</v>
      </c>
      <c r="L138" s="282">
        <f>MeasureInputsANDResults!J214*inputWeightings!$B$23+MeasureInputsANDResults!M214*inputWeightings!$C$23+MeasureInputsANDResults!P214*inputWeightings!$D$23+MeasureInputsANDResults!S214*inputWeightings!$E$23+MeasureInputsANDResults!V214*inputWeightings!$F$23</f>
        <v>113.02670130000314</v>
      </c>
      <c r="M138" s="326">
        <f>MeasureInputsANDResults!K214*inputWeightings!$B$23+MeasureInputsANDResults!N214*inputWeightings!$C$23+MeasureInputsANDResults!Q214*inputWeightings!$D$23+MeasureInputsANDResults!T214*inputWeightings!$E$23+MeasureInputsANDResults!W214*inputWeightings!$F$23</f>
        <v>194.84411764705885</v>
      </c>
      <c r="N138" s="327">
        <f>SUMPRODUCT(MeasureInputsANDResults!X214:AB214,inputWeightings!$B$36:$F$36)</f>
        <v>47.051302249999395</v>
      </c>
    </row>
    <row r="139" spans="1:14" ht="15">
      <c r="A139" s="236" t="str">
        <f t="shared" si="21"/>
        <v>DuctI11</v>
      </c>
      <c r="B139" s="237" t="str">
        <f t="shared" si="21"/>
        <v>DuctInsulation11</v>
      </c>
      <c r="C139" s="237" t="str">
        <f t="shared" si="21"/>
        <v>DuctInsulation</v>
      </c>
      <c r="D139" s="237">
        <f t="shared" si="21"/>
        <v>11</v>
      </c>
      <c r="E139" s="237" t="str">
        <f t="shared" si="21"/>
        <v>R-0</v>
      </c>
      <c r="F139" s="237" t="str">
        <f t="shared" si="21"/>
        <v>R-11</v>
      </c>
      <c r="G139" s="237" t="s">
        <v>313</v>
      </c>
      <c r="H139" s="237" t="str">
        <f t="shared" si="23"/>
        <v>DuctInsulation - R-0 to R-11 - Heating Zone 3</v>
      </c>
      <c r="I139" s="284">
        <f>SUMPRODUCT(MeasureInputsANDResults!I269:M269,inputWeightings!$B$23:$F$23)</f>
        <v>197.02839890763579</v>
      </c>
      <c r="J139" s="285">
        <f>SUMPRODUCT(MeasureInputsANDResults!N269:R269,inputWeightings!$B$23:$F$23)</f>
        <v>2.4723543367876459</v>
      </c>
      <c r="K139" s="284">
        <f>MeasureInputsANDResults!I215*inputWeightings!$B$23+MeasureInputsANDResults!L215*inputWeightings!$C$23+MeasureInputsANDResults!O215*inputWeightings!$D$23+MeasureInputsANDResults!R215*inputWeightings!$E$23+MeasureInputsANDResults!U215*inputWeightings!$F$23</f>
        <v>0</v>
      </c>
      <c r="L139" s="284">
        <f>MeasureInputsANDResults!J215*inputWeightings!$B$23+MeasureInputsANDResults!M215*inputWeightings!$C$23+MeasureInputsANDResults!P215*inputWeightings!$D$23+MeasureInputsANDResults!S215*inputWeightings!$E$23+MeasureInputsANDResults!V215*inputWeightings!$F$23</f>
        <v>156.0162481500025</v>
      </c>
      <c r="M139" s="328">
        <f>MeasureInputsANDResults!K215*inputWeightings!$B$23+MeasureInputsANDResults!N215*inputWeightings!$C$23+MeasureInputsANDResults!Q215*inputWeightings!$D$23+MeasureInputsANDResults!T215*inputWeightings!$E$23+MeasureInputsANDResults!W215*inputWeightings!$F$23</f>
        <v>272.26176470588217</v>
      </c>
      <c r="N139" s="329">
        <f>SUMPRODUCT(MeasureInputsANDResults!X215:AB215,inputWeightings!$B$36:$F$36)</f>
        <v>65.593068099999513</v>
      </c>
    </row>
    <row r="140" spans="1:14" ht="15">
      <c r="A140" s="273" t="str">
        <f t="shared" si="21"/>
        <v>DuctI12</v>
      </c>
      <c r="B140" s="274" t="str">
        <f t="shared" si="21"/>
        <v>DuctInsulation12</v>
      </c>
      <c r="C140" s="274" t="str">
        <f t="shared" si="21"/>
        <v>DuctInsulation</v>
      </c>
      <c r="D140" s="274">
        <f t="shared" si="21"/>
        <v>12</v>
      </c>
      <c r="E140" s="274" t="str">
        <f t="shared" si="21"/>
        <v>R-4.2</v>
      </c>
      <c r="F140" s="274" t="str">
        <f t="shared" si="21"/>
        <v>R-11</v>
      </c>
      <c r="G140" s="274" t="s">
        <v>313</v>
      </c>
      <c r="H140" s="274" t="str">
        <f t="shared" si="23"/>
        <v>DuctInsulation - R-4.2 to R-11 - Heating Zone 3</v>
      </c>
      <c r="I140" s="286">
        <f>SUMPRODUCT(MeasureInputsANDResults!I270:M270,inputWeightings!$B$23:$F$23)</f>
        <v>55.135997551041726</v>
      </c>
      <c r="J140" s="287">
        <f>SUMPRODUCT(MeasureInputsANDResults!N270:R270,inputWeightings!$B$23:$F$23)</f>
        <v>0.67657481332229963</v>
      </c>
      <c r="K140" s="286">
        <f>MeasureInputsANDResults!I216*inputWeightings!$B$23+MeasureInputsANDResults!L216*inputWeightings!$C$23+MeasureInputsANDResults!O216*inputWeightings!$D$23+MeasureInputsANDResults!R216*inputWeightings!$E$23+MeasureInputsANDResults!U216*inputWeightings!$F$23</f>
        <v>0</v>
      </c>
      <c r="L140" s="286">
        <f>MeasureInputsANDResults!J216*inputWeightings!$B$23+MeasureInputsANDResults!M216*inputWeightings!$C$23+MeasureInputsANDResults!P216*inputWeightings!$D$23+MeasureInputsANDResults!S216*inputWeightings!$E$23+MeasureInputsANDResults!V216*inputWeightings!$F$23</f>
        <v>42.98954684999935</v>
      </c>
      <c r="M140" s="330">
        <f>MeasureInputsANDResults!K216*inputWeightings!$B$23+MeasureInputsANDResults!N216*inputWeightings!$C$23+MeasureInputsANDResults!Q216*inputWeightings!$D$23+MeasureInputsANDResults!T216*inputWeightings!$E$23+MeasureInputsANDResults!W216*inputWeightings!$F$23</f>
        <v>77.417647058823377</v>
      </c>
      <c r="N140" s="331">
        <f>SUMPRODUCT(MeasureInputsANDResults!X216:AB216,inputWeightings!$B$36:$F$36)</f>
        <v>18.541765850000115</v>
      </c>
    </row>
    <row r="141" spans="1:14" ht="15">
      <c r="A141" s="236" t="str">
        <f t="shared" si="21"/>
        <v>HeatP10</v>
      </c>
      <c r="B141" s="237" t="str">
        <f t="shared" si="21"/>
        <v>HeatPump10</v>
      </c>
      <c r="C141" s="237" t="str">
        <f t="shared" si="21"/>
        <v>HeatPump</v>
      </c>
      <c r="D141" s="237">
        <f t="shared" si="21"/>
        <v>10</v>
      </c>
      <c r="E141" s="237" t="str">
        <f t="shared" si="21"/>
        <v>7.7/13</v>
      </c>
      <c r="F141" s="237" t="str">
        <f t="shared" si="21"/>
        <v>8.5/13</v>
      </c>
      <c r="G141" s="237" t="s">
        <v>313</v>
      </c>
      <c r="H141" s="237" t="str">
        <f>C141&amp;" Upgrade - "&amp;E141&amp;" to "&amp;F141&amp;" - "&amp;G141</f>
        <v>HeatPump Upgrade - 7.7/13 to 8.5/13 - Heating Zone 3</v>
      </c>
      <c r="I141" s="284"/>
      <c r="J141" s="285"/>
      <c r="K141" s="284"/>
      <c r="L141" s="284"/>
      <c r="M141" s="328">
        <f>MeasureInputsANDResults!K217*inputWeightings!$B$23+MeasureInputsANDResults!N217*inputWeightings!$C$23+MeasureInputsANDResults!Q217*inputWeightings!$D$23+MeasureInputsANDResults!T217*inputWeightings!$E$23+MeasureInputsANDResults!W217*inputWeightings!$F$23</f>
        <v>677.04872039725001</v>
      </c>
      <c r="N141" s="329">
        <f>SUMPRODUCT(MeasureInputsANDResults!X217:AB217,inputWeightings!$B$36:$F$36)</f>
        <v>0</v>
      </c>
    </row>
    <row r="142" spans="1:14" ht="15">
      <c r="A142" s="236" t="str">
        <f t="shared" si="21"/>
        <v>HeatP11</v>
      </c>
      <c r="B142" s="237" t="str">
        <f t="shared" si="21"/>
        <v>HeatPump11</v>
      </c>
      <c r="C142" s="237" t="str">
        <f t="shared" si="21"/>
        <v>HeatPump</v>
      </c>
      <c r="D142" s="237">
        <f t="shared" si="21"/>
        <v>11</v>
      </c>
      <c r="E142" s="237" t="str">
        <f t="shared" si="21"/>
        <v>7.7/13</v>
      </c>
      <c r="F142" s="237" t="str">
        <f t="shared" si="21"/>
        <v>9.0/14</v>
      </c>
      <c r="G142" s="237" t="s">
        <v>313</v>
      </c>
      <c r="H142" s="237" t="str">
        <f t="shared" ref="H142:H144" si="24">C142&amp;" Upgrade - "&amp;E142&amp;" to "&amp;F142&amp;" - "&amp;G142</f>
        <v>HeatPump Upgrade - 7.7/13 to 9.0/14 - Heating Zone 3</v>
      </c>
      <c r="I142" s="284"/>
      <c r="J142" s="285"/>
      <c r="K142" s="284"/>
      <c r="L142" s="284"/>
      <c r="M142" s="328">
        <f>MeasureInputsANDResults!K218*inputWeightings!$B$23+MeasureInputsANDResults!N218*inputWeightings!$C$23+MeasureInputsANDResults!Q218*inputWeightings!$D$23+MeasureInputsANDResults!T218*inputWeightings!$E$23+MeasureInputsANDResults!W218*inputWeightings!$F$23</f>
        <v>997.93577922077839</v>
      </c>
      <c r="N142" s="329">
        <f>SUMPRODUCT(MeasureInputsANDResults!X218:AB218,inputWeightings!$B$36:$F$36)</f>
        <v>306.36770243571425</v>
      </c>
    </row>
    <row r="143" spans="1:14" ht="15">
      <c r="A143" s="273" t="str">
        <f t="shared" si="21"/>
        <v>HeatP12</v>
      </c>
      <c r="B143" s="274" t="str">
        <f t="shared" si="21"/>
        <v>HeatPump12</v>
      </c>
      <c r="C143" s="274" t="str">
        <f t="shared" si="21"/>
        <v>HeatPump</v>
      </c>
      <c r="D143" s="274">
        <f t="shared" si="21"/>
        <v>12</v>
      </c>
      <c r="E143" s="274" t="str">
        <f t="shared" si="21"/>
        <v>7.7/13</v>
      </c>
      <c r="F143" s="274" t="str">
        <f t="shared" si="21"/>
        <v>8.2/13</v>
      </c>
      <c r="G143" s="274" t="s">
        <v>313</v>
      </c>
      <c r="H143" s="274" t="str">
        <f t="shared" si="24"/>
        <v>HeatPump Upgrade - 7.7/13 to 8.2/13 - Heating Zone 3</v>
      </c>
      <c r="I143" s="286"/>
      <c r="J143" s="287"/>
      <c r="K143" s="286"/>
      <c r="L143" s="286"/>
      <c r="M143" s="330">
        <f>MeasureInputsANDResults!K219*inputWeightings!$B$23+MeasureInputsANDResults!N219*inputWeightings!$C$23+MeasureInputsANDResults!Q219*inputWeightings!$D$23+MeasureInputsANDResults!T219*inputWeightings!$E$23+MeasureInputsANDResults!W219*inputWeightings!$F$23</f>
        <v>465.73285239151011</v>
      </c>
      <c r="N143" s="329">
        <f>SUMPRODUCT(MeasureInputsANDResults!X219:AB219,inputWeightings!$B$36:$F$36)</f>
        <v>0</v>
      </c>
    </row>
    <row r="144" spans="1:14" ht="15.75" thickBot="1">
      <c r="A144" s="288" t="str">
        <f t="shared" si="21"/>
        <v>HPCnt10</v>
      </c>
      <c r="B144" s="289" t="str">
        <f t="shared" si="21"/>
        <v>HPCntrls10</v>
      </c>
      <c r="C144" s="289" t="str">
        <f t="shared" si="21"/>
        <v>HPCntrls</v>
      </c>
      <c r="D144" s="289">
        <f t="shared" si="21"/>
        <v>10</v>
      </c>
      <c r="E144" s="289" t="str">
        <f t="shared" si="21"/>
        <v>Standard</v>
      </c>
      <c r="F144" s="289" t="str">
        <f t="shared" si="21"/>
        <v>PTCS</v>
      </c>
      <c r="G144" s="289" t="s">
        <v>313</v>
      </c>
      <c r="H144" s="289" t="str">
        <f t="shared" si="24"/>
        <v>HPCntrls Upgrade - Standard to PTCS - Heating Zone 3</v>
      </c>
      <c r="I144" s="290"/>
      <c r="J144" s="291"/>
      <c r="K144" s="290"/>
      <c r="L144" s="290"/>
      <c r="M144" s="332">
        <f>MeasureInputsANDResults!K220*inputWeightings!$B$23+MeasureInputsANDResults!N220*inputWeightings!$C$23+MeasureInputsANDResults!Q220*inputWeightings!$D$23+MeasureInputsANDResults!T220*inputWeightings!$E$23+MeasureInputsANDResults!W220*inputWeightings!$F$23</f>
        <v>2896.7430882352933</v>
      </c>
      <c r="N144" s="333">
        <f>SUMPRODUCT(MeasureInputsANDResults!X220:AB220,inputWeightings!B23:F23)</f>
        <v>-2.762711149999868</v>
      </c>
    </row>
    <row r="149" spans="1:1" ht="18.75">
      <c r="A149" s="199"/>
    </row>
  </sheetData>
  <mergeCells count="2">
    <mergeCell ref="I4:N4"/>
    <mergeCell ref="I5:J5"/>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5" tint="0.79998168889431442"/>
  </sheetPr>
  <dimension ref="A1:DY274"/>
  <sheetViews>
    <sheetView topLeftCell="A128" workbookViewId="0">
      <selection activeCell="I232" sqref="I232"/>
    </sheetView>
  </sheetViews>
  <sheetFormatPr defaultRowHeight="12.75"/>
  <cols>
    <col min="2" max="2" width="11" bestFit="1" customWidth="1"/>
    <col min="3" max="3" width="17.85546875" customWidth="1"/>
    <col min="4" max="4" width="16.42578125" customWidth="1"/>
    <col min="5" max="5" width="20.5703125" style="202" bestFit="1" customWidth="1"/>
    <col min="6" max="6" width="16.85546875" customWidth="1"/>
    <col min="7" max="7" width="16.140625" customWidth="1"/>
    <col min="11" max="11" width="11.28515625" customWidth="1"/>
  </cols>
  <sheetData>
    <row r="1" spans="1:128">
      <c r="A1" s="26" t="s">
        <v>1204</v>
      </c>
      <c r="B1" s="26"/>
      <c r="C1" s="26"/>
      <c r="D1" t="s">
        <v>1103</v>
      </c>
      <c r="I1" s="371" t="s">
        <v>1104</v>
      </c>
      <c r="J1" s="371" t="s">
        <v>1105</v>
      </c>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2" t="s">
        <v>510</v>
      </c>
      <c r="CV1" s="372"/>
      <c r="CW1" s="372"/>
      <c r="CX1" s="372"/>
      <c r="CY1" s="372"/>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row>
    <row r="2" spans="1:128" ht="13.5" thickBot="1">
      <c r="A2" s="26" t="s">
        <v>1723</v>
      </c>
      <c r="B2" s="26"/>
      <c r="C2" s="26"/>
      <c r="D2" t="s">
        <v>1106</v>
      </c>
      <c r="G2" t="s">
        <v>1107</v>
      </c>
      <c r="I2" t="s">
        <v>1108</v>
      </c>
      <c r="J2" t="s">
        <v>1108</v>
      </c>
      <c r="K2" t="s">
        <v>1108</v>
      </c>
      <c r="L2" t="s">
        <v>1108</v>
      </c>
      <c r="M2" t="s">
        <v>1108</v>
      </c>
      <c r="N2" t="s">
        <v>1108</v>
      </c>
      <c r="O2" t="s">
        <v>1108</v>
      </c>
      <c r="P2" t="s">
        <v>1108</v>
      </c>
      <c r="Q2" t="s">
        <v>1108</v>
      </c>
      <c r="R2" t="s">
        <v>1108</v>
      </c>
      <c r="S2" t="s">
        <v>1108</v>
      </c>
      <c r="T2" t="s">
        <v>1108</v>
      </c>
      <c r="U2" t="s">
        <v>1108</v>
      </c>
      <c r="V2" t="s">
        <v>1108</v>
      </c>
      <c r="W2" t="s">
        <v>1108</v>
      </c>
      <c r="X2" t="s">
        <v>1108</v>
      </c>
      <c r="Y2" t="s">
        <v>1108</v>
      </c>
      <c r="Z2" t="s">
        <v>1108</v>
      </c>
      <c r="AA2" t="s">
        <v>1108</v>
      </c>
      <c r="AB2" t="s">
        <v>1108</v>
      </c>
      <c r="AC2" t="s">
        <v>1108</v>
      </c>
      <c r="AD2" t="s">
        <v>1108</v>
      </c>
      <c r="AE2" t="s">
        <v>1108</v>
      </c>
      <c r="AF2" t="s">
        <v>1108</v>
      </c>
      <c r="AG2" t="s">
        <v>1108</v>
      </c>
      <c r="AH2" t="s">
        <v>1108</v>
      </c>
      <c r="AI2" t="s">
        <v>1108</v>
      </c>
      <c r="AJ2" t="s">
        <v>1108</v>
      </c>
      <c r="AK2" t="s">
        <v>1108</v>
      </c>
      <c r="AL2" t="s">
        <v>1108</v>
      </c>
      <c r="AM2" t="s">
        <v>1109</v>
      </c>
      <c r="AN2" t="s">
        <v>1109</v>
      </c>
      <c r="AO2" t="s">
        <v>1109</v>
      </c>
      <c r="AP2" t="s">
        <v>1109</v>
      </c>
      <c r="AQ2" t="s">
        <v>1109</v>
      </c>
      <c r="AR2" t="s">
        <v>1109</v>
      </c>
      <c r="AS2" t="s">
        <v>1109</v>
      </c>
      <c r="AT2" t="s">
        <v>1109</v>
      </c>
      <c r="AU2" t="s">
        <v>1109</v>
      </c>
      <c r="AV2" t="s">
        <v>1109</v>
      </c>
      <c r="AW2" t="s">
        <v>1109</v>
      </c>
      <c r="AX2" t="s">
        <v>1109</v>
      </c>
      <c r="AY2" t="s">
        <v>1109</v>
      </c>
      <c r="AZ2" t="s">
        <v>1109</v>
      </c>
      <c r="BA2" t="s">
        <v>1109</v>
      </c>
      <c r="BB2" t="s">
        <v>1109</v>
      </c>
      <c r="BC2" t="s">
        <v>1109</v>
      </c>
      <c r="BD2" t="s">
        <v>1109</v>
      </c>
      <c r="BE2" t="s">
        <v>1109</v>
      </c>
      <c r="BF2" t="s">
        <v>1109</v>
      </c>
      <c r="BG2" t="s">
        <v>1109</v>
      </c>
      <c r="BH2" t="s">
        <v>1109</v>
      </c>
      <c r="BI2" t="s">
        <v>1109</v>
      </c>
      <c r="BJ2" t="s">
        <v>1109</v>
      </c>
      <c r="BK2" t="s">
        <v>1109</v>
      </c>
      <c r="BL2" t="s">
        <v>1109</v>
      </c>
      <c r="BM2" t="s">
        <v>1109</v>
      </c>
      <c r="BN2" t="s">
        <v>1109</v>
      </c>
      <c r="BO2" t="s">
        <v>1109</v>
      </c>
      <c r="BP2" t="s">
        <v>1109</v>
      </c>
      <c r="BQ2">
        <v>1000</v>
      </c>
      <c r="BR2">
        <v>1000</v>
      </c>
      <c r="BS2">
        <v>1000</v>
      </c>
      <c r="BT2">
        <v>1000</v>
      </c>
      <c r="BU2">
        <v>1000</v>
      </c>
      <c r="BV2">
        <v>1000</v>
      </c>
      <c r="BW2">
        <v>1000</v>
      </c>
      <c r="BX2">
        <v>1000</v>
      </c>
      <c r="BY2">
        <v>1000</v>
      </c>
      <c r="BZ2">
        <v>1000</v>
      </c>
      <c r="CA2">
        <v>1000</v>
      </c>
      <c r="CB2">
        <v>1000</v>
      </c>
      <c r="CC2">
        <v>1000</v>
      </c>
      <c r="CD2">
        <v>1000</v>
      </c>
      <c r="CE2">
        <v>1000</v>
      </c>
      <c r="CF2">
        <v>1000</v>
      </c>
      <c r="CG2">
        <v>1000</v>
      </c>
      <c r="CH2">
        <v>1000</v>
      </c>
      <c r="CI2">
        <v>1000</v>
      </c>
      <c r="CJ2">
        <v>1000</v>
      </c>
      <c r="CK2">
        <v>1000</v>
      </c>
      <c r="CL2">
        <v>1000</v>
      </c>
      <c r="CM2">
        <v>1000</v>
      </c>
      <c r="CN2">
        <v>1000</v>
      </c>
      <c r="CO2">
        <v>1000</v>
      </c>
      <c r="CP2">
        <v>1000</v>
      </c>
      <c r="CQ2">
        <v>1000</v>
      </c>
      <c r="CR2">
        <v>1000</v>
      </c>
      <c r="CS2">
        <v>1000</v>
      </c>
      <c r="CT2">
        <v>1000</v>
      </c>
      <c r="CU2" t="s">
        <v>1108</v>
      </c>
      <c r="CV2" t="s">
        <v>1108</v>
      </c>
      <c r="CW2" t="s">
        <v>1108</v>
      </c>
      <c r="CX2" t="s">
        <v>1108</v>
      </c>
      <c r="CY2" t="s">
        <v>1108</v>
      </c>
      <c r="CZ2" t="s">
        <v>1108</v>
      </c>
      <c r="DA2" t="s">
        <v>1108</v>
      </c>
      <c r="DB2" t="s">
        <v>1108</v>
      </c>
      <c r="DC2" t="s">
        <v>1108</v>
      </c>
      <c r="DD2" t="s">
        <v>1108</v>
      </c>
      <c r="DE2" t="s">
        <v>1109</v>
      </c>
      <c r="DF2" t="s">
        <v>1109</v>
      </c>
      <c r="DG2" t="s">
        <v>1109</v>
      </c>
      <c r="DH2" t="s">
        <v>1109</v>
      </c>
      <c r="DI2" t="s">
        <v>1109</v>
      </c>
      <c r="DJ2" t="s">
        <v>1109</v>
      </c>
      <c r="DK2" t="s">
        <v>1109</v>
      </c>
      <c r="DL2" t="s">
        <v>1109</v>
      </c>
      <c r="DM2" t="s">
        <v>1109</v>
      </c>
      <c r="DN2" t="s">
        <v>1109</v>
      </c>
      <c r="DO2">
        <v>1000</v>
      </c>
      <c r="DP2">
        <v>1000</v>
      </c>
      <c r="DQ2">
        <v>1000</v>
      </c>
      <c r="DR2">
        <v>1000</v>
      </c>
      <c r="DS2">
        <v>1000</v>
      </c>
      <c r="DT2">
        <v>1000</v>
      </c>
      <c r="DU2">
        <v>1000</v>
      </c>
      <c r="DV2">
        <v>1000</v>
      </c>
      <c r="DW2">
        <v>1000</v>
      </c>
      <c r="DX2">
        <v>1000</v>
      </c>
    </row>
    <row r="3" spans="1:128">
      <c r="I3" s="373" t="s">
        <v>1110</v>
      </c>
      <c r="J3" s="374" t="s">
        <v>1110</v>
      </c>
      <c r="K3" s="375" t="s">
        <v>1110</v>
      </c>
      <c r="L3" s="374" t="s">
        <v>1110</v>
      </c>
      <c r="M3" s="374" t="s">
        <v>1110</v>
      </c>
      <c r="N3" s="376" t="s">
        <v>1110</v>
      </c>
      <c r="O3" s="377" t="s">
        <v>1111</v>
      </c>
      <c r="P3" s="378" t="s">
        <v>1111</v>
      </c>
      <c r="Q3" s="379" t="s">
        <v>1111</v>
      </c>
      <c r="R3" s="378" t="s">
        <v>1111</v>
      </c>
      <c r="S3" s="378" t="s">
        <v>1111</v>
      </c>
      <c r="T3" s="380" t="s">
        <v>1111</v>
      </c>
      <c r="U3" s="381" t="s">
        <v>1112</v>
      </c>
      <c r="V3" s="382" t="s">
        <v>1112</v>
      </c>
      <c r="W3" s="383" t="s">
        <v>1112</v>
      </c>
      <c r="X3" s="382" t="s">
        <v>1112</v>
      </c>
      <c r="Y3" s="382" t="s">
        <v>1112</v>
      </c>
      <c r="Z3" s="384" t="s">
        <v>1112</v>
      </c>
      <c r="AA3" s="385" t="s">
        <v>1113</v>
      </c>
      <c r="AB3" s="386" t="s">
        <v>1113</v>
      </c>
      <c r="AC3" s="387" t="s">
        <v>1113</v>
      </c>
      <c r="AD3" s="386" t="s">
        <v>1113</v>
      </c>
      <c r="AE3" s="386" t="s">
        <v>1113</v>
      </c>
      <c r="AF3" s="388" t="s">
        <v>1113</v>
      </c>
      <c r="AG3" s="389" t="s">
        <v>1114</v>
      </c>
      <c r="AH3" s="390" t="s">
        <v>1114</v>
      </c>
      <c r="AI3" s="391" t="s">
        <v>1114</v>
      </c>
      <c r="AJ3" s="390" t="s">
        <v>1114</v>
      </c>
      <c r="AK3" s="390" t="s">
        <v>1114</v>
      </c>
      <c r="AL3" s="392" t="s">
        <v>1114</v>
      </c>
      <c r="AM3" s="373" t="s">
        <v>1110</v>
      </c>
      <c r="AN3" s="374" t="s">
        <v>1110</v>
      </c>
      <c r="AO3" s="375" t="s">
        <v>1110</v>
      </c>
      <c r="AP3" s="374" t="s">
        <v>1110</v>
      </c>
      <c r="AQ3" s="374" t="s">
        <v>1110</v>
      </c>
      <c r="AR3" s="376" t="s">
        <v>1110</v>
      </c>
      <c r="AS3" s="377" t="s">
        <v>1111</v>
      </c>
      <c r="AT3" s="378" t="s">
        <v>1111</v>
      </c>
      <c r="AU3" s="379" t="s">
        <v>1111</v>
      </c>
      <c r="AV3" s="378" t="s">
        <v>1111</v>
      </c>
      <c r="AW3" s="378" t="s">
        <v>1111</v>
      </c>
      <c r="AX3" s="380" t="s">
        <v>1111</v>
      </c>
      <c r="AY3" s="381" t="s">
        <v>1112</v>
      </c>
      <c r="AZ3" s="382" t="s">
        <v>1112</v>
      </c>
      <c r="BA3" s="383" t="s">
        <v>1112</v>
      </c>
      <c r="BB3" s="382" t="s">
        <v>1112</v>
      </c>
      <c r="BC3" s="382" t="s">
        <v>1112</v>
      </c>
      <c r="BD3" s="384" t="s">
        <v>1112</v>
      </c>
      <c r="BE3" s="385" t="s">
        <v>1113</v>
      </c>
      <c r="BF3" s="386" t="s">
        <v>1113</v>
      </c>
      <c r="BG3" s="387" t="s">
        <v>1113</v>
      </c>
      <c r="BH3" s="386" t="s">
        <v>1113</v>
      </c>
      <c r="BI3" s="386" t="s">
        <v>1113</v>
      </c>
      <c r="BJ3" s="388" t="s">
        <v>1113</v>
      </c>
      <c r="BK3" s="389" t="s">
        <v>1114</v>
      </c>
      <c r="BL3" s="390" t="s">
        <v>1114</v>
      </c>
      <c r="BM3" s="391" t="s">
        <v>1114</v>
      </c>
      <c r="BN3" s="390" t="s">
        <v>1114</v>
      </c>
      <c r="BO3" s="390" t="s">
        <v>1114</v>
      </c>
      <c r="BP3" s="392" t="s">
        <v>1114</v>
      </c>
      <c r="BQ3" s="373" t="s">
        <v>1110</v>
      </c>
      <c r="BR3" s="374" t="s">
        <v>1110</v>
      </c>
      <c r="BS3" s="375" t="s">
        <v>1110</v>
      </c>
      <c r="BT3" s="374" t="s">
        <v>1110</v>
      </c>
      <c r="BU3" s="374" t="s">
        <v>1110</v>
      </c>
      <c r="BV3" s="376" t="s">
        <v>1110</v>
      </c>
      <c r="BW3" s="377" t="s">
        <v>1111</v>
      </c>
      <c r="BX3" s="378" t="s">
        <v>1111</v>
      </c>
      <c r="BY3" s="379" t="s">
        <v>1111</v>
      </c>
      <c r="BZ3" s="378" t="s">
        <v>1111</v>
      </c>
      <c r="CA3" s="378" t="s">
        <v>1111</v>
      </c>
      <c r="CB3" s="380" t="s">
        <v>1111</v>
      </c>
      <c r="CC3" s="381" t="s">
        <v>1112</v>
      </c>
      <c r="CD3" s="382" t="s">
        <v>1112</v>
      </c>
      <c r="CE3" s="383" t="s">
        <v>1112</v>
      </c>
      <c r="CF3" s="382" t="s">
        <v>1112</v>
      </c>
      <c r="CG3" s="382" t="s">
        <v>1112</v>
      </c>
      <c r="CH3" s="384" t="s">
        <v>1112</v>
      </c>
      <c r="CI3" s="385" t="s">
        <v>1113</v>
      </c>
      <c r="CJ3" s="386" t="s">
        <v>1113</v>
      </c>
      <c r="CK3" s="387" t="s">
        <v>1113</v>
      </c>
      <c r="CL3" s="386" t="s">
        <v>1113</v>
      </c>
      <c r="CM3" s="386" t="s">
        <v>1113</v>
      </c>
      <c r="CN3" s="388" t="s">
        <v>1113</v>
      </c>
      <c r="CO3" s="389" t="s">
        <v>1114</v>
      </c>
      <c r="CP3" s="390" t="s">
        <v>1114</v>
      </c>
      <c r="CQ3" s="391" t="s">
        <v>1114</v>
      </c>
      <c r="CR3" s="390" t="s">
        <v>1114</v>
      </c>
      <c r="CS3" s="390" t="s">
        <v>1114</v>
      </c>
      <c r="CT3" s="390" t="s">
        <v>1114</v>
      </c>
      <c r="CU3" s="393" t="s">
        <v>1110</v>
      </c>
      <c r="CV3" s="376" t="s">
        <v>1110</v>
      </c>
      <c r="CW3" s="379" t="s">
        <v>1111</v>
      </c>
      <c r="CX3" s="378" t="s">
        <v>1111</v>
      </c>
      <c r="CY3" s="381" t="s">
        <v>1112</v>
      </c>
      <c r="CZ3" s="394" t="s">
        <v>1112</v>
      </c>
      <c r="DA3" s="395" t="s">
        <v>1113</v>
      </c>
      <c r="DB3" s="386" t="s">
        <v>1113</v>
      </c>
      <c r="DC3" s="389" t="s">
        <v>1114</v>
      </c>
      <c r="DD3" s="396" t="s">
        <v>1114</v>
      </c>
      <c r="DE3" s="393" t="s">
        <v>1110</v>
      </c>
      <c r="DF3" s="376" t="s">
        <v>1110</v>
      </c>
      <c r="DG3" s="379" t="s">
        <v>1111</v>
      </c>
      <c r="DH3" s="378" t="s">
        <v>1111</v>
      </c>
      <c r="DI3" s="381" t="s">
        <v>1112</v>
      </c>
      <c r="DJ3" s="394" t="s">
        <v>1112</v>
      </c>
      <c r="DK3" s="395" t="s">
        <v>1113</v>
      </c>
      <c r="DL3" s="386" t="s">
        <v>1113</v>
      </c>
      <c r="DM3" s="389" t="s">
        <v>1114</v>
      </c>
      <c r="DN3" s="396" t="s">
        <v>1114</v>
      </c>
      <c r="DO3" s="393" t="s">
        <v>1110</v>
      </c>
      <c r="DP3" s="376" t="s">
        <v>1110</v>
      </c>
      <c r="DQ3" s="379" t="s">
        <v>1111</v>
      </c>
      <c r="DR3" s="378" t="s">
        <v>1111</v>
      </c>
      <c r="DS3" s="381" t="s">
        <v>1112</v>
      </c>
      <c r="DT3" s="394" t="s">
        <v>1112</v>
      </c>
      <c r="DU3" s="395" t="s">
        <v>1113</v>
      </c>
      <c r="DV3" s="386" t="s">
        <v>1113</v>
      </c>
      <c r="DW3" s="389" t="s">
        <v>1114</v>
      </c>
      <c r="DX3" s="396" t="s">
        <v>1114</v>
      </c>
    </row>
    <row r="4" spans="1:128" ht="13.5" thickBot="1">
      <c r="B4" s="649" t="s">
        <v>1115</v>
      </c>
      <c r="C4" s="649"/>
      <c r="D4" s="649"/>
      <c r="E4" s="649"/>
      <c r="F4" s="649"/>
      <c r="G4" s="649"/>
      <c r="I4" s="397" t="s">
        <v>1116</v>
      </c>
      <c r="J4" s="398" t="s">
        <v>1117</v>
      </c>
      <c r="K4" s="399" t="s">
        <v>1118</v>
      </c>
      <c r="L4" s="398" t="s">
        <v>1116</v>
      </c>
      <c r="M4" s="398" t="s">
        <v>1117</v>
      </c>
      <c r="N4" s="400" t="s">
        <v>1118</v>
      </c>
      <c r="O4" s="397" t="s">
        <v>1116</v>
      </c>
      <c r="P4" s="398" t="s">
        <v>1117</v>
      </c>
      <c r="Q4" s="399" t="s">
        <v>1118</v>
      </c>
      <c r="R4" s="398" t="s">
        <v>1116</v>
      </c>
      <c r="S4" s="398" t="s">
        <v>1117</v>
      </c>
      <c r="T4" s="400" t="s">
        <v>1118</v>
      </c>
      <c r="U4" s="397" t="s">
        <v>1116</v>
      </c>
      <c r="V4" s="398" t="s">
        <v>1117</v>
      </c>
      <c r="W4" s="399" t="s">
        <v>1118</v>
      </c>
      <c r="X4" s="398" t="s">
        <v>1116</v>
      </c>
      <c r="Y4" s="398" t="s">
        <v>1117</v>
      </c>
      <c r="Z4" s="400" t="s">
        <v>1118</v>
      </c>
      <c r="AA4" s="397" t="s">
        <v>1116</v>
      </c>
      <c r="AB4" s="398" t="s">
        <v>1117</v>
      </c>
      <c r="AC4" s="399" t="s">
        <v>1118</v>
      </c>
      <c r="AD4" s="398" t="s">
        <v>1116</v>
      </c>
      <c r="AE4" s="398" t="s">
        <v>1117</v>
      </c>
      <c r="AF4" s="400" t="s">
        <v>1118</v>
      </c>
      <c r="AG4" s="397" t="s">
        <v>1116</v>
      </c>
      <c r="AH4" s="398" t="s">
        <v>1117</v>
      </c>
      <c r="AI4" s="399" t="s">
        <v>1118</v>
      </c>
      <c r="AJ4" s="398" t="s">
        <v>1116</v>
      </c>
      <c r="AK4" s="398" t="s">
        <v>1117</v>
      </c>
      <c r="AL4" s="400" t="s">
        <v>1118</v>
      </c>
      <c r="AM4" s="397" t="s">
        <v>1116</v>
      </c>
      <c r="AN4" s="398" t="s">
        <v>1117</v>
      </c>
      <c r="AO4" s="399" t="s">
        <v>1118</v>
      </c>
      <c r="AP4" s="398" t="s">
        <v>1116</v>
      </c>
      <c r="AQ4" s="398" t="s">
        <v>1117</v>
      </c>
      <c r="AR4" s="400" t="s">
        <v>1118</v>
      </c>
      <c r="AS4" s="397" t="s">
        <v>1116</v>
      </c>
      <c r="AT4" s="398" t="s">
        <v>1117</v>
      </c>
      <c r="AU4" s="399" t="s">
        <v>1118</v>
      </c>
      <c r="AV4" s="398" t="s">
        <v>1116</v>
      </c>
      <c r="AW4" s="398" t="s">
        <v>1117</v>
      </c>
      <c r="AX4" s="400" t="s">
        <v>1118</v>
      </c>
      <c r="AY4" s="397" t="s">
        <v>1116</v>
      </c>
      <c r="AZ4" s="398" t="s">
        <v>1117</v>
      </c>
      <c r="BA4" s="399" t="s">
        <v>1118</v>
      </c>
      <c r="BB4" s="398" t="s">
        <v>1116</v>
      </c>
      <c r="BC4" s="398" t="s">
        <v>1117</v>
      </c>
      <c r="BD4" s="400" t="s">
        <v>1118</v>
      </c>
      <c r="BE4" s="397" t="s">
        <v>1116</v>
      </c>
      <c r="BF4" s="398" t="s">
        <v>1117</v>
      </c>
      <c r="BG4" s="399" t="s">
        <v>1118</v>
      </c>
      <c r="BH4" s="398" t="s">
        <v>1116</v>
      </c>
      <c r="BI4" s="398" t="s">
        <v>1117</v>
      </c>
      <c r="BJ4" s="400" t="s">
        <v>1118</v>
      </c>
      <c r="BK4" s="397" t="s">
        <v>1116</v>
      </c>
      <c r="BL4" s="398" t="s">
        <v>1117</v>
      </c>
      <c r="BM4" s="399" t="s">
        <v>1118</v>
      </c>
      <c r="BN4" s="398" t="s">
        <v>1116</v>
      </c>
      <c r="BO4" s="398" t="s">
        <v>1117</v>
      </c>
      <c r="BP4" s="400" t="s">
        <v>1118</v>
      </c>
      <c r="BQ4" s="397" t="s">
        <v>1116</v>
      </c>
      <c r="BR4" s="398" t="s">
        <v>1117</v>
      </c>
      <c r="BS4" s="399" t="s">
        <v>1118</v>
      </c>
      <c r="BT4" s="398" t="s">
        <v>1116</v>
      </c>
      <c r="BU4" s="398" t="s">
        <v>1117</v>
      </c>
      <c r="BV4" s="400" t="s">
        <v>1118</v>
      </c>
      <c r="BW4" s="397" t="s">
        <v>1116</v>
      </c>
      <c r="BX4" s="398" t="s">
        <v>1117</v>
      </c>
      <c r="BY4" s="399" t="s">
        <v>1118</v>
      </c>
      <c r="BZ4" s="398" t="s">
        <v>1116</v>
      </c>
      <c r="CA4" s="398" t="s">
        <v>1117</v>
      </c>
      <c r="CB4" s="400" t="s">
        <v>1118</v>
      </c>
      <c r="CC4" s="397" t="s">
        <v>1116</v>
      </c>
      <c r="CD4" s="398" t="s">
        <v>1117</v>
      </c>
      <c r="CE4" s="399" t="s">
        <v>1118</v>
      </c>
      <c r="CF4" s="398" t="s">
        <v>1116</v>
      </c>
      <c r="CG4" s="398" t="s">
        <v>1117</v>
      </c>
      <c r="CH4" s="400" t="s">
        <v>1118</v>
      </c>
      <c r="CI4" s="397" t="s">
        <v>1116</v>
      </c>
      <c r="CJ4" s="398" t="s">
        <v>1117</v>
      </c>
      <c r="CK4" s="399" t="s">
        <v>1118</v>
      </c>
      <c r="CL4" s="398" t="s">
        <v>1116</v>
      </c>
      <c r="CM4" s="398" t="s">
        <v>1117</v>
      </c>
      <c r="CN4" s="400" t="s">
        <v>1118</v>
      </c>
      <c r="CO4" s="397" t="s">
        <v>1116</v>
      </c>
      <c r="CP4" s="398" t="s">
        <v>1117</v>
      </c>
      <c r="CQ4" s="399" t="s">
        <v>1118</v>
      </c>
      <c r="CR4" s="398" t="s">
        <v>1116</v>
      </c>
      <c r="CS4" s="398" t="s">
        <v>1117</v>
      </c>
      <c r="CT4" s="398" t="s">
        <v>1118</v>
      </c>
      <c r="CU4" s="401" t="s">
        <v>1118</v>
      </c>
      <c r="CV4" s="402" t="s">
        <v>1118</v>
      </c>
      <c r="CW4" s="399" t="s">
        <v>1118</v>
      </c>
      <c r="CX4" s="403" t="s">
        <v>1118</v>
      </c>
      <c r="CY4" s="397" t="s">
        <v>1118</v>
      </c>
      <c r="CZ4" s="404" t="s">
        <v>1118</v>
      </c>
      <c r="DA4" s="401" t="s">
        <v>1118</v>
      </c>
      <c r="DB4" s="403" t="s">
        <v>1118</v>
      </c>
      <c r="DC4" s="397" t="s">
        <v>1118</v>
      </c>
      <c r="DD4" s="404" t="s">
        <v>1118</v>
      </c>
      <c r="DE4" s="401" t="s">
        <v>1118</v>
      </c>
      <c r="DF4" s="402" t="s">
        <v>1118</v>
      </c>
      <c r="DG4" s="399" t="s">
        <v>1118</v>
      </c>
      <c r="DH4" s="403" t="s">
        <v>1118</v>
      </c>
      <c r="DI4" s="397" t="s">
        <v>1118</v>
      </c>
      <c r="DJ4" s="404" t="s">
        <v>1118</v>
      </c>
      <c r="DK4" s="401" t="s">
        <v>1118</v>
      </c>
      <c r="DL4" s="403" t="s">
        <v>1118</v>
      </c>
      <c r="DM4" s="397" t="s">
        <v>1118</v>
      </c>
      <c r="DN4" s="404" t="s">
        <v>1118</v>
      </c>
      <c r="DO4" s="401" t="s">
        <v>1118</v>
      </c>
      <c r="DP4" s="402" t="s">
        <v>1118</v>
      </c>
      <c r="DQ4" s="399" t="s">
        <v>1118</v>
      </c>
      <c r="DR4" s="403" t="s">
        <v>1118</v>
      </c>
      <c r="DS4" s="397" t="s">
        <v>1118</v>
      </c>
      <c r="DT4" s="404" t="s">
        <v>1118</v>
      </c>
      <c r="DU4" s="401" t="s">
        <v>1118</v>
      </c>
      <c r="DV4" s="403" t="s">
        <v>1118</v>
      </c>
      <c r="DW4" s="397" t="s">
        <v>1118</v>
      </c>
      <c r="DX4" s="404" t="s">
        <v>1118</v>
      </c>
    </row>
    <row r="5" spans="1:128" ht="13.5" thickBot="1">
      <c r="B5" s="207" t="s">
        <v>503</v>
      </c>
      <c r="C5" s="208" t="s">
        <v>6</v>
      </c>
      <c r="D5" s="208" t="s">
        <v>504</v>
      </c>
      <c r="E5" s="209" t="s">
        <v>505</v>
      </c>
      <c r="F5" s="208" t="s">
        <v>506</v>
      </c>
      <c r="G5" s="210" t="s">
        <v>507</v>
      </c>
      <c r="I5" s="405" t="s">
        <v>1119</v>
      </c>
      <c r="J5" s="406" t="s">
        <v>1119</v>
      </c>
      <c r="K5" s="407" t="s">
        <v>1119</v>
      </c>
      <c r="L5" s="406" t="s">
        <v>1120</v>
      </c>
      <c r="M5" s="406" t="s">
        <v>1120</v>
      </c>
      <c r="N5" s="408" t="s">
        <v>1120</v>
      </c>
      <c r="O5" s="405" t="s">
        <v>1119</v>
      </c>
      <c r="P5" s="406" t="s">
        <v>1119</v>
      </c>
      <c r="Q5" s="407" t="s">
        <v>1119</v>
      </c>
      <c r="R5" s="406" t="s">
        <v>1120</v>
      </c>
      <c r="S5" s="406" t="s">
        <v>1120</v>
      </c>
      <c r="T5" s="408" t="s">
        <v>1120</v>
      </c>
      <c r="U5" s="405" t="s">
        <v>1119</v>
      </c>
      <c r="V5" s="406" t="s">
        <v>1119</v>
      </c>
      <c r="W5" s="407" t="s">
        <v>1119</v>
      </c>
      <c r="X5" s="406" t="s">
        <v>1120</v>
      </c>
      <c r="Y5" s="406" t="s">
        <v>1120</v>
      </c>
      <c r="Z5" s="408" t="s">
        <v>1120</v>
      </c>
      <c r="AA5" s="405" t="s">
        <v>1119</v>
      </c>
      <c r="AB5" s="406" t="s">
        <v>1119</v>
      </c>
      <c r="AC5" s="407" t="s">
        <v>1119</v>
      </c>
      <c r="AD5" s="406" t="s">
        <v>1120</v>
      </c>
      <c r="AE5" s="406" t="s">
        <v>1120</v>
      </c>
      <c r="AF5" s="408" t="s">
        <v>1120</v>
      </c>
      <c r="AG5" s="405" t="s">
        <v>1119</v>
      </c>
      <c r="AH5" s="406" t="s">
        <v>1119</v>
      </c>
      <c r="AI5" s="407" t="s">
        <v>1119</v>
      </c>
      <c r="AJ5" s="406" t="s">
        <v>1120</v>
      </c>
      <c r="AK5" s="406" t="s">
        <v>1120</v>
      </c>
      <c r="AL5" s="408" t="s">
        <v>1120</v>
      </c>
      <c r="AM5" s="405" t="s">
        <v>1119</v>
      </c>
      <c r="AN5" s="406" t="s">
        <v>1119</v>
      </c>
      <c r="AO5" s="407" t="s">
        <v>1119</v>
      </c>
      <c r="AP5" s="406" t="s">
        <v>1120</v>
      </c>
      <c r="AQ5" s="406" t="s">
        <v>1120</v>
      </c>
      <c r="AR5" s="408" t="s">
        <v>1120</v>
      </c>
      <c r="AS5" s="405" t="s">
        <v>1119</v>
      </c>
      <c r="AT5" s="406" t="s">
        <v>1119</v>
      </c>
      <c r="AU5" s="407" t="s">
        <v>1119</v>
      </c>
      <c r="AV5" s="406" t="s">
        <v>1120</v>
      </c>
      <c r="AW5" s="406" t="s">
        <v>1120</v>
      </c>
      <c r="AX5" s="408" t="s">
        <v>1120</v>
      </c>
      <c r="AY5" s="405" t="s">
        <v>1119</v>
      </c>
      <c r="AZ5" s="406" t="s">
        <v>1119</v>
      </c>
      <c r="BA5" s="407" t="s">
        <v>1119</v>
      </c>
      <c r="BB5" s="406" t="s">
        <v>1120</v>
      </c>
      <c r="BC5" s="406" t="s">
        <v>1120</v>
      </c>
      <c r="BD5" s="408" t="s">
        <v>1120</v>
      </c>
      <c r="BE5" s="405" t="s">
        <v>1119</v>
      </c>
      <c r="BF5" s="406" t="s">
        <v>1119</v>
      </c>
      <c r="BG5" s="407" t="s">
        <v>1119</v>
      </c>
      <c r="BH5" s="406" t="s">
        <v>1120</v>
      </c>
      <c r="BI5" s="406" t="s">
        <v>1120</v>
      </c>
      <c r="BJ5" s="408" t="s">
        <v>1120</v>
      </c>
      <c r="BK5" s="405" t="s">
        <v>1119</v>
      </c>
      <c r="BL5" s="406" t="s">
        <v>1119</v>
      </c>
      <c r="BM5" s="407" t="s">
        <v>1119</v>
      </c>
      <c r="BN5" s="406" t="s">
        <v>1120</v>
      </c>
      <c r="BO5" s="406" t="s">
        <v>1120</v>
      </c>
      <c r="BP5" s="408" t="s">
        <v>1120</v>
      </c>
      <c r="BQ5" s="405" t="s">
        <v>1119</v>
      </c>
      <c r="BR5" s="406" t="s">
        <v>1119</v>
      </c>
      <c r="BS5" s="407" t="s">
        <v>1119</v>
      </c>
      <c r="BT5" s="406" t="s">
        <v>1120</v>
      </c>
      <c r="BU5" s="406" t="s">
        <v>1120</v>
      </c>
      <c r="BV5" s="408" t="s">
        <v>1120</v>
      </c>
      <c r="BW5" s="405" t="s">
        <v>1119</v>
      </c>
      <c r="BX5" s="406" t="s">
        <v>1119</v>
      </c>
      <c r="BY5" s="407" t="s">
        <v>1119</v>
      </c>
      <c r="BZ5" s="406" t="s">
        <v>1120</v>
      </c>
      <c r="CA5" s="406" t="s">
        <v>1120</v>
      </c>
      <c r="CB5" s="408" t="s">
        <v>1120</v>
      </c>
      <c r="CC5" s="405" t="s">
        <v>1119</v>
      </c>
      <c r="CD5" s="406" t="s">
        <v>1119</v>
      </c>
      <c r="CE5" s="407" t="s">
        <v>1119</v>
      </c>
      <c r="CF5" s="406" t="s">
        <v>1120</v>
      </c>
      <c r="CG5" s="406" t="s">
        <v>1120</v>
      </c>
      <c r="CH5" s="408" t="s">
        <v>1120</v>
      </c>
      <c r="CI5" s="405" t="s">
        <v>1119</v>
      </c>
      <c r="CJ5" s="406" t="s">
        <v>1119</v>
      </c>
      <c r="CK5" s="407" t="s">
        <v>1119</v>
      </c>
      <c r="CL5" s="406" t="s">
        <v>1120</v>
      </c>
      <c r="CM5" s="406" t="s">
        <v>1120</v>
      </c>
      <c r="CN5" s="408" t="s">
        <v>1120</v>
      </c>
      <c r="CO5" s="405" t="s">
        <v>1119</v>
      </c>
      <c r="CP5" s="406" t="s">
        <v>1119</v>
      </c>
      <c r="CQ5" s="407" t="s">
        <v>1119</v>
      </c>
      <c r="CR5" s="406" t="s">
        <v>1120</v>
      </c>
      <c r="CS5" s="406" t="s">
        <v>1120</v>
      </c>
      <c r="CT5" s="406" t="s">
        <v>1120</v>
      </c>
      <c r="CU5" s="409" t="s">
        <v>1119</v>
      </c>
      <c r="CV5" s="408" t="s">
        <v>1120</v>
      </c>
      <c r="CW5" s="409" t="s">
        <v>1119</v>
      </c>
      <c r="CX5" s="408" t="s">
        <v>1120</v>
      </c>
      <c r="CY5" s="409" t="s">
        <v>1119</v>
      </c>
      <c r="CZ5" s="408" t="s">
        <v>1120</v>
      </c>
      <c r="DA5" s="409" t="s">
        <v>1119</v>
      </c>
      <c r="DB5" s="408" t="s">
        <v>1120</v>
      </c>
      <c r="DC5" s="409" t="s">
        <v>1119</v>
      </c>
      <c r="DD5" s="408" t="s">
        <v>1120</v>
      </c>
      <c r="DE5" s="409" t="s">
        <v>1119</v>
      </c>
      <c r="DF5" s="408" t="s">
        <v>1120</v>
      </c>
      <c r="DG5" s="409" t="s">
        <v>1119</v>
      </c>
      <c r="DH5" s="408" t="s">
        <v>1120</v>
      </c>
      <c r="DI5" s="409" t="s">
        <v>1119</v>
      </c>
      <c r="DJ5" s="408" t="s">
        <v>1120</v>
      </c>
      <c r="DK5" s="409" t="s">
        <v>1119</v>
      </c>
      <c r="DL5" s="408" t="s">
        <v>1120</v>
      </c>
      <c r="DM5" s="409" t="s">
        <v>1119</v>
      </c>
      <c r="DN5" s="408" t="s">
        <v>1120</v>
      </c>
      <c r="DO5" s="409" t="s">
        <v>1119</v>
      </c>
      <c r="DP5" s="408" t="s">
        <v>1120</v>
      </c>
      <c r="DQ5" s="409" t="s">
        <v>1119</v>
      </c>
      <c r="DR5" s="408" t="s">
        <v>1120</v>
      </c>
      <c r="DS5" s="409" t="s">
        <v>1119</v>
      </c>
      <c r="DT5" s="408" t="s">
        <v>1120</v>
      </c>
      <c r="DU5" s="409" t="s">
        <v>1119</v>
      </c>
      <c r="DV5" s="408" t="s">
        <v>1120</v>
      </c>
      <c r="DW5" s="409" t="s">
        <v>1119</v>
      </c>
      <c r="DX5" s="408" t="s">
        <v>1120</v>
      </c>
    </row>
    <row r="6" spans="1:128" ht="15.75" thickBot="1">
      <c r="B6" s="401" t="s">
        <v>512</v>
      </c>
      <c r="C6" s="410" t="s">
        <v>512</v>
      </c>
      <c r="D6" s="410" t="s">
        <v>513</v>
      </c>
      <c r="E6" s="411">
        <v>10</v>
      </c>
      <c r="F6" s="412" t="s">
        <v>514</v>
      </c>
      <c r="G6" s="413" t="s">
        <v>515</v>
      </c>
      <c r="H6" t="s">
        <v>512</v>
      </c>
      <c r="I6" s="31">
        <v>5992.0707940000002</v>
      </c>
      <c r="J6" s="31">
        <v>6372.662491</v>
      </c>
      <c r="K6" s="414">
        <v>2196</v>
      </c>
      <c r="L6" s="31">
        <v>4272.867886</v>
      </c>
      <c r="M6" s="31">
        <v>4542.4800240000004</v>
      </c>
      <c r="N6" s="414">
        <v>1595.8235294117646</v>
      </c>
      <c r="O6" s="31">
        <v>6526.3717630000001</v>
      </c>
      <c r="P6" s="31">
        <v>6943.3620769999998</v>
      </c>
      <c r="Q6" s="414">
        <v>2397.7647058823532</v>
      </c>
      <c r="R6" s="31">
        <v>4648.4807280000005</v>
      </c>
      <c r="S6" s="31">
        <v>4943.277478</v>
      </c>
      <c r="T6" s="414">
        <v>1739.2941176470588</v>
      </c>
      <c r="U6" s="31">
        <v>11612.056565999999</v>
      </c>
      <c r="V6" s="31">
        <v>12255.712464</v>
      </c>
      <c r="W6" s="414">
        <v>5131.4705882352937</v>
      </c>
      <c r="X6" s="31">
        <v>8835.0592809999998</v>
      </c>
      <c r="Y6" s="31">
        <v>9319.136724</v>
      </c>
      <c r="Z6" s="414">
        <v>3873.2352941176468</v>
      </c>
      <c r="AA6" s="31">
        <v>8466.4563920000001</v>
      </c>
      <c r="AB6" s="31">
        <v>8972.7846939999999</v>
      </c>
      <c r="AC6" s="414">
        <v>3685.6470588235293</v>
      </c>
      <c r="AD6" s="31">
        <v>6234.4732780000004</v>
      </c>
      <c r="AE6" s="31">
        <v>6602.6290870000003</v>
      </c>
      <c r="AF6" s="414">
        <v>2717.8235294117649</v>
      </c>
      <c r="AG6" s="31">
        <v>14266.437115999999</v>
      </c>
      <c r="AH6" s="31">
        <v>15002.334983999999</v>
      </c>
      <c r="AI6" s="414">
        <v>7054.1764705882351</v>
      </c>
      <c r="AJ6" s="31">
        <v>10964.710396</v>
      </c>
      <c r="AK6" s="31">
        <v>11521.854078</v>
      </c>
      <c r="AL6" s="414">
        <v>5235.5882352941171</v>
      </c>
      <c r="AM6" s="31">
        <v>6076.9121400000004</v>
      </c>
      <c r="AN6" s="31">
        <v>6391.68552</v>
      </c>
      <c r="AO6" s="414">
        <v>2382.7647058823532</v>
      </c>
      <c r="AP6" s="31">
        <v>4371.4606869999998</v>
      </c>
      <c r="AQ6" s="31">
        <v>4598.3255669999999</v>
      </c>
      <c r="AR6" s="414">
        <v>1750.0588235294117</v>
      </c>
      <c r="AS6" s="31">
        <v>6632.8080609999997</v>
      </c>
      <c r="AT6" s="31">
        <v>6979.404211</v>
      </c>
      <c r="AU6" s="414">
        <v>2612.588235294118</v>
      </c>
      <c r="AV6" s="31">
        <v>4768.6037120000001</v>
      </c>
      <c r="AW6" s="31">
        <v>5018.3332879999998</v>
      </c>
      <c r="AX6" s="414">
        <v>1914.4705882352941</v>
      </c>
      <c r="AY6" s="31">
        <v>11812.929501000001</v>
      </c>
      <c r="AZ6" s="31">
        <v>12435.030054999999</v>
      </c>
      <c r="BA6" s="414">
        <v>5888.2352941176468</v>
      </c>
      <c r="BB6" s="31">
        <v>9058.1124999999993</v>
      </c>
      <c r="BC6" s="31">
        <v>9535.5001520000005</v>
      </c>
      <c r="BD6" s="414">
        <v>4397.2352941176468</v>
      </c>
      <c r="BE6" s="31">
        <v>8617.0816460000005</v>
      </c>
      <c r="BF6" s="31">
        <v>9070.8062819999996</v>
      </c>
      <c r="BG6" s="414">
        <v>4171.0588235294117</v>
      </c>
      <c r="BH6" s="31">
        <v>6407.4293980000002</v>
      </c>
      <c r="BI6" s="31">
        <v>6745.1643119999999</v>
      </c>
      <c r="BJ6" s="414">
        <v>3065.0588235294117</v>
      </c>
      <c r="BK6" s="31">
        <v>14630.026162</v>
      </c>
      <c r="BL6" s="31">
        <v>15397.302530999999</v>
      </c>
      <c r="BM6" s="414">
        <v>8293.1764705882342</v>
      </c>
      <c r="BN6" s="31">
        <v>11348.958909999999</v>
      </c>
      <c r="BO6" s="31">
        <v>11944.385966</v>
      </c>
      <c r="BP6" s="414">
        <v>6119.7058823529405</v>
      </c>
      <c r="BQ6" s="31">
        <v>52323.890136000002</v>
      </c>
      <c r="BR6" s="31">
        <v>52817.505294000002</v>
      </c>
      <c r="BS6" s="414">
        <v>19190.176470588234</v>
      </c>
      <c r="BT6" s="31">
        <v>41605.413188999999</v>
      </c>
      <c r="BU6" s="31">
        <v>42034.392064</v>
      </c>
      <c r="BV6" s="414">
        <v>15465.352941176472</v>
      </c>
      <c r="BW6" s="31">
        <v>57203.311815000001</v>
      </c>
      <c r="BX6" s="31">
        <v>57779.856059999998</v>
      </c>
      <c r="BY6" s="414">
        <v>20993.117647058825</v>
      </c>
      <c r="BZ6" s="31">
        <v>45452.966907000002</v>
      </c>
      <c r="CA6" s="31">
        <v>45953.011257999999</v>
      </c>
      <c r="CB6" s="414">
        <v>16901.705882352941</v>
      </c>
      <c r="CC6" s="31">
        <v>115087.49903200001</v>
      </c>
      <c r="CD6" s="31">
        <v>115854.789797</v>
      </c>
      <c r="CE6" s="414">
        <v>50020.647058823524</v>
      </c>
      <c r="CF6" s="31">
        <v>97357.902963</v>
      </c>
      <c r="CG6" s="31">
        <v>98081.535877999995</v>
      </c>
      <c r="CH6" s="414">
        <v>42501.117647058825</v>
      </c>
      <c r="CI6" s="31">
        <v>77785.739486999999</v>
      </c>
      <c r="CJ6" s="31">
        <v>78393.058642999997</v>
      </c>
      <c r="CK6" s="414">
        <v>33654.058823529413</v>
      </c>
      <c r="CL6" s="31">
        <v>63975.947822000002</v>
      </c>
      <c r="CM6" s="31">
        <v>64539.868244999998</v>
      </c>
      <c r="CN6" s="414">
        <v>27981.235294117647</v>
      </c>
      <c r="CO6" s="31">
        <v>144097.041337</v>
      </c>
      <c r="CP6" s="31">
        <v>144868.85989299999</v>
      </c>
      <c r="CQ6" s="414">
        <v>68388.823529411762</v>
      </c>
      <c r="CR6" s="31">
        <v>123107.158949</v>
      </c>
      <c r="CS6" s="31">
        <v>123841.54501099999</v>
      </c>
      <c r="CT6" s="414">
        <v>58351.941176470587</v>
      </c>
      <c r="CU6" s="415">
        <v>658.72263399999997</v>
      </c>
      <c r="CV6" s="415">
        <v>656.414626</v>
      </c>
      <c r="CW6" s="415">
        <v>335.64437099999998</v>
      </c>
      <c r="CX6" s="415">
        <v>350.38521500000002</v>
      </c>
      <c r="CY6" s="415">
        <v>689.66427699999997</v>
      </c>
      <c r="CZ6" s="415">
        <v>663.51128600000004</v>
      </c>
      <c r="DA6" s="415">
        <v>1171.9981210000001</v>
      </c>
      <c r="DB6" s="415">
        <v>1101.2734929999999</v>
      </c>
      <c r="DC6" s="415">
        <v>486.45092699999998</v>
      </c>
      <c r="DD6" s="415">
        <v>481.70780400000001</v>
      </c>
      <c r="DE6" s="415">
        <v>624.77128700000003</v>
      </c>
      <c r="DF6" s="415">
        <v>615.20759299999997</v>
      </c>
      <c r="DG6" s="415">
        <v>304.25185099999999</v>
      </c>
      <c r="DH6" s="415">
        <v>314.18500499999999</v>
      </c>
      <c r="DI6" s="415">
        <v>640.01734099999999</v>
      </c>
      <c r="DJ6" s="415">
        <v>606.485049</v>
      </c>
      <c r="DK6" s="415">
        <v>1149.771927</v>
      </c>
      <c r="DL6" s="415">
        <v>1074.8296720000001</v>
      </c>
      <c r="DM6" s="415">
        <v>434.529628</v>
      </c>
      <c r="DN6" s="415">
        <v>419.39653800000002</v>
      </c>
      <c r="DO6" s="415">
        <v>13167.343294</v>
      </c>
      <c r="DP6" s="415">
        <v>13509.707635000001</v>
      </c>
      <c r="DQ6" s="415">
        <v>8403.3715080000002</v>
      </c>
      <c r="DR6" s="415">
        <v>8866.9020889999993</v>
      </c>
      <c r="DS6" s="415">
        <v>12574.334194999999</v>
      </c>
      <c r="DT6" s="415">
        <v>12692.097303</v>
      </c>
      <c r="DU6" s="415">
        <v>19465.407526999999</v>
      </c>
      <c r="DV6" s="415">
        <v>19407.302604</v>
      </c>
      <c r="DW6" s="415">
        <v>9980.2367849999991</v>
      </c>
      <c r="DX6" s="415">
        <v>10191.875873999999</v>
      </c>
    </row>
    <row r="7" spans="1:128" ht="15.75" thickBot="1">
      <c r="B7" s="416" t="s">
        <v>518</v>
      </c>
      <c r="C7" s="417" t="s">
        <v>519</v>
      </c>
      <c r="D7" s="417" t="s">
        <v>520</v>
      </c>
      <c r="E7" s="418">
        <v>10</v>
      </c>
      <c r="F7" s="417" t="s">
        <v>514</v>
      </c>
      <c r="G7" s="419" t="s">
        <v>515</v>
      </c>
      <c r="H7" t="s">
        <v>518</v>
      </c>
      <c r="I7" s="31">
        <v>4272.867886</v>
      </c>
      <c r="J7" s="31">
        <v>4542.4800240000004</v>
      </c>
      <c r="K7" s="414">
        <v>1595.8235294117646</v>
      </c>
      <c r="L7" s="31">
        <v>4272.867886</v>
      </c>
      <c r="M7" s="31">
        <v>4542.4800240000004</v>
      </c>
      <c r="N7" s="414">
        <v>1595.8235294117646</v>
      </c>
      <c r="O7" s="31">
        <v>4648.4807280000005</v>
      </c>
      <c r="P7" s="31">
        <v>4943.277478</v>
      </c>
      <c r="Q7" s="414">
        <v>1739.2941176470588</v>
      </c>
      <c r="R7" s="31">
        <v>4648.4807280000005</v>
      </c>
      <c r="S7" s="31">
        <v>4943.277478</v>
      </c>
      <c r="T7" s="414">
        <v>1739.2941176470588</v>
      </c>
      <c r="U7" s="31">
        <v>8835.0592809999998</v>
      </c>
      <c r="V7" s="31">
        <v>9319.136724</v>
      </c>
      <c r="W7" s="414">
        <v>3873.2352941176468</v>
      </c>
      <c r="X7" s="31">
        <v>8835.0592809999998</v>
      </c>
      <c r="Y7" s="31">
        <v>9319.136724</v>
      </c>
      <c r="Z7" s="414">
        <v>3873.2352941176468</v>
      </c>
      <c r="AA7" s="31">
        <v>6234.4732780000004</v>
      </c>
      <c r="AB7" s="31">
        <v>6602.6290870000003</v>
      </c>
      <c r="AC7" s="414">
        <v>2717.8235294117649</v>
      </c>
      <c r="AD7" s="31">
        <v>6234.4732780000004</v>
      </c>
      <c r="AE7" s="31">
        <v>6602.6290870000003</v>
      </c>
      <c r="AF7" s="414">
        <v>2717.8235294117649</v>
      </c>
      <c r="AG7" s="31">
        <v>10964.710396</v>
      </c>
      <c r="AH7" s="31">
        <v>11521.854078</v>
      </c>
      <c r="AI7" s="414">
        <v>5235.5882352941171</v>
      </c>
      <c r="AJ7" s="31">
        <v>10964.710396</v>
      </c>
      <c r="AK7" s="31">
        <v>11521.854078</v>
      </c>
      <c r="AL7" s="414">
        <v>5235.5882352941171</v>
      </c>
      <c r="AM7" s="31">
        <v>4371.4606869999998</v>
      </c>
      <c r="AN7" s="31">
        <v>4598.3255669999999</v>
      </c>
      <c r="AO7" s="414">
        <v>1750.0588235294117</v>
      </c>
      <c r="AP7" s="31">
        <v>4371.4606869999998</v>
      </c>
      <c r="AQ7" s="31">
        <v>4598.3255669999999</v>
      </c>
      <c r="AR7" s="414">
        <v>1750.0588235294117</v>
      </c>
      <c r="AS7" s="31">
        <v>4768.6037120000001</v>
      </c>
      <c r="AT7" s="31">
        <v>5018.3332879999998</v>
      </c>
      <c r="AU7" s="414">
        <v>1914.4705882352941</v>
      </c>
      <c r="AV7" s="31">
        <v>4768.6037120000001</v>
      </c>
      <c r="AW7" s="31">
        <v>5018.3332879999998</v>
      </c>
      <c r="AX7" s="414">
        <v>1914.4705882352941</v>
      </c>
      <c r="AY7" s="31">
        <v>9058.1124999999993</v>
      </c>
      <c r="AZ7" s="31">
        <v>9535.5001520000005</v>
      </c>
      <c r="BA7" s="414">
        <v>4397.2352941176468</v>
      </c>
      <c r="BB7" s="31">
        <v>9058.1124999999993</v>
      </c>
      <c r="BC7" s="31">
        <v>9535.5001520000005</v>
      </c>
      <c r="BD7" s="414">
        <v>4397.2352941176468</v>
      </c>
      <c r="BE7" s="31">
        <v>6407.4293980000002</v>
      </c>
      <c r="BF7" s="31">
        <v>6745.1643119999999</v>
      </c>
      <c r="BG7" s="414">
        <v>3065.0588235294117</v>
      </c>
      <c r="BH7" s="31">
        <v>6407.4293980000002</v>
      </c>
      <c r="BI7" s="31">
        <v>6745.1643119999999</v>
      </c>
      <c r="BJ7" s="414">
        <v>3065.0588235294117</v>
      </c>
      <c r="BK7" s="31">
        <v>11348.958909999999</v>
      </c>
      <c r="BL7" s="31">
        <v>11944.385966</v>
      </c>
      <c r="BM7" s="414">
        <v>6119.7058823529405</v>
      </c>
      <c r="BN7" s="31">
        <v>11348.958909999999</v>
      </c>
      <c r="BO7" s="31">
        <v>11944.385966</v>
      </c>
      <c r="BP7" s="414">
        <v>6119.7058823529405</v>
      </c>
      <c r="BQ7" s="31">
        <v>41605.413188999999</v>
      </c>
      <c r="BR7" s="31">
        <v>42034.392064</v>
      </c>
      <c r="BS7" s="414">
        <v>15465.352941176472</v>
      </c>
      <c r="BT7" s="31">
        <v>41605.413188999999</v>
      </c>
      <c r="BU7" s="31">
        <v>42034.392064</v>
      </c>
      <c r="BV7" s="414">
        <v>15465.352941176472</v>
      </c>
      <c r="BW7" s="31">
        <v>45452.966907000002</v>
      </c>
      <c r="BX7" s="31">
        <v>45953.011257999999</v>
      </c>
      <c r="BY7" s="414">
        <v>16901.705882352941</v>
      </c>
      <c r="BZ7" s="31">
        <v>45452.966907000002</v>
      </c>
      <c r="CA7" s="31">
        <v>45953.011257999999</v>
      </c>
      <c r="CB7" s="414">
        <v>16901.705882352941</v>
      </c>
      <c r="CC7" s="31">
        <v>97357.902963</v>
      </c>
      <c r="CD7" s="31">
        <v>98081.535877999995</v>
      </c>
      <c r="CE7" s="414">
        <v>42501.117647058825</v>
      </c>
      <c r="CF7" s="31">
        <v>97357.902963</v>
      </c>
      <c r="CG7" s="31">
        <v>98081.535877999995</v>
      </c>
      <c r="CH7" s="414">
        <v>42501.117647058825</v>
      </c>
      <c r="CI7" s="31">
        <v>63975.947822000002</v>
      </c>
      <c r="CJ7" s="31">
        <v>64539.868244999998</v>
      </c>
      <c r="CK7" s="414">
        <v>27981.235294117647</v>
      </c>
      <c r="CL7" s="31">
        <v>63975.947822000002</v>
      </c>
      <c r="CM7" s="31">
        <v>64539.868244999998</v>
      </c>
      <c r="CN7" s="414">
        <v>27981.235294117647</v>
      </c>
      <c r="CO7" s="31">
        <v>123107.158949</v>
      </c>
      <c r="CP7" s="31">
        <v>123841.54501099999</v>
      </c>
      <c r="CQ7" s="414">
        <v>58351.941176470587</v>
      </c>
      <c r="CR7" s="31">
        <v>123107.158949</v>
      </c>
      <c r="CS7" s="31">
        <v>123841.54501099999</v>
      </c>
      <c r="CT7" s="414">
        <v>58351.941176470587</v>
      </c>
      <c r="CU7" s="415">
        <v>656.414626</v>
      </c>
      <c r="CV7" s="415">
        <v>656.414626</v>
      </c>
      <c r="CW7" s="415">
        <v>350.38521500000002</v>
      </c>
      <c r="CX7" s="415">
        <v>350.38521500000002</v>
      </c>
      <c r="CY7" s="415">
        <v>663.51128600000004</v>
      </c>
      <c r="CZ7" s="415">
        <v>663.51128600000004</v>
      </c>
      <c r="DA7" s="415">
        <v>1101.2734929999999</v>
      </c>
      <c r="DB7" s="415">
        <v>1101.2734929999999</v>
      </c>
      <c r="DC7" s="415">
        <v>481.70780400000001</v>
      </c>
      <c r="DD7" s="415">
        <v>481.70780400000001</v>
      </c>
      <c r="DE7" s="415">
        <v>615.20759299999997</v>
      </c>
      <c r="DF7" s="415">
        <v>615.20759299999997</v>
      </c>
      <c r="DG7" s="415">
        <v>314.18500499999999</v>
      </c>
      <c r="DH7" s="415">
        <v>314.18500499999999</v>
      </c>
      <c r="DI7" s="415">
        <v>606.485049</v>
      </c>
      <c r="DJ7" s="415">
        <v>606.485049</v>
      </c>
      <c r="DK7" s="415">
        <v>1074.8296720000001</v>
      </c>
      <c r="DL7" s="415">
        <v>1074.8296720000001</v>
      </c>
      <c r="DM7" s="415">
        <v>419.39653800000002</v>
      </c>
      <c r="DN7" s="415">
        <v>419.39653800000002</v>
      </c>
      <c r="DO7" s="415">
        <v>13509.707635000001</v>
      </c>
      <c r="DP7" s="415">
        <v>13509.707635000001</v>
      </c>
      <c r="DQ7" s="415">
        <v>8866.9020889999993</v>
      </c>
      <c r="DR7" s="415">
        <v>8866.9020889999993</v>
      </c>
      <c r="DS7" s="415">
        <v>12692.097303</v>
      </c>
      <c r="DT7" s="415">
        <v>12692.097303</v>
      </c>
      <c r="DU7" s="415">
        <v>19407.302604</v>
      </c>
      <c r="DV7" s="415">
        <v>19407.302604</v>
      </c>
      <c r="DW7" s="415">
        <v>10191.875873999999</v>
      </c>
      <c r="DX7" s="415">
        <v>10191.875873999999</v>
      </c>
    </row>
    <row r="8" spans="1:128" ht="15">
      <c r="B8" s="420" t="s">
        <v>522</v>
      </c>
      <c r="C8" s="421" t="s">
        <v>523</v>
      </c>
      <c r="D8" s="421" t="s">
        <v>524</v>
      </c>
      <c r="E8" s="422">
        <v>10</v>
      </c>
      <c r="F8" s="423" t="s">
        <v>514</v>
      </c>
      <c r="G8" s="424" t="s">
        <v>525</v>
      </c>
      <c r="H8" t="s">
        <v>522</v>
      </c>
      <c r="I8" s="31">
        <v>4665.8157950000004</v>
      </c>
      <c r="J8" s="31">
        <v>4918.0006190000004</v>
      </c>
      <c r="K8" s="414">
        <v>1706.8235294117649</v>
      </c>
      <c r="L8" s="31">
        <v>4321.6595129999996</v>
      </c>
      <c r="M8" s="31">
        <v>4589.3530270000001</v>
      </c>
      <c r="N8" s="414">
        <v>1609.7647058823529</v>
      </c>
      <c r="O8" s="31">
        <v>5082.0386470000003</v>
      </c>
      <c r="P8" s="31">
        <v>5358.2407249999997</v>
      </c>
      <c r="Q8" s="414">
        <v>1862.2352941176471</v>
      </c>
      <c r="R8" s="31">
        <v>4702.7665129999996</v>
      </c>
      <c r="S8" s="31">
        <v>4995.5264809999999</v>
      </c>
      <c r="T8" s="414">
        <v>1755.2352941176471</v>
      </c>
      <c r="U8" s="31">
        <v>9402.1102499999997</v>
      </c>
      <c r="V8" s="31">
        <v>9832.7188229999992</v>
      </c>
      <c r="W8" s="414">
        <v>4034.7058823529414</v>
      </c>
      <c r="X8" s="31">
        <v>8906.4527880000005</v>
      </c>
      <c r="Y8" s="31">
        <v>9384.1003180000007</v>
      </c>
      <c r="Z8" s="414">
        <v>3893.6470588235297</v>
      </c>
      <c r="AA8" s="31">
        <v>6708.3033169999999</v>
      </c>
      <c r="AB8" s="31">
        <v>7040.69416</v>
      </c>
      <c r="AC8" s="414">
        <v>2856.8235294117649</v>
      </c>
      <c r="AD8" s="31">
        <v>6294.0749189999997</v>
      </c>
      <c r="AE8" s="31">
        <v>6657.9916290000001</v>
      </c>
      <c r="AF8" s="414">
        <v>2735.7647058823532</v>
      </c>
      <c r="AG8" s="31">
        <v>11629.747611000001</v>
      </c>
      <c r="AH8" s="31">
        <v>12116.856196000001</v>
      </c>
      <c r="AI8" s="414">
        <v>5434.6470588235297</v>
      </c>
      <c r="AJ8" s="31">
        <v>11048.423494999999</v>
      </c>
      <c r="AK8" s="31">
        <v>11597.042919</v>
      </c>
      <c r="AL8" s="414">
        <v>5261.0588235294117</v>
      </c>
      <c r="AM8" s="31">
        <v>4371.4606869999998</v>
      </c>
      <c r="AN8" s="31">
        <v>4598.3255669999999</v>
      </c>
      <c r="AO8" s="414">
        <v>1750.0588235294117</v>
      </c>
      <c r="AP8" s="31">
        <v>4371.4606869999998</v>
      </c>
      <c r="AQ8" s="31">
        <v>4598.3255669999999</v>
      </c>
      <c r="AR8" s="414">
        <v>1750.0588235294117</v>
      </c>
      <c r="AS8" s="31">
        <v>4768.6037120000001</v>
      </c>
      <c r="AT8" s="31">
        <v>5018.3332879999998</v>
      </c>
      <c r="AU8" s="414">
        <v>1914.4705882352941</v>
      </c>
      <c r="AV8" s="31">
        <v>4768.6037120000001</v>
      </c>
      <c r="AW8" s="31">
        <v>5018.3332879999998</v>
      </c>
      <c r="AX8" s="414">
        <v>1914.4705882352941</v>
      </c>
      <c r="AY8" s="31">
        <v>9058.1124999999993</v>
      </c>
      <c r="AZ8" s="31">
        <v>9535.5001520000005</v>
      </c>
      <c r="BA8" s="414">
        <v>4397.2352941176468</v>
      </c>
      <c r="BB8" s="31">
        <v>9058.1124999999993</v>
      </c>
      <c r="BC8" s="31">
        <v>9535.5001520000005</v>
      </c>
      <c r="BD8" s="414">
        <v>4397.2352941176468</v>
      </c>
      <c r="BE8" s="31">
        <v>6407.4293980000002</v>
      </c>
      <c r="BF8" s="31">
        <v>6745.1643119999999</v>
      </c>
      <c r="BG8" s="414">
        <v>3065.0588235294117</v>
      </c>
      <c r="BH8" s="31">
        <v>6407.4293980000002</v>
      </c>
      <c r="BI8" s="31">
        <v>6745.1643119999999</v>
      </c>
      <c r="BJ8" s="414">
        <v>3065.0588235294117</v>
      </c>
      <c r="BK8" s="31">
        <v>11348.958909999999</v>
      </c>
      <c r="BL8" s="31">
        <v>11944.385966</v>
      </c>
      <c r="BM8" s="414">
        <v>6119.7058823529405</v>
      </c>
      <c r="BN8" s="31">
        <v>11348.958909999999</v>
      </c>
      <c r="BO8" s="31">
        <v>11944.385966</v>
      </c>
      <c r="BP8" s="414">
        <v>6119.7058823529405</v>
      </c>
      <c r="BQ8" s="31">
        <v>46784.215514000003</v>
      </c>
      <c r="BR8" s="31">
        <v>47271.897913000001</v>
      </c>
      <c r="BS8" s="414">
        <v>17304.882352941175</v>
      </c>
      <c r="BT8" s="31">
        <v>42269.300825999999</v>
      </c>
      <c r="BU8" s="31">
        <v>42705.862483999997</v>
      </c>
      <c r="BV8" s="414">
        <v>15702.352941176472</v>
      </c>
      <c r="BW8" s="31">
        <v>51156.128270000001</v>
      </c>
      <c r="BX8" s="31">
        <v>51725.328056999999</v>
      </c>
      <c r="BY8" s="414">
        <v>18911.529411764706</v>
      </c>
      <c r="BZ8" s="31">
        <v>46185.395374</v>
      </c>
      <c r="CA8" s="31">
        <v>46694.428332000003</v>
      </c>
      <c r="CB8" s="414">
        <v>17159.588235294119</v>
      </c>
      <c r="CC8" s="31">
        <v>104694.45368399999</v>
      </c>
      <c r="CD8" s="31">
        <v>105496.562804</v>
      </c>
      <c r="CE8" s="414">
        <v>45620.823529411762</v>
      </c>
      <c r="CF8" s="31">
        <v>98313.740160999994</v>
      </c>
      <c r="CG8" s="31">
        <v>99047.718699999998</v>
      </c>
      <c r="CH8" s="414">
        <v>42909.294117647063</v>
      </c>
      <c r="CI8" s="31">
        <v>69816.474228000006</v>
      </c>
      <c r="CJ8" s="31">
        <v>70440.468431999994</v>
      </c>
      <c r="CK8" s="414">
        <v>30433.529411764706</v>
      </c>
      <c r="CL8" s="31">
        <v>64730.177803999999</v>
      </c>
      <c r="CM8" s="31">
        <v>65302.065556000001</v>
      </c>
      <c r="CN8" s="414">
        <v>28299.117647058825</v>
      </c>
      <c r="CO8" s="31">
        <v>131453.00372000001</v>
      </c>
      <c r="CP8" s="31">
        <v>132276.55074100001</v>
      </c>
      <c r="CQ8" s="414">
        <v>62173.294117647063</v>
      </c>
      <c r="CR8" s="31">
        <v>124192.11208599999</v>
      </c>
      <c r="CS8" s="31">
        <v>124938.33338</v>
      </c>
      <c r="CT8" s="414">
        <v>58849.117647058825</v>
      </c>
      <c r="CU8" s="415">
        <v>610.885536</v>
      </c>
      <c r="CV8" s="415">
        <v>650.42100600000003</v>
      </c>
      <c r="CW8" s="415">
        <v>312.12295499999999</v>
      </c>
      <c r="CX8" s="415">
        <v>345.23386399999998</v>
      </c>
      <c r="CY8" s="415">
        <v>621.60027400000001</v>
      </c>
      <c r="CZ8" s="415">
        <v>657.95824900000002</v>
      </c>
      <c r="DA8" s="415">
        <v>1057.4190470000001</v>
      </c>
      <c r="DB8" s="415">
        <v>1095.5109279999999</v>
      </c>
      <c r="DC8" s="415">
        <v>440.94944700000002</v>
      </c>
      <c r="DD8" s="415">
        <v>476.31998599999997</v>
      </c>
      <c r="DE8" s="415">
        <v>615.20759299999997</v>
      </c>
      <c r="DF8" s="415">
        <v>615.20759299999997</v>
      </c>
      <c r="DG8" s="415">
        <v>314.18500499999999</v>
      </c>
      <c r="DH8" s="415">
        <v>314.18500499999999</v>
      </c>
      <c r="DI8" s="415">
        <v>606.485049</v>
      </c>
      <c r="DJ8" s="415">
        <v>606.485049</v>
      </c>
      <c r="DK8" s="415">
        <v>1074.8296720000001</v>
      </c>
      <c r="DL8" s="415">
        <v>1074.8296720000001</v>
      </c>
      <c r="DM8" s="415">
        <v>419.39653800000002</v>
      </c>
      <c r="DN8" s="415">
        <v>419.39653800000002</v>
      </c>
      <c r="DO8" s="415">
        <v>12529.590383999999</v>
      </c>
      <c r="DP8" s="415">
        <v>13376.005353</v>
      </c>
      <c r="DQ8" s="415">
        <v>7936.5410549999997</v>
      </c>
      <c r="DR8" s="415">
        <v>8739.4988119999998</v>
      </c>
      <c r="DS8" s="415">
        <v>11808.632464</v>
      </c>
      <c r="DT8" s="415">
        <v>12569.256598</v>
      </c>
      <c r="DU8" s="415">
        <v>18458.618361000001</v>
      </c>
      <c r="DV8" s="415">
        <v>19275.06581</v>
      </c>
      <c r="DW8" s="415">
        <v>9309.3554399999994</v>
      </c>
      <c r="DX8" s="415">
        <v>10067.479996</v>
      </c>
    </row>
    <row r="9" spans="1:128" ht="15">
      <c r="B9" s="425" t="s">
        <v>533</v>
      </c>
      <c r="C9" s="249" t="s">
        <v>534</v>
      </c>
      <c r="D9" s="249" t="s">
        <v>524</v>
      </c>
      <c r="E9" s="426">
        <v>11</v>
      </c>
      <c r="F9" s="249" t="s">
        <v>514</v>
      </c>
      <c r="G9" s="252" t="s">
        <v>535</v>
      </c>
      <c r="H9" t="s">
        <v>533</v>
      </c>
      <c r="I9" s="31">
        <v>4665.8157950000004</v>
      </c>
      <c r="J9" s="31">
        <v>4918.0006190000004</v>
      </c>
      <c r="K9" s="414">
        <v>1706.8235294117649</v>
      </c>
      <c r="L9" s="31">
        <v>4272.867886</v>
      </c>
      <c r="M9" s="31">
        <v>4542.4800240000004</v>
      </c>
      <c r="N9" s="414">
        <v>1595.8235294117646</v>
      </c>
      <c r="O9" s="31">
        <v>5082.0386470000003</v>
      </c>
      <c r="P9" s="31">
        <v>5358.2407249999997</v>
      </c>
      <c r="Q9" s="414">
        <v>1862.2352941176471</v>
      </c>
      <c r="R9" s="31">
        <v>4648.4807280000005</v>
      </c>
      <c r="S9" s="31">
        <v>4943.277478</v>
      </c>
      <c r="T9" s="414">
        <v>1739.2941176470588</v>
      </c>
      <c r="U9" s="31">
        <v>9402.1102499999997</v>
      </c>
      <c r="V9" s="31">
        <v>9832.7188229999992</v>
      </c>
      <c r="W9" s="414">
        <v>4034.7058823529414</v>
      </c>
      <c r="X9" s="31">
        <v>8835.0592809999998</v>
      </c>
      <c r="Y9" s="31">
        <v>9319.136724</v>
      </c>
      <c r="Z9" s="414">
        <v>3873.2352941176468</v>
      </c>
      <c r="AA9" s="31">
        <v>6708.3033169999999</v>
      </c>
      <c r="AB9" s="31">
        <v>7040.69416</v>
      </c>
      <c r="AC9" s="414">
        <v>2856.8235294117649</v>
      </c>
      <c r="AD9" s="31">
        <v>6234.4732780000004</v>
      </c>
      <c r="AE9" s="31">
        <v>6602.6290870000003</v>
      </c>
      <c r="AF9" s="414">
        <v>2717.8235294117649</v>
      </c>
      <c r="AG9" s="31">
        <v>11629.747611000001</v>
      </c>
      <c r="AH9" s="31">
        <v>12116.856196000001</v>
      </c>
      <c r="AI9" s="414">
        <v>5434.6470588235297</v>
      </c>
      <c r="AJ9" s="31">
        <v>10964.710396</v>
      </c>
      <c r="AK9" s="31">
        <v>11521.854078</v>
      </c>
      <c r="AL9" s="414">
        <v>5235.5882352941171</v>
      </c>
      <c r="AM9" s="31">
        <v>4371.4606869999998</v>
      </c>
      <c r="AN9" s="31">
        <v>4598.3255669999999</v>
      </c>
      <c r="AO9" s="414">
        <v>1750.0588235294117</v>
      </c>
      <c r="AP9" s="31">
        <v>4371.4606869999998</v>
      </c>
      <c r="AQ9" s="31">
        <v>4598.3255669999999</v>
      </c>
      <c r="AR9" s="414">
        <v>1750.0588235294117</v>
      </c>
      <c r="AS9" s="31">
        <v>4768.6037120000001</v>
      </c>
      <c r="AT9" s="31">
        <v>5018.3332879999998</v>
      </c>
      <c r="AU9" s="414">
        <v>1914.4705882352941</v>
      </c>
      <c r="AV9" s="31">
        <v>4768.6037120000001</v>
      </c>
      <c r="AW9" s="31">
        <v>5018.3332879999998</v>
      </c>
      <c r="AX9" s="414">
        <v>1914.4705882352941</v>
      </c>
      <c r="AY9" s="31">
        <v>9058.1124999999993</v>
      </c>
      <c r="AZ9" s="31">
        <v>9535.5001520000005</v>
      </c>
      <c r="BA9" s="414">
        <v>4397.2352941176468</v>
      </c>
      <c r="BB9" s="31">
        <v>9058.1124999999993</v>
      </c>
      <c r="BC9" s="31">
        <v>9535.5001520000005</v>
      </c>
      <c r="BD9" s="414">
        <v>4397.2352941176468</v>
      </c>
      <c r="BE9" s="31">
        <v>6407.4293980000002</v>
      </c>
      <c r="BF9" s="31">
        <v>6745.1643119999999</v>
      </c>
      <c r="BG9" s="414">
        <v>3065.0588235294117</v>
      </c>
      <c r="BH9" s="31">
        <v>6407.4293980000002</v>
      </c>
      <c r="BI9" s="31">
        <v>6745.1643119999999</v>
      </c>
      <c r="BJ9" s="414">
        <v>3065.0588235294117</v>
      </c>
      <c r="BK9" s="31">
        <v>11348.958909999999</v>
      </c>
      <c r="BL9" s="31">
        <v>11944.385966</v>
      </c>
      <c r="BM9" s="414">
        <v>6119.7058823529405</v>
      </c>
      <c r="BN9" s="31">
        <v>11348.958909999999</v>
      </c>
      <c r="BO9" s="31">
        <v>11944.385966</v>
      </c>
      <c r="BP9" s="414">
        <v>6119.7058823529405</v>
      </c>
      <c r="BQ9" s="31">
        <v>46784.215514000003</v>
      </c>
      <c r="BR9" s="31">
        <v>47271.897913000001</v>
      </c>
      <c r="BS9" s="414">
        <v>17304.882352941175</v>
      </c>
      <c r="BT9" s="31">
        <v>41605.413188999999</v>
      </c>
      <c r="BU9" s="31">
        <v>42034.392064</v>
      </c>
      <c r="BV9" s="414">
        <v>15465.352941176472</v>
      </c>
      <c r="BW9" s="31">
        <v>51156.128270000001</v>
      </c>
      <c r="BX9" s="31">
        <v>51725.328056999999</v>
      </c>
      <c r="BY9" s="414">
        <v>18911.529411764706</v>
      </c>
      <c r="BZ9" s="31">
        <v>45452.966907000002</v>
      </c>
      <c r="CA9" s="31">
        <v>45953.011257999999</v>
      </c>
      <c r="CB9" s="414">
        <v>16901.705882352941</v>
      </c>
      <c r="CC9" s="31">
        <v>104694.45368399999</v>
      </c>
      <c r="CD9" s="31">
        <v>105496.562804</v>
      </c>
      <c r="CE9" s="414">
        <v>45620.823529411762</v>
      </c>
      <c r="CF9" s="31">
        <v>97357.902963</v>
      </c>
      <c r="CG9" s="31">
        <v>98081.535877999995</v>
      </c>
      <c r="CH9" s="414">
        <v>42501.117647058825</v>
      </c>
      <c r="CI9" s="31">
        <v>69816.474228000006</v>
      </c>
      <c r="CJ9" s="31">
        <v>70440.468431999994</v>
      </c>
      <c r="CK9" s="414">
        <v>30433.529411764706</v>
      </c>
      <c r="CL9" s="31">
        <v>63975.947822000002</v>
      </c>
      <c r="CM9" s="31">
        <v>64539.868244999998</v>
      </c>
      <c r="CN9" s="414">
        <v>27981.235294117647</v>
      </c>
      <c r="CO9" s="31">
        <v>131453.00372000001</v>
      </c>
      <c r="CP9" s="31">
        <v>132276.55074100001</v>
      </c>
      <c r="CQ9" s="414">
        <v>62173.294117647063</v>
      </c>
      <c r="CR9" s="31">
        <v>123107.158949</v>
      </c>
      <c r="CS9" s="31">
        <v>123841.54501099999</v>
      </c>
      <c r="CT9" s="414">
        <v>58351.941176470587</v>
      </c>
      <c r="CU9" s="415">
        <v>610.885536</v>
      </c>
      <c r="CV9" s="415">
        <v>656.414626</v>
      </c>
      <c r="CW9" s="415">
        <v>312.12295499999999</v>
      </c>
      <c r="CX9" s="415">
        <v>350.38521500000002</v>
      </c>
      <c r="CY9" s="415">
        <v>621.60027400000001</v>
      </c>
      <c r="CZ9" s="415">
        <v>663.51128600000004</v>
      </c>
      <c r="DA9" s="415">
        <v>1057.4190470000001</v>
      </c>
      <c r="DB9" s="415">
        <v>1101.2734929999999</v>
      </c>
      <c r="DC9" s="415">
        <v>440.94944700000002</v>
      </c>
      <c r="DD9" s="415">
        <v>481.70780400000001</v>
      </c>
      <c r="DE9" s="415">
        <v>615.20759299999997</v>
      </c>
      <c r="DF9" s="415">
        <v>615.20759299999997</v>
      </c>
      <c r="DG9" s="415">
        <v>314.18500499999999</v>
      </c>
      <c r="DH9" s="415">
        <v>314.18500499999999</v>
      </c>
      <c r="DI9" s="415">
        <v>606.485049</v>
      </c>
      <c r="DJ9" s="415">
        <v>606.485049</v>
      </c>
      <c r="DK9" s="415">
        <v>1074.8296720000001</v>
      </c>
      <c r="DL9" s="415">
        <v>1074.8296720000001</v>
      </c>
      <c r="DM9" s="415">
        <v>419.39653800000002</v>
      </c>
      <c r="DN9" s="415">
        <v>419.39653800000002</v>
      </c>
      <c r="DO9" s="415">
        <v>12529.590383999999</v>
      </c>
      <c r="DP9" s="415">
        <v>13509.707635000001</v>
      </c>
      <c r="DQ9" s="415">
        <v>7936.5410549999997</v>
      </c>
      <c r="DR9" s="415">
        <v>8866.9020889999993</v>
      </c>
      <c r="DS9" s="415">
        <v>11808.632464</v>
      </c>
      <c r="DT9" s="415">
        <v>12692.097303</v>
      </c>
      <c r="DU9" s="415">
        <v>18458.618361000001</v>
      </c>
      <c r="DV9" s="415">
        <v>19407.302604</v>
      </c>
      <c r="DW9" s="415">
        <v>9309.3554399999994</v>
      </c>
      <c r="DX9" s="415">
        <v>10191.875873999999</v>
      </c>
    </row>
    <row r="10" spans="1:128" ht="15">
      <c r="B10" s="425" t="s">
        <v>537</v>
      </c>
      <c r="C10" s="249" t="s">
        <v>538</v>
      </c>
      <c r="D10" s="249" t="s">
        <v>524</v>
      </c>
      <c r="E10" s="426">
        <v>12</v>
      </c>
      <c r="F10" s="427" t="s">
        <v>514</v>
      </c>
      <c r="G10" s="428" t="s">
        <v>539</v>
      </c>
      <c r="H10" t="s">
        <v>537</v>
      </c>
      <c r="I10" s="31">
        <v>4665.8157950000004</v>
      </c>
      <c r="J10" s="31">
        <v>4918.0006190000004</v>
      </c>
      <c r="K10" s="414">
        <v>1706.8235294117649</v>
      </c>
      <c r="L10" s="31">
        <v>4221.8850769999999</v>
      </c>
      <c r="M10" s="31">
        <v>4493.4390960000001</v>
      </c>
      <c r="N10" s="414">
        <v>1580.8823529411766</v>
      </c>
      <c r="O10" s="31">
        <v>5082.0386470000003</v>
      </c>
      <c r="P10" s="31">
        <v>5358.2407249999997</v>
      </c>
      <c r="Q10" s="414">
        <v>1862.2352941176471</v>
      </c>
      <c r="R10" s="31">
        <v>4591.6281159999999</v>
      </c>
      <c r="S10" s="31">
        <v>4888.4903000000004</v>
      </c>
      <c r="T10" s="414">
        <v>1723.3529411764707</v>
      </c>
      <c r="U10" s="31">
        <v>9402.1102499999997</v>
      </c>
      <c r="V10" s="31">
        <v>9832.7188229999992</v>
      </c>
      <c r="W10" s="414">
        <v>4034.7058823529414</v>
      </c>
      <c r="X10" s="31">
        <v>8760.1333279999999</v>
      </c>
      <c r="Y10" s="31">
        <v>9250.866446</v>
      </c>
      <c r="Z10" s="414">
        <v>3852.2941176470586</v>
      </c>
      <c r="AA10" s="31">
        <v>6708.3033169999999</v>
      </c>
      <c r="AB10" s="31">
        <v>7040.69416</v>
      </c>
      <c r="AC10" s="414">
        <v>2856.8235294117649</v>
      </c>
      <c r="AD10" s="31">
        <v>6171.9408540000004</v>
      </c>
      <c r="AE10" s="31">
        <v>6544.4374950000001</v>
      </c>
      <c r="AF10" s="414">
        <v>2699.8823529411766</v>
      </c>
      <c r="AG10" s="31">
        <v>11629.747611000001</v>
      </c>
      <c r="AH10" s="31">
        <v>12116.856196000001</v>
      </c>
      <c r="AI10" s="414">
        <v>5434.6470588235297</v>
      </c>
      <c r="AJ10" s="31">
        <v>10876.853951999999</v>
      </c>
      <c r="AK10" s="31">
        <v>11442.884349</v>
      </c>
      <c r="AL10" s="414">
        <v>5210.6470588235297</v>
      </c>
      <c r="AM10" s="31">
        <v>4371.4606869999998</v>
      </c>
      <c r="AN10" s="31">
        <v>4598.3255669999999</v>
      </c>
      <c r="AO10" s="414">
        <v>1750.0588235294117</v>
      </c>
      <c r="AP10" s="31">
        <v>4371.4606869999998</v>
      </c>
      <c r="AQ10" s="31">
        <v>4598.3255669999999</v>
      </c>
      <c r="AR10" s="414">
        <v>1750.0588235294117</v>
      </c>
      <c r="AS10" s="31">
        <v>4768.6037120000001</v>
      </c>
      <c r="AT10" s="31">
        <v>5018.3332879999998</v>
      </c>
      <c r="AU10" s="414">
        <v>1914.4705882352941</v>
      </c>
      <c r="AV10" s="31">
        <v>4768.6037120000001</v>
      </c>
      <c r="AW10" s="31">
        <v>5018.3332879999998</v>
      </c>
      <c r="AX10" s="414">
        <v>1914.4705882352941</v>
      </c>
      <c r="AY10" s="31">
        <v>9058.1124999999993</v>
      </c>
      <c r="AZ10" s="31">
        <v>9535.5001520000005</v>
      </c>
      <c r="BA10" s="414">
        <v>4397.2352941176468</v>
      </c>
      <c r="BB10" s="31">
        <v>9058.1124999999993</v>
      </c>
      <c r="BC10" s="31">
        <v>9535.5001520000005</v>
      </c>
      <c r="BD10" s="414">
        <v>4397.2352941176468</v>
      </c>
      <c r="BE10" s="31">
        <v>6407.4293980000002</v>
      </c>
      <c r="BF10" s="31">
        <v>6745.1643119999999</v>
      </c>
      <c r="BG10" s="414">
        <v>3065.0588235294117</v>
      </c>
      <c r="BH10" s="31">
        <v>6407.4293980000002</v>
      </c>
      <c r="BI10" s="31">
        <v>6745.1643119999999</v>
      </c>
      <c r="BJ10" s="414">
        <v>3065.0588235294117</v>
      </c>
      <c r="BK10" s="31">
        <v>11348.958909999999</v>
      </c>
      <c r="BL10" s="31">
        <v>11944.385966</v>
      </c>
      <c r="BM10" s="414">
        <v>6119.7058823529405</v>
      </c>
      <c r="BN10" s="31">
        <v>11348.958909999999</v>
      </c>
      <c r="BO10" s="31">
        <v>11944.385966</v>
      </c>
      <c r="BP10" s="414">
        <v>6119.7058823529405</v>
      </c>
      <c r="BQ10" s="31">
        <v>46784.215514000003</v>
      </c>
      <c r="BR10" s="31">
        <v>47271.897913000001</v>
      </c>
      <c r="BS10" s="414">
        <v>17304.882352941175</v>
      </c>
      <c r="BT10" s="31">
        <v>40905.526233999997</v>
      </c>
      <c r="BU10" s="31">
        <v>41326.465879000003</v>
      </c>
      <c r="BV10" s="414">
        <v>15215.941176470587</v>
      </c>
      <c r="BW10" s="31">
        <v>51156.128270000001</v>
      </c>
      <c r="BX10" s="31">
        <v>51725.328056999999</v>
      </c>
      <c r="BY10" s="414">
        <v>18911.529411764706</v>
      </c>
      <c r="BZ10" s="31">
        <v>44679.653287000001</v>
      </c>
      <c r="CA10" s="31">
        <v>45170.177072999999</v>
      </c>
      <c r="CB10" s="414">
        <v>16625.882352941175</v>
      </c>
      <c r="CC10" s="31">
        <v>104694.45368399999</v>
      </c>
      <c r="CD10" s="31">
        <v>105496.562804</v>
      </c>
      <c r="CE10" s="414">
        <v>45620.823529411762</v>
      </c>
      <c r="CF10" s="31">
        <v>96345.409927000001</v>
      </c>
      <c r="CG10" s="31">
        <v>97058.083081000004</v>
      </c>
      <c r="CH10" s="414">
        <v>42069.470588235294</v>
      </c>
      <c r="CI10" s="31">
        <v>69816.474228000006</v>
      </c>
      <c r="CJ10" s="31">
        <v>70440.468431999994</v>
      </c>
      <c r="CK10" s="414">
        <v>30433.529411764706</v>
      </c>
      <c r="CL10" s="31">
        <v>63178.446805</v>
      </c>
      <c r="CM10" s="31">
        <v>63733.876743000001</v>
      </c>
      <c r="CN10" s="414">
        <v>27642.941176470587</v>
      </c>
      <c r="CO10" s="31">
        <v>131453.00372000001</v>
      </c>
      <c r="CP10" s="31">
        <v>132276.55074100001</v>
      </c>
      <c r="CQ10" s="414">
        <v>62173.294117647063</v>
      </c>
      <c r="CR10" s="31">
        <v>121955.933408</v>
      </c>
      <c r="CS10" s="31">
        <v>122677.673069</v>
      </c>
      <c r="CT10" s="414">
        <v>57825.352941176476</v>
      </c>
      <c r="CU10" s="415">
        <v>610.885536</v>
      </c>
      <c r="CV10" s="415">
        <v>662.76802299999997</v>
      </c>
      <c r="CW10" s="415">
        <v>312.12295499999999</v>
      </c>
      <c r="CX10" s="415">
        <v>355.87991499999998</v>
      </c>
      <c r="CY10" s="415">
        <v>621.60027400000001</v>
      </c>
      <c r="CZ10" s="415">
        <v>669.42003499999998</v>
      </c>
      <c r="DA10" s="415">
        <v>1057.4190470000001</v>
      </c>
      <c r="DB10" s="415">
        <v>1107.4095319999999</v>
      </c>
      <c r="DC10" s="415">
        <v>440.94944700000002</v>
      </c>
      <c r="DD10" s="415">
        <v>487.44404400000002</v>
      </c>
      <c r="DE10" s="415">
        <v>615.20759299999997</v>
      </c>
      <c r="DF10" s="415">
        <v>615.20759299999997</v>
      </c>
      <c r="DG10" s="415">
        <v>314.18500499999999</v>
      </c>
      <c r="DH10" s="415">
        <v>314.18500499999999</v>
      </c>
      <c r="DI10" s="415">
        <v>606.485049</v>
      </c>
      <c r="DJ10" s="415">
        <v>606.485049</v>
      </c>
      <c r="DK10" s="415">
        <v>1074.8296720000001</v>
      </c>
      <c r="DL10" s="415">
        <v>1074.8296720000001</v>
      </c>
      <c r="DM10" s="415">
        <v>419.39653800000002</v>
      </c>
      <c r="DN10" s="415">
        <v>419.39653800000002</v>
      </c>
      <c r="DO10" s="415">
        <v>12529.590383999999</v>
      </c>
      <c r="DP10" s="415">
        <v>13653.706135</v>
      </c>
      <c r="DQ10" s="415">
        <v>7936.5410549999997</v>
      </c>
      <c r="DR10" s="415">
        <v>9004.2012209999994</v>
      </c>
      <c r="DS10" s="415">
        <v>11808.632464</v>
      </c>
      <c r="DT10" s="415">
        <v>12824.756756999999</v>
      </c>
      <c r="DU10" s="415">
        <v>18458.618361000001</v>
      </c>
      <c r="DV10" s="415">
        <v>19550.649408000001</v>
      </c>
      <c r="DW10" s="415">
        <v>9309.3554399999994</v>
      </c>
      <c r="DX10" s="415">
        <v>10327.134361</v>
      </c>
    </row>
    <row r="11" spans="1:128" ht="15">
      <c r="B11" s="425" t="s">
        <v>541</v>
      </c>
      <c r="C11" s="249" t="s">
        <v>542</v>
      </c>
      <c r="D11" s="249" t="s">
        <v>524</v>
      </c>
      <c r="E11" s="426">
        <v>13</v>
      </c>
      <c r="F11" s="249" t="s">
        <v>514</v>
      </c>
      <c r="G11" s="252" t="s">
        <v>543</v>
      </c>
      <c r="H11" t="s">
        <v>541</v>
      </c>
      <c r="I11" s="31">
        <v>4665.8157950000004</v>
      </c>
      <c r="J11" s="31">
        <v>4918.0006190000004</v>
      </c>
      <c r="K11" s="414">
        <v>1706.8235294117649</v>
      </c>
      <c r="L11" s="31">
        <v>4208.3932100000002</v>
      </c>
      <c r="M11" s="31">
        <v>4480.4399350000003</v>
      </c>
      <c r="N11" s="414">
        <v>1576.8823529411766</v>
      </c>
      <c r="O11" s="31">
        <v>5082.0386470000003</v>
      </c>
      <c r="P11" s="31">
        <v>5358.2407249999997</v>
      </c>
      <c r="Q11" s="414">
        <v>1862.2352941176471</v>
      </c>
      <c r="R11" s="31">
        <v>4576.5693709999996</v>
      </c>
      <c r="S11" s="31">
        <v>4873.9762229999997</v>
      </c>
      <c r="T11" s="414">
        <v>1718.8823529411766</v>
      </c>
      <c r="U11" s="31">
        <v>9402.1102499999997</v>
      </c>
      <c r="V11" s="31">
        <v>9832.7188229999992</v>
      </c>
      <c r="W11" s="414">
        <v>4034.7058823529414</v>
      </c>
      <c r="X11" s="31">
        <v>8740.2480660000001</v>
      </c>
      <c r="Y11" s="31">
        <v>9232.7390460000006</v>
      </c>
      <c r="Z11" s="414">
        <v>3846.8235294117649</v>
      </c>
      <c r="AA11" s="31">
        <v>6708.3033169999999</v>
      </c>
      <c r="AB11" s="31">
        <v>7040.69416</v>
      </c>
      <c r="AC11" s="414">
        <v>2856.8235294117649</v>
      </c>
      <c r="AD11" s="31">
        <v>6155.3620140000003</v>
      </c>
      <c r="AE11" s="31">
        <v>6529.0045040000005</v>
      </c>
      <c r="AF11" s="414">
        <v>2694.8823529411766</v>
      </c>
      <c r="AG11" s="31">
        <v>11629.747611000001</v>
      </c>
      <c r="AH11" s="31">
        <v>12116.856196000001</v>
      </c>
      <c r="AI11" s="414">
        <v>5434.6470588235297</v>
      </c>
      <c r="AJ11" s="31">
        <v>10853.544357000001</v>
      </c>
      <c r="AK11" s="31">
        <v>11421.927489</v>
      </c>
      <c r="AL11" s="414">
        <v>5204.176470588236</v>
      </c>
      <c r="AM11" s="31">
        <v>4371.4606869999998</v>
      </c>
      <c r="AN11" s="31">
        <v>4598.3255669999999</v>
      </c>
      <c r="AO11" s="414">
        <v>1750.0588235294117</v>
      </c>
      <c r="AP11" s="31">
        <v>4371.4606869999998</v>
      </c>
      <c r="AQ11" s="31">
        <v>4598.3255669999999</v>
      </c>
      <c r="AR11" s="414">
        <v>1750.0588235294117</v>
      </c>
      <c r="AS11" s="31">
        <v>4768.6037120000001</v>
      </c>
      <c r="AT11" s="31">
        <v>5018.3332879999998</v>
      </c>
      <c r="AU11" s="414">
        <v>1914.4705882352941</v>
      </c>
      <c r="AV11" s="31">
        <v>4768.6037120000001</v>
      </c>
      <c r="AW11" s="31">
        <v>5018.3332879999998</v>
      </c>
      <c r="AX11" s="414">
        <v>1914.4705882352941</v>
      </c>
      <c r="AY11" s="31">
        <v>9058.1124999999993</v>
      </c>
      <c r="AZ11" s="31">
        <v>9535.5001520000005</v>
      </c>
      <c r="BA11" s="414">
        <v>4397.2352941176468</v>
      </c>
      <c r="BB11" s="31">
        <v>9058.1124999999993</v>
      </c>
      <c r="BC11" s="31">
        <v>9535.5001520000005</v>
      </c>
      <c r="BD11" s="414">
        <v>4397.2352941176468</v>
      </c>
      <c r="BE11" s="31">
        <v>6407.4293980000002</v>
      </c>
      <c r="BF11" s="31">
        <v>6745.1643119999999</v>
      </c>
      <c r="BG11" s="414">
        <v>3065.0588235294117</v>
      </c>
      <c r="BH11" s="31">
        <v>6407.4293980000002</v>
      </c>
      <c r="BI11" s="31">
        <v>6745.1643119999999</v>
      </c>
      <c r="BJ11" s="414">
        <v>3065.0588235294117</v>
      </c>
      <c r="BK11" s="31">
        <v>11348.958909999999</v>
      </c>
      <c r="BL11" s="31">
        <v>11944.385966</v>
      </c>
      <c r="BM11" s="414">
        <v>6119.7058823529405</v>
      </c>
      <c r="BN11" s="31">
        <v>11348.958909999999</v>
      </c>
      <c r="BO11" s="31">
        <v>11944.385966</v>
      </c>
      <c r="BP11" s="414">
        <v>6119.7058823529405</v>
      </c>
      <c r="BQ11" s="31">
        <v>46784.215514000003</v>
      </c>
      <c r="BR11" s="31">
        <v>47271.897913000001</v>
      </c>
      <c r="BS11" s="414">
        <v>17304.882352941175</v>
      </c>
      <c r="BT11" s="31">
        <v>40719.404283999997</v>
      </c>
      <c r="BU11" s="31">
        <v>41138.196634</v>
      </c>
      <c r="BV11" s="414">
        <v>15149.235294117647</v>
      </c>
      <c r="BW11" s="31">
        <v>51156.128270000001</v>
      </c>
      <c r="BX11" s="31">
        <v>51725.328056999999</v>
      </c>
      <c r="BY11" s="414">
        <v>18911.529411764706</v>
      </c>
      <c r="BZ11" s="31">
        <v>44473.732473999997</v>
      </c>
      <c r="CA11" s="31">
        <v>44961.712071000002</v>
      </c>
      <c r="CB11" s="414">
        <v>16551.235294117647</v>
      </c>
      <c r="CC11" s="31">
        <v>104694.45368399999</v>
      </c>
      <c r="CD11" s="31">
        <v>105496.562804</v>
      </c>
      <c r="CE11" s="414">
        <v>45620.823529411762</v>
      </c>
      <c r="CF11" s="31">
        <v>96075.073854000002</v>
      </c>
      <c r="CG11" s="31">
        <v>96784.811392999996</v>
      </c>
      <c r="CH11" s="414">
        <v>41953.823529411762</v>
      </c>
      <c r="CI11" s="31">
        <v>69816.474228000006</v>
      </c>
      <c r="CJ11" s="31">
        <v>70440.468431999994</v>
      </c>
      <c r="CK11" s="414">
        <v>30433.529411764706</v>
      </c>
      <c r="CL11" s="31">
        <v>62965.674746999997</v>
      </c>
      <c r="CM11" s="31">
        <v>63518.829229000003</v>
      </c>
      <c r="CN11" s="414">
        <v>27553.235294117647</v>
      </c>
      <c r="CO11" s="31">
        <v>131453.00372000001</v>
      </c>
      <c r="CP11" s="31">
        <v>132276.55074100001</v>
      </c>
      <c r="CQ11" s="414">
        <v>62173.294117647063</v>
      </c>
      <c r="CR11" s="31">
        <v>121648.22180699999</v>
      </c>
      <c r="CS11" s="31">
        <v>122366.57004000001</v>
      </c>
      <c r="CT11" s="414">
        <v>57685.23529411765</v>
      </c>
      <c r="CU11" s="415">
        <v>610.885536</v>
      </c>
      <c r="CV11" s="415">
        <v>664.46385299999997</v>
      </c>
      <c r="CW11" s="415">
        <v>312.12295499999999</v>
      </c>
      <c r="CX11" s="415">
        <v>357.35816</v>
      </c>
      <c r="CY11" s="415">
        <v>621.60027400000001</v>
      </c>
      <c r="CZ11" s="415">
        <v>671.00170000000003</v>
      </c>
      <c r="DA11" s="415">
        <v>1057.4190470000001</v>
      </c>
      <c r="DB11" s="415">
        <v>1109.049763</v>
      </c>
      <c r="DC11" s="415">
        <v>440.94944700000002</v>
      </c>
      <c r="DD11" s="415">
        <v>488.98142300000001</v>
      </c>
      <c r="DE11" s="415">
        <v>615.20759299999997</v>
      </c>
      <c r="DF11" s="415">
        <v>615.20759299999997</v>
      </c>
      <c r="DG11" s="415">
        <v>314.18500499999999</v>
      </c>
      <c r="DH11" s="415">
        <v>314.18500499999999</v>
      </c>
      <c r="DI11" s="415">
        <v>606.485049</v>
      </c>
      <c r="DJ11" s="415">
        <v>606.485049</v>
      </c>
      <c r="DK11" s="415">
        <v>1074.8296720000001</v>
      </c>
      <c r="DL11" s="415">
        <v>1074.8296720000001</v>
      </c>
      <c r="DM11" s="415">
        <v>419.39653800000002</v>
      </c>
      <c r="DN11" s="415">
        <v>419.39653800000002</v>
      </c>
      <c r="DO11" s="415">
        <v>12529.590383999999</v>
      </c>
      <c r="DP11" s="415">
        <v>13692.591727999999</v>
      </c>
      <c r="DQ11" s="415">
        <v>7936.5410549999997</v>
      </c>
      <c r="DR11" s="415">
        <v>9041.2064499999997</v>
      </c>
      <c r="DS11" s="415">
        <v>11808.632464</v>
      </c>
      <c r="DT11" s="415">
        <v>12860.682766</v>
      </c>
      <c r="DU11" s="415">
        <v>18458.618361000001</v>
      </c>
      <c r="DV11" s="415">
        <v>19589.488173999998</v>
      </c>
      <c r="DW11" s="415">
        <v>9309.3554399999994</v>
      </c>
      <c r="DX11" s="415">
        <v>10363.777453999999</v>
      </c>
    </row>
    <row r="12" spans="1:128" ht="15">
      <c r="B12" s="425" t="s">
        <v>545</v>
      </c>
      <c r="C12" s="249" t="s">
        <v>546</v>
      </c>
      <c r="D12" s="249" t="s">
        <v>524</v>
      </c>
      <c r="E12" s="426">
        <v>14</v>
      </c>
      <c r="F12" s="249" t="s">
        <v>525</v>
      </c>
      <c r="G12" s="252" t="s">
        <v>535</v>
      </c>
      <c r="H12" t="s">
        <v>545</v>
      </c>
      <c r="I12" s="31">
        <v>4321.6595129999996</v>
      </c>
      <c r="J12" s="31">
        <v>4589.3530270000001</v>
      </c>
      <c r="K12" s="414">
        <v>1609.7647058823529</v>
      </c>
      <c r="L12" s="31">
        <v>4272.867886</v>
      </c>
      <c r="M12" s="31">
        <v>4542.4800240000004</v>
      </c>
      <c r="N12" s="414">
        <v>1595.8235294117646</v>
      </c>
      <c r="O12" s="31">
        <v>4702.7665129999996</v>
      </c>
      <c r="P12" s="31">
        <v>4995.5264809999999</v>
      </c>
      <c r="Q12" s="414">
        <v>1755.2352941176471</v>
      </c>
      <c r="R12" s="31">
        <v>4648.4807280000005</v>
      </c>
      <c r="S12" s="31">
        <v>4943.277478</v>
      </c>
      <c r="T12" s="414">
        <v>1739.2941176470588</v>
      </c>
      <c r="U12" s="31">
        <v>8906.4527880000005</v>
      </c>
      <c r="V12" s="31">
        <v>9384.1003180000007</v>
      </c>
      <c r="W12" s="414">
        <v>3893.6470588235297</v>
      </c>
      <c r="X12" s="31">
        <v>8835.0592809999998</v>
      </c>
      <c r="Y12" s="31">
        <v>9319.136724</v>
      </c>
      <c r="Z12" s="414">
        <v>3873.2352941176468</v>
      </c>
      <c r="AA12" s="31">
        <v>6294.0749189999997</v>
      </c>
      <c r="AB12" s="31">
        <v>6657.9916290000001</v>
      </c>
      <c r="AC12" s="414">
        <v>2735.7647058823532</v>
      </c>
      <c r="AD12" s="31">
        <v>6234.4732780000004</v>
      </c>
      <c r="AE12" s="31">
        <v>6602.6290870000003</v>
      </c>
      <c r="AF12" s="414">
        <v>2717.8235294117649</v>
      </c>
      <c r="AG12" s="31">
        <v>11048.423494999999</v>
      </c>
      <c r="AH12" s="31">
        <v>11597.042919</v>
      </c>
      <c r="AI12" s="414">
        <v>5261.0588235294117</v>
      </c>
      <c r="AJ12" s="31">
        <v>10964.710396</v>
      </c>
      <c r="AK12" s="31">
        <v>11521.854078</v>
      </c>
      <c r="AL12" s="414">
        <v>5235.5882352941171</v>
      </c>
      <c r="AM12" s="31">
        <v>4371.4606869999998</v>
      </c>
      <c r="AN12" s="31">
        <v>4598.3255669999999</v>
      </c>
      <c r="AO12" s="414">
        <v>1750.0588235294117</v>
      </c>
      <c r="AP12" s="31">
        <v>4371.4606869999998</v>
      </c>
      <c r="AQ12" s="31">
        <v>4598.3255669999999</v>
      </c>
      <c r="AR12" s="414">
        <v>1750.0588235294117</v>
      </c>
      <c r="AS12" s="31">
        <v>4768.6037120000001</v>
      </c>
      <c r="AT12" s="31">
        <v>5018.3332879999998</v>
      </c>
      <c r="AU12" s="414">
        <v>1914.4705882352941</v>
      </c>
      <c r="AV12" s="31">
        <v>4768.6037120000001</v>
      </c>
      <c r="AW12" s="31">
        <v>5018.3332879999998</v>
      </c>
      <c r="AX12" s="414">
        <v>1914.4705882352941</v>
      </c>
      <c r="AY12" s="31">
        <v>9058.1124999999993</v>
      </c>
      <c r="AZ12" s="31">
        <v>9535.5001520000005</v>
      </c>
      <c r="BA12" s="414">
        <v>4397.2352941176468</v>
      </c>
      <c r="BB12" s="31">
        <v>9058.1124999999993</v>
      </c>
      <c r="BC12" s="31">
        <v>9535.5001520000005</v>
      </c>
      <c r="BD12" s="414">
        <v>4397.2352941176468</v>
      </c>
      <c r="BE12" s="31">
        <v>6407.4293980000002</v>
      </c>
      <c r="BF12" s="31">
        <v>6745.1643119999999</v>
      </c>
      <c r="BG12" s="414">
        <v>3065.0588235294117</v>
      </c>
      <c r="BH12" s="31">
        <v>6407.4293980000002</v>
      </c>
      <c r="BI12" s="31">
        <v>6745.1643119999999</v>
      </c>
      <c r="BJ12" s="414">
        <v>3065.0588235294117</v>
      </c>
      <c r="BK12" s="31">
        <v>11348.958909999999</v>
      </c>
      <c r="BL12" s="31">
        <v>11944.385966</v>
      </c>
      <c r="BM12" s="414">
        <v>6119.7058823529405</v>
      </c>
      <c r="BN12" s="31">
        <v>11348.958909999999</v>
      </c>
      <c r="BO12" s="31">
        <v>11944.385966</v>
      </c>
      <c r="BP12" s="414">
        <v>6119.7058823529405</v>
      </c>
      <c r="BQ12" s="31">
        <v>42269.300825999999</v>
      </c>
      <c r="BR12" s="31">
        <v>42705.862483999997</v>
      </c>
      <c r="BS12" s="414">
        <v>15702.352941176472</v>
      </c>
      <c r="BT12" s="31">
        <v>41605.413188999999</v>
      </c>
      <c r="BU12" s="31">
        <v>42034.392064</v>
      </c>
      <c r="BV12" s="414">
        <v>15465.352941176472</v>
      </c>
      <c r="BW12" s="31">
        <v>46185.395374</v>
      </c>
      <c r="BX12" s="31">
        <v>46694.428332000003</v>
      </c>
      <c r="BY12" s="414">
        <v>17159.588235294119</v>
      </c>
      <c r="BZ12" s="31">
        <v>45452.966907000002</v>
      </c>
      <c r="CA12" s="31">
        <v>45953.011257999999</v>
      </c>
      <c r="CB12" s="414">
        <v>16901.705882352941</v>
      </c>
      <c r="CC12" s="31">
        <v>98313.740160999994</v>
      </c>
      <c r="CD12" s="31">
        <v>99047.718699999998</v>
      </c>
      <c r="CE12" s="414">
        <v>42909.294117647063</v>
      </c>
      <c r="CF12" s="31">
        <v>97357.902963</v>
      </c>
      <c r="CG12" s="31">
        <v>98081.535877999995</v>
      </c>
      <c r="CH12" s="414">
        <v>42501.117647058825</v>
      </c>
      <c r="CI12" s="31">
        <v>64730.177803999999</v>
      </c>
      <c r="CJ12" s="31">
        <v>65302.065556000001</v>
      </c>
      <c r="CK12" s="414">
        <v>28299.117647058825</v>
      </c>
      <c r="CL12" s="31">
        <v>63975.947822000002</v>
      </c>
      <c r="CM12" s="31">
        <v>64539.868244999998</v>
      </c>
      <c r="CN12" s="414">
        <v>27981.235294117647</v>
      </c>
      <c r="CO12" s="31">
        <v>124192.11208599999</v>
      </c>
      <c r="CP12" s="31">
        <v>124938.33338</v>
      </c>
      <c r="CQ12" s="414">
        <v>58849.117647058825</v>
      </c>
      <c r="CR12" s="31">
        <v>123107.158949</v>
      </c>
      <c r="CS12" s="31">
        <v>123841.54501099999</v>
      </c>
      <c r="CT12" s="414">
        <v>58351.941176470587</v>
      </c>
      <c r="CU12" s="415">
        <v>650.42100600000003</v>
      </c>
      <c r="CV12" s="415">
        <v>656.414626</v>
      </c>
      <c r="CW12" s="415">
        <v>345.23386399999998</v>
      </c>
      <c r="CX12" s="415">
        <v>350.38521500000002</v>
      </c>
      <c r="CY12" s="415">
        <v>657.95824900000002</v>
      </c>
      <c r="CZ12" s="415">
        <v>663.51128600000004</v>
      </c>
      <c r="DA12" s="415">
        <v>1095.5109279999999</v>
      </c>
      <c r="DB12" s="415">
        <v>1101.2734929999999</v>
      </c>
      <c r="DC12" s="415">
        <v>476.31998599999997</v>
      </c>
      <c r="DD12" s="415">
        <v>481.70780400000001</v>
      </c>
      <c r="DE12" s="415">
        <v>615.20759299999997</v>
      </c>
      <c r="DF12" s="415">
        <v>615.20759299999997</v>
      </c>
      <c r="DG12" s="415">
        <v>314.18500499999999</v>
      </c>
      <c r="DH12" s="415">
        <v>314.18500499999999</v>
      </c>
      <c r="DI12" s="415">
        <v>606.485049</v>
      </c>
      <c r="DJ12" s="415">
        <v>606.485049</v>
      </c>
      <c r="DK12" s="415">
        <v>1074.8296720000001</v>
      </c>
      <c r="DL12" s="415">
        <v>1074.8296720000001</v>
      </c>
      <c r="DM12" s="415">
        <v>419.39653800000002</v>
      </c>
      <c r="DN12" s="415">
        <v>419.39653800000002</v>
      </c>
      <c r="DO12" s="415">
        <v>13376.005353</v>
      </c>
      <c r="DP12" s="415">
        <v>13509.707635000001</v>
      </c>
      <c r="DQ12" s="415">
        <v>8739.4988119999998</v>
      </c>
      <c r="DR12" s="415">
        <v>8866.9020889999993</v>
      </c>
      <c r="DS12" s="415">
        <v>12569.256598</v>
      </c>
      <c r="DT12" s="415">
        <v>12692.097303</v>
      </c>
      <c r="DU12" s="415">
        <v>19275.06581</v>
      </c>
      <c r="DV12" s="415">
        <v>19407.302604</v>
      </c>
      <c r="DW12" s="415">
        <v>10067.479996</v>
      </c>
      <c r="DX12" s="415">
        <v>10191.875873999999</v>
      </c>
    </row>
    <row r="13" spans="1:128" ht="15">
      <c r="B13" s="425" t="s">
        <v>549</v>
      </c>
      <c r="C13" s="249" t="s">
        <v>550</v>
      </c>
      <c r="D13" s="249" t="s">
        <v>524</v>
      </c>
      <c r="E13" s="426">
        <v>15</v>
      </c>
      <c r="F13" s="427" t="s">
        <v>525</v>
      </c>
      <c r="G13" s="428" t="s">
        <v>539</v>
      </c>
      <c r="H13" t="s">
        <v>549</v>
      </c>
      <c r="I13" s="31">
        <v>4321.6595129999996</v>
      </c>
      <c r="J13" s="31">
        <v>4589.3530270000001</v>
      </c>
      <c r="K13" s="414">
        <v>1609.7647058823529</v>
      </c>
      <c r="L13" s="31">
        <v>4221.8850769999999</v>
      </c>
      <c r="M13" s="31">
        <v>4493.4390960000001</v>
      </c>
      <c r="N13" s="414">
        <v>1580.8823529411766</v>
      </c>
      <c r="O13" s="31">
        <v>4702.7665129999996</v>
      </c>
      <c r="P13" s="31">
        <v>4995.5264809999999</v>
      </c>
      <c r="Q13" s="414">
        <v>1755.2352941176471</v>
      </c>
      <c r="R13" s="31">
        <v>4591.6281159999999</v>
      </c>
      <c r="S13" s="31">
        <v>4888.4903000000004</v>
      </c>
      <c r="T13" s="414">
        <v>1723.3529411764707</v>
      </c>
      <c r="U13" s="31">
        <v>8906.4527880000005</v>
      </c>
      <c r="V13" s="31">
        <v>9384.1003180000007</v>
      </c>
      <c r="W13" s="414">
        <v>3893.6470588235297</v>
      </c>
      <c r="X13" s="31">
        <v>8760.1333279999999</v>
      </c>
      <c r="Y13" s="31">
        <v>9250.866446</v>
      </c>
      <c r="Z13" s="414">
        <v>3852.2941176470586</v>
      </c>
      <c r="AA13" s="31">
        <v>6294.0749189999997</v>
      </c>
      <c r="AB13" s="31">
        <v>6657.9916290000001</v>
      </c>
      <c r="AC13" s="414">
        <v>2735.7647058823532</v>
      </c>
      <c r="AD13" s="31">
        <v>6171.9408540000004</v>
      </c>
      <c r="AE13" s="31">
        <v>6544.4374950000001</v>
      </c>
      <c r="AF13" s="414">
        <v>2699.8823529411766</v>
      </c>
      <c r="AG13" s="31">
        <v>11048.423494999999</v>
      </c>
      <c r="AH13" s="31">
        <v>11597.042919</v>
      </c>
      <c r="AI13" s="414">
        <v>5261.0588235294117</v>
      </c>
      <c r="AJ13" s="31">
        <v>10876.853951999999</v>
      </c>
      <c r="AK13" s="31">
        <v>11442.884349</v>
      </c>
      <c r="AL13" s="414">
        <v>5210.6470588235297</v>
      </c>
      <c r="AM13" s="31">
        <v>4371.4606869999998</v>
      </c>
      <c r="AN13" s="31">
        <v>4598.3255669999999</v>
      </c>
      <c r="AO13" s="414">
        <v>1750.0588235294117</v>
      </c>
      <c r="AP13" s="31">
        <v>4371.4606869999998</v>
      </c>
      <c r="AQ13" s="31">
        <v>4598.3255669999999</v>
      </c>
      <c r="AR13" s="414">
        <v>1750.0588235294117</v>
      </c>
      <c r="AS13" s="31">
        <v>4768.6037120000001</v>
      </c>
      <c r="AT13" s="31">
        <v>5018.3332879999998</v>
      </c>
      <c r="AU13" s="414">
        <v>1914.4705882352941</v>
      </c>
      <c r="AV13" s="31">
        <v>4768.6037120000001</v>
      </c>
      <c r="AW13" s="31">
        <v>5018.3332879999998</v>
      </c>
      <c r="AX13" s="414">
        <v>1914.4705882352941</v>
      </c>
      <c r="AY13" s="31">
        <v>9058.1124999999993</v>
      </c>
      <c r="AZ13" s="31">
        <v>9535.5001520000005</v>
      </c>
      <c r="BA13" s="414">
        <v>4397.2352941176468</v>
      </c>
      <c r="BB13" s="31">
        <v>9058.1124999999993</v>
      </c>
      <c r="BC13" s="31">
        <v>9535.5001520000005</v>
      </c>
      <c r="BD13" s="414">
        <v>4397.2352941176468</v>
      </c>
      <c r="BE13" s="31">
        <v>6407.4293980000002</v>
      </c>
      <c r="BF13" s="31">
        <v>6745.1643119999999</v>
      </c>
      <c r="BG13" s="414">
        <v>3065.0588235294117</v>
      </c>
      <c r="BH13" s="31">
        <v>6407.4293980000002</v>
      </c>
      <c r="BI13" s="31">
        <v>6745.1643119999999</v>
      </c>
      <c r="BJ13" s="414">
        <v>3065.0588235294117</v>
      </c>
      <c r="BK13" s="31">
        <v>11348.958909999999</v>
      </c>
      <c r="BL13" s="31">
        <v>11944.385966</v>
      </c>
      <c r="BM13" s="414">
        <v>6119.7058823529405</v>
      </c>
      <c r="BN13" s="31">
        <v>11348.958909999999</v>
      </c>
      <c r="BO13" s="31">
        <v>11944.385966</v>
      </c>
      <c r="BP13" s="414">
        <v>6119.7058823529405</v>
      </c>
      <c r="BQ13" s="31">
        <v>42269.300825999999</v>
      </c>
      <c r="BR13" s="31">
        <v>42705.862483999997</v>
      </c>
      <c r="BS13" s="414">
        <v>15702.352941176472</v>
      </c>
      <c r="BT13" s="31">
        <v>40905.526233999997</v>
      </c>
      <c r="BU13" s="31">
        <v>41326.465879000003</v>
      </c>
      <c r="BV13" s="414">
        <v>15215.941176470587</v>
      </c>
      <c r="BW13" s="31">
        <v>46185.395374</v>
      </c>
      <c r="BX13" s="31">
        <v>46694.428332000003</v>
      </c>
      <c r="BY13" s="414">
        <v>17159.588235294119</v>
      </c>
      <c r="BZ13" s="31">
        <v>44679.653287000001</v>
      </c>
      <c r="CA13" s="31">
        <v>45170.177072999999</v>
      </c>
      <c r="CB13" s="414">
        <v>16625.882352941175</v>
      </c>
      <c r="CC13" s="31">
        <v>98313.740160999994</v>
      </c>
      <c r="CD13" s="31">
        <v>99047.718699999998</v>
      </c>
      <c r="CE13" s="414">
        <v>42909.294117647063</v>
      </c>
      <c r="CF13" s="31">
        <v>96345.409927000001</v>
      </c>
      <c r="CG13" s="31">
        <v>97058.083081000004</v>
      </c>
      <c r="CH13" s="414">
        <v>42069.470588235294</v>
      </c>
      <c r="CI13" s="31">
        <v>64730.177803999999</v>
      </c>
      <c r="CJ13" s="31">
        <v>65302.065556000001</v>
      </c>
      <c r="CK13" s="414">
        <v>28299.117647058825</v>
      </c>
      <c r="CL13" s="31">
        <v>63178.446805</v>
      </c>
      <c r="CM13" s="31">
        <v>63733.876743000001</v>
      </c>
      <c r="CN13" s="414">
        <v>27642.941176470587</v>
      </c>
      <c r="CO13" s="31">
        <v>124192.11208599999</v>
      </c>
      <c r="CP13" s="31">
        <v>124938.33338</v>
      </c>
      <c r="CQ13" s="414">
        <v>58849.117647058825</v>
      </c>
      <c r="CR13" s="31">
        <v>121955.933408</v>
      </c>
      <c r="CS13" s="31">
        <v>122677.673069</v>
      </c>
      <c r="CT13" s="414">
        <v>57825.352941176476</v>
      </c>
      <c r="CU13" s="415">
        <v>650.42100600000003</v>
      </c>
      <c r="CV13" s="415">
        <v>662.76802299999997</v>
      </c>
      <c r="CW13" s="415">
        <v>345.23386399999998</v>
      </c>
      <c r="CX13" s="415">
        <v>355.87991499999998</v>
      </c>
      <c r="CY13" s="415">
        <v>657.95824900000002</v>
      </c>
      <c r="CZ13" s="415">
        <v>669.42003499999998</v>
      </c>
      <c r="DA13" s="415">
        <v>1095.5109279999999</v>
      </c>
      <c r="DB13" s="415">
        <v>1107.4095319999999</v>
      </c>
      <c r="DC13" s="415">
        <v>476.31998599999997</v>
      </c>
      <c r="DD13" s="415">
        <v>487.44404400000002</v>
      </c>
      <c r="DE13" s="415">
        <v>615.20759299999997</v>
      </c>
      <c r="DF13" s="415">
        <v>615.20759299999997</v>
      </c>
      <c r="DG13" s="415">
        <v>314.18500499999999</v>
      </c>
      <c r="DH13" s="415">
        <v>314.18500499999999</v>
      </c>
      <c r="DI13" s="415">
        <v>606.485049</v>
      </c>
      <c r="DJ13" s="415">
        <v>606.485049</v>
      </c>
      <c r="DK13" s="415">
        <v>1074.8296720000001</v>
      </c>
      <c r="DL13" s="415">
        <v>1074.8296720000001</v>
      </c>
      <c r="DM13" s="415">
        <v>419.39653800000002</v>
      </c>
      <c r="DN13" s="415">
        <v>419.39653800000002</v>
      </c>
      <c r="DO13" s="415">
        <v>13376.005353</v>
      </c>
      <c r="DP13" s="415">
        <v>13653.706135</v>
      </c>
      <c r="DQ13" s="415">
        <v>8739.4988119999998</v>
      </c>
      <c r="DR13" s="415">
        <v>9004.2012209999994</v>
      </c>
      <c r="DS13" s="415">
        <v>12569.256598</v>
      </c>
      <c r="DT13" s="415">
        <v>12824.756756999999</v>
      </c>
      <c r="DU13" s="415">
        <v>19275.06581</v>
      </c>
      <c r="DV13" s="415">
        <v>19550.649408000001</v>
      </c>
      <c r="DW13" s="415">
        <v>10067.479996</v>
      </c>
      <c r="DX13" s="415">
        <v>10327.134361</v>
      </c>
    </row>
    <row r="14" spans="1:128" ht="15">
      <c r="B14" s="425" t="s">
        <v>552</v>
      </c>
      <c r="C14" s="249" t="s">
        <v>553</v>
      </c>
      <c r="D14" s="249" t="s">
        <v>524</v>
      </c>
      <c r="E14" s="426">
        <v>16</v>
      </c>
      <c r="F14" s="249" t="s">
        <v>525</v>
      </c>
      <c r="G14" s="252" t="s">
        <v>543</v>
      </c>
      <c r="H14" t="s">
        <v>552</v>
      </c>
      <c r="I14" s="31">
        <v>4321.6595129999996</v>
      </c>
      <c r="J14" s="31">
        <v>4589.3530270000001</v>
      </c>
      <c r="K14" s="414">
        <v>1609.7647058823529</v>
      </c>
      <c r="L14" s="31">
        <v>4208.3932100000002</v>
      </c>
      <c r="M14" s="31">
        <v>4480.4399350000003</v>
      </c>
      <c r="N14" s="414">
        <v>1576.8823529411766</v>
      </c>
      <c r="O14" s="31">
        <v>4702.7665129999996</v>
      </c>
      <c r="P14" s="31">
        <v>4995.5264809999999</v>
      </c>
      <c r="Q14" s="414">
        <v>1755.2352941176471</v>
      </c>
      <c r="R14" s="31">
        <v>4576.5693709999996</v>
      </c>
      <c r="S14" s="31">
        <v>4873.9762229999997</v>
      </c>
      <c r="T14" s="414">
        <v>1718.8823529411766</v>
      </c>
      <c r="U14" s="31">
        <v>8906.4527880000005</v>
      </c>
      <c r="V14" s="31">
        <v>9384.1003180000007</v>
      </c>
      <c r="W14" s="414">
        <v>3893.6470588235297</v>
      </c>
      <c r="X14" s="31">
        <v>8740.2480660000001</v>
      </c>
      <c r="Y14" s="31">
        <v>9232.7390460000006</v>
      </c>
      <c r="Z14" s="414">
        <v>3846.8235294117649</v>
      </c>
      <c r="AA14" s="31">
        <v>6294.0749189999997</v>
      </c>
      <c r="AB14" s="31">
        <v>6657.9916290000001</v>
      </c>
      <c r="AC14" s="414">
        <v>2735.7647058823532</v>
      </c>
      <c r="AD14" s="31">
        <v>6155.3620140000003</v>
      </c>
      <c r="AE14" s="31">
        <v>6529.0045040000005</v>
      </c>
      <c r="AF14" s="414">
        <v>2694.8823529411766</v>
      </c>
      <c r="AG14" s="31">
        <v>11048.423494999999</v>
      </c>
      <c r="AH14" s="31">
        <v>11597.042919</v>
      </c>
      <c r="AI14" s="414">
        <v>5261.0588235294117</v>
      </c>
      <c r="AJ14" s="31">
        <v>10853.544357000001</v>
      </c>
      <c r="AK14" s="31">
        <v>11421.927489</v>
      </c>
      <c r="AL14" s="414">
        <v>5204.176470588236</v>
      </c>
      <c r="AM14" s="31">
        <v>4371.4606869999998</v>
      </c>
      <c r="AN14" s="31">
        <v>4598.3255669999999</v>
      </c>
      <c r="AO14" s="414">
        <v>1750.0588235294117</v>
      </c>
      <c r="AP14" s="31">
        <v>4371.4606869999998</v>
      </c>
      <c r="AQ14" s="31">
        <v>4598.3255669999999</v>
      </c>
      <c r="AR14" s="414">
        <v>1750.0588235294117</v>
      </c>
      <c r="AS14" s="31">
        <v>4768.6037120000001</v>
      </c>
      <c r="AT14" s="31">
        <v>5018.3332879999998</v>
      </c>
      <c r="AU14" s="414">
        <v>1914.4705882352941</v>
      </c>
      <c r="AV14" s="31">
        <v>4768.6037120000001</v>
      </c>
      <c r="AW14" s="31">
        <v>5018.3332879999998</v>
      </c>
      <c r="AX14" s="414">
        <v>1914.4705882352941</v>
      </c>
      <c r="AY14" s="31">
        <v>9058.1124999999993</v>
      </c>
      <c r="AZ14" s="31">
        <v>9535.5001520000005</v>
      </c>
      <c r="BA14" s="414">
        <v>4397.2352941176468</v>
      </c>
      <c r="BB14" s="31">
        <v>9058.1124999999993</v>
      </c>
      <c r="BC14" s="31">
        <v>9535.5001520000005</v>
      </c>
      <c r="BD14" s="414">
        <v>4397.2352941176468</v>
      </c>
      <c r="BE14" s="31">
        <v>6407.4293980000002</v>
      </c>
      <c r="BF14" s="31">
        <v>6745.1643119999999</v>
      </c>
      <c r="BG14" s="414">
        <v>3065.0588235294117</v>
      </c>
      <c r="BH14" s="31">
        <v>6407.4293980000002</v>
      </c>
      <c r="BI14" s="31">
        <v>6745.1643119999999</v>
      </c>
      <c r="BJ14" s="414">
        <v>3065.0588235294117</v>
      </c>
      <c r="BK14" s="31">
        <v>11348.958909999999</v>
      </c>
      <c r="BL14" s="31">
        <v>11944.385966</v>
      </c>
      <c r="BM14" s="414">
        <v>6119.7058823529405</v>
      </c>
      <c r="BN14" s="31">
        <v>11348.958909999999</v>
      </c>
      <c r="BO14" s="31">
        <v>11944.385966</v>
      </c>
      <c r="BP14" s="414">
        <v>6119.7058823529405</v>
      </c>
      <c r="BQ14" s="31">
        <v>42269.300825999999</v>
      </c>
      <c r="BR14" s="31">
        <v>42705.862483999997</v>
      </c>
      <c r="BS14" s="414">
        <v>15702.352941176472</v>
      </c>
      <c r="BT14" s="31">
        <v>40719.404283999997</v>
      </c>
      <c r="BU14" s="31">
        <v>41138.196634</v>
      </c>
      <c r="BV14" s="414">
        <v>15149.235294117647</v>
      </c>
      <c r="BW14" s="31">
        <v>46185.395374</v>
      </c>
      <c r="BX14" s="31">
        <v>46694.428332000003</v>
      </c>
      <c r="BY14" s="414">
        <v>17159.588235294119</v>
      </c>
      <c r="BZ14" s="31">
        <v>44473.732473999997</v>
      </c>
      <c r="CA14" s="31">
        <v>44961.712071000002</v>
      </c>
      <c r="CB14" s="414">
        <v>16551.235294117647</v>
      </c>
      <c r="CC14" s="31">
        <v>98313.740160999994</v>
      </c>
      <c r="CD14" s="31">
        <v>99047.718699999998</v>
      </c>
      <c r="CE14" s="414">
        <v>42909.294117647063</v>
      </c>
      <c r="CF14" s="31">
        <v>96075.073854000002</v>
      </c>
      <c r="CG14" s="31">
        <v>96784.811392999996</v>
      </c>
      <c r="CH14" s="414">
        <v>41953.823529411762</v>
      </c>
      <c r="CI14" s="31">
        <v>64730.177803999999</v>
      </c>
      <c r="CJ14" s="31">
        <v>65302.065556000001</v>
      </c>
      <c r="CK14" s="414">
        <v>28299.117647058825</v>
      </c>
      <c r="CL14" s="31">
        <v>62965.674746999997</v>
      </c>
      <c r="CM14" s="31">
        <v>63518.829229000003</v>
      </c>
      <c r="CN14" s="414">
        <v>27553.235294117647</v>
      </c>
      <c r="CO14" s="31">
        <v>124192.11208599999</v>
      </c>
      <c r="CP14" s="31">
        <v>124938.33338</v>
      </c>
      <c r="CQ14" s="414">
        <v>58849.117647058825</v>
      </c>
      <c r="CR14" s="31">
        <v>121648.22180699999</v>
      </c>
      <c r="CS14" s="31">
        <v>122366.57004000001</v>
      </c>
      <c r="CT14" s="414">
        <v>57685.23529411765</v>
      </c>
      <c r="CU14" s="415">
        <v>650.42100600000003</v>
      </c>
      <c r="CV14" s="415">
        <v>664.46385299999997</v>
      </c>
      <c r="CW14" s="415">
        <v>345.23386399999998</v>
      </c>
      <c r="CX14" s="415">
        <v>357.35816</v>
      </c>
      <c r="CY14" s="415">
        <v>657.95824900000002</v>
      </c>
      <c r="CZ14" s="415">
        <v>671.00170000000003</v>
      </c>
      <c r="DA14" s="415">
        <v>1095.5109279999999</v>
      </c>
      <c r="DB14" s="415">
        <v>1109.049763</v>
      </c>
      <c r="DC14" s="415">
        <v>476.31998599999997</v>
      </c>
      <c r="DD14" s="415">
        <v>488.98142300000001</v>
      </c>
      <c r="DE14" s="415">
        <v>615.20759299999997</v>
      </c>
      <c r="DF14" s="415">
        <v>615.20759299999997</v>
      </c>
      <c r="DG14" s="415">
        <v>314.18500499999999</v>
      </c>
      <c r="DH14" s="415">
        <v>314.18500499999999</v>
      </c>
      <c r="DI14" s="415">
        <v>606.485049</v>
      </c>
      <c r="DJ14" s="415">
        <v>606.485049</v>
      </c>
      <c r="DK14" s="415">
        <v>1074.8296720000001</v>
      </c>
      <c r="DL14" s="415">
        <v>1074.8296720000001</v>
      </c>
      <c r="DM14" s="415">
        <v>419.39653800000002</v>
      </c>
      <c r="DN14" s="415">
        <v>419.39653800000002</v>
      </c>
      <c r="DO14" s="415">
        <v>13376.005353</v>
      </c>
      <c r="DP14" s="415">
        <v>13692.591727999999</v>
      </c>
      <c r="DQ14" s="415">
        <v>8739.4988119999998</v>
      </c>
      <c r="DR14" s="415">
        <v>9041.2064499999997</v>
      </c>
      <c r="DS14" s="415">
        <v>12569.256598</v>
      </c>
      <c r="DT14" s="415">
        <v>12860.682766</v>
      </c>
      <c r="DU14" s="415">
        <v>19275.06581</v>
      </c>
      <c r="DV14" s="415">
        <v>19589.488173999998</v>
      </c>
      <c r="DW14" s="415">
        <v>10067.479996</v>
      </c>
      <c r="DX14" s="415">
        <v>10363.777453999999</v>
      </c>
    </row>
    <row r="15" spans="1:128" ht="15">
      <c r="B15" s="425" t="s">
        <v>555</v>
      </c>
      <c r="C15" s="249" t="s">
        <v>556</v>
      </c>
      <c r="D15" s="249" t="s">
        <v>524</v>
      </c>
      <c r="E15" s="426">
        <v>17</v>
      </c>
      <c r="F15" s="249" t="s">
        <v>515</v>
      </c>
      <c r="G15" s="252" t="s">
        <v>539</v>
      </c>
      <c r="H15" t="s">
        <v>555</v>
      </c>
      <c r="I15" s="31">
        <v>5261.4053750000003</v>
      </c>
      <c r="J15" s="31">
        <v>5479.6188549999997</v>
      </c>
      <c r="K15" s="414">
        <v>1873.0588235294117</v>
      </c>
      <c r="L15" s="31">
        <v>4221.8850769999999</v>
      </c>
      <c r="M15" s="31">
        <v>4493.4390960000001</v>
      </c>
      <c r="N15" s="414">
        <v>1580.8823529411766</v>
      </c>
      <c r="O15" s="31">
        <v>5733.6143890000003</v>
      </c>
      <c r="P15" s="31">
        <v>5972.6277280000004</v>
      </c>
      <c r="Q15" s="414">
        <v>2043.9411764705883</v>
      </c>
      <c r="R15" s="31">
        <v>4591.6281159999999</v>
      </c>
      <c r="S15" s="31">
        <v>4888.4903000000004</v>
      </c>
      <c r="T15" s="414">
        <v>1723.3529411764707</v>
      </c>
      <c r="U15" s="31">
        <v>10242.426095999999</v>
      </c>
      <c r="V15" s="31">
        <v>10584.934309</v>
      </c>
      <c r="W15" s="414">
        <v>4273.9411764705883</v>
      </c>
      <c r="X15" s="31">
        <v>8760.1333279999999</v>
      </c>
      <c r="Y15" s="31">
        <v>9250.866446</v>
      </c>
      <c r="Z15" s="414">
        <v>3852.2941176470586</v>
      </c>
      <c r="AA15" s="31">
        <v>7406.3455299999996</v>
      </c>
      <c r="AB15" s="31">
        <v>7677.544809</v>
      </c>
      <c r="AC15" s="414">
        <v>3059.6470588235293</v>
      </c>
      <c r="AD15" s="31">
        <v>6171.9408540000004</v>
      </c>
      <c r="AE15" s="31">
        <v>6544.4374950000001</v>
      </c>
      <c r="AF15" s="414">
        <v>2699.8823529411766</v>
      </c>
      <c r="AG15" s="31">
        <v>12605.724767</v>
      </c>
      <c r="AH15" s="31">
        <v>12980.620424000001</v>
      </c>
      <c r="AI15" s="414">
        <v>5729.5294117647063</v>
      </c>
      <c r="AJ15" s="31">
        <v>10876.853951999999</v>
      </c>
      <c r="AK15" s="31">
        <v>11442.884349</v>
      </c>
      <c r="AL15" s="414">
        <v>5210.6470588235297</v>
      </c>
      <c r="AM15" s="31">
        <v>4371.4606869999998</v>
      </c>
      <c r="AN15" s="31">
        <v>4598.3255669999999</v>
      </c>
      <c r="AO15" s="414">
        <v>1750.0588235294117</v>
      </c>
      <c r="AP15" s="31">
        <v>4371.4606869999998</v>
      </c>
      <c r="AQ15" s="31">
        <v>4598.3255669999999</v>
      </c>
      <c r="AR15" s="414">
        <v>1750.0588235294117</v>
      </c>
      <c r="AS15" s="31">
        <v>4768.6037120000001</v>
      </c>
      <c r="AT15" s="31">
        <v>5018.3332879999998</v>
      </c>
      <c r="AU15" s="414">
        <v>1914.4705882352941</v>
      </c>
      <c r="AV15" s="31">
        <v>4768.6037120000001</v>
      </c>
      <c r="AW15" s="31">
        <v>5018.3332879999998</v>
      </c>
      <c r="AX15" s="414">
        <v>1914.4705882352941</v>
      </c>
      <c r="AY15" s="31">
        <v>9058.1124999999993</v>
      </c>
      <c r="AZ15" s="31">
        <v>9535.5001520000005</v>
      </c>
      <c r="BA15" s="414">
        <v>4397.2352941176468</v>
      </c>
      <c r="BB15" s="31">
        <v>9058.1124999999993</v>
      </c>
      <c r="BC15" s="31">
        <v>9535.5001520000005</v>
      </c>
      <c r="BD15" s="414">
        <v>4397.2352941176468</v>
      </c>
      <c r="BE15" s="31">
        <v>6407.4293980000002</v>
      </c>
      <c r="BF15" s="31">
        <v>6745.1643119999999</v>
      </c>
      <c r="BG15" s="414">
        <v>3065.0588235294117</v>
      </c>
      <c r="BH15" s="31">
        <v>6407.4293980000002</v>
      </c>
      <c r="BI15" s="31">
        <v>6745.1643119999999</v>
      </c>
      <c r="BJ15" s="414">
        <v>3065.0588235294117</v>
      </c>
      <c r="BK15" s="31">
        <v>11348.958909999999</v>
      </c>
      <c r="BL15" s="31">
        <v>11944.385966</v>
      </c>
      <c r="BM15" s="414">
        <v>6119.7058823529405</v>
      </c>
      <c r="BN15" s="31">
        <v>11348.958909999999</v>
      </c>
      <c r="BO15" s="31">
        <v>11944.385966</v>
      </c>
      <c r="BP15" s="414">
        <v>6119.7058823529405</v>
      </c>
      <c r="BQ15" s="31">
        <v>53929.794753000002</v>
      </c>
      <c r="BR15" s="31">
        <v>54496.170983000004</v>
      </c>
      <c r="BS15" s="414">
        <v>19841.411764705881</v>
      </c>
      <c r="BT15" s="31">
        <v>40905.526233999997</v>
      </c>
      <c r="BU15" s="31">
        <v>41326.465879000003</v>
      </c>
      <c r="BV15" s="414">
        <v>15215.941176470587</v>
      </c>
      <c r="BW15" s="31">
        <v>59063.703952000003</v>
      </c>
      <c r="BX15" s="31">
        <v>59724.590578000003</v>
      </c>
      <c r="BY15" s="414">
        <v>21666.117647058825</v>
      </c>
      <c r="BZ15" s="31">
        <v>44679.653287000001</v>
      </c>
      <c r="CA15" s="31">
        <v>45170.177072999999</v>
      </c>
      <c r="CB15" s="414">
        <v>16625.882352941175</v>
      </c>
      <c r="CC15" s="31">
        <v>114457.262866</v>
      </c>
      <c r="CD15" s="31">
        <v>115361.239204</v>
      </c>
      <c r="CE15" s="414">
        <v>49797.823529411762</v>
      </c>
      <c r="CF15" s="31">
        <v>96345.409927000001</v>
      </c>
      <c r="CG15" s="31">
        <v>97058.083081000004</v>
      </c>
      <c r="CH15" s="414">
        <v>42069.470588235294</v>
      </c>
      <c r="CI15" s="31">
        <v>77752.122071999998</v>
      </c>
      <c r="CJ15" s="31">
        <v>78453.403768999997</v>
      </c>
      <c r="CK15" s="414">
        <v>33735.117647058825</v>
      </c>
      <c r="CL15" s="31">
        <v>63178.446805</v>
      </c>
      <c r="CM15" s="31">
        <v>63733.876743000001</v>
      </c>
      <c r="CN15" s="414">
        <v>27642.941176470587</v>
      </c>
      <c r="CO15" s="31">
        <v>142629.217592</v>
      </c>
      <c r="CP15" s="31">
        <v>143567.48313800001</v>
      </c>
      <c r="CQ15" s="414">
        <v>67327.882352941175</v>
      </c>
      <c r="CR15" s="31">
        <v>121955.933408</v>
      </c>
      <c r="CS15" s="31">
        <v>122677.673069</v>
      </c>
      <c r="CT15" s="414">
        <v>57825.352941176476</v>
      </c>
      <c r="CU15" s="415">
        <v>551.56038000000001</v>
      </c>
      <c r="CV15" s="415">
        <v>662.76802299999997</v>
      </c>
      <c r="CW15" s="415">
        <v>264.73714899999999</v>
      </c>
      <c r="CX15" s="415">
        <v>355.87991499999998</v>
      </c>
      <c r="CY15" s="415">
        <v>568.59304299999997</v>
      </c>
      <c r="CZ15" s="415">
        <v>669.42003499999998</v>
      </c>
      <c r="DA15" s="415">
        <v>999.78470000000004</v>
      </c>
      <c r="DB15" s="415">
        <v>1107.4095319999999</v>
      </c>
      <c r="DC15" s="415">
        <v>390.52896399999997</v>
      </c>
      <c r="DD15" s="415">
        <v>487.44404400000002</v>
      </c>
      <c r="DE15" s="415">
        <v>615.20759299999997</v>
      </c>
      <c r="DF15" s="415">
        <v>615.20759299999997</v>
      </c>
      <c r="DG15" s="415">
        <v>314.18500499999999</v>
      </c>
      <c r="DH15" s="415">
        <v>314.18500499999999</v>
      </c>
      <c r="DI15" s="415">
        <v>606.485049</v>
      </c>
      <c r="DJ15" s="415">
        <v>606.485049</v>
      </c>
      <c r="DK15" s="415">
        <v>1074.8296720000001</v>
      </c>
      <c r="DL15" s="415">
        <v>1074.8296720000001</v>
      </c>
      <c r="DM15" s="415">
        <v>419.39653800000002</v>
      </c>
      <c r="DN15" s="415">
        <v>419.39653800000002</v>
      </c>
      <c r="DO15" s="415">
        <v>11380.310504999999</v>
      </c>
      <c r="DP15" s="415">
        <v>13653.706135</v>
      </c>
      <c r="DQ15" s="415">
        <v>6871.3118640000002</v>
      </c>
      <c r="DR15" s="415">
        <v>9004.2012209999994</v>
      </c>
      <c r="DS15" s="415">
        <v>10823.784084000001</v>
      </c>
      <c r="DT15" s="415">
        <v>12824.756756999999</v>
      </c>
      <c r="DU15" s="415">
        <v>17406.735197000002</v>
      </c>
      <c r="DV15" s="415">
        <v>19550.649408000001</v>
      </c>
      <c r="DW15" s="415">
        <v>8349.6703460000008</v>
      </c>
      <c r="DX15" s="415">
        <v>10327.134361</v>
      </c>
    </row>
    <row r="16" spans="1:128" ht="15.75" thickBot="1">
      <c r="B16" s="425" t="s">
        <v>557</v>
      </c>
      <c r="C16" s="249" t="s">
        <v>558</v>
      </c>
      <c r="D16" s="249" t="s">
        <v>524</v>
      </c>
      <c r="E16" s="426">
        <v>18</v>
      </c>
      <c r="F16" s="249" t="s">
        <v>514</v>
      </c>
      <c r="G16" s="252" t="s">
        <v>525</v>
      </c>
      <c r="H16" t="s">
        <v>557</v>
      </c>
      <c r="I16" s="31">
        <v>4665.8157950000004</v>
      </c>
      <c r="J16" s="31">
        <v>4918.0006190000004</v>
      </c>
      <c r="K16" s="414">
        <v>1706.8235294117649</v>
      </c>
      <c r="L16" s="31">
        <v>4321.6595129999996</v>
      </c>
      <c r="M16" s="31">
        <v>4589.3530270000001</v>
      </c>
      <c r="N16" s="414">
        <v>1609.7647058823529</v>
      </c>
      <c r="O16" s="31">
        <v>5082.0386470000003</v>
      </c>
      <c r="P16" s="31">
        <v>5358.2407249999997</v>
      </c>
      <c r="Q16" s="414">
        <v>1862.2352941176471</v>
      </c>
      <c r="R16" s="31">
        <v>4702.7665129999996</v>
      </c>
      <c r="S16" s="31">
        <v>4995.5264809999999</v>
      </c>
      <c r="T16" s="414">
        <v>1755.2352941176471</v>
      </c>
      <c r="U16" s="31">
        <v>9402.1102499999997</v>
      </c>
      <c r="V16" s="31">
        <v>9832.7188229999992</v>
      </c>
      <c r="W16" s="414">
        <v>4034.7058823529414</v>
      </c>
      <c r="X16" s="31">
        <v>8906.4527880000005</v>
      </c>
      <c r="Y16" s="31">
        <v>9384.1003180000007</v>
      </c>
      <c r="Z16" s="414">
        <v>3893.6470588235297</v>
      </c>
      <c r="AA16" s="31">
        <v>6708.3033169999999</v>
      </c>
      <c r="AB16" s="31">
        <v>7040.69416</v>
      </c>
      <c r="AC16" s="414">
        <v>2856.8235294117649</v>
      </c>
      <c r="AD16" s="31">
        <v>6294.0749189999997</v>
      </c>
      <c r="AE16" s="31">
        <v>6657.9916290000001</v>
      </c>
      <c r="AF16" s="414">
        <v>2735.7647058823532</v>
      </c>
      <c r="AG16" s="31">
        <v>11629.747611000001</v>
      </c>
      <c r="AH16" s="31">
        <v>12116.856196000001</v>
      </c>
      <c r="AI16" s="414">
        <v>5434.6470588235297</v>
      </c>
      <c r="AJ16" s="31">
        <v>11048.423494999999</v>
      </c>
      <c r="AK16" s="31">
        <v>11597.042919</v>
      </c>
      <c r="AL16" s="414">
        <v>5261.0588235294117</v>
      </c>
      <c r="AM16" s="31">
        <v>4371.4606869999998</v>
      </c>
      <c r="AN16" s="31">
        <v>4598.3255669999999</v>
      </c>
      <c r="AO16" s="414">
        <v>1750.0588235294117</v>
      </c>
      <c r="AP16" s="31">
        <v>4371.4606869999998</v>
      </c>
      <c r="AQ16" s="31">
        <v>4598.3255669999999</v>
      </c>
      <c r="AR16" s="414">
        <v>1750.0588235294117</v>
      </c>
      <c r="AS16" s="31">
        <v>4768.6037120000001</v>
      </c>
      <c r="AT16" s="31">
        <v>5018.3332879999998</v>
      </c>
      <c r="AU16" s="414">
        <v>1914.4705882352941</v>
      </c>
      <c r="AV16" s="31">
        <v>4768.6037120000001</v>
      </c>
      <c r="AW16" s="31">
        <v>5018.3332879999998</v>
      </c>
      <c r="AX16" s="414">
        <v>1914.4705882352941</v>
      </c>
      <c r="AY16" s="31">
        <v>9058.1124999999993</v>
      </c>
      <c r="AZ16" s="31">
        <v>9535.5001520000005</v>
      </c>
      <c r="BA16" s="414">
        <v>4397.2352941176468</v>
      </c>
      <c r="BB16" s="31">
        <v>9058.1124999999993</v>
      </c>
      <c r="BC16" s="31">
        <v>9535.5001520000005</v>
      </c>
      <c r="BD16" s="414">
        <v>4397.2352941176468</v>
      </c>
      <c r="BE16" s="31">
        <v>6407.4293980000002</v>
      </c>
      <c r="BF16" s="31">
        <v>6745.1643119999999</v>
      </c>
      <c r="BG16" s="414">
        <v>3065.0588235294117</v>
      </c>
      <c r="BH16" s="31">
        <v>6407.4293980000002</v>
      </c>
      <c r="BI16" s="31">
        <v>6745.1643119999999</v>
      </c>
      <c r="BJ16" s="414">
        <v>3065.0588235294117</v>
      </c>
      <c r="BK16" s="31">
        <v>11348.958909999999</v>
      </c>
      <c r="BL16" s="31">
        <v>11944.385966</v>
      </c>
      <c r="BM16" s="414">
        <v>6119.7058823529405</v>
      </c>
      <c r="BN16" s="31">
        <v>11348.958909999999</v>
      </c>
      <c r="BO16" s="31">
        <v>11944.385966</v>
      </c>
      <c r="BP16" s="414">
        <v>6119.7058823529405</v>
      </c>
      <c r="BQ16" s="31">
        <v>46784.215514000003</v>
      </c>
      <c r="BR16" s="31">
        <v>47271.897913000001</v>
      </c>
      <c r="BS16" s="414">
        <v>17304.882352941175</v>
      </c>
      <c r="BT16" s="31">
        <v>42269.300825999999</v>
      </c>
      <c r="BU16" s="31">
        <v>42705.862483999997</v>
      </c>
      <c r="BV16" s="414">
        <v>15702.352941176472</v>
      </c>
      <c r="BW16" s="31">
        <v>51156.128270000001</v>
      </c>
      <c r="BX16" s="31">
        <v>51725.328056999999</v>
      </c>
      <c r="BY16" s="414">
        <v>18911.529411764706</v>
      </c>
      <c r="BZ16" s="31">
        <v>46185.395374</v>
      </c>
      <c r="CA16" s="31">
        <v>46694.428332000003</v>
      </c>
      <c r="CB16" s="414">
        <v>17159.588235294119</v>
      </c>
      <c r="CC16" s="31">
        <v>104694.45368399999</v>
      </c>
      <c r="CD16" s="31">
        <v>105496.562804</v>
      </c>
      <c r="CE16" s="414">
        <v>45620.823529411762</v>
      </c>
      <c r="CF16" s="31">
        <v>98313.740160999994</v>
      </c>
      <c r="CG16" s="31">
        <v>99047.718699999998</v>
      </c>
      <c r="CH16" s="414">
        <v>42909.294117647063</v>
      </c>
      <c r="CI16" s="31">
        <v>69816.474228000006</v>
      </c>
      <c r="CJ16" s="31">
        <v>70440.468431999994</v>
      </c>
      <c r="CK16" s="414">
        <v>30433.529411764706</v>
      </c>
      <c r="CL16" s="31">
        <v>64730.177803999999</v>
      </c>
      <c r="CM16" s="31">
        <v>65302.065556000001</v>
      </c>
      <c r="CN16" s="414">
        <v>28299.117647058825</v>
      </c>
      <c r="CO16" s="31">
        <v>131453.00372000001</v>
      </c>
      <c r="CP16" s="31">
        <v>132276.55074100001</v>
      </c>
      <c r="CQ16" s="414">
        <v>62173.294117647063</v>
      </c>
      <c r="CR16" s="31">
        <v>124192.11208599999</v>
      </c>
      <c r="CS16" s="31">
        <v>124938.33338</v>
      </c>
      <c r="CT16" s="414">
        <v>58849.117647058825</v>
      </c>
      <c r="CU16" s="415">
        <v>610.885536</v>
      </c>
      <c r="CV16" s="415">
        <v>650.42100600000003</v>
      </c>
      <c r="CW16" s="415">
        <v>312.12295499999999</v>
      </c>
      <c r="CX16" s="415">
        <v>345.23386399999998</v>
      </c>
      <c r="CY16" s="415">
        <v>621.60027400000001</v>
      </c>
      <c r="CZ16" s="415">
        <v>657.95824900000002</v>
      </c>
      <c r="DA16" s="415">
        <v>1057.4190470000001</v>
      </c>
      <c r="DB16" s="415">
        <v>1095.5109279999999</v>
      </c>
      <c r="DC16" s="415">
        <v>440.94944700000002</v>
      </c>
      <c r="DD16" s="415">
        <v>476.31998599999997</v>
      </c>
      <c r="DE16" s="415">
        <v>615.20759299999997</v>
      </c>
      <c r="DF16" s="415">
        <v>615.20759299999997</v>
      </c>
      <c r="DG16" s="415">
        <v>314.18500499999999</v>
      </c>
      <c r="DH16" s="415">
        <v>314.18500499999999</v>
      </c>
      <c r="DI16" s="415">
        <v>606.485049</v>
      </c>
      <c r="DJ16" s="415">
        <v>606.485049</v>
      </c>
      <c r="DK16" s="415">
        <v>1074.8296720000001</v>
      </c>
      <c r="DL16" s="415">
        <v>1074.8296720000001</v>
      </c>
      <c r="DM16" s="415">
        <v>419.39653800000002</v>
      </c>
      <c r="DN16" s="415">
        <v>419.39653800000002</v>
      </c>
      <c r="DO16" s="415">
        <v>12529.590383999999</v>
      </c>
      <c r="DP16" s="415">
        <v>13376.005353</v>
      </c>
      <c r="DQ16" s="415">
        <v>7936.5410549999997</v>
      </c>
      <c r="DR16" s="415">
        <v>8739.4988119999998</v>
      </c>
      <c r="DS16" s="415">
        <v>11808.632464</v>
      </c>
      <c r="DT16" s="415">
        <v>12569.256598</v>
      </c>
      <c r="DU16" s="415">
        <v>18458.618361000001</v>
      </c>
      <c r="DV16" s="415">
        <v>19275.06581</v>
      </c>
      <c r="DW16" s="415">
        <v>9309.3554399999994</v>
      </c>
      <c r="DX16" s="415">
        <v>10067.479996</v>
      </c>
    </row>
    <row r="17" spans="2:128" ht="15">
      <c r="B17" s="429" t="s">
        <v>560</v>
      </c>
      <c r="C17" s="243" t="s">
        <v>561</v>
      </c>
      <c r="D17" s="243" t="s">
        <v>527</v>
      </c>
      <c r="E17" s="430">
        <v>10</v>
      </c>
      <c r="F17" s="431" t="s">
        <v>514</v>
      </c>
      <c r="G17" s="432" t="s">
        <v>525</v>
      </c>
      <c r="H17" t="s">
        <v>560</v>
      </c>
      <c r="I17" s="31">
        <v>4559.9560270000002</v>
      </c>
      <c r="J17" s="31">
        <v>4847.755091</v>
      </c>
      <c r="K17" s="414">
        <v>1694.4117647058824</v>
      </c>
      <c r="L17" s="31">
        <v>4349.416671</v>
      </c>
      <c r="M17" s="31">
        <v>4623.8945729999996</v>
      </c>
      <c r="N17" s="414">
        <v>1621.7058823529412</v>
      </c>
      <c r="O17" s="31">
        <v>4985.8557499999997</v>
      </c>
      <c r="P17" s="31">
        <v>5301.8094540000002</v>
      </c>
      <c r="Q17" s="414">
        <v>1856.8235294117646</v>
      </c>
      <c r="R17" s="31">
        <v>4738.7353899999998</v>
      </c>
      <c r="S17" s="31">
        <v>5039.2105780000002</v>
      </c>
      <c r="T17" s="414">
        <v>1770.6470588235293</v>
      </c>
      <c r="U17" s="31">
        <v>9130.4001000000007</v>
      </c>
      <c r="V17" s="31">
        <v>9636.3555610000003</v>
      </c>
      <c r="W17" s="414">
        <v>3989.3529411764707</v>
      </c>
      <c r="X17" s="31">
        <v>8914.2748090000005</v>
      </c>
      <c r="Y17" s="31">
        <v>9404.2200319999993</v>
      </c>
      <c r="Z17" s="414">
        <v>3904.6470588235293</v>
      </c>
      <c r="AA17" s="31">
        <v>6493.8326790000001</v>
      </c>
      <c r="AB17" s="31">
        <v>6880.770117</v>
      </c>
      <c r="AC17" s="414">
        <v>2819.4705882352941</v>
      </c>
      <c r="AD17" s="31">
        <v>6303.8412580000004</v>
      </c>
      <c r="AE17" s="31">
        <v>6677.0178839999999</v>
      </c>
      <c r="AF17" s="414">
        <v>2745.2352941176468</v>
      </c>
      <c r="AG17" s="31">
        <v>11212.753333000001</v>
      </c>
      <c r="AH17" s="31">
        <v>11793.57035</v>
      </c>
      <c r="AI17" s="414">
        <v>5336.7647058823532</v>
      </c>
      <c r="AJ17" s="31">
        <v>11031.38421</v>
      </c>
      <c r="AK17" s="31">
        <v>11594.868651000001</v>
      </c>
      <c r="AL17" s="414">
        <v>5263.5294117647063</v>
      </c>
      <c r="AM17" s="31">
        <v>4693.6333249999998</v>
      </c>
      <c r="AN17" s="31">
        <v>4930.6884520000003</v>
      </c>
      <c r="AO17" s="414">
        <v>1844.1176470588234</v>
      </c>
      <c r="AP17" s="31">
        <v>4457.6882230000001</v>
      </c>
      <c r="AQ17" s="31">
        <v>4687.2882360000003</v>
      </c>
      <c r="AR17" s="414">
        <v>1775.4117647058824</v>
      </c>
      <c r="AS17" s="31">
        <v>5161.8280379999997</v>
      </c>
      <c r="AT17" s="31">
        <v>5423.9651270000004</v>
      </c>
      <c r="AU17" s="414">
        <v>2030.4705882352941</v>
      </c>
      <c r="AV17" s="31">
        <v>4873.8323780000001</v>
      </c>
      <c r="AW17" s="31">
        <v>5126.9145259999996</v>
      </c>
      <c r="AX17" s="414">
        <v>1945.8235294117649</v>
      </c>
      <c r="AY17" s="31">
        <v>9418.4029470000005</v>
      </c>
      <c r="AZ17" s="31">
        <v>9908.0311490000004</v>
      </c>
      <c r="BA17" s="414">
        <v>4479.2941176470595</v>
      </c>
      <c r="BB17" s="31">
        <v>9154.8846059999996</v>
      </c>
      <c r="BC17" s="31">
        <v>9635.4336370000001</v>
      </c>
      <c r="BD17" s="414">
        <v>4419.1176470588234</v>
      </c>
      <c r="BE17" s="31">
        <v>6696.0580049999999</v>
      </c>
      <c r="BF17" s="31">
        <v>7045.3705330000003</v>
      </c>
      <c r="BG17" s="414">
        <v>3139.1764705882351</v>
      </c>
      <c r="BH17" s="31">
        <v>6484.5631530000001</v>
      </c>
      <c r="BI17" s="31">
        <v>6825.2881550000002</v>
      </c>
      <c r="BJ17" s="414">
        <v>3085.4705882352941</v>
      </c>
      <c r="BK17" s="31">
        <v>11639.475498</v>
      </c>
      <c r="BL17" s="31">
        <v>12248.099643</v>
      </c>
      <c r="BM17" s="414">
        <v>6154.2941176470595</v>
      </c>
      <c r="BN17" s="31">
        <v>11427.030301999999</v>
      </c>
      <c r="BO17" s="31">
        <v>12025.774454</v>
      </c>
      <c r="BP17" s="414">
        <v>6130.5882352941171</v>
      </c>
      <c r="BQ17" s="31">
        <v>46886.149205000002</v>
      </c>
      <c r="BR17" s="31">
        <v>47374.867372000001</v>
      </c>
      <c r="BS17" s="414">
        <v>17299.411764705881</v>
      </c>
      <c r="BT17" s="31">
        <v>43002.297940999997</v>
      </c>
      <c r="BU17" s="31">
        <v>43447.284771999999</v>
      </c>
      <c r="BV17" s="414">
        <v>15952.235294117647</v>
      </c>
      <c r="BW17" s="31">
        <v>51633.564853999997</v>
      </c>
      <c r="BX17" s="31">
        <v>52205.356592999997</v>
      </c>
      <c r="BY17" s="414">
        <v>19054.941176470587</v>
      </c>
      <c r="BZ17" s="31">
        <v>47088.775845999997</v>
      </c>
      <c r="CA17" s="31">
        <v>47608.294729000001</v>
      </c>
      <c r="CB17" s="414">
        <v>17474.76470588235</v>
      </c>
      <c r="CC17" s="31">
        <v>103374.649431</v>
      </c>
      <c r="CD17" s="31">
        <v>104171.56922600001</v>
      </c>
      <c r="CE17" s="414">
        <v>44925.76470588235</v>
      </c>
      <c r="CF17" s="31">
        <v>98965.404584000004</v>
      </c>
      <c r="CG17" s="31">
        <v>99708.824242999995</v>
      </c>
      <c r="CH17" s="414">
        <v>43148.705882352937</v>
      </c>
      <c r="CI17" s="31">
        <v>68961.318996000002</v>
      </c>
      <c r="CJ17" s="31">
        <v>69583.496157000001</v>
      </c>
      <c r="CK17" s="414">
        <v>29997.588235294119</v>
      </c>
      <c r="CL17" s="31">
        <v>65289.337161000003</v>
      </c>
      <c r="CM17" s="31">
        <v>65869.037370000005</v>
      </c>
      <c r="CN17" s="414">
        <v>28515.23529411765</v>
      </c>
      <c r="CO17" s="31">
        <v>128451.59338400001</v>
      </c>
      <c r="CP17" s="31">
        <v>129265.746642</v>
      </c>
      <c r="CQ17" s="414">
        <v>60617.705882352937</v>
      </c>
      <c r="CR17" s="31">
        <v>124534.05650599999</v>
      </c>
      <c r="CS17" s="31">
        <v>125290.08817</v>
      </c>
      <c r="CT17" s="414">
        <v>58955.76470588235</v>
      </c>
      <c r="CU17" s="415">
        <v>720.16926999999998</v>
      </c>
      <c r="CV17" s="415">
        <v>673.74011499999995</v>
      </c>
      <c r="CW17" s="415">
        <v>395.41641099999998</v>
      </c>
      <c r="CX17" s="415">
        <v>362.48132199999998</v>
      </c>
      <c r="CY17" s="415">
        <v>738.35035400000004</v>
      </c>
      <c r="CZ17" s="415">
        <v>683.83577100000002</v>
      </c>
      <c r="DA17" s="415">
        <v>1215.62159</v>
      </c>
      <c r="DB17" s="415">
        <v>1132.3008130000001</v>
      </c>
      <c r="DC17" s="415">
        <v>544.77355599999999</v>
      </c>
      <c r="DD17" s="415">
        <v>498.82959499999998</v>
      </c>
      <c r="DE17" s="415">
        <v>667.64441799999997</v>
      </c>
      <c r="DF17" s="415">
        <v>629.48533399999997</v>
      </c>
      <c r="DG17" s="415">
        <v>352.92820599999999</v>
      </c>
      <c r="DH17" s="415">
        <v>324.60082299999999</v>
      </c>
      <c r="DI17" s="415">
        <v>666.75730699999997</v>
      </c>
      <c r="DJ17" s="415">
        <v>622.909762</v>
      </c>
      <c r="DK17" s="415">
        <v>1160.2674569999999</v>
      </c>
      <c r="DL17" s="415">
        <v>1098.4727789999999</v>
      </c>
      <c r="DM17" s="415">
        <v>475.02744200000001</v>
      </c>
      <c r="DN17" s="415">
        <v>434.64959800000003</v>
      </c>
      <c r="DO17" s="415">
        <v>14340.960333000001</v>
      </c>
      <c r="DP17" s="415">
        <v>13733.932085</v>
      </c>
      <c r="DQ17" s="415">
        <v>9354.5200380000006</v>
      </c>
      <c r="DR17" s="415">
        <v>8995.4235110000009</v>
      </c>
      <c r="DS17" s="415">
        <v>13786.613195</v>
      </c>
      <c r="DT17" s="415">
        <v>12987.832743000001</v>
      </c>
      <c r="DU17" s="415">
        <v>21151.706537999999</v>
      </c>
      <c r="DV17" s="415">
        <v>19881.013104000001</v>
      </c>
      <c r="DW17" s="415">
        <v>11141.193155999999</v>
      </c>
      <c r="DX17" s="415">
        <v>10446.986862</v>
      </c>
    </row>
    <row r="18" spans="2:128" ht="15">
      <c r="B18" s="425" t="s">
        <v>563</v>
      </c>
      <c r="C18" s="249" t="s">
        <v>564</v>
      </c>
      <c r="D18" s="249" t="s">
        <v>527</v>
      </c>
      <c r="E18" s="426">
        <v>11</v>
      </c>
      <c r="F18" s="427" t="s">
        <v>514</v>
      </c>
      <c r="G18" s="428" t="s">
        <v>543</v>
      </c>
      <c r="H18" t="s">
        <v>563</v>
      </c>
      <c r="I18" s="31">
        <v>4559.9560270000002</v>
      </c>
      <c r="J18" s="31">
        <v>4847.755091</v>
      </c>
      <c r="K18" s="414">
        <v>1694.4117647058824</v>
      </c>
      <c r="L18" s="31">
        <v>4272.867886</v>
      </c>
      <c r="M18" s="31">
        <v>4542.4800240000004</v>
      </c>
      <c r="N18" s="414">
        <v>1595.8235294117646</v>
      </c>
      <c r="O18" s="31">
        <v>4985.8557499999997</v>
      </c>
      <c r="P18" s="31">
        <v>5301.8094540000002</v>
      </c>
      <c r="Q18" s="414">
        <v>1856.8235294117646</v>
      </c>
      <c r="R18" s="31">
        <v>4648.4807280000005</v>
      </c>
      <c r="S18" s="31">
        <v>4943.277478</v>
      </c>
      <c r="T18" s="414">
        <v>1739.2941176470588</v>
      </c>
      <c r="U18" s="31">
        <v>9130.4001000000007</v>
      </c>
      <c r="V18" s="31">
        <v>9636.3555610000003</v>
      </c>
      <c r="W18" s="414">
        <v>3989.3529411764707</v>
      </c>
      <c r="X18" s="31">
        <v>8835.0592809999998</v>
      </c>
      <c r="Y18" s="31">
        <v>9319.136724</v>
      </c>
      <c r="Z18" s="414">
        <v>3873.2352941176468</v>
      </c>
      <c r="AA18" s="31">
        <v>6493.8326790000001</v>
      </c>
      <c r="AB18" s="31">
        <v>6880.770117</v>
      </c>
      <c r="AC18" s="414">
        <v>2819.4705882352941</v>
      </c>
      <c r="AD18" s="31">
        <v>6234.4732780000004</v>
      </c>
      <c r="AE18" s="31">
        <v>6602.6290870000003</v>
      </c>
      <c r="AF18" s="414">
        <v>2717.8235294117649</v>
      </c>
      <c r="AG18" s="31">
        <v>11212.753333000001</v>
      </c>
      <c r="AH18" s="31">
        <v>11793.57035</v>
      </c>
      <c r="AI18" s="414">
        <v>5336.7647058823532</v>
      </c>
      <c r="AJ18" s="31">
        <v>10964.710396</v>
      </c>
      <c r="AK18" s="31">
        <v>11521.854078</v>
      </c>
      <c r="AL18" s="414">
        <v>5235.5882352941171</v>
      </c>
      <c r="AM18" s="31">
        <v>4693.6333249999998</v>
      </c>
      <c r="AN18" s="31">
        <v>4930.6884520000003</v>
      </c>
      <c r="AO18" s="414">
        <v>1844.1176470588234</v>
      </c>
      <c r="AP18" s="31">
        <v>4371.4606869999998</v>
      </c>
      <c r="AQ18" s="31">
        <v>4598.3255669999999</v>
      </c>
      <c r="AR18" s="414">
        <v>1750.0588235294117</v>
      </c>
      <c r="AS18" s="31">
        <v>5161.8280379999997</v>
      </c>
      <c r="AT18" s="31">
        <v>5423.9651270000004</v>
      </c>
      <c r="AU18" s="414">
        <v>2030.4705882352941</v>
      </c>
      <c r="AV18" s="31">
        <v>4768.6037120000001</v>
      </c>
      <c r="AW18" s="31">
        <v>5018.3332879999998</v>
      </c>
      <c r="AX18" s="414">
        <v>1914.4705882352941</v>
      </c>
      <c r="AY18" s="31">
        <v>9418.4029470000005</v>
      </c>
      <c r="AZ18" s="31">
        <v>9908.0311490000004</v>
      </c>
      <c r="BA18" s="414">
        <v>4479.2941176470595</v>
      </c>
      <c r="BB18" s="31">
        <v>9058.1124999999993</v>
      </c>
      <c r="BC18" s="31">
        <v>9535.5001520000005</v>
      </c>
      <c r="BD18" s="414">
        <v>4397.2352941176468</v>
      </c>
      <c r="BE18" s="31">
        <v>6696.0580049999999</v>
      </c>
      <c r="BF18" s="31">
        <v>7045.3705330000003</v>
      </c>
      <c r="BG18" s="414">
        <v>3139.1764705882351</v>
      </c>
      <c r="BH18" s="31">
        <v>6407.4293980000002</v>
      </c>
      <c r="BI18" s="31">
        <v>6745.1643119999999</v>
      </c>
      <c r="BJ18" s="414">
        <v>3065.0588235294117</v>
      </c>
      <c r="BK18" s="31">
        <v>11639.475498</v>
      </c>
      <c r="BL18" s="31">
        <v>12248.099643</v>
      </c>
      <c r="BM18" s="414">
        <v>6154.2941176470595</v>
      </c>
      <c r="BN18" s="31">
        <v>11348.958909999999</v>
      </c>
      <c r="BO18" s="31">
        <v>11944.385966</v>
      </c>
      <c r="BP18" s="414">
        <v>6119.7058823529405</v>
      </c>
      <c r="BQ18" s="31">
        <v>46886.149205000002</v>
      </c>
      <c r="BR18" s="31">
        <v>47374.867372000001</v>
      </c>
      <c r="BS18" s="414">
        <v>17299.411764705881</v>
      </c>
      <c r="BT18" s="31">
        <v>41605.413188999999</v>
      </c>
      <c r="BU18" s="31">
        <v>42034.392064</v>
      </c>
      <c r="BV18" s="414">
        <v>15465.352941176472</v>
      </c>
      <c r="BW18" s="31">
        <v>51633.564853999997</v>
      </c>
      <c r="BX18" s="31">
        <v>52205.356592999997</v>
      </c>
      <c r="BY18" s="414">
        <v>19054.941176470587</v>
      </c>
      <c r="BZ18" s="31">
        <v>45452.966907000002</v>
      </c>
      <c r="CA18" s="31">
        <v>45953.011257999999</v>
      </c>
      <c r="CB18" s="414">
        <v>16901.705882352941</v>
      </c>
      <c r="CC18" s="31">
        <v>103374.649431</v>
      </c>
      <c r="CD18" s="31">
        <v>104171.56922600001</v>
      </c>
      <c r="CE18" s="414">
        <v>44925.76470588235</v>
      </c>
      <c r="CF18" s="31">
        <v>97357.902963</v>
      </c>
      <c r="CG18" s="31">
        <v>98081.535877999995</v>
      </c>
      <c r="CH18" s="414">
        <v>42501.117647058825</v>
      </c>
      <c r="CI18" s="31">
        <v>68961.318996000002</v>
      </c>
      <c r="CJ18" s="31">
        <v>69583.496157000001</v>
      </c>
      <c r="CK18" s="414">
        <v>29997.588235294119</v>
      </c>
      <c r="CL18" s="31">
        <v>63975.947822000002</v>
      </c>
      <c r="CM18" s="31">
        <v>64539.868244999998</v>
      </c>
      <c r="CN18" s="414">
        <v>27981.235294117647</v>
      </c>
      <c r="CO18" s="31">
        <v>128451.59338400001</v>
      </c>
      <c r="CP18" s="31">
        <v>129265.746642</v>
      </c>
      <c r="CQ18" s="414">
        <v>60617.705882352937</v>
      </c>
      <c r="CR18" s="31">
        <v>123107.158949</v>
      </c>
      <c r="CS18" s="31">
        <v>123841.54501099999</v>
      </c>
      <c r="CT18" s="414">
        <v>58351.941176470587</v>
      </c>
      <c r="CU18" s="415">
        <v>720.16926999999998</v>
      </c>
      <c r="CV18" s="415">
        <v>656.414626</v>
      </c>
      <c r="CW18" s="415">
        <v>395.41641099999998</v>
      </c>
      <c r="CX18" s="415">
        <v>350.38521500000002</v>
      </c>
      <c r="CY18" s="415">
        <v>738.35035400000004</v>
      </c>
      <c r="CZ18" s="415">
        <v>663.51128600000004</v>
      </c>
      <c r="DA18" s="415">
        <v>1215.62159</v>
      </c>
      <c r="DB18" s="415">
        <v>1101.2734929999999</v>
      </c>
      <c r="DC18" s="415">
        <v>544.77355599999999</v>
      </c>
      <c r="DD18" s="415">
        <v>481.70780400000001</v>
      </c>
      <c r="DE18" s="415">
        <v>667.64441799999997</v>
      </c>
      <c r="DF18" s="415">
        <v>615.20759299999997</v>
      </c>
      <c r="DG18" s="415">
        <v>352.92820599999999</v>
      </c>
      <c r="DH18" s="415">
        <v>314.18500499999999</v>
      </c>
      <c r="DI18" s="415">
        <v>666.75730699999997</v>
      </c>
      <c r="DJ18" s="415">
        <v>606.485049</v>
      </c>
      <c r="DK18" s="415">
        <v>1160.2674569999999</v>
      </c>
      <c r="DL18" s="415">
        <v>1074.8296720000001</v>
      </c>
      <c r="DM18" s="415">
        <v>475.02744200000001</v>
      </c>
      <c r="DN18" s="415">
        <v>419.39653800000002</v>
      </c>
      <c r="DO18" s="415">
        <v>14340.960333000001</v>
      </c>
      <c r="DP18" s="415">
        <v>13509.707635000001</v>
      </c>
      <c r="DQ18" s="415">
        <v>9354.5200380000006</v>
      </c>
      <c r="DR18" s="415">
        <v>8866.9020889999993</v>
      </c>
      <c r="DS18" s="415">
        <v>13786.613195</v>
      </c>
      <c r="DT18" s="415">
        <v>12692.097303</v>
      </c>
      <c r="DU18" s="415">
        <v>21151.706537999999</v>
      </c>
      <c r="DV18" s="415">
        <v>19407.302604</v>
      </c>
      <c r="DW18" s="415">
        <v>11141.193155999999</v>
      </c>
      <c r="DX18" s="415">
        <v>10191.875873999999</v>
      </c>
    </row>
    <row r="19" spans="2:128" ht="15">
      <c r="B19" s="425" t="s">
        <v>566</v>
      </c>
      <c r="C19" s="249" t="s">
        <v>567</v>
      </c>
      <c r="D19" s="249" t="s">
        <v>527</v>
      </c>
      <c r="E19" s="426">
        <v>12</v>
      </c>
      <c r="F19" s="427" t="s">
        <v>514</v>
      </c>
      <c r="G19" s="428" t="s">
        <v>568</v>
      </c>
      <c r="H19" t="s">
        <v>566</v>
      </c>
      <c r="I19" s="31">
        <v>4559.9560270000002</v>
      </c>
      <c r="J19" s="31">
        <v>4847.755091</v>
      </c>
      <c r="K19" s="414">
        <v>1694.4117647058824</v>
      </c>
      <c r="L19" s="31">
        <v>4255.0862580000003</v>
      </c>
      <c r="M19" s="31">
        <v>4523.5764040000004</v>
      </c>
      <c r="N19" s="414">
        <v>1589.3529411764707</v>
      </c>
      <c r="O19" s="31">
        <v>4985.8557499999997</v>
      </c>
      <c r="P19" s="31">
        <v>5301.8094540000002</v>
      </c>
      <c r="Q19" s="414">
        <v>1856.8235294117646</v>
      </c>
      <c r="R19" s="31">
        <v>4627.4964389999996</v>
      </c>
      <c r="S19" s="31">
        <v>4920.9699389999996</v>
      </c>
      <c r="T19" s="414">
        <v>1732.294117647059</v>
      </c>
      <c r="U19" s="31">
        <v>9130.4001000000007</v>
      </c>
      <c r="V19" s="31">
        <v>9636.3555610000003</v>
      </c>
      <c r="W19" s="414">
        <v>3989.3529411764707</v>
      </c>
      <c r="X19" s="31">
        <v>8816.6090910000003</v>
      </c>
      <c r="Y19" s="31">
        <v>9299.3191409999999</v>
      </c>
      <c r="Z19" s="414">
        <v>3866.2352941176468</v>
      </c>
      <c r="AA19" s="31">
        <v>6493.8326790000001</v>
      </c>
      <c r="AB19" s="31">
        <v>6880.770117</v>
      </c>
      <c r="AC19" s="414">
        <v>2819.4705882352941</v>
      </c>
      <c r="AD19" s="31">
        <v>6218.3567110000004</v>
      </c>
      <c r="AE19" s="31">
        <v>6585.334793</v>
      </c>
      <c r="AF19" s="414">
        <v>2711.8235294117649</v>
      </c>
      <c r="AG19" s="31">
        <v>11212.753333000001</v>
      </c>
      <c r="AH19" s="31">
        <v>11793.57035</v>
      </c>
      <c r="AI19" s="414">
        <v>5336.7647058823532</v>
      </c>
      <c r="AJ19" s="31">
        <v>10949.183835</v>
      </c>
      <c r="AK19" s="31">
        <v>11504.855615</v>
      </c>
      <c r="AL19" s="414">
        <v>5229.5882352941171</v>
      </c>
      <c r="AM19" s="31">
        <v>4693.6333249999998</v>
      </c>
      <c r="AN19" s="31">
        <v>4930.6884520000003</v>
      </c>
      <c r="AO19" s="414">
        <v>1844.1176470588234</v>
      </c>
      <c r="AP19" s="31">
        <v>4351.3868910000001</v>
      </c>
      <c r="AQ19" s="31">
        <v>4577.6115920000002</v>
      </c>
      <c r="AR19" s="414">
        <v>1744.0588235294117</v>
      </c>
      <c r="AS19" s="31">
        <v>5161.8280379999997</v>
      </c>
      <c r="AT19" s="31">
        <v>5423.9651270000004</v>
      </c>
      <c r="AU19" s="414">
        <v>2030.4705882352941</v>
      </c>
      <c r="AV19" s="31">
        <v>4744.1289729999999</v>
      </c>
      <c r="AW19" s="31">
        <v>4993.0735350000004</v>
      </c>
      <c r="AX19" s="414">
        <v>1907</v>
      </c>
      <c r="AY19" s="31">
        <v>9418.4029470000005</v>
      </c>
      <c r="AZ19" s="31">
        <v>9908.0311490000004</v>
      </c>
      <c r="BA19" s="414">
        <v>4479.2941176470595</v>
      </c>
      <c r="BB19" s="31">
        <v>9035.5619289999995</v>
      </c>
      <c r="BC19" s="31">
        <v>9512.2218790000006</v>
      </c>
      <c r="BD19" s="414">
        <v>4391.7647058823532</v>
      </c>
      <c r="BE19" s="31">
        <v>6696.0580049999999</v>
      </c>
      <c r="BF19" s="31">
        <v>7045.3705330000003</v>
      </c>
      <c r="BG19" s="414">
        <v>3139.1764705882351</v>
      </c>
      <c r="BH19" s="31">
        <v>6389.4931130000004</v>
      </c>
      <c r="BI19" s="31">
        <v>6726.5404040000003</v>
      </c>
      <c r="BJ19" s="414">
        <v>3060.5882352941176</v>
      </c>
      <c r="BK19" s="31">
        <v>11639.475498</v>
      </c>
      <c r="BL19" s="31">
        <v>12248.099643</v>
      </c>
      <c r="BM19" s="414">
        <v>6154.2941176470595</v>
      </c>
      <c r="BN19" s="31">
        <v>11330.778649</v>
      </c>
      <c r="BO19" s="31">
        <v>11925.452499999999</v>
      </c>
      <c r="BP19" s="414">
        <v>6117.2352941176468</v>
      </c>
      <c r="BQ19" s="31">
        <v>46886.149205000002</v>
      </c>
      <c r="BR19" s="31">
        <v>47374.867372000001</v>
      </c>
      <c r="BS19" s="414">
        <v>17299.411764705881</v>
      </c>
      <c r="BT19" s="31">
        <v>41282.496466999997</v>
      </c>
      <c r="BU19" s="31">
        <v>41707.743791000001</v>
      </c>
      <c r="BV19" s="414">
        <v>15352.882352941177</v>
      </c>
      <c r="BW19" s="31">
        <v>51633.564853999997</v>
      </c>
      <c r="BX19" s="31">
        <v>52205.356592999997</v>
      </c>
      <c r="BY19" s="414">
        <v>19054.941176470587</v>
      </c>
      <c r="BZ19" s="31">
        <v>45074.205689000002</v>
      </c>
      <c r="CA19" s="31">
        <v>45569.694134999998</v>
      </c>
      <c r="CB19" s="414">
        <v>16770.764705882353</v>
      </c>
      <c r="CC19" s="31">
        <v>103374.649431</v>
      </c>
      <c r="CD19" s="31">
        <v>104171.56922600001</v>
      </c>
      <c r="CE19" s="414">
        <v>44925.76470588235</v>
      </c>
      <c r="CF19" s="31">
        <v>96984.830398000006</v>
      </c>
      <c r="CG19" s="31">
        <v>97703.860933999997</v>
      </c>
      <c r="CH19" s="414">
        <v>42350.647058823532</v>
      </c>
      <c r="CI19" s="31">
        <v>68961.318996000002</v>
      </c>
      <c r="CJ19" s="31">
        <v>69583.496157000001</v>
      </c>
      <c r="CK19" s="414">
        <v>29997.588235294119</v>
      </c>
      <c r="CL19" s="31">
        <v>63672.209709000002</v>
      </c>
      <c r="CM19" s="31">
        <v>64232.458396000002</v>
      </c>
      <c r="CN19" s="414">
        <v>27857.235294117647</v>
      </c>
      <c r="CO19" s="31">
        <v>128451.59338400001</v>
      </c>
      <c r="CP19" s="31">
        <v>129265.746642</v>
      </c>
      <c r="CQ19" s="414">
        <v>60617.705882352937</v>
      </c>
      <c r="CR19" s="31">
        <v>122775.19771199999</v>
      </c>
      <c r="CS19" s="31">
        <v>123504.522994</v>
      </c>
      <c r="CT19" s="414">
        <v>58211.941176470587</v>
      </c>
      <c r="CU19" s="415">
        <v>720.16926999999998</v>
      </c>
      <c r="CV19" s="415">
        <v>652.34138700000005</v>
      </c>
      <c r="CW19" s="415">
        <v>395.41641099999998</v>
      </c>
      <c r="CX19" s="415">
        <v>347.55500699999999</v>
      </c>
      <c r="CY19" s="415">
        <v>738.35035400000004</v>
      </c>
      <c r="CZ19" s="415">
        <v>658.73607800000002</v>
      </c>
      <c r="DA19" s="415">
        <v>1215.62159</v>
      </c>
      <c r="DB19" s="415">
        <v>1093.990599</v>
      </c>
      <c r="DC19" s="415">
        <v>544.77355599999999</v>
      </c>
      <c r="DD19" s="415">
        <v>477.676219</v>
      </c>
      <c r="DE19" s="415">
        <v>667.64441799999997</v>
      </c>
      <c r="DF19" s="415">
        <v>611.86064399999998</v>
      </c>
      <c r="DG19" s="415">
        <v>352.92820599999999</v>
      </c>
      <c r="DH19" s="415">
        <v>311.73835800000001</v>
      </c>
      <c r="DI19" s="415">
        <v>666.75730699999997</v>
      </c>
      <c r="DJ19" s="415">
        <v>602.620856</v>
      </c>
      <c r="DK19" s="415">
        <v>1160.2674569999999</v>
      </c>
      <c r="DL19" s="415">
        <v>1069.251332</v>
      </c>
      <c r="DM19" s="415">
        <v>475.02744200000001</v>
      </c>
      <c r="DN19" s="415">
        <v>415.81056999999998</v>
      </c>
      <c r="DO19" s="415">
        <v>14340.960333000001</v>
      </c>
      <c r="DP19" s="415">
        <v>13457.342123</v>
      </c>
      <c r="DQ19" s="415">
        <v>9354.5200380000006</v>
      </c>
      <c r="DR19" s="415">
        <v>8837.2867549999992</v>
      </c>
      <c r="DS19" s="415">
        <v>13786.613195</v>
      </c>
      <c r="DT19" s="415">
        <v>12622.799975</v>
      </c>
      <c r="DU19" s="415">
        <v>21151.706537999999</v>
      </c>
      <c r="DV19" s="415">
        <v>19296.174915</v>
      </c>
      <c r="DW19" s="415">
        <v>11141.193155999999</v>
      </c>
      <c r="DX19" s="415">
        <v>10132.295365</v>
      </c>
    </row>
    <row r="20" spans="2:128" ht="15">
      <c r="B20" s="425" t="s">
        <v>570</v>
      </c>
      <c r="C20" s="249" t="s">
        <v>571</v>
      </c>
      <c r="D20" s="249" t="s">
        <v>527</v>
      </c>
      <c r="E20" s="426">
        <v>13</v>
      </c>
      <c r="F20" s="427" t="s">
        <v>539</v>
      </c>
      <c r="G20" s="428" t="s">
        <v>543</v>
      </c>
      <c r="H20" t="s">
        <v>570</v>
      </c>
      <c r="I20" s="31">
        <v>4293.966359</v>
      </c>
      <c r="J20" s="31">
        <v>4564.9175340000002</v>
      </c>
      <c r="K20" s="414">
        <v>1602.2941176470588</v>
      </c>
      <c r="L20" s="31">
        <v>4272.867886</v>
      </c>
      <c r="M20" s="31">
        <v>4542.4800240000004</v>
      </c>
      <c r="N20" s="414">
        <v>1595.8235294117646</v>
      </c>
      <c r="O20" s="31">
        <v>4673.376784</v>
      </c>
      <c r="P20" s="31">
        <v>4969.732532</v>
      </c>
      <c r="Q20" s="414">
        <v>1748.2352941176471</v>
      </c>
      <c r="R20" s="31">
        <v>4648.4807280000005</v>
      </c>
      <c r="S20" s="31">
        <v>4943.277478</v>
      </c>
      <c r="T20" s="414">
        <v>1739.2941176470588</v>
      </c>
      <c r="U20" s="31">
        <v>8856.9235809999991</v>
      </c>
      <c r="V20" s="31">
        <v>9342.6204409999991</v>
      </c>
      <c r="W20" s="414">
        <v>3882.1764705882351</v>
      </c>
      <c r="X20" s="31">
        <v>8835.0592809999998</v>
      </c>
      <c r="Y20" s="31">
        <v>9319.136724</v>
      </c>
      <c r="Z20" s="414">
        <v>3873.2352941176468</v>
      </c>
      <c r="AA20" s="31">
        <v>6253.5821720000004</v>
      </c>
      <c r="AB20" s="31">
        <v>6623.1244889999998</v>
      </c>
      <c r="AC20" s="414">
        <v>2725.2941176470586</v>
      </c>
      <c r="AD20" s="31">
        <v>6234.4732780000004</v>
      </c>
      <c r="AE20" s="31">
        <v>6602.6290870000003</v>
      </c>
      <c r="AF20" s="414">
        <v>2717.8235294117649</v>
      </c>
      <c r="AG20" s="31">
        <v>10983.111215999999</v>
      </c>
      <c r="AH20" s="31">
        <v>11542.00468</v>
      </c>
      <c r="AI20" s="414">
        <v>5243.5882352941171</v>
      </c>
      <c r="AJ20" s="31">
        <v>10964.710396</v>
      </c>
      <c r="AK20" s="31">
        <v>11521.854078</v>
      </c>
      <c r="AL20" s="414">
        <v>5235.5882352941171</v>
      </c>
      <c r="AM20" s="31">
        <v>4395.2493379999996</v>
      </c>
      <c r="AN20" s="31">
        <v>4622.870911</v>
      </c>
      <c r="AO20" s="414">
        <v>1757</v>
      </c>
      <c r="AP20" s="31">
        <v>4371.4606869999998</v>
      </c>
      <c r="AQ20" s="31">
        <v>4598.3255669999999</v>
      </c>
      <c r="AR20" s="414">
        <v>1750.0588235294117</v>
      </c>
      <c r="AS20" s="31">
        <v>4797.6280649999999</v>
      </c>
      <c r="AT20" s="31">
        <v>5048.2857690000001</v>
      </c>
      <c r="AU20" s="414">
        <v>1922.9411764705883</v>
      </c>
      <c r="AV20" s="31">
        <v>4768.6037120000001</v>
      </c>
      <c r="AW20" s="31">
        <v>5018.3332879999998</v>
      </c>
      <c r="AX20" s="414">
        <v>1914.4705882352941</v>
      </c>
      <c r="AY20" s="31">
        <v>9084.8262880000002</v>
      </c>
      <c r="AZ20" s="31">
        <v>9563.0798439999999</v>
      </c>
      <c r="BA20" s="414">
        <v>4402.7058823529405</v>
      </c>
      <c r="BB20" s="31">
        <v>9058.1124999999993</v>
      </c>
      <c r="BC20" s="31">
        <v>9535.5001520000005</v>
      </c>
      <c r="BD20" s="414">
        <v>4397.2352941176468</v>
      </c>
      <c r="BE20" s="31">
        <v>6428.7004889999998</v>
      </c>
      <c r="BF20" s="31">
        <v>6767.2539180000003</v>
      </c>
      <c r="BG20" s="414">
        <v>3070.5294117647059</v>
      </c>
      <c r="BH20" s="31">
        <v>6407.4293980000002</v>
      </c>
      <c r="BI20" s="31">
        <v>6745.1643119999999</v>
      </c>
      <c r="BJ20" s="414">
        <v>3065.0588235294117</v>
      </c>
      <c r="BK20" s="31">
        <v>11370.510177</v>
      </c>
      <c r="BL20" s="31">
        <v>11966.838521</v>
      </c>
      <c r="BM20" s="414">
        <v>6122.1764705882351</v>
      </c>
      <c r="BN20" s="31">
        <v>11348.958909999999</v>
      </c>
      <c r="BO20" s="31">
        <v>11944.385966</v>
      </c>
      <c r="BP20" s="414">
        <v>6119.7058823529405</v>
      </c>
      <c r="BQ20" s="31">
        <v>41989.431111999998</v>
      </c>
      <c r="BR20" s="31">
        <v>42422.826844000003</v>
      </c>
      <c r="BS20" s="414">
        <v>15599.294117647059</v>
      </c>
      <c r="BT20" s="31">
        <v>41605.413188999999</v>
      </c>
      <c r="BU20" s="31">
        <v>42034.392064</v>
      </c>
      <c r="BV20" s="414">
        <v>15465.352941176472</v>
      </c>
      <c r="BW20" s="31">
        <v>45902.713721</v>
      </c>
      <c r="BX20" s="31">
        <v>46408.155140000003</v>
      </c>
      <c r="BY20" s="414">
        <v>17056.529411764706</v>
      </c>
      <c r="BZ20" s="31">
        <v>45452.966907000002</v>
      </c>
      <c r="CA20" s="31">
        <v>45953.011257999999</v>
      </c>
      <c r="CB20" s="414">
        <v>16901.705882352941</v>
      </c>
      <c r="CC20" s="31">
        <v>97800.701098000005</v>
      </c>
      <c r="CD20" s="31">
        <v>98529.799612000003</v>
      </c>
      <c r="CE20" s="414">
        <v>42679.941176470587</v>
      </c>
      <c r="CF20" s="31">
        <v>97357.902963</v>
      </c>
      <c r="CG20" s="31">
        <v>98081.535877999995</v>
      </c>
      <c r="CH20" s="414">
        <v>42501.117647058825</v>
      </c>
      <c r="CI20" s="31">
        <v>64337.008030999998</v>
      </c>
      <c r="CJ20" s="31">
        <v>64905.284845000002</v>
      </c>
      <c r="CK20" s="414">
        <v>28128.176470588234</v>
      </c>
      <c r="CL20" s="31">
        <v>63975.947822000002</v>
      </c>
      <c r="CM20" s="31">
        <v>64539.868244999998</v>
      </c>
      <c r="CN20" s="414">
        <v>27981.235294117647</v>
      </c>
      <c r="CO20" s="31">
        <v>123500.876364</v>
      </c>
      <c r="CP20" s="31">
        <v>124241.25070600001</v>
      </c>
      <c r="CQ20" s="414">
        <v>58518.352941176476</v>
      </c>
      <c r="CR20" s="31">
        <v>123107.158949</v>
      </c>
      <c r="CS20" s="31">
        <v>123841.54501099999</v>
      </c>
      <c r="CT20" s="414">
        <v>58351.941176470587</v>
      </c>
      <c r="CU20" s="415">
        <v>661.221362</v>
      </c>
      <c r="CV20" s="415">
        <v>656.414626</v>
      </c>
      <c r="CW20" s="415">
        <v>353.72803699999997</v>
      </c>
      <c r="CX20" s="415">
        <v>350.38521500000002</v>
      </c>
      <c r="CY20" s="415">
        <v>669.15011500000003</v>
      </c>
      <c r="CZ20" s="415">
        <v>663.51128600000004</v>
      </c>
      <c r="DA20" s="415">
        <v>1109.8811069999999</v>
      </c>
      <c r="DB20" s="415">
        <v>1101.2734929999999</v>
      </c>
      <c r="DC20" s="415">
        <v>486.45689900000002</v>
      </c>
      <c r="DD20" s="415">
        <v>481.70780400000001</v>
      </c>
      <c r="DE20" s="415">
        <v>619.165886</v>
      </c>
      <c r="DF20" s="415">
        <v>615.20759299999997</v>
      </c>
      <c r="DG20" s="415">
        <v>317.07276100000001</v>
      </c>
      <c r="DH20" s="415">
        <v>314.18500499999999</v>
      </c>
      <c r="DI20" s="415">
        <v>611.04380000000003</v>
      </c>
      <c r="DJ20" s="415">
        <v>606.485049</v>
      </c>
      <c r="DK20" s="415">
        <v>1081.4145840000001</v>
      </c>
      <c r="DL20" s="415">
        <v>1074.8296720000001</v>
      </c>
      <c r="DM20" s="415">
        <v>423.627681</v>
      </c>
      <c r="DN20" s="415">
        <v>419.39653800000002</v>
      </c>
      <c r="DO20" s="415">
        <v>13571.672028000001</v>
      </c>
      <c r="DP20" s="415">
        <v>13509.707635000001</v>
      </c>
      <c r="DQ20" s="415">
        <v>8902.1361130000005</v>
      </c>
      <c r="DR20" s="415">
        <v>8866.9020889999993</v>
      </c>
      <c r="DS20" s="415">
        <v>12773.973323</v>
      </c>
      <c r="DT20" s="415">
        <v>12692.097303</v>
      </c>
      <c r="DU20" s="415">
        <v>19538.57415</v>
      </c>
      <c r="DV20" s="415">
        <v>19407.302604</v>
      </c>
      <c r="DW20" s="415">
        <v>10262.385597</v>
      </c>
      <c r="DX20" s="415">
        <v>10191.875873999999</v>
      </c>
    </row>
    <row r="21" spans="2:128" ht="15">
      <c r="B21" s="425" t="s">
        <v>573</v>
      </c>
      <c r="C21" s="249" t="s">
        <v>574</v>
      </c>
      <c r="D21" s="249" t="s">
        <v>527</v>
      </c>
      <c r="E21" s="426">
        <v>14</v>
      </c>
      <c r="F21" s="427" t="s">
        <v>539</v>
      </c>
      <c r="G21" s="428" t="s">
        <v>568</v>
      </c>
      <c r="H21" t="s">
        <v>573</v>
      </c>
      <c r="I21" s="31">
        <v>4293.966359</v>
      </c>
      <c r="J21" s="31">
        <v>4564.9175340000002</v>
      </c>
      <c r="K21" s="414">
        <v>1602.2941176470588</v>
      </c>
      <c r="L21" s="31">
        <v>4255.0862580000003</v>
      </c>
      <c r="M21" s="31">
        <v>4523.5764040000004</v>
      </c>
      <c r="N21" s="414">
        <v>1589.3529411764707</v>
      </c>
      <c r="O21" s="31">
        <v>4673.376784</v>
      </c>
      <c r="P21" s="31">
        <v>4969.732532</v>
      </c>
      <c r="Q21" s="414">
        <v>1748.2352941176471</v>
      </c>
      <c r="R21" s="31">
        <v>4627.4964389999996</v>
      </c>
      <c r="S21" s="31">
        <v>4920.9699389999996</v>
      </c>
      <c r="T21" s="414">
        <v>1732.294117647059</v>
      </c>
      <c r="U21" s="31">
        <v>8856.9235809999991</v>
      </c>
      <c r="V21" s="31">
        <v>9342.6204409999991</v>
      </c>
      <c r="W21" s="414">
        <v>3882.1764705882351</v>
      </c>
      <c r="X21" s="31">
        <v>8816.6090910000003</v>
      </c>
      <c r="Y21" s="31">
        <v>9299.3191409999999</v>
      </c>
      <c r="Z21" s="414">
        <v>3866.2352941176468</v>
      </c>
      <c r="AA21" s="31">
        <v>6253.5821720000004</v>
      </c>
      <c r="AB21" s="31">
        <v>6623.1244889999998</v>
      </c>
      <c r="AC21" s="414">
        <v>2725.2941176470586</v>
      </c>
      <c r="AD21" s="31">
        <v>6218.3567110000004</v>
      </c>
      <c r="AE21" s="31">
        <v>6585.334793</v>
      </c>
      <c r="AF21" s="414">
        <v>2711.8235294117649</v>
      </c>
      <c r="AG21" s="31">
        <v>10983.111215999999</v>
      </c>
      <c r="AH21" s="31">
        <v>11542.00468</v>
      </c>
      <c r="AI21" s="414">
        <v>5243.5882352941171</v>
      </c>
      <c r="AJ21" s="31">
        <v>10949.183835</v>
      </c>
      <c r="AK21" s="31">
        <v>11504.855615</v>
      </c>
      <c r="AL21" s="414">
        <v>5229.5882352941171</v>
      </c>
      <c r="AM21" s="31">
        <v>4395.2493379999996</v>
      </c>
      <c r="AN21" s="31">
        <v>4622.870911</v>
      </c>
      <c r="AO21" s="414">
        <v>1757</v>
      </c>
      <c r="AP21" s="31">
        <v>4351.3868910000001</v>
      </c>
      <c r="AQ21" s="31">
        <v>4577.6115920000002</v>
      </c>
      <c r="AR21" s="414">
        <v>1744.0588235294117</v>
      </c>
      <c r="AS21" s="31">
        <v>4797.6280649999999</v>
      </c>
      <c r="AT21" s="31">
        <v>5048.2857690000001</v>
      </c>
      <c r="AU21" s="414">
        <v>1922.9411764705883</v>
      </c>
      <c r="AV21" s="31">
        <v>4744.1289729999999</v>
      </c>
      <c r="AW21" s="31">
        <v>4993.0735350000004</v>
      </c>
      <c r="AX21" s="414">
        <v>1907</v>
      </c>
      <c r="AY21" s="31">
        <v>9084.8262880000002</v>
      </c>
      <c r="AZ21" s="31">
        <v>9563.0798439999999</v>
      </c>
      <c r="BA21" s="414">
        <v>4402.7058823529405</v>
      </c>
      <c r="BB21" s="31">
        <v>9035.5619289999995</v>
      </c>
      <c r="BC21" s="31">
        <v>9512.2218790000006</v>
      </c>
      <c r="BD21" s="414">
        <v>4391.7647058823532</v>
      </c>
      <c r="BE21" s="31">
        <v>6428.7004889999998</v>
      </c>
      <c r="BF21" s="31">
        <v>6767.2539180000003</v>
      </c>
      <c r="BG21" s="414">
        <v>3070.5294117647059</v>
      </c>
      <c r="BH21" s="31">
        <v>6389.4931130000004</v>
      </c>
      <c r="BI21" s="31">
        <v>6726.5404040000003</v>
      </c>
      <c r="BJ21" s="414">
        <v>3060.5882352941176</v>
      </c>
      <c r="BK21" s="31">
        <v>11370.510177</v>
      </c>
      <c r="BL21" s="31">
        <v>11966.838521</v>
      </c>
      <c r="BM21" s="414">
        <v>6122.1764705882351</v>
      </c>
      <c r="BN21" s="31">
        <v>11330.778649</v>
      </c>
      <c r="BO21" s="31">
        <v>11925.452499999999</v>
      </c>
      <c r="BP21" s="414">
        <v>6117.2352941176468</v>
      </c>
      <c r="BQ21" s="31">
        <v>41989.431111999998</v>
      </c>
      <c r="BR21" s="31">
        <v>42422.826844000003</v>
      </c>
      <c r="BS21" s="414">
        <v>15599.294117647059</v>
      </c>
      <c r="BT21" s="31">
        <v>41282.496466999997</v>
      </c>
      <c r="BU21" s="31">
        <v>41707.743791000001</v>
      </c>
      <c r="BV21" s="414">
        <v>15352.882352941177</v>
      </c>
      <c r="BW21" s="31">
        <v>45902.713721</v>
      </c>
      <c r="BX21" s="31">
        <v>46408.155140000003</v>
      </c>
      <c r="BY21" s="414">
        <v>17056.529411764706</v>
      </c>
      <c r="BZ21" s="31">
        <v>45074.205689000002</v>
      </c>
      <c r="CA21" s="31">
        <v>45569.694134999998</v>
      </c>
      <c r="CB21" s="414">
        <v>16770.764705882353</v>
      </c>
      <c r="CC21" s="31">
        <v>97800.701098000005</v>
      </c>
      <c r="CD21" s="31">
        <v>98529.799612000003</v>
      </c>
      <c r="CE21" s="414">
        <v>42679.941176470587</v>
      </c>
      <c r="CF21" s="31">
        <v>96984.830398000006</v>
      </c>
      <c r="CG21" s="31">
        <v>97703.860933999997</v>
      </c>
      <c r="CH21" s="414">
        <v>42350.647058823532</v>
      </c>
      <c r="CI21" s="31">
        <v>64337.008030999998</v>
      </c>
      <c r="CJ21" s="31">
        <v>64905.284845000002</v>
      </c>
      <c r="CK21" s="414">
        <v>28128.176470588234</v>
      </c>
      <c r="CL21" s="31">
        <v>63672.209709000002</v>
      </c>
      <c r="CM21" s="31">
        <v>64232.458396000002</v>
      </c>
      <c r="CN21" s="414">
        <v>27857.235294117647</v>
      </c>
      <c r="CO21" s="31">
        <v>123500.876364</v>
      </c>
      <c r="CP21" s="31">
        <v>124241.25070600001</v>
      </c>
      <c r="CQ21" s="414">
        <v>58518.352941176476</v>
      </c>
      <c r="CR21" s="31">
        <v>122775.19771199999</v>
      </c>
      <c r="CS21" s="31">
        <v>123504.522994</v>
      </c>
      <c r="CT21" s="414">
        <v>58211.941176470587</v>
      </c>
      <c r="CU21" s="415">
        <v>661.221362</v>
      </c>
      <c r="CV21" s="415">
        <v>652.34138700000005</v>
      </c>
      <c r="CW21" s="415">
        <v>353.72803699999997</v>
      </c>
      <c r="CX21" s="415">
        <v>347.55500699999999</v>
      </c>
      <c r="CY21" s="415">
        <v>669.15011500000003</v>
      </c>
      <c r="CZ21" s="415">
        <v>658.73607800000002</v>
      </c>
      <c r="DA21" s="415">
        <v>1109.8811069999999</v>
      </c>
      <c r="DB21" s="415">
        <v>1093.990599</v>
      </c>
      <c r="DC21" s="415">
        <v>486.45689900000002</v>
      </c>
      <c r="DD21" s="415">
        <v>477.676219</v>
      </c>
      <c r="DE21" s="415">
        <v>619.165886</v>
      </c>
      <c r="DF21" s="415">
        <v>611.86064399999998</v>
      </c>
      <c r="DG21" s="415">
        <v>317.07276100000001</v>
      </c>
      <c r="DH21" s="415">
        <v>311.73835800000001</v>
      </c>
      <c r="DI21" s="415">
        <v>611.04380000000003</v>
      </c>
      <c r="DJ21" s="415">
        <v>602.620856</v>
      </c>
      <c r="DK21" s="415">
        <v>1081.4145840000001</v>
      </c>
      <c r="DL21" s="415">
        <v>1069.251332</v>
      </c>
      <c r="DM21" s="415">
        <v>423.627681</v>
      </c>
      <c r="DN21" s="415">
        <v>415.81056999999998</v>
      </c>
      <c r="DO21" s="415">
        <v>13571.672028000001</v>
      </c>
      <c r="DP21" s="415">
        <v>13457.342123</v>
      </c>
      <c r="DQ21" s="415">
        <v>8902.1361130000005</v>
      </c>
      <c r="DR21" s="415">
        <v>8837.2867549999992</v>
      </c>
      <c r="DS21" s="415">
        <v>12773.973323</v>
      </c>
      <c r="DT21" s="415">
        <v>12622.799975</v>
      </c>
      <c r="DU21" s="415">
        <v>19538.57415</v>
      </c>
      <c r="DV21" s="415">
        <v>19296.174915</v>
      </c>
      <c r="DW21" s="415">
        <v>10262.385597</v>
      </c>
      <c r="DX21" s="415">
        <v>10132.295365</v>
      </c>
    </row>
    <row r="22" spans="2:128" ht="15">
      <c r="B22" s="425" t="s">
        <v>576</v>
      </c>
      <c r="C22" s="249" t="s">
        <v>577</v>
      </c>
      <c r="D22" s="249" t="s">
        <v>527</v>
      </c>
      <c r="E22" s="426">
        <v>15</v>
      </c>
      <c r="F22" s="433" t="s">
        <v>525</v>
      </c>
      <c r="G22" s="434" t="s">
        <v>539</v>
      </c>
      <c r="H22" t="s">
        <v>576</v>
      </c>
      <c r="I22" s="31">
        <v>4349.416671</v>
      </c>
      <c r="J22" s="31">
        <v>4623.8945729999996</v>
      </c>
      <c r="K22" s="414">
        <v>1621.7058823529412</v>
      </c>
      <c r="L22" s="31">
        <v>4293.966359</v>
      </c>
      <c r="M22" s="31">
        <v>4564.9175340000002</v>
      </c>
      <c r="N22" s="414">
        <v>1602.2941176470588</v>
      </c>
      <c r="O22" s="31">
        <v>4738.7353899999998</v>
      </c>
      <c r="P22" s="31">
        <v>5039.2105780000002</v>
      </c>
      <c r="Q22" s="414">
        <v>1770.6470588235293</v>
      </c>
      <c r="R22" s="31">
        <v>4673.376784</v>
      </c>
      <c r="S22" s="31">
        <v>4969.732532</v>
      </c>
      <c r="T22" s="414">
        <v>1748.2352941176471</v>
      </c>
      <c r="U22" s="31">
        <v>8914.2748090000005</v>
      </c>
      <c r="V22" s="31">
        <v>9404.2200319999993</v>
      </c>
      <c r="W22" s="414">
        <v>3904.6470588235293</v>
      </c>
      <c r="X22" s="31">
        <v>8856.9235809999991</v>
      </c>
      <c r="Y22" s="31">
        <v>9342.6204409999991</v>
      </c>
      <c r="Z22" s="414">
        <v>3882.1764705882351</v>
      </c>
      <c r="AA22" s="31">
        <v>6303.8412580000004</v>
      </c>
      <c r="AB22" s="31">
        <v>6677.0178839999999</v>
      </c>
      <c r="AC22" s="414">
        <v>2745.2352941176468</v>
      </c>
      <c r="AD22" s="31">
        <v>6253.5821720000004</v>
      </c>
      <c r="AE22" s="31">
        <v>6623.1244889999998</v>
      </c>
      <c r="AF22" s="414">
        <v>2725.2941176470586</v>
      </c>
      <c r="AG22" s="31">
        <v>11031.38421</v>
      </c>
      <c r="AH22" s="31">
        <v>11594.868651000001</v>
      </c>
      <c r="AI22" s="414">
        <v>5263.5294117647063</v>
      </c>
      <c r="AJ22" s="31">
        <v>10983.111215999999</v>
      </c>
      <c r="AK22" s="31">
        <v>11542.00468</v>
      </c>
      <c r="AL22" s="414">
        <v>5243.5882352941171</v>
      </c>
      <c r="AM22" s="31">
        <v>4457.6882230000001</v>
      </c>
      <c r="AN22" s="31">
        <v>4687.2882360000003</v>
      </c>
      <c r="AO22" s="414">
        <v>1775.4117647058824</v>
      </c>
      <c r="AP22" s="31">
        <v>4395.2493379999996</v>
      </c>
      <c r="AQ22" s="31">
        <v>4622.870911</v>
      </c>
      <c r="AR22" s="414">
        <v>1757</v>
      </c>
      <c r="AS22" s="31">
        <v>4873.8323780000001</v>
      </c>
      <c r="AT22" s="31">
        <v>5126.9145259999996</v>
      </c>
      <c r="AU22" s="414">
        <v>1945.8235294117649</v>
      </c>
      <c r="AV22" s="31">
        <v>4797.6280649999999</v>
      </c>
      <c r="AW22" s="31">
        <v>5048.2857690000001</v>
      </c>
      <c r="AX22" s="414">
        <v>1922.9411764705883</v>
      </c>
      <c r="AY22" s="31">
        <v>9154.8846059999996</v>
      </c>
      <c r="AZ22" s="31">
        <v>9635.4336370000001</v>
      </c>
      <c r="BA22" s="414">
        <v>4419.1176470588234</v>
      </c>
      <c r="BB22" s="31">
        <v>9084.8262880000002</v>
      </c>
      <c r="BC22" s="31">
        <v>9563.0798439999999</v>
      </c>
      <c r="BD22" s="414">
        <v>4402.7058823529405</v>
      </c>
      <c r="BE22" s="31">
        <v>6484.5631530000001</v>
      </c>
      <c r="BF22" s="31">
        <v>6825.2881550000002</v>
      </c>
      <c r="BG22" s="414">
        <v>3085.4705882352941</v>
      </c>
      <c r="BH22" s="31">
        <v>6428.7004889999998</v>
      </c>
      <c r="BI22" s="31">
        <v>6767.2539180000003</v>
      </c>
      <c r="BJ22" s="414">
        <v>3070.5294117647059</v>
      </c>
      <c r="BK22" s="31">
        <v>11427.030301999999</v>
      </c>
      <c r="BL22" s="31">
        <v>12025.774454</v>
      </c>
      <c r="BM22" s="414">
        <v>6130.5882352941171</v>
      </c>
      <c r="BN22" s="31">
        <v>11370.510177</v>
      </c>
      <c r="BO22" s="31">
        <v>11966.838521</v>
      </c>
      <c r="BP22" s="414">
        <v>6122.1764705882351</v>
      </c>
      <c r="BQ22" s="31">
        <v>43002.297940999997</v>
      </c>
      <c r="BR22" s="31">
        <v>43447.284771999999</v>
      </c>
      <c r="BS22" s="414">
        <v>15952.235294117647</v>
      </c>
      <c r="BT22" s="31">
        <v>41989.431111999998</v>
      </c>
      <c r="BU22" s="31">
        <v>42422.826844000003</v>
      </c>
      <c r="BV22" s="414">
        <v>15599.294117647059</v>
      </c>
      <c r="BW22" s="31">
        <v>47088.775845999997</v>
      </c>
      <c r="BX22" s="31">
        <v>47608.294729000001</v>
      </c>
      <c r="BY22" s="414">
        <v>17474.76470588235</v>
      </c>
      <c r="BZ22" s="31">
        <v>45902.713721</v>
      </c>
      <c r="CA22" s="31">
        <v>46408.155140000003</v>
      </c>
      <c r="CB22" s="414">
        <v>17056.529411764706</v>
      </c>
      <c r="CC22" s="31">
        <v>98965.404584000004</v>
      </c>
      <c r="CD22" s="31">
        <v>99708.824242999995</v>
      </c>
      <c r="CE22" s="414">
        <v>43148.705882352937</v>
      </c>
      <c r="CF22" s="31">
        <v>97800.701098000005</v>
      </c>
      <c r="CG22" s="31">
        <v>98529.799612000003</v>
      </c>
      <c r="CH22" s="414">
        <v>42679.941176470587</v>
      </c>
      <c r="CI22" s="31">
        <v>65289.337161000003</v>
      </c>
      <c r="CJ22" s="31">
        <v>65869.037370000005</v>
      </c>
      <c r="CK22" s="414">
        <v>28515.23529411765</v>
      </c>
      <c r="CL22" s="31">
        <v>64337.008030999998</v>
      </c>
      <c r="CM22" s="31">
        <v>64905.284845000002</v>
      </c>
      <c r="CN22" s="414">
        <v>28128.176470588234</v>
      </c>
      <c r="CO22" s="31">
        <v>124534.05650599999</v>
      </c>
      <c r="CP22" s="31">
        <v>125290.08817</v>
      </c>
      <c r="CQ22" s="414">
        <v>58955.76470588235</v>
      </c>
      <c r="CR22" s="31">
        <v>123500.876364</v>
      </c>
      <c r="CS22" s="31">
        <v>124241.25070600001</v>
      </c>
      <c r="CT22" s="414">
        <v>58518.352941176476</v>
      </c>
      <c r="CU22" s="415">
        <v>673.74011499999995</v>
      </c>
      <c r="CV22" s="415">
        <v>661.221362</v>
      </c>
      <c r="CW22" s="415">
        <v>362.48132199999998</v>
      </c>
      <c r="CX22" s="415">
        <v>353.72803699999997</v>
      </c>
      <c r="CY22" s="415">
        <v>683.83577100000002</v>
      </c>
      <c r="CZ22" s="415">
        <v>669.15011500000003</v>
      </c>
      <c r="DA22" s="415">
        <v>1132.3008130000001</v>
      </c>
      <c r="DB22" s="415">
        <v>1109.8811069999999</v>
      </c>
      <c r="DC22" s="415">
        <v>498.82959499999998</v>
      </c>
      <c r="DD22" s="415">
        <v>486.45689900000002</v>
      </c>
      <c r="DE22" s="415">
        <v>629.48533399999997</v>
      </c>
      <c r="DF22" s="415">
        <v>619.165886</v>
      </c>
      <c r="DG22" s="415">
        <v>324.60082299999999</v>
      </c>
      <c r="DH22" s="415">
        <v>317.07276100000001</v>
      </c>
      <c r="DI22" s="415">
        <v>622.909762</v>
      </c>
      <c r="DJ22" s="415">
        <v>611.04380000000003</v>
      </c>
      <c r="DK22" s="415">
        <v>1098.4727789999999</v>
      </c>
      <c r="DL22" s="415">
        <v>1081.4145840000001</v>
      </c>
      <c r="DM22" s="415">
        <v>434.64959800000003</v>
      </c>
      <c r="DN22" s="415">
        <v>423.627681</v>
      </c>
      <c r="DO22" s="415">
        <v>13733.932085</v>
      </c>
      <c r="DP22" s="415">
        <v>13571.672028000001</v>
      </c>
      <c r="DQ22" s="415">
        <v>8995.4235110000009</v>
      </c>
      <c r="DR22" s="415">
        <v>8902.1361130000005</v>
      </c>
      <c r="DS22" s="415">
        <v>12987.832743000001</v>
      </c>
      <c r="DT22" s="415">
        <v>12773.973323</v>
      </c>
      <c r="DU22" s="415">
        <v>19881.013104000001</v>
      </c>
      <c r="DV22" s="415">
        <v>19538.57415</v>
      </c>
      <c r="DW22" s="415">
        <v>10446.986862</v>
      </c>
      <c r="DX22" s="415">
        <v>10262.385597</v>
      </c>
    </row>
    <row r="23" spans="2:128" ht="15">
      <c r="B23" s="425" t="s">
        <v>579</v>
      </c>
      <c r="C23" s="249" t="s">
        <v>580</v>
      </c>
      <c r="D23" s="249" t="s">
        <v>527</v>
      </c>
      <c r="E23" s="426">
        <v>16</v>
      </c>
      <c r="F23" s="427" t="s">
        <v>525</v>
      </c>
      <c r="G23" s="428" t="s">
        <v>543</v>
      </c>
      <c r="H23" t="s">
        <v>579</v>
      </c>
      <c r="I23" s="31">
        <v>4349.416671</v>
      </c>
      <c r="J23" s="31">
        <v>4623.8945729999996</v>
      </c>
      <c r="K23" s="414">
        <v>1621.7058823529412</v>
      </c>
      <c r="L23" s="31">
        <v>4272.867886</v>
      </c>
      <c r="M23" s="31">
        <v>4542.4800240000004</v>
      </c>
      <c r="N23" s="414">
        <v>1595.8235294117646</v>
      </c>
      <c r="O23" s="31">
        <v>4738.7353899999998</v>
      </c>
      <c r="P23" s="31">
        <v>5039.2105780000002</v>
      </c>
      <c r="Q23" s="414">
        <v>1770.6470588235293</v>
      </c>
      <c r="R23" s="31">
        <v>4648.4807280000005</v>
      </c>
      <c r="S23" s="31">
        <v>4943.277478</v>
      </c>
      <c r="T23" s="414">
        <v>1739.2941176470588</v>
      </c>
      <c r="U23" s="31">
        <v>8914.2748090000005</v>
      </c>
      <c r="V23" s="31">
        <v>9404.2200319999993</v>
      </c>
      <c r="W23" s="414">
        <v>3904.6470588235293</v>
      </c>
      <c r="X23" s="31">
        <v>8835.0592809999998</v>
      </c>
      <c r="Y23" s="31">
        <v>9319.136724</v>
      </c>
      <c r="Z23" s="414">
        <v>3873.2352941176468</v>
      </c>
      <c r="AA23" s="31">
        <v>6303.8412580000004</v>
      </c>
      <c r="AB23" s="31">
        <v>6677.0178839999999</v>
      </c>
      <c r="AC23" s="414">
        <v>2745.2352941176468</v>
      </c>
      <c r="AD23" s="31">
        <v>6234.4732780000004</v>
      </c>
      <c r="AE23" s="31">
        <v>6602.6290870000003</v>
      </c>
      <c r="AF23" s="414">
        <v>2717.8235294117649</v>
      </c>
      <c r="AG23" s="31">
        <v>11031.38421</v>
      </c>
      <c r="AH23" s="31">
        <v>11594.868651000001</v>
      </c>
      <c r="AI23" s="414">
        <v>5263.5294117647063</v>
      </c>
      <c r="AJ23" s="31">
        <v>10964.710396</v>
      </c>
      <c r="AK23" s="31">
        <v>11521.854078</v>
      </c>
      <c r="AL23" s="414">
        <v>5235.5882352941171</v>
      </c>
      <c r="AM23" s="31">
        <v>4457.6882230000001</v>
      </c>
      <c r="AN23" s="31">
        <v>4687.2882360000003</v>
      </c>
      <c r="AO23" s="414">
        <v>1775.4117647058824</v>
      </c>
      <c r="AP23" s="31">
        <v>4371.4606869999998</v>
      </c>
      <c r="AQ23" s="31">
        <v>4598.3255669999999</v>
      </c>
      <c r="AR23" s="414">
        <v>1750.0588235294117</v>
      </c>
      <c r="AS23" s="31">
        <v>4873.8323780000001</v>
      </c>
      <c r="AT23" s="31">
        <v>5126.9145259999996</v>
      </c>
      <c r="AU23" s="414">
        <v>1945.8235294117649</v>
      </c>
      <c r="AV23" s="31">
        <v>4768.6037120000001</v>
      </c>
      <c r="AW23" s="31">
        <v>5018.3332879999998</v>
      </c>
      <c r="AX23" s="414">
        <v>1914.4705882352941</v>
      </c>
      <c r="AY23" s="31">
        <v>9154.8846059999996</v>
      </c>
      <c r="AZ23" s="31">
        <v>9635.4336370000001</v>
      </c>
      <c r="BA23" s="414">
        <v>4419.1176470588234</v>
      </c>
      <c r="BB23" s="31">
        <v>9058.1124999999993</v>
      </c>
      <c r="BC23" s="31">
        <v>9535.5001520000005</v>
      </c>
      <c r="BD23" s="414">
        <v>4397.2352941176468</v>
      </c>
      <c r="BE23" s="31">
        <v>6484.5631530000001</v>
      </c>
      <c r="BF23" s="31">
        <v>6825.2881550000002</v>
      </c>
      <c r="BG23" s="414">
        <v>3085.4705882352941</v>
      </c>
      <c r="BH23" s="31">
        <v>6407.4293980000002</v>
      </c>
      <c r="BI23" s="31">
        <v>6745.1643119999999</v>
      </c>
      <c r="BJ23" s="414">
        <v>3065.0588235294117</v>
      </c>
      <c r="BK23" s="31">
        <v>11427.030301999999</v>
      </c>
      <c r="BL23" s="31">
        <v>12025.774454</v>
      </c>
      <c r="BM23" s="414">
        <v>6130.5882352941171</v>
      </c>
      <c r="BN23" s="31">
        <v>11348.958909999999</v>
      </c>
      <c r="BO23" s="31">
        <v>11944.385966</v>
      </c>
      <c r="BP23" s="414">
        <v>6119.7058823529405</v>
      </c>
      <c r="BQ23" s="31">
        <v>43002.297940999997</v>
      </c>
      <c r="BR23" s="31">
        <v>43447.284771999999</v>
      </c>
      <c r="BS23" s="414">
        <v>15952.235294117647</v>
      </c>
      <c r="BT23" s="31">
        <v>41605.413188999999</v>
      </c>
      <c r="BU23" s="31">
        <v>42034.392064</v>
      </c>
      <c r="BV23" s="414">
        <v>15465.352941176472</v>
      </c>
      <c r="BW23" s="31">
        <v>47088.775845999997</v>
      </c>
      <c r="BX23" s="31">
        <v>47608.294729000001</v>
      </c>
      <c r="BY23" s="414">
        <v>17474.76470588235</v>
      </c>
      <c r="BZ23" s="31">
        <v>45452.966907000002</v>
      </c>
      <c r="CA23" s="31">
        <v>45953.011257999999</v>
      </c>
      <c r="CB23" s="414">
        <v>16901.705882352941</v>
      </c>
      <c r="CC23" s="31">
        <v>98965.404584000004</v>
      </c>
      <c r="CD23" s="31">
        <v>99708.824242999995</v>
      </c>
      <c r="CE23" s="414">
        <v>43148.705882352937</v>
      </c>
      <c r="CF23" s="31">
        <v>97357.902963</v>
      </c>
      <c r="CG23" s="31">
        <v>98081.535877999995</v>
      </c>
      <c r="CH23" s="414">
        <v>42501.117647058825</v>
      </c>
      <c r="CI23" s="31">
        <v>65289.337161000003</v>
      </c>
      <c r="CJ23" s="31">
        <v>65869.037370000005</v>
      </c>
      <c r="CK23" s="414">
        <v>28515.23529411765</v>
      </c>
      <c r="CL23" s="31">
        <v>63975.947822000002</v>
      </c>
      <c r="CM23" s="31">
        <v>64539.868244999998</v>
      </c>
      <c r="CN23" s="414">
        <v>27981.235294117647</v>
      </c>
      <c r="CO23" s="31">
        <v>124534.05650599999</v>
      </c>
      <c r="CP23" s="31">
        <v>125290.08817</v>
      </c>
      <c r="CQ23" s="414">
        <v>58955.76470588235</v>
      </c>
      <c r="CR23" s="31">
        <v>123107.158949</v>
      </c>
      <c r="CS23" s="31">
        <v>123841.54501099999</v>
      </c>
      <c r="CT23" s="414">
        <v>58351.941176470587</v>
      </c>
      <c r="CU23" s="415">
        <v>673.74011499999995</v>
      </c>
      <c r="CV23" s="415">
        <v>656.414626</v>
      </c>
      <c r="CW23" s="415">
        <v>362.48132199999998</v>
      </c>
      <c r="CX23" s="415">
        <v>350.38521500000002</v>
      </c>
      <c r="CY23" s="415">
        <v>683.83577100000002</v>
      </c>
      <c r="CZ23" s="415">
        <v>663.51128600000004</v>
      </c>
      <c r="DA23" s="415">
        <v>1132.3008130000001</v>
      </c>
      <c r="DB23" s="415">
        <v>1101.2734929999999</v>
      </c>
      <c r="DC23" s="415">
        <v>498.82959499999998</v>
      </c>
      <c r="DD23" s="415">
        <v>481.70780400000001</v>
      </c>
      <c r="DE23" s="415">
        <v>629.48533399999997</v>
      </c>
      <c r="DF23" s="415">
        <v>615.20759299999997</v>
      </c>
      <c r="DG23" s="415">
        <v>324.60082299999999</v>
      </c>
      <c r="DH23" s="415">
        <v>314.18500499999999</v>
      </c>
      <c r="DI23" s="415">
        <v>622.909762</v>
      </c>
      <c r="DJ23" s="415">
        <v>606.485049</v>
      </c>
      <c r="DK23" s="415">
        <v>1098.4727789999999</v>
      </c>
      <c r="DL23" s="415">
        <v>1074.8296720000001</v>
      </c>
      <c r="DM23" s="415">
        <v>434.64959800000003</v>
      </c>
      <c r="DN23" s="415">
        <v>419.39653800000002</v>
      </c>
      <c r="DO23" s="415">
        <v>13733.932085</v>
      </c>
      <c r="DP23" s="415">
        <v>13509.707635000001</v>
      </c>
      <c r="DQ23" s="415">
        <v>8995.4235110000009</v>
      </c>
      <c r="DR23" s="415">
        <v>8866.9020889999993</v>
      </c>
      <c r="DS23" s="415">
        <v>12987.832743000001</v>
      </c>
      <c r="DT23" s="415">
        <v>12692.097303</v>
      </c>
      <c r="DU23" s="415">
        <v>19881.013104000001</v>
      </c>
      <c r="DV23" s="415">
        <v>19407.302604</v>
      </c>
      <c r="DW23" s="415">
        <v>10446.986862</v>
      </c>
      <c r="DX23" s="415">
        <v>10191.875873999999</v>
      </c>
    </row>
    <row r="24" spans="2:128" ht="15">
      <c r="B24" s="425" t="s">
        <v>582</v>
      </c>
      <c r="C24" s="249" t="s">
        <v>583</v>
      </c>
      <c r="D24" s="249" t="s">
        <v>527</v>
      </c>
      <c r="E24" s="426">
        <v>17</v>
      </c>
      <c r="F24" s="427" t="s">
        <v>525</v>
      </c>
      <c r="G24" s="428" t="s">
        <v>568</v>
      </c>
      <c r="H24" t="s">
        <v>582</v>
      </c>
      <c r="I24" s="31">
        <v>4349.416671</v>
      </c>
      <c r="J24" s="31">
        <v>4623.8945729999996</v>
      </c>
      <c r="K24" s="414">
        <v>1621.7058823529412</v>
      </c>
      <c r="L24" s="31">
        <v>4255.0862580000003</v>
      </c>
      <c r="M24" s="31">
        <v>4523.5764040000004</v>
      </c>
      <c r="N24" s="414">
        <v>1589.3529411764707</v>
      </c>
      <c r="O24" s="31">
        <v>4738.7353899999998</v>
      </c>
      <c r="P24" s="31">
        <v>5039.2105780000002</v>
      </c>
      <c r="Q24" s="414">
        <v>1770.6470588235293</v>
      </c>
      <c r="R24" s="31">
        <v>4627.4964389999996</v>
      </c>
      <c r="S24" s="31">
        <v>4920.9699389999996</v>
      </c>
      <c r="T24" s="414">
        <v>1732.294117647059</v>
      </c>
      <c r="U24" s="31">
        <v>8914.2748090000005</v>
      </c>
      <c r="V24" s="31">
        <v>9404.2200319999993</v>
      </c>
      <c r="W24" s="414">
        <v>3904.6470588235293</v>
      </c>
      <c r="X24" s="31">
        <v>8816.6090910000003</v>
      </c>
      <c r="Y24" s="31">
        <v>9299.3191409999999</v>
      </c>
      <c r="Z24" s="414">
        <v>3866.2352941176468</v>
      </c>
      <c r="AA24" s="31">
        <v>6303.8412580000004</v>
      </c>
      <c r="AB24" s="31">
        <v>6677.0178839999999</v>
      </c>
      <c r="AC24" s="414">
        <v>2745.2352941176468</v>
      </c>
      <c r="AD24" s="31">
        <v>6218.3567110000004</v>
      </c>
      <c r="AE24" s="31">
        <v>6585.334793</v>
      </c>
      <c r="AF24" s="414">
        <v>2711.8235294117649</v>
      </c>
      <c r="AG24" s="31">
        <v>11031.38421</v>
      </c>
      <c r="AH24" s="31">
        <v>11594.868651000001</v>
      </c>
      <c r="AI24" s="414">
        <v>5263.5294117647063</v>
      </c>
      <c r="AJ24" s="31">
        <v>10949.183835</v>
      </c>
      <c r="AK24" s="31">
        <v>11504.855615</v>
      </c>
      <c r="AL24" s="414">
        <v>5229.5882352941171</v>
      </c>
      <c r="AM24" s="31">
        <v>4457.6882230000001</v>
      </c>
      <c r="AN24" s="31">
        <v>4687.2882360000003</v>
      </c>
      <c r="AO24" s="414">
        <v>1775.4117647058824</v>
      </c>
      <c r="AP24" s="31">
        <v>4351.3868910000001</v>
      </c>
      <c r="AQ24" s="31">
        <v>4577.6115920000002</v>
      </c>
      <c r="AR24" s="414">
        <v>1744.0588235294117</v>
      </c>
      <c r="AS24" s="31">
        <v>4873.8323780000001</v>
      </c>
      <c r="AT24" s="31">
        <v>5126.9145259999996</v>
      </c>
      <c r="AU24" s="414">
        <v>1945.8235294117649</v>
      </c>
      <c r="AV24" s="31">
        <v>4744.1289729999999</v>
      </c>
      <c r="AW24" s="31">
        <v>4993.0735350000004</v>
      </c>
      <c r="AX24" s="414">
        <v>1907</v>
      </c>
      <c r="AY24" s="31">
        <v>9154.8846059999996</v>
      </c>
      <c r="AZ24" s="31">
        <v>9635.4336370000001</v>
      </c>
      <c r="BA24" s="414">
        <v>4419.1176470588234</v>
      </c>
      <c r="BB24" s="31">
        <v>9035.5619289999995</v>
      </c>
      <c r="BC24" s="31">
        <v>9512.2218790000006</v>
      </c>
      <c r="BD24" s="414">
        <v>4391.7647058823532</v>
      </c>
      <c r="BE24" s="31">
        <v>6484.5631530000001</v>
      </c>
      <c r="BF24" s="31">
        <v>6825.2881550000002</v>
      </c>
      <c r="BG24" s="414">
        <v>3085.4705882352941</v>
      </c>
      <c r="BH24" s="31">
        <v>6389.4931130000004</v>
      </c>
      <c r="BI24" s="31">
        <v>6726.5404040000003</v>
      </c>
      <c r="BJ24" s="414">
        <v>3060.5882352941176</v>
      </c>
      <c r="BK24" s="31">
        <v>11427.030301999999</v>
      </c>
      <c r="BL24" s="31">
        <v>12025.774454</v>
      </c>
      <c r="BM24" s="414">
        <v>6130.5882352941171</v>
      </c>
      <c r="BN24" s="31">
        <v>11330.778649</v>
      </c>
      <c r="BO24" s="31">
        <v>11925.452499999999</v>
      </c>
      <c r="BP24" s="414">
        <v>6117.2352941176468</v>
      </c>
      <c r="BQ24" s="31">
        <v>43002.297940999997</v>
      </c>
      <c r="BR24" s="31">
        <v>43447.284771999999</v>
      </c>
      <c r="BS24" s="414">
        <v>15952.235294117647</v>
      </c>
      <c r="BT24" s="31">
        <v>41282.496466999997</v>
      </c>
      <c r="BU24" s="31">
        <v>41707.743791000001</v>
      </c>
      <c r="BV24" s="414">
        <v>15352.882352941177</v>
      </c>
      <c r="BW24" s="31">
        <v>47088.775845999997</v>
      </c>
      <c r="BX24" s="31">
        <v>47608.294729000001</v>
      </c>
      <c r="BY24" s="414">
        <v>17474.76470588235</v>
      </c>
      <c r="BZ24" s="31">
        <v>45074.205689000002</v>
      </c>
      <c r="CA24" s="31">
        <v>45569.694134999998</v>
      </c>
      <c r="CB24" s="414">
        <v>16770.764705882353</v>
      </c>
      <c r="CC24" s="31">
        <v>98965.404584000004</v>
      </c>
      <c r="CD24" s="31">
        <v>99708.824242999995</v>
      </c>
      <c r="CE24" s="414">
        <v>43148.705882352937</v>
      </c>
      <c r="CF24" s="31">
        <v>96984.830398000006</v>
      </c>
      <c r="CG24" s="31">
        <v>97703.860933999997</v>
      </c>
      <c r="CH24" s="414">
        <v>42350.647058823532</v>
      </c>
      <c r="CI24" s="31">
        <v>65289.337161000003</v>
      </c>
      <c r="CJ24" s="31">
        <v>65869.037370000005</v>
      </c>
      <c r="CK24" s="414">
        <v>28515.23529411765</v>
      </c>
      <c r="CL24" s="31">
        <v>63672.209709000002</v>
      </c>
      <c r="CM24" s="31">
        <v>64232.458396000002</v>
      </c>
      <c r="CN24" s="414">
        <v>27857.235294117647</v>
      </c>
      <c r="CO24" s="31">
        <v>124534.05650599999</v>
      </c>
      <c r="CP24" s="31">
        <v>125290.08817</v>
      </c>
      <c r="CQ24" s="414">
        <v>58955.76470588235</v>
      </c>
      <c r="CR24" s="31">
        <v>122775.19771199999</v>
      </c>
      <c r="CS24" s="31">
        <v>123504.522994</v>
      </c>
      <c r="CT24" s="414">
        <v>58211.941176470587</v>
      </c>
      <c r="CU24" s="415">
        <v>673.74011499999995</v>
      </c>
      <c r="CV24" s="415">
        <v>652.34138700000005</v>
      </c>
      <c r="CW24" s="415">
        <v>362.48132199999998</v>
      </c>
      <c r="CX24" s="415">
        <v>347.55500699999999</v>
      </c>
      <c r="CY24" s="415">
        <v>683.83577100000002</v>
      </c>
      <c r="CZ24" s="415">
        <v>658.73607800000002</v>
      </c>
      <c r="DA24" s="415">
        <v>1132.3008130000001</v>
      </c>
      <c r="DB24" s="415">
        <v>1093.990599</v>
      </c>
      <c r="DC24" s="415">
        <v>498.82959499999998</v>
      </c>
      <c r="DD24" s="415">
        <v>477.676219</v>
      </c>
      <c r="DE24" s="415">
        <v>629.48533399999997</v>
      </c>
      <c r="DF24" s="415">
        <v>611.86064399999998</v>
      </c>
      <c r="DG24" s="415">
        <v>324.60082299999999</v>
      </c>
      <c r="DH24" s="415">
        <v>311.73835800000001</v>
      </c>
      <c r="DI24" s="415">
        <v>622.909762</v>
      </c>
      <c r="DJ24" s="415">
        <v>602.620856</v>
      </c>
      <c r="DK24" s="415">
        <v>1098.4727789999999</v>
      </c>
      <c r="DL24" s="415">
        <v>1069.251332</v>
      </c>
      <c r="DM24" s="415">
        <v>434.64959800000003</v>
      </c>
      <c r="DN24" s="415">
        <v>415.81056999999998</v>
      </c>
      <c r="DO24" s="415">
        <v>13733.932085</v>
      </c>
      <c r="DP24" s="415">
        <v>13457.342123</v>
      </c>
      <c r="DQ24" s="415">
        <v>8995.4235110000009</v>
      </c>
      <c r="DR24" s="415">
        <v>8837.2867549999992</v>
      </c>
      <c r="DS24" s="415">
        <v>12987.832743000001</v>
      </c>
      <c r="DT24" s="415">
        <v>12622.799975</v>
      </c>
      <c r="DU24" s="415">
        <v>19881.013104000001</v>
      </c>
      <c r="DV24" s="415">
        <v>19296.174915</v>
      </c>
      <c r="DW24" s="415">
        <v>10446.986862</v>
      </c>
      <c r="DX24" s="415">
        <v>10132.295365</v>
      </c>
    </row>
    <row r="25" spans="2:128" ht="15.75" thickBot="1">
      <c r="B25" s="435" t="s">
        <v>585</v>
      </c>
      <c r="C25" s="255" t="s">
        <v>586</v>
      </c>
      <c r="D25" s="255" t="s">
        <v>527</v>
      </c>
      <c r="E25" s="436">
        <v>18</v>
      </c>
      <c r="F25" s="437" t="s">
        <v>543</v>
      </c>
      <c r="G25" s="438" t="s">
        <v>568</v>
      </c>
      <c r="H25" t="s">
        <v>585</v>
      </c>
      <c r="I25" s="31">
        <v>4272.867886</v>
      </c>
      <c r="J25" s="31">
        <v>4542.4800240000004</v>
      </c>
      <c r="K25" s="414">
        <v>1595.8235294117646</v>
      </c>
      <c r="L25" s="31">
        <v>4255.0862580000003</v>
      </c>
      <c r="M25" s="31">
        <v>4523.5764040000004</v>
      </c>
      <c r="N25" s="414">
        <v>1589.3529411764707</v>
      </c>
      <c r="O25" s="31">
        <v>4648.4807280000005</v>
      </c>
      <c r="P25" s="31">
        <v>4943.277478</v>
      </c>
      <c r="Q25" s="414">
        <v>1739.2941176470588</v>
      </c>
      <c r="R25" s="31">
        <v>4627.4964389999996</v>
      </c>
      <c r="S25" s="31">
        <v>4920.9699389999996</v>
      </c>
      <c r="T25" s="414">
        <v>1732.294117647059</v>
      </c>
      <c r="U25" s="31">
        <v>8835.0592809999998</v>
      </c>
      <c r="V25" s="31">
        <v>9319.136724</v>
      </c>
      <c r="W25" s="414">
        <v>3873.2352941176468</v>
      </c>
      <c r="X25" s="31">
        <v>8816.6090910000003</v>
      </c>
      <c r="Y25" s="31">
        <v>9299.3191409999999</v>
      </c>
      <c r="Z25" s="414">
        <v>3866.2352941176468</v>
      </c>
      <c r="AA25" s="31">
        <v>6234.4732780000004</v>
      </c>
      <c r="AB25" s="31">
        <v>6602.6290870000003</v>
      </c>
      <c r="AC25" s="414">
        <v>2717.8235294117649</v>
      </c>
      <c r="AD25" s="31">
        <v>6218.3567110000004</v>
      </c>
      <c r="AE25" s="31">
        <v>6585.334793</v>
      </c>
      <c r="AF25" s="414">
        <v>2711.8235294117649</v>
      </c>
      <c r="AG25" s="31">
        <v>10964.710396</v>
      </c>
      <c r="AH25" s="31">
        <v>11521.854078</v>
      </c>
      <c r="AI25" s="414">
        <v>5235.5882352941171</v>
      </c>
      <c r="AJ25" s="31">
        <v>10949.183835</v>
      </c>
      <c r="AK25" s="31">
        <v>11504.855615</v>
      </c>
      <c r="AL25" s="414">
        <v>5229.5882352941171</v>
      </c>
      <c r="AM25" s="31">
        <v>4371.4606869999998</v>
      </c>
      <c r="AN25" s="31">
        <v>4598.3255669999999</v>
      </c>
      <c r="AO25" s="414">
        <v>1750.0588235294117</v>
      </c>
      <c r="AP25" s="31">
        <v>4351.3868910000001</v>
      </c>
      <c r="AQ25" s="31">
        <v>4577.6115920000002</v>
      </c>
      <c r="AR25" s="414">
        <v>1744.0588235294117</v>
      </c>
      <c r="AS25" s="31">
        <v>4768.6037120000001</v>
      </c>
      <c r="AT25" s="31">
        <v>5018.3332879999998</v>
      </c>
      <c r="AU25" s="414">
        <v>1914.4705882352941</v>
      </c>
      <c r="AV25" s="31">
        <v>4744.1289729999999</v>
      </c>
      <c r="AW25" s="31">
        <v>4993.0735350000004</v>
      </c>
      <c r="AX25" s="414">
        <v>1907</v>
      </c>
      <c r="AY25" s="31">
        <v>9058.1124999999993</v>
      </c>
      <c r="AZ25" s="31">
        <v>9535.5001520000005</v>
      </c>
      <c r="BA25" s="414">
        <v>4397.2352941176468</v>
      </c>
      <c r="BB25" s="31">
        <v>9035.5619289999995</v>
      </c>
      <c r="BC25" s="31">
        <v>9512.2218790000006</v>
      </c>
      <c r="BD25" s="414">
        <v>4391.7647058823532</v>
      </c>
      <c r="BE25" s="31">
        <v>6407.4293980000002</v>
      </c>
      <c r="BF25" s="31">
        <v>6745.1643119999999</v>
      </c>
      <c r="BG25" s="414">
        <v>3065.0588235294117</v>
      </c>
      <c r="BH25" s="31">
        <v>6389.4931130000004</v>
      </c>
      <c r="BI25" s="31">
        <v>6726.5404040000003</v>
      </c>
      <c r="BJ25" s="414">
        <v>3060.5882352941176</v>
      </c>
      <c r="BK25" s="31">
        <v>11348.958909999999</v>
      </c>
      <c r="BL25" s="31">
        <v>11944.385966</v>
      </c>
      <c r="BM25" s="414">
        <v>6119.7058823529405</v>
      </c>
      <c r="BN25" s="31">
        <v>11330.778649</v>
      </c>
      <c r="BO25" s="31">
        <v>11925.452499999999</v>
      </c>
      <c r="BP25" s="414">
        <v>6117.2352941176468</v>
      </c>
      <c r="BQ25" s="31">
        <v>41605.413188999999</v>
      </c>
      <c r="BR25" s="31">
        <v>42034.392064</v>
      </c>
      <c r="BS25" s="414">
        <v>15465.352941176472</v>
      </c>
      <c r="BT25" s="31">
        <v>41282.496466999997</v>
      </c>
      <c r="BU25" s="31">
        <v>41707.743791000001</v>
      </c>
      <c r="BV25" s="414">
        <v>15352.882352941177</v>
      </c>
      <c r="BW25" s="31">
        <v>45452.966907000002</v>
      </c>
      <c r="BX25" s="31">
        <v>45953.011257999999</v>
      </c>
      <c r="BY25" s="414">
        <v>16901.705882352941</v>
      </c>
      <c r="BZ25" s="31">
        <v>45074.205689000002</v>
      </c>
      <c r="CA25" s="31">
        <v>45569.694134999998</v>
      </c>
      <c r="CB25" s="414">
        <v>16770.764705882353</v>
      </c>
      <c r="CC25" s="31">
        <v>97357.902963</v>
      </c>
      <c r="CD25" s="31">
        <v>98081.535877999995</v>
      </c>
      <c r="CE25" s="414">
        <v>42501.117647058825</v>
      </c>
      <c r="CF25" s="31">
        <v>96984.830398000006</v>
      </c>
      <c r="CG25" s="31">
        <v>97703.860933999997</v>
      </c>
      <c r="CH25" s="414">
        <v>42350.647058823532</v>
      </c>
      <c r="CI25" s="31">
        <v>63975.947822000002</v>
      </c>
      <c r="CJ25" s="31">
        <v>64539.868244999998</v>
      </c>
      <c r="CK25" s="414">
        <v>27981.235294117647</v>
      </c>
      <c r="CL25" s="31">
        <v>63672.209709000002</v>
      </c>
      <c r="CM25" s="31">
        <v>64232.458396000002</v>
      </c>
      <c r="CN25" s="414">
        <v>27857.235294117647</v>
      </c>
      <c r="CO25" s="31">
        <v>123107.158949</v>
      </c>
      <c r="CP25" s="31">
        <v>123841.54501099999</v>
      </c>
      <c r="CQ25" s="414">
        <v>58351.941176470587</v>
      </c>
      <c r="CR25" s="31">
        <v>122775.19771199999</v>
      </c>
      <c r="CS25" s="31">
        <v>123504.522994</v>
      </c>
      <c r="CT25" s="414">
        <v>58211.941176470587</v>
      </c>
      <c r="CU25" s="415">
        <v>656.414626</v>
      </c>
      <c r="CV25" s="415">
        <v>652.34138700000005</v>
      </c>
      <c r="CW25" s="415">
        <v>350.38521500000002</v>
      </c>
      <c r="CX25" s="415">
        <v>347.55500699999999</v>
      </c>
      <c r="CY25" s="415">
        <v>663.51128600000004</v>
      </c>
      <c r="CZ25" s="415">
        <v>658.73607800000002</v>
      </c>
      <c r="DA25" s="415">
        <v>1101.2734929999999</v>
      </c>
      <c r="DB25" s="415">
        <v>1093.990599</v>
      </c>
      <c r="DC25" s="415">
        <v>481.70780400000001</v>
      </c>
      <c r="DD25" s="415">
        <v>477.676219</v>
      </c>
      <c r="DE25" s="415">
        <v>615.20759299999997</v>
      </c>
      <c r="DF25" s="415">
        <v>611.86064399999998</v>
      </c>
      <c r="DG25" s="415">
        <v>314.18500499999999</v>
      </c>
      <c r="DH25" s="415">
        <v>311.73835800000001</v>
      </c>
      <c r="DI25" s="415">
        <v>606.485049</v>
      </c>
      <c r="DJ25" s="415">
        <v>602.620856</v>
      </c>
      <c r="DK25" s="415">
        <v>1074.8296720000001</v>
      </c>
      <c r="DL25" s="415">
        <v>1069.251332</v>
      </c>
      <c r="DM25" s="415">
        <v>419.39653800000002</v>
      </c>
      <c r="DN25" s="415">
        <v>415.81056999999998</v>
      </c>
      <c r="DO25" s="415">
        <v>13509.707635000001</v>
      </c>
      <c r="DP25" s="415">
        <v>13457.342123</v>
      </c>
      <c r="DQ25" s="415">
        <v>8866.9020889999993</v>
      </c>
      <c r="DR25" s="415">
        <v>8837.2867549999992</v>
      </c>
      <c r="DS25" s="415">
        <v>12692.097303</v>
      </c>
      <c r="DT25" s="415">
        <v>12622.799975</v>
      </c>
      <c r="DU25" s="415">
        <v>19407.302604</v>
      </c>
      <c r="DV25" s="415">
        <v>19296.174915</v>
      </c>
      <c r="DW25" s="415">
        <v>10191.875873999999</v>
      </c>
      <c r="DX25" s="415">
        <v>10132.295365</v>
      </c>
    </row>
    <row r="26" spans="2:128" ht="15">
      <c r="B26" s="420" t="s">
        <v>587</v>
      </c>
      <c r="C26" s="421" t="s">
        <v>588</v>
      </c>
      <c r="D26" s="421" t="s">
        <v>174</v>
      </c>
      <c r="E26" s="422">
        <v>10</v>
      </c>
      <c r="F26" s="421" t="s">
        <v>589</v>
      </c>
      <c r="G26" s="439" t="s">
        <v>590</v>
      </c>
      <c r="H26" t="s">
        <v>587</v>
      </c>
      <c r="I26" s="31">
        <v>3308.5724799999998</v>
      </c>
      <c r="J26" s="31">
        <v>3515.5789439999999</v>
      </c>
      <c r="K26" s="414">
        <v>1240.7058823529412</v>
      </c>
      <c r="L26" s="31">
        <v>4491.1412019999998</v>
      </c>
      <c r="M26" s="31">
        <v>4774.8140670000003</v>
      </c>
      <c r="N26" s="414">
        <v>1672.5294117647059</v>
      </c>
      <c r="O26" s="31">
        <v>3584.9206439999998</v>
      </c>
      <c r="P26" s="31">
        <v>3810.228259</v>
      </c>
      <c r="Q26" s="414">
        <v>1348.294117647059</v>
      </c>
      <c r="R26" s="31">
        <v>4888.0242909999997</v>
      </c>
      <c r="S26" s="31">
        <v>5198.4150200000004</v>
      </c>
      <c r="T26" s="414">
        <v>1824.4705882352941</v>
      </c>
      <c r="U26" s="31">
        <v>7164.6111369999999</v>
      </c>
      <c r="V26" s="31">
        <v>7554.8875710000002</v>
      </c>
      <c r="W26" s="414">
        <v>3115.5882352941176</v>
      </c>
      <c r="X26" s="31">
        <v>9193.5438790000007</v>
      </c>
      <c r="Y26" s="31">
        <v>9698.1407359999994</v>
      </c>
      <c r="Z26" s="414">
        <v>4031.9411764705883</v>
      </c>
      <c r="AA26" s="31">
        <v>4994.4289639999997</v>
      </c>
      <c r="AB26" s="31">
        <v>5287.3726839999999</v>
      </c>
      <c r="AC26" s="414">
        <v>2172.0588235294117</v>
      </c>
      <c r="AD26" s="31">
        <v>6519.3356750000003</v>
      </c>
      <c r="AE26" s="31">
        <v>6904.9604660000005</v>
      </c>
      <c r="AF26" s="414">
        <v>2839.0588235294117</v>
      </c>
      <c r="AG26" s="31">
        <v>8882.9151720000009</v>
      </c>
      <c r="AH26" s="31">
        <v>9331.5183770000003</v>
      </c>
      <c r="AI26" s="414">
        <v>4149.2941176470586</v>
      </c>
      <c r="AJ26" s="31">
        <v>11395.732352000001</v>
      </c>
      <c r="AK26" s="31">
        <v>11975.966630000001</v>
      </c>
      <c r="AL26" s="414">
        <v>5461.5294117647063</v>
      </c>
      <c r="AM26" s="31">
        <v>3431.8644899999999</v>
      </c>
      <c r="AN26" s="31">
        <v>3609.2593870000001</v>
      </c>
      <c r="AO26" s="414">
        <v>1380.8823529411766</v>
      </c>
      <c r="AP26" s="31">
        <v>4588.4417720000001</v>
      </c>
      <c r="AQ26" s="31">
        <v>4826.523083</v>
      </c>
      <c r="AR26" s="414">
        <v>1831.7647058823529</v>
      </c>
      <c r="AS26" s="31">
        <v>3735.5381120000002</v>
      </c>
      <c r="AT26" s="31">
        <v>3930.351099</v>
      </c>
      <c r="AU26" s="414">
        <v>1505.9411764705883</v>
      </c>
      <c r="AV26" s="31">
        <v>5006.6838500000003</v>
      </c>
      <c r="AW26" s="31">
        <v>5268.8204079999996</v>
      </c>
      <c r="AX26" s="414">
        <v>2004.6470588235293</v>
      </c>
      <c r="AY26" s="31">
        <v>7433.9208060000001</v>
      </c>
      <c r="AZ26" s="31">
        <v>7824.4259439999996</v>
      </c>
      <c r="BA26" s="414">
        <v>3541.5294117647059</v>
      </c>
      <c r="BB26" s="31">
        <v>9415.4472979999991</v>
      </c>
      <c r="BC26" s="31">
        <v>9911.644096</v>
      </c>
      <c r="BD26" s="414">
        <v>4580.0588235294117</v>
      </c>
      <c r="BE26" s="31">
        <v>5202.1957490000004</v>
      </c>
      <c r="BF26" s="31">
        <v>5475.233072</v>
      </c>
      <c r="BG26" s="414">
        <v>2459.2941176470586</v>
      </c>
      <c r="BH26" s="31">
        <v>6688.8165079999999</v>
      </c>
      <c r="BI26" s="31">
        <v>7041.3598709999997</v>
      </c>
      <c r="BJ26" s="414">
        <v>3202.8823529411766</v>
      </c>
      <c r="BK26" s="31">
        <v>9317.7348569999995</v>
      </c>
      <c r="BL26" s="31">
        <v>9805.5885679999992</v>
      </c>
      <c r="BM26" s="414">
        <v>4831.2941176470595</v>
      </c>
      <c r="BN26" s="31">
        <v>11777.349455</v>
      </c>
      <c r="BO26" s="31">
        <v>12395.239799000001</v>
      </c>
      <c r="BP26" s="414">
        <v>6388.2352941176468</v>
      </c>
      <c r="BQ26" s="31">
        <v>19859.026642000001</v>
      </c>
      <c r="BR26" s="31">
        <v>20069.182334000001</v>
      </c>
      <c r="BS26" s="414">
        <v>7585</v>
      </c>
      <c r="BT26" s="31">
        <v>46265.214207999998</v>
      </c>
      <c r="BU26" s="31">
        <v>46724.183965999997</v>
      </c>
      <c r="BV26" s="414">
        <v>17095</v>
      </c>
      <c r="BW26" s="31">
        <v>21426.10454</v>
      </c>
      <c r="BX26" s="31">
        <v>21668.766329999999</v>
      </c>
      <c r="BY26" s="414">
        <v>8199.0588235294126</v>
      </c>
      <c r="BZ26" s="31">
        <v>50562.285325999997</v>
      </c>
      <c r="CA26" s="31">
        <v>51098.355793000002</v>
      </c>
      <c r="CB26" s="414">
        <v>18692.235294117647</v>
      </c>
      <c r="CC26" s="31">
        <v>59476.686110000002</v>
      </c>
      <c r="CD26" s="31">
        <v>60031.297186000003</v>
      </c>
      <c r="CE26" s="414">
        <v>26233.176470588234</v>
      </c>
      <c r="CF26" s="31">
        <v>105129.866914</v>
      </c>
      <c r="CG26" s="31">
        <v>105873.13903799999</v>
      </c>
      <c r="CH26" s="414">
        <v>45803.941176470587</v>
      </c>
      <c r="CI26" s="31">
        <v>36301.228990000003</v>
      </c>
      <c r="CJ26" s="31">
        <v>36689.426743999997</v>
      </c>
      <c r="CK26" s="414">
        <v>16068.529411764706</v>
      </c>
      <c r="CL26" s="31">
        <v>69943.200922999997</v>
      </c>
      <c r="CM26" s="31">
        <v>70527.104212999999</v>
      </c>
      <c r="CN26" s="414">
        <v>30461.352941176468</v>
      </c>
      <c r="CO26" s="31">
        <v>76421.957471000002</v>
      </c>
      <c r="CP26" s="31">
        <v>77003.550948000004</v>
      </c>
      <c r="CQ26" s="414">
        <v>36320.941176470587</v>
      </c>
      <c r="CR26" s="31">
        <v>132323.105442</v>
      </c>
      <c r="CS26" s="31">
        <v>133074.786135</v>
      </c>
      <c r="CT26" s="414">
        <v>62765.470588235294</v>
      </c>
      <c r="CU26" s="415">
        <v>435.55803400000002</v>
      </c>
      <c r="CV26" s="415">
        <v>661.27331400000003</v>
      </c>
      <c r="CW26" s="415">
        <v>200.17703900000001</v>
      </c>
      <c r="CX26" s="415">
        <v>351.56946799999997</v>
      </c>
      <c r="CY26" s="415">
        <v>426.71350100000001</v>
      </c>
      <c r="CZ26" s="415">
        <v>671.99633600000004</v>
      </c>
      <c r="DA26" s="415">
        <v>755.48965799999996</v>
      </c>
      <c r="DB26" s="415">
        <v>1118.069857</v>
      </c>
      <c r="DC26" s="415">
        <v>293.47991999999999</v>
      </c>
      <c r="DD26" s="415">
        <v>486.08438599999999</v>
      </c>
      <c r="DE26" s="415">
        <v>379.89707099999998</v>
      </c>
      <c r="DF26" s="415">
        <v>621.32125799999994</v>
      </c>
      <c r="DG26" s="415">
        <v>158.48514499999999</v>
      </c>
      <c r="DH26" s="415">
        <v>316.19692600000002</v>
      </c>
      <c r="DI26" s="415">
        <v>358.31594799999999</v>
      </c>
      <c r="DJ26" s="415">
        <v>616.30213400000002</v>
      </c>
      <c r="DK26" s="415">
        <v>701.96116800000004</v>
      </c>
      <c r="DL26" s="415">
        <v>1092.965013</v>
      </c>
      <c r="DM26" s="415">
        <v>220.41500500000001</v>
      </c>
      <c r="DN26" s="415">
        <v>425.437048</v>
      </c>
      <c r="DO26" s="415">
        <v>9630.4718489999996</v>
      </c>
      <c r="DP26" s="415">
        <v>13479.102147</v>
      </c>
      <c r="DQ26" s="415">
        <v>6072.7065149999999</v>
      </c>
      <c r="DR26" s="415">
        <v>8760.1124589999999</v>
      </c>
      <c r="DS26" s="415">
        <v>8170.1167820000001</v>
      </c>
      <c r="DT26" s="415">
        <v>12766.745007</v>
      </c>
      <c r="DU26" s="415">
        <v>12815.281849999999</v>
      </c>
      <c r="DV26" s="415">
        <v>19606.244594</v>
      </c>
      <c r="DW26" s="415">
        <v>6623.5655210000004</v>
      </c>
      <c r="DX26" s="415">
        <v>10203.658878</v>
      </c>
    </row>
    <row r="27" spans="2:128" ht="15">
      <c r="B27" s="425" t="s">
        <v>591</v>
      </c>
      <c r="C27" s="249" t="s">
        <v>592</v>
      </c>
      <c r="D27" s="249" t="s">
        <v>174</v>
      </c>
      <c r="E27" s="426">
        <v>11</v>
      </c>
      <c r="F27" s="249" t="s">
        <v>589</v>
      </c>
      <c r="G27" s="252" t="s">
        <v>593</v>
      </c>
      <c r="H27" t="s">
        <v>591</v>
      </c>
      <c r="I27" s="31">
        <v>3308.5724799999998</v>
      </c>
      <c r="J27" s="31">
        <v>3515.5789439999999</v>
      </c>
      <c r="K27" s="414">
        <v>1240.7058823529412</v>
      </c>
      <c r="L27" s="31">
        <v>4272.867886</v>
      </c>
      <c r="M27" s="31">
        <v>4542.4800240000004</v>
      </c>
      <c r="N27" s="414">
        <v>1595.8235294117646</v>
      </c>
      <c r="O27" s="31">
        <v>3584.9206439999998</v>
      </c>
      <c r="P27" s="31">
        <v>3810.228259</v>
      </c>
      <c r="Q27" s="414">
        <v>1348.294117647059</v>
      </c>
      <c r="R27" s="31">
        <v>4648.4807280000005</v>
      </c>
      <c r="S27" s="31">
        <v>4943.277478</v>
      </c>
      <c r="T27" s="414">
        <v>1739.2941176470588</v>
      </c>
      <c r="U27" s="31">
        <v>7164.6111369999999</v>
      </c>
      <c r="V27" s="31">
        <v>7554.8875710000002</v>
      </c>
      <c r="W27" s="414">
        <v>3115.5882352941176</v>
      </c>
      <c r="X27" s="31">
        <v>8835.0592809999998</v>
      </c>
      <c r="Y27" s="31">
        <v>9319.136724</v>
      </c>
      <c r="Z27" s="414">
        <v>3873.2352941176468</v>
      </c>
      <c r="AA27" s="31">
        <v>4994.4289639999997</v>
      </c>
      <c r="AB27" s="31">
        <v>5287.3726839999999</v>
      </c>
      <c r="AC27" s="414">
        <v>2172.0588235294117</v>
      </c>
      <c r="AD27" s="31">
        <v>6234.4732780000004</v>
      </c>
      <c r="AE27" s="31">
        <v>6602.6290870000003</v>
      </c>
      <c r="AF27" s="414">
        <v>2717.8235294117649</v>
      </c>
      <c r="AG27" s="31">
        <v>8882.9151720000009</v>
      </c>
      <c r="AH27" s="31">
        <v>9331.5183770000003</v>
      </c>
      <c r="AI27" s="414">
        <v>4149.2941176470586</v>
      </c>
      <c r="AJ27" s="31">
        <v>10964.710396</v>
      </c>
      <c r="AK27" s="31">
        <v>11521.854078</v>
      </c>
      <c r="AL27" s="414">
        <v>5235.5882352941171</v>
      </c>
      <c r="AM27" s="31">
        <v>3431.8644899999999</v>
      </c>
      <c r="AN27" s="31">
        <v>3609.2593870000001</v>
      </c>
      <c r="AO27" s="414">
        <v>1380.8823529411766</v>
      </c>
      <c r="AP27" s="31">
        <v>4371.4606869999998</v>
      </c>
      <c r="AQ27" s="31">
        <v>4598.3255669999999</v>
      </c>
      <c r="AR27" s="414">
        <v>1750.0588235294117</v>
      </c>
      <c r="AS27" s="31">
        <v>3735.5381120000002</v>
      </c>
      <c r="AT27" s="31">
        <v>3930.351099</v>
      </c>
      <c r="AU27" s="414">
        <v>1505.9411764705883</v>
      </c>
      <c r="AV27" s="31">
        <v>4768.6037120000001</v>
      </c>
      <c r="AW27" s="31">
        <v>5018.3332879999998</v>
      </c>
      <c r="AX27" s="414">
        <v>1914.4705882352941</v>
      </c>
      <c r="AY27" s="31">
        <v>7433.9208060000001</v>
      </c>
      <c r="AZ27" s="31">
        <v>7824.4259439999996</v>
      </c>
      <c r="BA27" s="414">
        <v>3541.5294117647059</v>
      </c>
      <c r="BB27" s="31">
        <v>9058.1124999999993</v>
      </c>
      <c r="BC27" s="31">
        <v>9535.5001520000005</v>
      </c>
      <c r="BD27" s="414">
        <v>4397.2352941176468</v>
      </c>
      <c r="BE27" s="31">
        <v>5202.1957490000004</v>
      </c>
      <c r="BF27" s="31">
        <v>5475.233072</v>
      </c>
      <c r="BG27" s="414">
        <v>2459.2941176470586</v>
      </c>
      <c r="BH27" s="31">
        <v>6407.4293980000002</v>
      </c>
      <c r="BI27" s="31">
        <v>6745.1643119999999</v>
      </c>
      <c r="BJ27" s="414">
        <v>3065.0588235294117</v>
      </c>
      <c r="BK27" s="31">
        <v>9317.7348569999995</v>
      </c>
      <c r="BL27" s="31">
        <v>9805.5885679999992</v>
      </c>
      <c r="BM27" s="414">
        <v>4831.2941176470595</v>
      </c>
      <c r="BN27" s="31">
        <v>11348.958909999999</v>
      </c>
      <c r="BO27" s="31">
        <v>11944.385966</v>
      </c>
      <c r="BP27" s="414">
        <v>6119.7058823529405</v>
      </c>
      <c r="BQ27" s="31">
        <v>19859.026642000001</v>
      </c>
      <c r="BR27" s="31">
        <v>20069.182334000001</v>
      </c>
      <c r="BS27" s="414">
        <v>7585</v>
      </c>
      <c r="BT27" s="31">
        <v>41605.413188999999</v>
      </c>
      <c r="BU27" s="31">
        <v>42034.392064</v>
      </c>
      <c r="BV27" s="414">
        <v>15465.352941176472</v>
      </c>
      <c r="BW27" s="31">
        <v>21426.10454</v>
      </c>
      <c r="BX27" s="31">
        <v>21668.766329999999</v>
      </c>
      <c r="BY27" s="414">
        <v>8199.0588235294126</v>
      </c>
      <c r="BZ27" s="31">
        <v>45452.966907000002</v>
      </c>
      <c r="CA27" s="31">
        <v>45953.011257999999</v>
      </c>
      <c r="CB27" s="414">
        <v>16901.705882352941</v>
      </c>
      <c r="CC27" s="31">
        <v>59476.686110000002</v>
      </c>
      <c r="CD27" s="31">
        <v>60031.297186000003</v>
      </c>
      <c r="CE27" s="414">
        <v>26233.176470588234</v>
      </c>
      <c r="CF27" s="31">
        <v>97357.902963</v>
      </c>
      <c r="CG27" s="31">
        <v>98081.535877999995</v>
      </c>
      <c r="CH27" s="414">
        <v>42501.117647058825</v>
      </c>
      <c r="CI27" s="31">
        <v>36301.228990000003</v>
      </c>
      <c r="CJ27" s="31">
        <v>36689.426743999997</v>
      </c>
      <c r="CK27" s="414">
        <v>16068.529411764706</v>
      </c>
      <c r="CL27" s="31">
        <v>63975.947822000002</v>
      </c>
      <c r="CM27" s="31">
        <v>64539.868244999998</v>
      </c>
      <c r="CN27" s="414">
        <v>27981.235294117647</v>
      </c>
      <c r="CO27" s="31">
        <v>76421.957471000002</v>
      </c>
      <c r="CP27" s="31">
        <v>77003.550948000004</v>
      </c>
      <c r="CQ27" s="414">
        <v>36320.941176470587</v>
      </c>
      <c r="CR27" s="31">
        <v>123107.158949</v>
      </c>
      <c r="CS27" s="31">
        <v>123841.54501099999</v>
      </c>
      <c r="CT27" s="414">
        <v>58351.941176470587</v>
      </c>
      <c r="CU27" s="415">
        <v>435.55803400000002</v>
      </c>
      <c r="CV27" s="415">
        <v>656.414626</v>
      </c>
      <c r="CW27" s="415">
        <v>200.17703900000001</v>
      </c>
      <c r="CX27" s="415">
        <v>350.38521500000002</v>
      </c>
      <c r="CY27" s="415">
        <v>426.71350100000001</v>
      </c>
      <c r="CZ27" s="415">
        <v>663.51128600000004</v>
      </c>
      <c r="DA27" s="415">
        <v>755.48965799999996</v>
      </c>
      <c r="DB27" s="415">
        <v>1101.2734929999999</v>
      </c>
      <c r="DC27" s="415">
        <v>293.47991999999999</v>
      </c>
      <c r="DD27" s="415">
        <v>481.70780400000001</v>
      </c>
      <c r="DE27" s="415">
        <v>379.89707099999998</v>
      </c>
      <c r="DF27" s="415">
        <v>615.20759299999997</v>
      </c>
      <c r="DG27" s="415">
        <v>158.48514499999999</v>
      </c>
      <c r="DH27" s="415">
        <v>314.18500499999999</v>
      </c>
      <c r="DI27" s="415">
        <v>358.31594799999999</v>
      </c>
      <c r="DJ27" s="415">
        <v>606.485049</v>
      </c>
      <c r="DK27" s="415">
        <v>701.96116800000004</v>
      </c>
      <c r="DL27" s="415">
        <v>1074.8296720000001</v>
      </c>
      <c r="DM27" s="415">
        <v>220.41500500000001</v>
      </c>
      <c r="DN27" s="415">
        <v>419.39653800000002</v>
      </c>
      <c r="DO27" s="415">
        <v>9630.4718489999996</v>
      </c>
      <c r="DP27" s="415">
        <v>13509.707635000001</v>
      </c>
      <c r="DQ27" s="415">
        <v>6072.7065149999999</v>
      </c>
      <c r="DR27" s="415">
        <v>8866.9020889999993</v>
      </c>
      <c r="DS27" s="415">
        <v>8170.1167820000001</v>
      </c>
      <c r="DT27" s="415">
        <v>12692.097303</v>
      </c>
      <c r="DU27" s="415">
        <v>12815.281849999999</v>
      </c>
      <c r="DV27" s="415">
        <v>19407.302604</v>
      </c>
      <c r="DW27" s="415">
        <v>6623.5655210000004</v>
      </c>
      <c r="DX27" s="415">
        <v>10191.875873999999</v>
      </c>
    </row>
    <row r="28" spans="2:128" ht="15">
      <c r="B28" s="425" t="s">
        <v>594</v>
      </c>
      <c r="C28" s="249" t="s">
        <v>595</v>
      </c>
      <c r="D28" s="249" t="s">
        <v>174</v>
      </c>
      <c r="E28" s="426">
        <v>12</v>
      </c>
      <c r="F28" s="249" t="s">
        <v>589</v>
      </c>
      <c r="G28" s="252" t="s">
        <v>596</v>
      </c>
      <c r="H28" t="s">
        <v>594</v>
      </c>
      <c r="I28" s="31">
        <v>3308.5724799999998</v>
      </c>
      <c r="J28" s="31">
        <v>3515.5789439999999</v>
      </c>
      <c r="K28" s="414">
        <v>1240.7058823529412</v>
      </c>
      <c r="L28" s="31">
        <v>3308.5724799999998</v>
      </c>
      <c r="M28" s="31">
        <v>3515.5789439999999</v>
      </c>
      <c r="N28" s="414">
        <v>1240.7058823529412</v>
      </c>
      <c r="O28" s="31">
        <v>3584.9206439999998</v>
      </c>
      <c r="P28" s="31">
        <v>3810.228259</v>
      </c>
      <c r="Q28" s="414">
        <v>1348.294117647059</v>
      </c>
      <c r="R28" s="31">
        <v>3584.9206439999998</v>
      </c>
      <c r="S28" s="31">
        <v>3810.228259</v>
      </c>
      <c r="T28" s="414">
        <v>1348.294117647059</v>
      </c>
      <c r="U28" s="31">
        <v>7164.6111369999999</v>
      </c>
      <c r="V28" s="31">
        <v>7554.8875710000002</v>
      </c>
      <c r="W28" s="414">
        <v>3115.5882352941176</v>
      </c>
      <c r="X28" s="31">
        <v>7164.6111369999999</v>
      </c>
      <c r="Y28" s="31">
        <v>7554.8875710000002</v>
      </c>
      <c r="Z28" s="414">
        <v>3115.5882352941176</v>
      </c>
      <c r="AA28" s="31">
        <v>4994.4289639999997</v>
      </c>
      <c r="AB28" s="31">
        <v>5287.3726839999999</v>
      </c>
      <c r="AC28" s="414">
        <v>2172.0588235294117</v>
      </c>
      <c r="AD28" s="31">
        <v>4994.4289639999997</v>
      </c>
      <c r="AE28" s="31">
        <v>5287.3726839999999</v>
      </c>
      <c r="AF28" s="414">
        <v>2172.0588235294117</v>
      </c>
      <c r="AG28" s="31">
        <v>8882.9151720000009</v>
      </c>
      <c r="AH28" s="31">
        <v>9331.5183770000003</v>
      </c>
      <c r="AI28" s="414">
        <v>4149.2941176470586</v>
      </c>
      <c r="AJ28" s="31">
        <v>8882.9151720000009</v>
      </c>
      <c r="AK28" s="31">
        <v>9331.5183770000003</v>
      </c>
      <c r="AL28" s="414">
        <v>4149.2941176470586</v>
      </c>
      <c r="AM28" s="31">
        <v>3431.8644899999999</v>
      </c>
      <c r="AN28" s="31">
        <v>3609.2593870000001</v>
      </c>
      <c r="AO28" s="414">
        <v>1380.8823529411766</v>
      </c>
      <c r="AP28" s="31">
        <v>3431.8644899999999</v>
      </c>
      <c r="AQ28" s="31">
        <v>3609.2593870000001</v>
      </c>
      <c r="AR28" s="414">
        <v>1380.8823529411766</v>
      </c>
      <c r="AS28" s="31">
        <v>3735.5381120000002</v>
      </c>
      <c r="AT28" s="31">
        <v>3930.351099</v>
      </c>
      <c r="AU28" s="414">
        <v>1505.9411764705883</v>
      </c>
      <c r="AV28" s="31">
        <v>3735.5381120000002</v>
      </c>
      <c r="AW28" s="31">
        <v>3930.351099</v>
      </c>
      <c r="AX28" s="414">
        <v>1505.9411764705883</v>
      </c>
      <c r="AY28" s="31">
        <v>7433.9208060000001</v>
      </c>
      <c r="AZ28" s="31">
        <v>7824.4259439999996</v>
      </c>
      <c r="BA28" s="414">
        <v>3541.5294117647059</v>
      </c>
      <c r="BB28" s="31">
        <v>7433.9208060000001</v>
      </c>
      <c r="BC28" s="31">
        <v>7824.4259439999996</v>
      </c>
      <c r="BD28" s="414">
        <v>3541.5294117647059</v>
      </c>
      <c r="BE28" s="31">
        <v>5202.1957490000004</v>
      </c>
      <c r="BF28" s="31">
        <v>5475.233072</v>
      </c>
      <c r="BG28" s="414">
        <v>2459.2941176470586</v>
      </c>
      <c r="BH28" s="31">
        <v>5202.1957490000004</v>
      </c>
      <c r="BI28" s="31">
        <v>5475.233072</v>
      </c>
      <c r="BJ28" s="414">
        <v>2459.2941176470586</v>
      </c>
      <c r="BK28" s="31">
        <v>9317.7348569999995</v>
      </c>
      <c r="BL28" s="31">
        <v>9805.5885679999992</v>
      </c>
      <c r="BM28" s="414">
        <v>4831.2941176470595</v>
      </c>
      <c r="BN28" s="31">
        <v>9317.7348569999995</v>
      </c>
      <c r="BO28" s="31">
        <v>9805.5885679999992</v>
      </c>
      <c r="BP28" s="414">
        <v>4831.2941176470595</v>
      </c>
      <c r="BQ28" s="31">
        <v>19859.026642000001</v>
      </c>
      <c r="BR28" s="31">
        <v>20069.182334000001</v>
      </c>
      <c r="BS28" s="414">
        <v>7585</v>
      </c>
      <c r="BT28" s="31">
        <v>19859.026642000001</v>
      </c>
      <c r="BU28" s="31">
        <v>20069.182334000001</v>
      </c>
      <c r="BV28" s="414">
        <v>7585</v>
      </c>
      <c r="BW28" s="31">
        <v>21426.10454</v>
      </c>
      <c r="BX28" s="31">
        <v>21668.766329999999</v>
      </c>
      <c r="BY28" s="414">
        <v>8199.0588235294126</v>
      </c>
      <c r="BZ28" s="31">
        <v>21426.10454</v>
      </c>
      <c r="CA28" s="31">
        <v>21668.766329999999</v>
      </c>
      <c r="CB28" s="414">
        <v>8199.0588235294126</v>
      </c>
      <c r="CC28" s="31">
        <v>59476.686110000002</v>
      </c>
      <c r="CD28" s="31">
        <v>60031.297186000003</v>
      </c>
      <c r="CE28" s="414">
        <v>26233.176470588234</v>
      </c>
      <c r="CF28" s="31">
        <v>59476.686110000002</v>
      </c>
      <c r="CG28" s="31">
        <v>60031.297186000003</v>
      </c>
      <c r="CH28" s="414">
        <v>26233.176470588234</v>
      </c>
      <c r="CI28" s="31">
        <v>36301.228990000003</v>
      </c>
      <c r="CJ28" s="31">
        <v>36689.426743999997</v>
      </c>
      <c r="CK28" s="414">
        <v>16068.529411764706</v>
      </c>
      <c r="CL28" s="31">
        <v>36301.228990000003</v>
      </c>
      <c r="CM28" s="31">
        <v>36689.426743999997</v>
      </c>
      <c r="CN28" s="414">
        <v>16068.529411764706</v>
      </c>
      <c r="CO28" s="31">
        <v>76421.957471000002</v>
      </c>
      <c r="CP28" s="31">
        <v>77003.550948000004</v>
      </c>
      <c r="CQ28" s="414">
        <v>36320.941176470587</v>
      </c>
      <c r="CR28" s="31">
        <v>76421.957471000002</v>
      </c>
      <c r="CS28" s="31">
        <v>77003.550948000004</v>
      </c>
      <c r="CT28" s="414">
        <v>36320.941176470587</v>
      </c>
      <c r="CU28" s="415">
        <v>435.55803400000002</v>
      </c>
      <c r="CV28" s="415">
        <v>435.55803400000002</v>
      </c>
      <c r="CW28" s="415">
        <v>200.17703900000001</v>
      </c>
      <c r="CX28" s="415">
        <v>200.17703900000001</v>
      </c>
      <c r="CY28" s="415">
        <v>426.71350100000001</v>
      </c>
      <c r="CZ28" s="415">
        <v>426.71350100000001</v>
      </c>
      <c r="DA28" s="415">
        <v>755.48965799999996</v>
      </c>
      <c r="DB28" s="415">
        <v>755.48965799999996</v>
      </c>
      <c r="DC28" s="415">
        <v>293.47991999999999</v>
      </c>
      <c r="DD28" s="415">
        <v>293.47991999999999</v>
      </c>
      <c r="DE28" s="415">
        <v>379.89707099999998</v>
      </c>
      <c r="DF28" s="415">
        <v>379.89707099999998</v>
      </c>
      <c r="DG28" s="415">
        <v>158.48514499999999</v>
      </c>
      <c r="DH28" s="415">
        <v>158.48514499999999</v>
      </c>
      <c r="DI28" s="415">
        <v>358.31594799999999</v>
      </c>
      <c r="DJ28" s="415">
        <v>358.31594799999999</v>
      </c>
      <c r="DK28" s="415">
        <v>701.96116800000004</v>
      </c>
      <c r="DL28" s="415">
        <v>701.96116800000004</v>
      </c>
      <c r="DM28" s="415">
        <v>220.41500500000001</v>
      </c>
      <c r="DN28" s="415">
        <v>220.41500500000001</v>
      </c>
      <c r="DO28" s="415">
        <v>9630.4718489999996</v>
      </c>
      <c r="DP28" s="415">
        <v>9630.4718489999996</v>
      </c>
      <c r="DQ28" s="415">
        <v>6072.7065149999999</v>
      </c>
      <c r="DR28" s="415">
        <v>6072.7065149999999</v>
      </c>
      <c r="DS28" s="415">
        <v>8170.1167820000001</v>
      </c>
      <c r="DT28" s="415">
        <v>8170.1167820000001</v>
      </c>
      <c r="DU28" s="415">
        <v>12815.281849999999</v>
      </c>
      <c r="DV28" s="415">
        <v>12815.281849999999</v>
      </c>
      <c r="DW28" s="415">
        <v>6623.5655210000004</v>
      </c>
      <c r="DX28" s="415">
        <v>6623.5655210000004</v>
      </c>
    </row>
    <row r="29" spans="2:128" ht="15">
      <c r="B29" s="425" t="s">
        <v>597</v>
      </c>
      <c r="C29" s="249" t="s">
        <v>598</v>
      </c>
      <c r="D29" s="249" t="s">
        <v>174</v>
      </c>
      <c r="E29" s="426">
        <v>13</v>
      </c>
      <c r="F29" s="249" t="s">
        <v>589</v>
      </c>
      <c r="G29" s="252" t="s">
        <v>599</v>
      </c>
      <c r="H29" t="s">
        <v>597</v>
      </c>
      <c r="I29" s="31">
        <v>3308.5724799999998</v>
      </c>
      <c r="J29" s="31">
        <v>3515.5789439999999</v>
      </c>
      <c r="K29" s="414">
        <v>1240.7058823529412</v>
      </c>
      <c r="L29" s="31">
        <v>3867.3028690000001</v>
      </c>
      <c r="M29" s="31">
        <v>4110.7582970000003</v>
      </c>
      <c r="N29" s="414">
        <v>1450.4117647058824</v>
      </c>
      <c r="O29" s="31">
        <v>3584.9206439999998</v>
      </c>
      <c r="P29" s="31">
        <v>3810.228259</v>
      </c>
      <c r="Q29" s="414">
        <v>1348.294117647059</v>
      </c>
      <c r="R29" s="31">
        <v>4201.1388189999998</v>
      </c>
      <c r="S29" s="31">
        <v>4466.9757149999996</v>
      </c>
      <c r="T29" s="414">
        <v>1579.4117647058824</v>
      </c>
      <c r="U29" s="31">
        <v>7164.6111369999999</v>
      </c>
      <c r="V29" s="31">
        <v>7554.8875710000002</v>
      </c>
      <c r="W29" s="414">
        <v>3115.5882352941176</v>
      </c>
      <c r="X29" s="31">
        <v>8158.1539750000002</v>
      </c>
      <c r="Y29" s="31">
        <v>8603.7132579999998</v>
      </c>
      <c r="Z29" s="414">
        <v>3574.8235294117649</v>
      </c>
      <c r="AA29" s="31">
        <v>4994.4289639999997</v>
      </c>
      <c r="AB29" s="31">
        <v>5287.3726839999999</v>
      </c>
      <c r="AC29" s="414">
        <v>2172.0588235294117</v>
      </c>
      <c r="AD29" s="31">
        <v>5703.6828159999995</v>
      </c>
      <c r="AE29" s="31">
        <v>6039.3187399999997</v>
      </c>
      <c r="AF29" s="414">
        <v>2492.8235294117649</v>
      </c>
      <c r="AG29" s="31">
        <v>8882.9151720000009</v>
      </c>
      <c r="AH29" s="31">
        <v>9331.5183770000003</v>
      </c>
      <c r="AI29" s="414">
        <v>4149.2941176470586</v>
      </c>
      <c r="AJ29" s="31">
        <v>10146.583692</v>
      </c>
      <c r="AK29" s="31">
        <v>10660.198053</v>
      </c>
      <c r="AL29" s="414">
        <v>4817.4117647058829</v>
      </c>
      <c r="AM29" s="31">
        <v>3431.8644899999999</v>
      </c>
      <c r="AN29" s="31">
        <v>3609.2593870000001</v>
      </c>
      <c r="AO29" s="414">
        <v>1380.8823529411766</v>
      </c>
      <c r="AP29" s="31">
        <v>3967.9343600000002</v>
      </c>
      <c r="AQ29" s="31">
        <v>4173.8940620000003</v>
      </c>
      <c r="AR29" s="414">
        <v>1597.1176470588234</v>
      </c>
      <c r="AS29" s="31">
        <v>3735.5381120000002</v>
      </c>
      <c r="AT29" s="31">
        <v>3930.351099</v>
      </c>
      <c r="AU29" s="414">
        <v>1505.9411764705883</v>
      </c>
      <c r="AV29" s="31">
        <v>4325.3048989999998</v>
      </c>
      <c r="AW29" s="31">
        <v>4551.8873720000001</v>
      </c>
      <c r="AX29" s="414">
        <v>1745.5882352941176</v>
      </c>
      <c r="AY29" s="31">
        <v>7433.9208060000001</v>
      </c>
      <c r="AZ29" s="31">
        <v>7824.4259439999996</v>
      </c>
      <c r="BA29" s="414">
        <v>3541.5294117647059</v>
      </c>
      <c r="BB29" s="31">
        <v>8385.7750570000007</v>
      </c>
      <c r="BC29" s="31">
        <v>8827.7120529999993</v>
      </c>
      <c r="BD29" s="414">
        <v>4055.5882352941176</v>
      </c>
      <c r="BE29" s="31">
        <v>5202.1957490000004</v>
      </c>
      <c r="BF29" s="31">
        <v>5475.233072</v>
      </c>
      <c r="BG29" s="414">
        <v>2459.2941176470586</v>
      </c>
      <c r="BH29" s="31">
        <v>5883.0054460000001</v>
      </c>
      <c r="BI29" s="31">
        <v>6193.0824709999997</v>
      </c>
      <c r="BJ29" s="414">
        <v>2811.8823529411766</v>
      </c>
      <c r="BK29" s="31">
        <v>9317.7348569999995</v>
      </c>
      <c r="BL29" s="31">
        <v>9805.5885679999992</v>
      </c>
      <c r="BM29" s="414">
        <v>4831.2941176470595</v>
      </c>
      <c r="BN29" s="31">
        <v>10537.950832</v>
      </c>
      <c r="BO29" s="31">
        <v>11090.803974</v>
      </c>
      <c r="BP29" s="414">
        <v>5616.1764705882351</v>
      </c>
      <c r="BQ29" s="31">
        <v>19859.026642000001</v>
      </c>
      <c r="BR29" s="31">
        <v>20069.182334000001</v>
      </c>
      <c r="BS29" s="414">
        <v>7585</v>
      </c>
      <c r="BT29" s="31">
        <v>32989.282577999998</v>
      </c>
      <c r="BU29" s="31">
        <v>33353.392387</v>
      </c>
      <c r="BV29" s="414">
        <v>12409.882352941175</v>
      </c>
      <c r="BW29" s="31">
        <v>21426.10454</v>
      </c>
      <c r="BX29" s="31">
        <v>21668.766329999999</v>
      </c>
      <c r="BY29" s="414">
        <v>8199.0588235294126</v>
      </c>
      <c r="BZ29" s="31">
        <v>35967.580586999997</v>
      </c>
      <c r="CA29" s="31">
        <v>36386.998894999997</v>
      </c>
      <c r="CB29" s="414">
        <v>13537.882352941175</v>
      </c>
      <c r="CC29" s="31">
        <v>59476.686110000002</v>
      </c>
      <c r="CD29" s="31">
        <v>60031.297186000003</v>
      </c>
      <c r="CE29" s="414">
        <v>26233.176470588234</v>
      </c>
      <c r="CF29" s="31">
        <v>82741.552637999994</v>
      </c>
      <c r="CG29" s="31">
        <v>83422.423525000006</v>
      </c>
      <c r="CH29" s="414">
        <v>36303.705882352937</v>
      </c>
      <c r="CI29" s="31">
        <v>36301.228990000003</v>
      </c>
      <c r="CJ29" s="31">
        <v>36689.426743999997</v>
      </c>
      <c r="CK29" s="414">
        <v>16068.529411764706</v>
      </c>
      <c r="CL29" s="31">
        <v>52932.070577999999</v>
      </c>
      <c r="CM29" s="31">
        <v>53450.656046999997</v>
      </c>
      <c r="CN29" s="414">
        <v>23334.705882352944</v>
      </c>
      <c r="CO29" s="31">
        <v>76421.957471000002</v>
      </c>
      <c r="CP29" s="31">
        <v>77003.550948000004</v>
      </c>
      <c r="CQ29" s="414">
        <v>36320.941176470587</v>
      </c>
      <c r="CR29" s="31">
        <v>105569.05471900001</v>
      </c>
      <c r="CS29" s="31">
        <v>106262.86515699999</v>
      </c>
      <c r="CT29" s="414">
        <v>50070.705882352937</v>
      </c>
      <c r="CU29" s="415">
        <v>435.55803400000002</v>
      </c>
      <c r="CV29" s="415">
        <v>636.33066599999995</v>
      </c>
      <c r="CW29" s="415">
        <v>200.17703900000001</v>
      </c>
      <c r="CX29" s="415">
        <v>339.91933899999998</v>
      </c>
      <c r="CY29" s="415">
        <v>426.71350100000001</v>
      </c>
      <c r="CZ29" s="415">
        <v>635.939798</v>
      </c>
      <c r="DA29" s="415">
        <v>755.48965799999996</v>
      </c>
      <c r="DB29" s="415">
        <v>1053.978593</v>
      </c>
      <c r="DC29" s="415">
        <v>293.47991999999999</v>
      </c>
      <c r="DD29" s="415">
        <v>464.07881900000001</v>
      </c>
      <c r="DE29" s="415">
        <v>379.89707099999998</v>
      </c>
      <c r="DF29" s="415">
        <v>592.18810299999996</v>
      </c>
      <c r="DG29" s="415">
        <v>158.48514499999999</v>
      </c>
      <c r="DH29" s="415">
        <v>301.93034899999998</v>
      </c>
      <c r="DI29" s="415">
        <v>358.31594799999999</v>
      </c>
      <c r="DJ29" s="415">
        <v>575.99899800000003</v>
      </c>
      <c r="DK29" s="415">
        <v>701.96116800000004</v>
      </c>
      <c r="DL29" s="415">
        <v>1023.68936</v>
      </c>
      <c r="DM29" s="415">
        <v>220.41500500000001</v>
      </c>
      <c r="DN29" s="415">
        <v>398.19795199999999</v>
      </c>
      <c r="DO29" s="415">
        <v>9630.4718489999996</v>
      </c>
      <c r="DP29" s="415">
        <v>13381.215141000001</v>
      </c>
      <c r="DQ29" s="415">
        <v>6072.7065149999999</v>
      </c>
      <c r="DR29" s="415">
        <v>8925.4418110000006</v>
      </c>
      <c r="DS29" s="415">
        <v>8170.1167820000001</v>
      </c>
      <c r="DT29" s="415">
        <v>12340.005275</v>
      </c>
      <c r="DU29" s="415">
        <v>12815.281849999999</v>
      </c>
      <c r="DV29" s="415">
        <v>18745.014811000001</v>
      </c>
      <c r="DW29" s="415">
        <v>6623.5655210000004</v>
      </c>
      <c r="DX29" s="415">
        <v>10006.388223</v>
      </c>
    </row>
    <row r="30" spans="2:128" ht="15">
      <c r="B30" s="425" t="s">
        <v>600</v>
      </c>
      <c r="C30" s="249" t="s">
        <v>601</v>
      </c>
      <c r="D30" s="249" t="s">
        <v>174</v>
      </c>
      <c r="E30" s="426">
        <v>14</v>
      </c>
      <c r="F30" s="249" t="s">
        <v>589</v>
      </c>
      <c r="G30" s="252" t="s">
        <v>602</v>
      </c>
      <c r="H30" t="s">
        <v>600</v>
      </c>
      <c r="I30" s="31">
        <v>3308.5724799999998</v>
      </c>
      <c r="J30" s="31">
        <v>3515.5789439999999</v>
      </c>
      <c r="K30" s="414">
        <v>1240.7058823529412</v>
      </c>
      <c r="L30" s="31">
        <v>3615.9523119999999</v>
      </c>
      <c r="M30" s="31">
        <v>3843.2141000000001</v>
      </c>
      <c r="N30" s="414">
        <v>1360.7647058823529</v>
      </c>
      <c r="O30" s="31">
        <v>3584.9206439999998</v>
      </c>
      <c r="P30" s="31">
        <v>3810.228259</v>
      </c>
      <c r="Q30" s="414">
        <v>1348.294117647059</v>
      </c>
      <c r="R30" s="31">
        <v>3924.8403199999998</v>
      </c>
      <c r="S30" s="31">
        <v>4173.0032449999999</v>
      </c>
      <c r="T30" s="414">
        <v>1480.8235294117646</v>
      </c>
      <c r="U30" s="31">
        <v>7164.6111369999999</v>
      </c>
      <c r="V30" s="31">
        <v>7554.8875710000002</v>
      </c>
      <c r="W30" s="414">
        <v>3115.5882352941176</v>
      </c>
      <c r="X30" s="31">
        <v>7742.2099250000001</v>
      </c>
      <c r="Y30" s="31">
        <v>8164.0315760000003</v>
      </c>
      <c r="Z30" s="414">
        <v>3395.7058823529414</v>
      </c>
      <c r="AA30" s="31">
        <v>4994.4289639999997</v>
      </c>
      <c r="AB30" s="31">
        <v>5287.3726839999999</v>
      </c>
      <c r="AC30" s="414">
        <v>2172.0588235294117</v>
      </c>
      <c r="AD30" s="31">
        <v>5371.0874860000004</v>
      </c>
      <c r="AE30" s="31">
        <v>5686.3462099999997</v>
      </c>
      <c r="AF30" s="414">
        <v>2354.2352941176468</v>
      </c>
      <c r="AG30" s="31">
        <v>8882.9151720000009</v>
      </c>
      <c r="AH30" s="31">
        <v>9331.5183770000003</v>
      </c>
      <c r="AI30" s="414">
        <v>4149.2941176470586</v>
      </c>
      <c r="AJ30" s="31">
        <v>9650.8199719999993</v>
      </c>
      <c r="AK30" s="31">
        <v>10137.95709</v>
      </c>
      <c r="AL30" s="414">
        <v>4574.1764705882351</v>
      </c>
      <c r="AM30" s="31">
        <v>3431.8644899999999</v>
      </c>
      <c r="AN30" s="31">
        <v>3609.2593870000001</v>
      </c>
      <c r="AO30" s="414">
        <v>1380.8823529411766</v>
      </c>
      <c r="AP30" s="31">
        <v>3715.931368</v>
      </c>
      <c r="AQ30" s="31">
        <v>3908.9011890000002</v>
      </c>
      <c r="AR30" s="414">
        <v>1502.4705882352941</v>
      </c>
      <c r="AS30" s="31">
        <v>3735.5381120000002</v>
      </c>
      <c r="AT30" s="31">
        <v>3930.351099</v>
      </c>
      <c r="AU30" s="414">
        <v>1505.9411764705883</v>
      </c>
      <c r="AV30" s="31">
        <v>4048.0695580000001</v>
      </c>
      <c r="AW30" s="31">
        <v>4260.24748</v>
      </c>
      <c r="AX30" s="414">
        <v>1640.4705882352941</v>
      </c>
      <c r="AY30" s="31">
        <v>7433.9208060000001</v>
      </c>
      <c r="AZ30" s="31">
        <v>7824.4259439999996</v>
      </c>
      <c r="BA30" s="414">
        <v>3541.5294117647059</v>
      </c>
      <c r="BB30" s="31">
        <v>7968.7341079999997</v>
      </c>
      <c r="BC30" s="31">
        <v>8388.7734170000003</v>
      </c>
      <c r="BD30" s="414">
        <v>3853.3529411764703</v>
      </c>
      <c r="BE30" s="31">
        <v>5202.1957490000004</v>
      </c>
      <c r="BF30" s="31">
        <v>5475.233072</v>
      </c>
      <c r="BG30" s="414">
        <v>2459.2941176470586</v>
      </c>
      <c r="BH30" s="31">
        <v>5551.9092199999996</v>
      </c>
      <c r="BI30" s="31">
        <v>5844.6139819999999</v>
      </c>
      <c r="BJ30" s="414">
        <v>2658.1764705882351</v>
      </c>
      <c r="BK30" s="31">
        <v>9317.7348569999995</v>
      </c>
      <c r="BL30" s="31">
        <v>9805.5885679999992</v>
      </c>
      <c r="BM30" s="414">
        <v>4831.2941176470595</v>
      </c>
      <c r="BN30" s="31">
        <v>10043.509135</v>
      </c>
      <c r="BO30" s="31">
        <v>10570.474227999999</v>
      </c>
      <c r="BP30" s="414">
        <v>5327.1764705882351</v>
      </c>
      <c r="BQ30" s="31">
        <v>19859.026642000001</v>
      </c>
      <c r="BR30" s="31">
        <v>20069.182334000001</v>
      </c>
      <c r="BS30" s="414">
        <v>7585</v>
      </c>
      <c r="BT30" s="31">
        <v>28056.973009000001</v>
      </c>
      <c r="BU30" s="31">
        <v>28378.480862</v>
      </c>
      <c r="BV30" s="414">
        <v>10642.529411764706</v>
      </c>
      <c r="BW30" s="31">
        <v>21426.10454</v>
      </c>
      <c r="BX30" s="31">
        <v>21668.766329999999</v>
      </c>
      <c r="BY30" s="414">
        <v>8199.0588235294126</v>
      </c>
      <c r="BZ30" s="31">
        <v>30548.272596999999</v>
      </c>
      <c r="CA30" s="31">
        <v>30915.863343000001</v>
      </c>
      <c r="CB30" s="414">
        <v>11594.705882352941</v>
      </c>
      <c r="CC30" s="31">
        <v>59476.686110000002</v>
      </c>
      <c r="CD30" s="31">
        <v>60031.297186000003</v>
      </c>
      <c r="CE30" s="414">
        <v>26233.176470588234</v>
      </c>
      <c r="CF30" s="31">
        <v>74204.090056000001</v>
      </c>
      <c r="CG30" s="31">
        <v>74853.884690000006</v>
      </c>
      <c r="CH30" s="414">
        <v>32723.588235294119</v>
      </c>
      <c r="CI30" s="31">
        <v>36301.228990000003</v>
      </c>
      <c r="CJ30" s="31">
        <v>36689.426743999997</v>
      </c>
      <c r="CK30" s="414">
        <v>16068.529411764706</v>
      </c>
      <c r="CL30" s="31">
        <v>46434.386477</v>
      </c>
      <c r="CM30" s="31">
        <v>46918.648096999998</v>
      </c>
      <c r="CN30" s="414">
        <v>20611.882352941175</v>
      </c>
      <c r="CO30" s="31">
        <v>76421.957471000002</v>
      </c>
      <c r="CP30" s="31">
        <v>77003.550948000004</v>
      </c>
      <c r="CQ30" s="414">
        <v>36320.941176470587</v>
      </c>
      <c r="CR30" s="31">
        <v>95247.157451000006</v>
      </c>
      <c r="CS30" s="31">
        <v>95910.078599999993</v>
      </c>
      <c r="CT30" s="414">
        <v>45365.470588235294</v>
      </c>
      <c r="CU30" s="415">
        <v>435.55803400000002</v>
      </c>
      <c r="CV30" s="415">
        <v>645.14555800000005</v>
      </c>
      <c r="CW30" s="415">
        <v>200.17703900000001</v>
      </c>
      <c r="CX30" s="415">
        <v>350.18184300000001</v>
      </c>
      <c r="CY30" s="415">
        <v>426.71350100000001</v>
      </c>
      <c r="CZ30" s="415">
        <v>640.54551700000002</v>
      </c>
      <c r="DA30" s="415">
        <v>755.48965799999996</v>
      </c>
      <c r="DB30" s="415">
        <v>1053.0064970000001</v>
      </c>
      <c r="DC30" s="415">
        <v>293.47991999999999</v>
      </c>
      <c r="DD30" s="415">
        <v>471.46514999999999</v>
      </c>
      <c r="DE30" s="415">
        <v>379.89707099999998</v>
      </c>
      <c r="DF30" s="415">
        <v>599.98159599999997</v>
      </c>
      <c r="DG30" s="415">
        <v>158.48514499999999</v>
      </c>
      <c r="DH30" s="415">
        <v>311.18496499999998</v>
      </c>
      <c r="DI30" s="415">
        <v>358.31594799999999</v>
      </c>
      <c r="DJ30" s="415">
        <v>579.236357</v>
      </c>
      <c r="DK30" s="415">
        <v>701.96116800000004</v>
      </c>
      <c r="DL30" s="415">
        <v>1021.7416459999999</v>
      </c>
      <c r="DM30" s="415">
        <v>220.41500500000001</v>
      </c>
      <c r="DN30" s="415">
        <v>404.31820299999998</v>
      </c>
      <c r="DO30" s="415">
        <v>9630.4718489999996</v>
      </c>
      <c r="DP30" s="415">
        <v>13785.198208</v>
      </c>
      <c r="DQ30" s="415">
        <v>6072.7065149999999</v>
      </c>
      <c r="DR30" s="415">
        <v>9386.0642810000008</v>
      </c>
      <c r="DS30" s="415">
        <v>8170.1167820000001</v>
      </c>
      <c r="DT30" s="415">
        <v>12606.675793</v>
      </c>
      <c r="DU30" s="415">
        <v>12815.281849999999</v>
      </c>
      <c r="DV30" s="415">
        <v>18988.96758</v>
      </c>
      <c r="DW30" s="415">
        <v>6623.5655210000004</v>
      </c>
      <c r="DX30" s="415">
        <v>10323.53845</v>
      </c>
    </row>
    <row r="31" spans="2:128" ht="15">
      <c r="B31" s="425" t="s">
        <v>603</v>
      </c>
      <c r="C31" s="249" t="s">
        <v>604</v>
      </c>
      <c r="D31" s="249" t="s">
        <v>174</v>
      </c>
      <c r="E31" s="426">
        <v>15</v>
      </c>
      <c r="F31" s="249" t="s">
        <v>605</v>
      </c>
      <c r="G31" s="252" t="s">
        <v>590</v>
      </c>
      <c r="H31" t="s">
        <v>603</v>
      </c>
      <c r="I31" s="31">
        <v>4607.9152519999998</v>
      </c>
      <c r="J31" s="31">
        <v>4900.6711370000003</v>
      </c>
      <c r="K31" s="414">
        <v>1722.4117647058824</v>
      </c>
      <c r="L31" s="31">
        <v>4491.1412019999998</v>
      </c>
      <c r="M31" s="31">
        <v>4774.8140670000003</v>
      </c>
      <c r="N31" s="414">
        <v>1672.5294117647059</v>
      </c>
      <c r="O31" s="31">
        <v>5025.0975580000004</v>
      </c>
      <c r="P31" s="31">
        <v>5346.0862649999999</v>
      </c>
      <c r="Q31" s="414">
        <v>1882.3529411764707</v>
      </c>
      <c r="R31" s="31">
        <v>4888.0242909999997</v>
      </c>
      <c r="S31" s="31">
        <v>5198.4150200000004</v>
      </c>
      <c r="T31" s="414">
        <v>1824.4705882352941</v>
      </c>
      <c r="U31" s="31">
        <v>9471.2532609999998</v>
      </c>
      <c r="V31" s="31">
        <v>9990.5524619999997</v>
      </c>
      <c r="W31" s="414">
        <v>4215.2352941176468</v>
      </c>
      <c r="X31" s="31">
        <v>9193.5438790000007</v>
      </c>
      <c r="Y31" s="31">
        <v>9698.1407359999994</v>
      </c>
      <c r="Z31" s="414">
        <v>4031.9411764705883</v>
      </c>
      <c r="AA31" s="31">
        <v>6630.8442510000004</v>
      </c>
      <c r="AB31" s="31">
        <v>7023.9486489999999</v>
      </c>
      <c r="AC31" s="414">
        <v>2931.8823529411766</v>
      </c>
      <c r="AD31" s="31">
        <v>6519.3356750000003</v>
      </c>
      <c r="AE31" s="31">
        <v>6904.9604660000005</v>
      </c>
      <c r="AF31" s="414">
        <v>2839.0588235294117</v>
      </c>
      <c r="AG31" s="31">
        <v>11820.548572</v>
      </c>
      <c r="AH31" s="31">
        <v>12421.185598</v>
      </c>
      <c r="AI31" s="414">
        <v>5809.8235294117649</v>
      </c>
      <c r="AJ31" s="31">
        <v>11395.732352000001</v>
      </c>
      <c r="AK31" s="31">
        <v>11975.966630000001</v>
      </c>
      <c r="AL31" s="414">
        <v>5461.5294117647063</v>
      </c>
      <c r="AM31" s="31">
        <v>4670.0149680000004</v>
      </c>
      <c r="AN31" s="31">
        <v>4913.0800049999998</v>
      </c>
      <c r="AO31" s="414">
        <v>1876.1764705882351</v>
      </c>
      <c r="AP31" s="31">
        <v>4588.4417720000001</v>
      </c>
      <c r="AQ31" s="31">
        <v>4826.523083</v>
      </c>
      <c r="AR31" s="414">
        <v>1831.7647058823529</v>
      </c>
      <c r="AS31" s="31">
        <v>5105.1759480000001</v>
      </c>
      <c r="AT31" s="31">
        <v>5373.2039269999996</v>
      </c>
      <c r="AU31" s="414">
        <v>2058.1176470588234</v>
      </c>
      <c r="AV31" s="31">
        <v>5006.6838500000003</v>
      </c>
      <c r="AW31" s="31">
        <v>5268.8204079999996</v>
      </c>
      <c r="AX31" s="414">
        <v>2004.6470588235293</v>
      </c>
      <c r="AY31" s="31">
        <v>9640.6377799999991</v>
      </c>
      <c r="AZ31" s="31">
        <v>10149.645689999999</v>
      </c>
      <c r="BA31" s="414">
        <v>4799.2352941176468</v>
      </c>
      <c r="BB31" s="31">
        <v>9415.4472979999991</v>
      </c>
      <c r="BC31" s="31">
        <v>9911.644096</v>
      </c>
      <c r="BD31" s="414">
        <v>4580.0588235294117</v>
      </c>
      <c r="BE31" s="31">
        <v>6765.5400220000001</v>
      </c>
      <c r="BF31" s="31">
        <v>7123.0746429999999</v>
      </c>
      <c r="BG31" s="414">
        <v>3314.3529411764707</v>
      </c>
      <c r="BH31" s="31">
        <v>6688.8165079999999</v>
      </c>
      <c r="BI31" s="31">
        <v>7041.3598709999997</v>
      </c>
      <c r="BJ31" s="414">
        <v>3202.8823529411766</v>
      </c>
      <c r="BK31" s="31">
        <v>12148.271192</v>
      </c>
      <c r="BL31" s="31">
        <v>12786.274563000001</v>
      </c>
      <c r="BM31" s="414">
        <v>6812.2941176470595</v>
      </c>
      <c r="BN31" s="31">
        <v>11777.349455</v>
      </c>
      <c r="BO31" s="31">
        <v>12395.239799000001</v>
      </c>
      <c r="BP31" s="414">
        <v>6388.2352941176468</v>
      </c>
      <c r="BQ31" s="31">
        <v>51590.064940999997</v>
      </c>
      <c r="BR31" s="31">
        <v>52069.395173999997</v>
      </c>
      <c r="BS31" s="414">
        <v>19261.23529411765</v>
      </c>
      <c r="BT31" s="31">
        <v>46265.214207999998</v>
      </c>
      <c r="BU31" s="31">
        <v>46724.183965999997</v>
      </c>
      <c r="BV31" s="414">
        <v>17095</v>
      </c>
      <c r="BW31" s="31">
        <v>56693.863231000003</v>
      </c>
      <c r="BX31" s="31">
        <v>57251.771271999998</v>
      </c>
      <c r="BY31" s="414">
        <v>21145.470588235294</v>
      </c>
      <c r="BZ31" s="31">
        <v>50562.285325999997</v>
      </c>
      <c r="CA31" s="31">
        <v>51098.355793000002</v>
      </c>
      <c r="CB31" s="414">
        <v>18692.235294117647</v>
      </c>
      <c r="CC31" s="31">
        <v>114357.50851100001</v>
      </c>
      <c r="CD31" s="31">
        <v>115091.094384</v>
      </c>
      <c r="CE31" s="414">
        <v>50866.76470588235</v>
      </c>
      <c r="CF31" s="31">
        <v>105129.866914</v>
      </c>
      <c r="CG31" s="31">
        <v>105873.13903799999</v>
      </c>
      <c r="CH31" s="414">
        <v>45803.941176470587</v>
      </c>
      <c r="CI31" s="31">
        <v>75882.323504999993</v>
      </c>
      <c r="CJ31" s="31">
        <v>76454.273855000007</v>
      </c>
      <c r="CK31" s="414">
        <v>33728.588235294112</v>
      </c>
      <c r="CL31" s="31">
        <v>69943.200922999997</v>
      </c>
      <c r="CM31" s="31">
        <v>70527.104212999999</v>
      </c>
      <c r="CN31" s="414">
        <v>30461.352941176468</v>
      </c>
      <c r="CO31" s="31">
        <v>144595.654939</v>
      </c>
      <c r="CP31" s="31">
        <v>145340.570217</v>
      </c>
      <c r="CQ31" s="414">
        <v>70694</v>
      </c>
      <c r="CR31" s="31">
        <v>132323.105442</v>
      </c>
      <c r="CS31" s="31">
        <v>133074.786135</v>
      </c>
      <c r="CT31" s="414">
        <v>62765.470588235294</v>
      </c>
      <c r="CU31" s="415">
        <v>976.34545600000001</v>
      </c>
      <c r="CV31" s="415">
        <v>661.27331400000003</v>
      </c>
      <c r="CW31" s="415">
        <v>601.69136500000002</v>
      </c>
      <c r="CX31" s="415">
        <v>351.56946799999997</v>
      </c>
      <c r="CY31" s="415">
        <v>1002.716158</v>
      </c>
      <c r="CZ31" s="415">
        <v>671.99633600000004</v>
      </c>
      <c r="DA31" s="415">
        <v>1562.6377629999999</v>
      </c>
      <c r="DB31" s="415">
        <v>1118.069857</v>
      </c>
      <c r="DC31" s="415">
        <v>767.34928600000001</v>
      </c>
      <c r="DD31" s="415">
        <v>486.08438599999999</v>
      </c>
      <c r="DE31" s="415">
        <v>949.52466000000004</v>
      </c>
      <c r="DF31" s="415">
        <v>621.32125799999994</v>
      </c>
      <c r="DG31" s="415">
        <v>574.68490599999996</v>
      </c>
      <c r="DH31" s="415">
        <v>316.19692600000002</v>
      </c>
      <c r="DI31" s="415">
        <v>962.55607799999996</v>
      </c>
      <c r="DJ31" s="415">
        <v>616.30213400000002</v>
      </c>
      <c r="DK31" s="415">
        <v>1545.7465609999999</v>
      </c>
      <c r="DL31" s="415">
        <v>1092.965013</v>
      </c>
      <c r="DM31" s="415">
        <v>719.807186</v>
      </c>
      <c r="DN31" s="415">
        <v>425.437048</v>
      </c>
      <c r="DO31" s="415">
        <v>20129.374403999998</v>
      </c>
      <c r="DP31" s="415">
        <v>13479.102147</v>
      </c>
      <c r="DQ31" s="415">
        <v>14437.625153999999</v>
      </c>
      <c r="DR31" s="415">
        <v>8760.1124589999999</v>
      </c>
      <c r="DS31" s="415">
        <v>19829.105114999998</v>
      </c>
      <c r="DT31" s="415">
        <v>12766.745007</v>
      </c>
      <c r="DU31" s="415">
        <v>28886.372259</v>
      </c>
      <c r="DV31" s="415">
        <v>19606.244594</v>
      </c>
      <c r="DW31" s="415">
        <v>16424.610127</v>
      </c>
      <c r="DX31" s="415">
        <v>10203.658878</v>
      </c>
    </row>
    <row r="32" spans="2:128" ht="15">
      <c r="B32" s="425" t="s">
        <v>606</v>
      </c>
      <c r="C32" s="249" t="s">
        <v>607</v>
      </c>
      <c r="D32" s="249" t="s">
        <v>174</v>
      </c>
      <c r="E32" s="426">
        <v>16</v>
      </c>
      <c r="F32" s="249" t="s">
        <v>605</v>
      </c>
      <c r="G32" s="252" t="s">
        <v>593</v>
      </c>
      <c r="H32" t="s">
        <v>606</v>
      </c>
      <c r="I32" s="31">
        <v>4607.9152519999998</v>
      </c>
      <c r="J32" s="31">
        <v>4900.6711370000003</v>
      </c>
      <c r="K32" s="414">
        <v>1722.4117647058824</v>
      </c>
      <c r="L32" s="31">
        <v>4272.867886</v>
      </c>
      <c r="M32" s="31">
        <v>4542.4800240000004</v>
      </c>
      <c r="N32" s="414">
        <v>1595.8235294117646</v>
      </c>
      <c r="O32" s="31">
        <v>5025.0975580000004</v>
      </c>
      <c r="P32" s="31">
        <v>5346.0862649999999</v>
      </c>
      <c r="Q32" s="414">
        <v>1882.3529411764707</v>
      </c>
      <c r="R32" s="31">
        <v>4648.4807280000005</v>
      </c>
      <c r="S32" s="31">
        <v>4943.277478</v>
      </c>
      <c r="T32" s="414">
        <v>1739.2941176470588</v>
      </c>
      <c r="U32" s="31">
        <v>9471.2532609999998</v>
      </c>
      <c r="V32" s="31">
        <v>9990.5524619999997</v>
      </c>
      <c r="W32" s="414">
        <v>4215.2352941176468</v>
      </c>
      <c r="X32" s="31">
        <v>8835.0592809999998</v>
      </c>
      <c r="Y32" s="31">
        <v>9319.136724</v>
      </c>
      <c r="Z32" s="414">
        <v>3873.2352941176468</v>
      </c>
      <c r="AA32" s="31">
        <v>6630.8442510000004</v>
      </c>
      <c r="AB32" s="31">
        <v>7023.9486489999999</v>
      </c>
      <c r="AC32" s="414">
        <v>2931.8823529411766</v>
      </c>
      <c r="AD32" s="31">
        <v>6234.4732780000004</v>
      </c>
      <c r="AE32" s="31">
        <v>6602.6290870000003</v>
      </c>
      <c r="AF32" s="414">
        <v>2717.8235294117649</v>
      </c>
      <c r="AG32" s="31">
        <v>11820.548572</v>
      </c>
      <c r="AH32" s="31">
        <v>12421.185598</v>
      </c>
      <c r="AI32" s="414">
        <v>5809.8235294117649</v>
      </c>
      <c r="AJ32" s="31">
        <v>10964.710396</v>
      </c>
      <c r="AK32" s="31">
        <v>11521.854078</v>
      </c>
      <c r="AL32" s="414">
        <v>5235.5882352941171</v>
      </c>
      <c r="AM32" s="31">
        <v>4670.0149680000004</v>
      </c>
      <c r="AN32" s="31">
        <v>4913.0800049999998</v>
      </c>
      <c r="AO32" s="414">
        <v>1876.1764705882351</v>
      </c>
      <c r="AP32" s="31">
        <v>4371.4606869999998</v>
      </c>
      <c r="AQ32" s="31">
        <v>4598.3255669999999</v>
      </c>
      <c r="AR32" s="414">
        <v>1750.0588235294117</v>
      </c>
      <c r="AS32" s="31">
        <v>5105.1759480000001</v>
      </c>
      <c r="AT32" s="31">
        <v>5373.2039269999996</v>
      </c>
      <c r="AU32" s="414">
        <v>2058.1176470588234</v>
      </c>
      <c r="AV32" s="31">
        <v>4768.6037120000001</v>
      </c>
      <c r="AW32" s="31">
        <v>5018.3332879999998</v>
      </c>
      <c r="AX32" s="414">
        <v>1914.4705882352941</v>
      </c>
      <c r="AY32" s="31">
        <v>9640.6377799999991</v>
      </c>
      <c r="AZ32" s="31">
        <v>10149.645689999999</v>
      </c>
      <c r="BA32" s="414">
        <v>4799.2352941176468</v>
      </c>
      <c r="BB32" s="31">
        <v>9058.1124999999993</v>
      </c>
      <c r="BC32" s="31">
        <v>9535.5001520000005</v>
      </c>
      <c r="BD32" s="414">
        <v>4397.2352941176468</v>
      </c>
      <c r="BE32" s="31">
        <v>6765.5400220000001</v>
      </c>
      <c r="BF32" s="31">
        <v>7123.0746429999999</v>
      </c>
      <c r="BG32" s="414">
        <v>3314.3529411764707</v>
      </c>
      <c r="BH32" s="31">
        <v>6407.4293980000002</v>
      </c>
      <c r="BI32" s="31">
        <v>6745.1643119999999</v>
      </c>
      <c r="BJ32" s="414">
        <v>3065.0588235294117</v>
      </c>
      <c r="BK32" s="31">
        <v>12148.271192</v>
      </c>
      <c r="BL32" s="31">
        <v>12786.274563000001</v>
      </c>
      <c r="BM32" s="414">
        <v>6812.2941176470595</v>
      </c>
      <c r="BN32" s="31">
        <v>11348.958909999999</v>
      </c>
      <c r="BO32" s="31">
        <v>11944.385966</v>
      </c>
      <c r="BP32" s="414">
        <v>6119.7058823529405</v>
      </c>
      <c r="BQ32" s="31">
        <v>51590.064940999997</v>
      </c>
      <c r="BR32" s="31">
        <v>52069.395173999997</v>
      </c>
      <c r="BS32" s="414">
        <v>19261.23529411765</v>
      </c>
      <c r="BT32" s="31">
        <v>41605.413188999999</v>
      </c>
      <c r="BU32" s="31">
        <v>42034.392064</v>
      </c>
      <c r="BV32" s="414">
        <v>15465.352941176472</v>
      </c>
      <c r="BW32" s="31">
        <v>56693.863231000003</v>
      </c>
      <c r="BX32" s="31">
        <v>57251.771271999998</v>
      </c>
      <c r="BY32" s="414">
        <v>21145.470588235294</v>
      </c>
      <c r="BZ32" s="31">
        <v>45452.966907000002</v>
      </c>
      <c r="CA32" s="31">
        <v>45953.011257999999</v>
      </c>
      <c r="CB32" s="414">
        <v>16901.705882352941</v>
      </c>
      <c r="CC32" s="31">
        <v>114357.50851100001</v>
      </c>
      <c r="CD32" s="31">
        <v>115091.094384</v>
      </c>
      <c r="CE32" s="414">
        <v>50866.76470588235</v>
      </c>
      <c r="CF32" s="31">
        <v>97357.902963</v>
      </c>
      <c r="CG32" s="31">
        <v>98081.535877999995</v>
      </c>
      <c r="CH32" s="414">
        <v>42501.117647058825</v>
      </c>
      <c r="CI32" s="31">
        <v>75882.323504999993</v>
      </c>
      <c r="CJ32" s="31">
        <v>76454.273855000007</v>
      </c>
      <c r="CK32" s="414">
        <v>33728.588235294112</v>
      </c>
      <c r="CL32" s="31">
        <v>63975.947822000002</v>
      </c>
      <c r="CM32" s="31">
        <v>64539.868244999998</v>
      </c>
      <c r="CN32" s="414">
        <v>27981.235294117647</v>
      </c>
      <c r="CO32" s="31">
        <v>144595.654939</v>
      </c>
      <c r="CP32" s="31">
        <v>145340.570217</v>
      </c>
      <c r="CQ32" s="414">
        <v>70694</v>
      </c>
      <c r="CR32" s="31">
        <v>123107.158949</v>
      </c>
      <c r="CS32" s="31">
        <v>123841.54501099999</v>
      </c>
      <c r="CT32" s="414">
        <v>58351.941176470587</v>
      </c>
      <c r="CU32" s="415">
        <v>976.34545600000001</v>
      </c>
      <c r="CV32" s="415">
        <v>656.414626</v>
      </c>
      <c r="CW32" s="415">
        <v>601.69136500000002</v>
      </c>
      <c r="CX32" s="415">
        <v>350.38521500000002</v>
      </c>
      <c r="CY32" s="415">
        <v>1002.716158</v>
      </c>
      <c r="CZ32" s="415">
        <v>663.51128600000004</v>
      </c>
      <c r="DA32" s="415">
        <v>1562.6377629999999</v>
      </c>
      <c r="DB32" s="415">
        <v>1101.2734929999999</v>
      </c>
      <c r="DC32" s="415">
        <v>767.34928600000001</v>
      </c>
      <c r="DD32" s="415">
        <v>481.70780400000001</v>
      </c>
      <c r="DE32" s="415">
        <v>949.52466000000004</v>
      </c>
      <c r="DF32" s="415">
        <v>615.20759299999997</v>
      </c>
      <c r="DG32" s="415">
        <v>574.68490599999996</v>
      </c>
      <c r="DH32" s="415">
        <v>314.18500499999999</v>
      </c>
      <c r="DI32" s="415">
        <v>962.55607799999996</v>
      </c>
      <c r="DJ32" s="415">
        <v>606.485049</v>
      </c>
      <c r="DK32" s="415">
        <v>1545.7465609999999</v>
      </c>
      <c r="DL32" s="415">
        <v>1074.8296720000001</v>
      </c>
      <c r="DM32" s="415">
        <v>719.807186</v>
      </c>
      <c r="DN32" s="415">
        <v>419.39653800000002</v>
      </c>
      <c r="DO32" s="415">
        <v>20129.374403999998</v>
      </c>
      <c r="DP32" s="415">
        <v>13509.707635000001</v>
      </c>
      <c r="DQ32" s="415">
        <v>14437.625153999999</v>
      </c>
      <c r="DR32" s="415">
        <v>8866.9020889999993</v>
      </c>
      <c r="DS32" s="415">
        <v>19829.105114999998</v>
      </c>
      <c r="DT32" s="415">
        <v>12692.097303</v>
      </c>
      <c r="DU32" s="415">
        <v>28886.372259</v>
      </c>
      <c r="DV32" s="415">
        <v>19407.302604</v>
      </c>
      <c r="DW32" s="415">
        <v>16424.610127</v>
      </c>
      <c r="DX32" s="415">
        <v>10191.875873999999</v>
      </c>
    </row>
    <row r="33" spans="2:128" ht="15">
      <c r="B33" s="425" t="s">
        <v>608</v>
      </c>
      <c r="C33" s="249" t="s">
        <v>609</v>
      </c>
      <c r="D33" s="249" t="s">
        <v>174</v>
      </c>
      <c r="E33" s="426">
        <v>17</v>
      </c>
      <c r="F33" s="249" t="s">
        <v>605</v>
      </c>
      <c r="G33" s="252" t="s">
        <v>596</v>
      </c>
      <c r="H33" t="s">
        <v>608</v>
      </c>
      <c r="I33" s="31">
        <v>4607.9152519999998</v>
      </c>
      <c r="J33" s="31">
        <v>4900.6711370000003</v>
      </c>
      <c r="K33" s="414">
        <v>1722.4117647058824</v>
      </c>
      <c r="L33" s="31">
        <v>3308.5724799999998</v>
      </c>
      <c r="M33" s="31">
        <v>3515.5789439999999</v>
      </c>
      <c r="N33" s="414">
        <v>1240.7058823529412</v>
      </c>
      <c r="O33" s="31">
        <v>5025.0975580000004</v>
      </c>
      <c r="P33" s="31">
        <v>5346.0862649999999</v>
      </c>
      <c r="Q33" s="414">
        <v>1882.3529411764707</v>
      </c>
      <c r="R33" s="31">
        <v>3584.9206439999998</v>
      </c>
      <c r="S33" s="31">
        <v>3810.228259</v>
      </c>
      <c r="T33" s="414">
        <v>1348.294117647059</v>
      </c>
      <c r="U33" s="31">
        <v>9471.2532609999998</v>
      </c>
      <c r="V33" s="31">
        <v>9990.5524619999997</v>
      </c>
      <c r="W33" s="414">
        <v>4215.2352941176468</v>
      </c>
      <c r="X33" s="31">
        <v>7164.6111369999999</v>
      </c>
      <c r="Y33" s="31">
        <v>7554.8875710000002</v>
      </c>
      <c r="Z33" s="414">
        <v>3115.5882352941176</v>
      </c>
      <c r="AA33" s="31">
        <v>6630.8442510000004</v>
      </c>
      <c r="AB33" s="31">
        <v>7023.9486489999999</v>
      </c>
      <c r="AC33" s="414">
        <v>2931.8823529411766</v>
      </c>
      <c r="AD33" s="31">
        <v>4994.4289639999997</v>
      </c>
      <c r="AE33" s="31">
        <v>5287.3726839999999</v>
      </c>
      <c r="AF33" s="414">
        <v>2172.0588235294117</v>
      </c>
      <c r="AG33" s="31">
        <v>11820.548572</v>
      </c>
      <c r="AH33" s="31">
        <v>12421.185598</v>
      </c>
      <c r="AI33" s="414">
        <v>5809.8235294117649</v>
      </c>
      <c r="AJ33" s="31">
        <v>8882.9151720000009</v>
      </c>
      <c r="AK33" s="31">
        <v>9331.5183770000003</v>
      </c>
      <c r="AL33" s="414">
        <v>4149.2941176470586</v>
      </c>
      <c r="AM33" s="31">
        <v>4670.0149680000004</v>
      </c>
      <c r="AN33" s="31">
        <v>4913.0800049999998</v>
      </c>
      <c r="AO33" s="414">
        <v>1876.1764705882351</v>
      </c>
      <c r="AP33" s="31">
        <v>3431.8644899999999</v>
      </c>
      <c r="AQ33" s="31">
        <v>3609.2593870000001</v>
      </c>
      <c r="AR33" s="414">
        <v>1380.8823529411766</v>
      </c>
      <c r="AS33" s="31">
        <v>5105.1759480000001</v>
      </c>
      <c r="AT33" s="31">
        <v>5373.2039269999996</v>
      </c>
      <c r="AU33" s="414">
        <v>2058.1176470588234</v>
      </c>
      <c r="AV33" s="31">
        <v>3735.5381120000002</v>
      </c>
      <c r="AW33" s="31">
        <v>3930.351099</v>
      </c>
      <c r="AX33" s="414">
        <v>1505.9411764705883</v>
      </c>
      <c r="AY33" s="31">
        <v>9640.6377799999991</v>
      </c>
      <c r="AZ33" s="31">
        <v>10149.645689999999</v>
      </c>
      <c r="BA33" s="414">
        <v>4799.2352941176468</v>
      </c>
      <c r="BB33" s="31">
        <v>7433.9208060000001</v>
      </c>
      <c r="BC33" s="31">
        <v>7824.4259439999996</v>
      </c>
      <c r="BD33" s="414">
        <v>3541.5294117647059</v>
      </c>
      <c r="BE33" s="31">
        <v>6765.5400220000001</v>
      </c>
      <c r="BF33" s="31">
        <v>7123.0746429999999</v>
      </c>
      <c r="BG33" s="414">
        <v>3314.3529411764707</v>
      </c>
      <c r="BH33" s="31">
        <v>5202.1957490000004</v>
      </c>
      <c r="BI33" s="31">
        <v>5475.233072</v>
      </c>
      <c r="BJ33" s="414">
        <v>2459.2941176470586</v>
      </c>
      <c r="BK33" s="31">
        <v>12148.271192</v>
      </c>
      <c r="BL33" s="31">
        <v>12786.274563000001</v>
      </c>
      <c r="BM33" s="414">
        <v>6812.2941176470595</v>
      </c>
      <c r="BN33" s="31">
        <v>9317.7348569999995</v>
      </c>
      <c r="BO33" s="31">
        <v>9805.5885679999992</v>
      </c>
      <c r="BP33" s="414">
        <v>4831.2941176470595</v>
      </c>
      <c r="BQ33" s="31">
        <v>51590.064940999997</v>
      </c>
      <c r="BR33" s="31">
        <v>52069.395173999997</v>
      </c>
      <c r="BS33" s="414">
        <v>19261.23529411765</v>
      </c>
      <c r="BT33" s="31">
        <v>19859.026642000001</v>
      </c>
      <c r="BU33" s="31">
        <v>20069.182334000001</v>
      </c>
      <c r="BV33" s="414">
        <v>7585</v>
      </c>
      <c r="BW33" s="31">
        <v>56693.863231000003</v>
      </c>
      <c r="BX33" s="31">
        <v>57251.771271999998</v>
      </c>
      <c r="BY33" s="414">
        <v>21145.470588235294</v>
      </c>
      <c r="BZ33" s="31">
        <v>21426.10454</v>
      </c>
      <c r="CA33" s="31">
        <v>21668.766329999999</v>
      </c>
      <c r="CB33" s="414">
        <v>8199.0588235294126</v>
      </c>
      <c r="CC33" s="31">
        <v>114357.50851100001</v>
      </c>
      <c r="CD33" s="31">
        <v>115091.094384</v>
      </c>
      <c r="CE33" s="414">
        <v>50866.76470588235</v>
      </c>
      <c r="CF33" s="31">
        <v>59476.686110000002</v>
      </c>
      <c r="CG33" s="31">
        <v>60031.297186000003</v>
      </c>
      <c r="CH33" s="414">
        <v>26233.176470588234</v>
      </c>
      <c r="CI33" s="31">
        <v>75882.323504999993</v>
      </c>
      <c r="CJ33" s="31">
        <v>76454.273855000007</v>
      </c>
      <c r="CK33" s="414">
        <v>33728.588235294112</v>
      </c>
      <c r="CL33" s="31">
        <v>36301.228990000003</v>
      </c>
      <c r="CM33" s="31">
        <v>36689.426743999997</v>
      </c>
      <c r="CN33" s="414">
        <v>16068.529411764706</v>
      </c>
      <c r="CO33" s="31">
        <v>144595.654939</v>
      </c>
      <c r="CP33" s="31">
        <v>145340.570217</v>
      </c>
      <c r="CQ33" s="414">
        <v>70694</v>
      </c>
      <c r="CR33" s="31">
        <v>76421.957471000002</v>
      </c>
      <c r="CS33" s="31">
        <v>77003.550948000004</v>
      </c>
      <c r="CT33" s="414">
        <v>36320.941176470587</v>
      </c>
      <c r="CU33" s="415">
        <v>976.34545600000001</v>
      </c>
      <c r="CV33" s="415">
        <v>435.55803400000002</v>
      </c>
      <c r="CW33" s="415">
        <v>601.69136500000002</v>
      </c>
      <c r="CX33" s="415">
        <v>200.17703900000001</v>
      </c>
      <c r="CY33" s="415">
        <v>1002.716158</v>
      </c>
      <c r="CZ33" s="415">
        <v>426.71350100000001</v>
      </c>
      <c r="DA33" s="415">
        <v>1562.6377629999999</v>
      </c>
      <c r="DB33" s="415">
        <v>755.48965799999996</v>
      </c>
      <c r="DC33" s="415">
        <v>767.34928600000001</v>
      </c>
      <c r="DD33" s="415">
        <v>293.47991999999999</v>
      </c>
      <c r="DE33" s="415">
        <v>949.52466000000004</v>
      </c>
      <c r="DF33" s="415">
        <v>379.89707099999998</v>
      </c>
      <c r="DG33" s="415">
        <v>574.68490599999996</v>
      </c>
      <c r="DH33" s="415">
        <v>158.48514499999999</v>
      </c>
      <c r="DI33" s="415">
        <v>962.55607799999996</v>
      </c>
      <c r="DJ33" s="415">
        <v>358.31594799999999</v>
      </c>
      <c r="DK33" s="415">
        <v>1545.7465609999999</v>
      </c>
      <c r="DL33" s="415">
        <v>701.96116800000004</v>
      </c>
      <c r="DM33" s="415">
        <v>719.807186</v>
      </c>
      <c r="DN33" s="415">
        <v>220.41500500000001</v>
      </c>
      <c r="DO33" s="415">
        <v>20129.374403999998</v>
      </c>
      <c r="DP33" s="415">
        <v>9630.4718489999996</v>
      </c>
      <c r="DQ33" s="415">
        <v>14437.625153999999</v>
      </c>
      <c r="DR33" s="415">
        <v>6072.7065149999999</v>
      </c>
      <c r="DS33" s="415">
        <v>19829.105114999998</v>
      </c>
      <c r="DT33" s="415">
        <v>8170.1167820000001</v>
      </c>
      <c r="DU33" s="415">
        <v>28886.372259</v>
      </c>
      <c r="DV33" s="415">
        <v>12815.281849999999</v>
      </c>
      <c r="DW33" s="415">
        <v>16424.610127</v>
      </c>
      <c r="DX33" s="415">
        <v>6623.5655210000004</v>
      </c>
    </row>
    <row r="34" spans="2:128" ht="15">
      <c r="B34" s="425" t="s">
        <v>610</v>
      </c>
      <c r="C34" s="249" t="s">
        <v>611</v>
      </c>
      <c r="D34" s="249" t="s">
        <v>174</v>
      </c>
      <c r="E34" s="426">
        <v>18</v>
      </c>
      <c r="F34" s="249" t="s">
        <v>605</v>
      </c>
      <c r="G34" s="252" t="s">
        <v>599</v>
      </c>
      <c r="H34" t="s">
        <v>610</v>
      </c>
      <c r="I34" s="31">
        <v>4607.9152519999998</v>
      </c>
      <c r="J34" s="31">
        <v>4900.6711370000003</v>
      </c>
      <c r="K34" s="414">
        <v>1722.4117647058824</v>
      </c>
      <c r="L34" s="31">
        <v>3867.3028690000001</v>
      </c>
      <c r="M34" s="31">
        <v>4110.7582970000003</v>
      </c>
      <c r="N34" s="414">
        <v>1450.4117647058824</v>
      </c>
      <c r="O34" s="31">
        <v>5025.0975580000004</v>
      </c>
      <c r="P34" s="31">
        <v>5346.0862649999999</v>
      </c>
      <c r="Q34" s="414">
        <v>1882.3529411764707</v>
      </c>
      <c r="R34" s="31">
        <v>4201.1388189999998</v>
      </c>
      <c r="S34" s="31">
        <v>4466.9757149999996</v>
      </c>
      <c r="T34" s="414">
        <v>1579.4117647058824</v>
      </c>
      <c r="U34" s="31">
        <v>9471.2532609999998</v>
      </c>
      <c r="V34" s="31">
        <v>9990.5524619999997</v>
      </c>
      <c r="W34" s="414">
        <v>4215.2352941176468</v>
      </c>
      <c r="X34" s="31">
        <v>8158.1539750000002</v>
      </c>
      <c r="Y34" s="31">
        <v>8603.7132579999998</v>
      </c>
      <c r="Z34" s="414">
        <v>3574.8235294117649</v>
      </c>
      <c r="AA34" s="31">
        <v>6630.8442510000004</v>
      </c>
      <c r="AB34" s="31">
        <v>7023.9486489999999</v>
      </c>
      <c r="AC34" s="414">
        <v>2931.8823529411766</v>
      </c>
      <c r="AD34" s="31">
        <v>5703.6828159999995</v>
      </c>
      <c r="AE34" s="31">
        <v>6039.3187399999997</v>
      </c>
      <c r="AF34" s="414">
        <v>2492.8235294117649</v>
      </c>
      <c r="AG34" s="31">
        <v>11820.548572</v>
      </c>
      <c r="AH34" s="31">
        <v>12421.185598</v>
      </c>
      <c r="AI34" s="414">
        <v>5809.8235294117649</v>
      </c>
      <c r="AJ34" s="31">
        <v>10146.583692</v>
      </c>
      <c r="AK34" s="31">
        <v>10660.198053</v>
      </c>
      <c r="AL34" s="414">
        <v>4817.4117647058829</v>
      </c>
      <c r="AM34" s="31">
        <v>4670.0149680000004</v>
      </c>
      <c r="AN34" s="31">
        <v>4913.0800049999998</v>
      </c>
      <c r="AO34" s="414">
        <v>1876.1764705882351</v>
      </c>
      <c r="AP34" s="31">
        <v>3967.9343600000002</v>
      </c>
      <c r="AQ34" s="31">
        <v>4173.8940620000003</v>
      </c>
      <c r="AR34" s="414">
        <v>1597.1176470588234</v>
      </c>
      <c r="AS34" s="31">
        <v>5105.1759480000001</v>
      </c>
      <c r="AT34" s="31">
        <v>5373.2039269999996</v>
      </c>
      <c r="AU34" s="414">
        <v>2058.1176470588234</v>
      </c>
      <c r="AV34" s="31">
        <v>4325.3048989999998</v>
      </c>
      <c r="AW34" s="31">
        <v>4551.8873720000001</v>
      </c>
      <c r="AX34" s="414">
        <v>1745.5882352941176</v>
      </c>
      <c r="AY34" s="31">
        <v>9640.6377799999991</v>
      </c>
      <c r="AZ34" s="31">
        <v>10149.645689999999</v>
      </c>
      <c r="BA34" s="414">
        <v>4799.2352941176468</v>
      </c>
      <c r="BB34" s="31">
        <v>8385.7750570000007</v>
      </c>
      <c r="BC34" s="31">
        <v>8827.7120529999993</v>
      </c>
      <c r="BD34" s="414">
        <v>4055.5882352941176</v>
      </c>
      <c r="BE34" s="31">
        <v>6765.5400220000001</v>
      </c>
      <c r="BF34" s="31">
        <v>7123.0746429999999</v>
      </c>
      <c r="BG34" s="414">
        <v>3314.3529411764707</v>
      </c>
      <c r="BH34" s="31">
        <v>5883.0054460000001</v>
      </c>
      <c r="BI34" s="31">
        <v>6193.0824709999997</v>
      </c>
      <c r="BJ34" s="414">
        <v>2811.8823529411766</v>
      </c>
      <c r="BK34" s="31">
        <v>12148.271192</v>
      </c>
      <c r="BL34" s="31">
        <v>12786.274563000001</v>
      </c>
      <c r="BM34" s="414">
        <v>6812.2941176470595</v>
      </c>
      <c r="BN34" s="31">
        <v>10537.950832</v>
      </c>
      <c r="BO34" s="31">
        <v>11090.803974</v>
      </c>
      <c r="BP34" s="414">
        <v>5616.1764705882351</v>
      </c>
      <c r="BQ34" s="31">
        <v>51590.064940999997</v>
      </c>
      <c r="BR34" s="31">
        <v>52069.395173999997</v>
      </c>
      <c r="BS34" s="414">
        <v>19261.23529411765</v>
      </c>
      <c r="BT34" s="31">
        <v>32989.282577999998</v>
      </c>
      <c r="BU34" s="31">
        <v>33353.392387</v>
      </c>
      <c r="BV34" s="414">
        <v>12409.882352941175</v>
      </c>
      <c r="BW34" s="31">
        <v>56693.863231000003</v>
      </c>
      <c r="BX34" s="31">
        <v>57251.771271999998</v>
      </c>
      <c r="BY34" s="414">
        <v>21145.470588235294</v>
      </c>
      <c r="BZ34" s="31">
        <v>35967.580586999997</v>
      </c>
      <c r="CA34" s="31">
        <v>36386.998894999997</v>
      </c>
      <c r="CB34" s="414">
        <v>13537.882352941175</v>
      </c>
      <c r="CC34" s="31">
        <v>114357.50851100001</v>
      </c>
      <c r="CD34" s="31">
        <v>115091.094384</v>
      </c>
      <c r="CE34" s="414">
        <v>50866.76470588235</v>
      </c>
      <c r="CF34" s="31">
        <v>82741.552637999994</v>
      </c>
      <c r="CG34" s="31">
        <v>83422.423525000006</v>
      </c>
      <c r="CH34" s="414">
        <v>36303.705882352937</v>
      </c>
      <c r="CI34" s="31">
        <v>75882.323504999993</v>
      </c>
      <c r="CJ34" s="31">
        <v>76454.273855000007</v>
      </c>
      <c r="CK34" s="414">
        <v>33728.588235294112</v>
      </c>
      <c r="CL34" s="31">
        <v>52932.070577999999</v>
      </c>
      <c r="CM34" s="31">
        <v>53450.656046999997</v>
      </c>
      <c r="CN34" s="414">
        <v>23334.705882352944</v>
      </c>
      <c r="CO34" s="31">
        <v>144595.654939</v>
      </c>
      <c r="CP34" s="31">
        <v>145340.570217</v>
      </c>
      <c r="CQ34" s="414">
        <v>70694</v>
      </c>
      <c r="CR34" s="31">
        <v>105569.05471900001</v>
      </c>
      <c r="CS34" s="31">
        <v>106262.86515699999</v>
      </c>
      <c r="CT34" s="414">
        <v>50070.705882352937</v>
      </c>
      <c r="CU34" s="415">
        <v>976.34545600000001</v>
      </c>
      <c r="CV34" s="415">
        <v>636.33066599999995</v>
      </c>
      <c r="CW34" s="415">
        <v>601.69136500000002</v>
      </c>
      <c r="CX34" s="415">
        <v>339.91933899999998</v>
      </c>
      <c r="CY34" s="415">
        <v>1002.716158</v>
      </c>
      <c r="CZ34" s="415">
        <v>635.939798</v>
      </c>
      <c r="DA34" s="415">
        <v>1562.6377629999999</v>
      </c>
      <c r="DB34" s="415">
        <v>1053.978593</v>
      </c>
      <c r="DC34" s="415">
        <v>767.34928600000001</v>
      </c>
      <c r="DD34" s="415">
        <v>464.07881900000001</v>
      </c>
      <c r="DE34" s="415">
        <v>949.52466000000004</v>
      </c>
      <c r="DF34" s="415">
        <v>592.18810299999996</v>
      </c>
      <c r="DG34" s="415">
        <v>574.68490599999996</v>
      </c>
      <c r="DH34" s="415">
        <v>301.93034899999998</v>
      </c>
      <c r="DI34" s="415">
        <v>962.55607799999996</v>
      </c>
      <c r="DJ34" s="415">
        <v>575.99899800000003</v>
      </c>
      <c r="DK34" s="415">
        <v>1545.7465609999999</v>
      </c>
      <c r="DL34" s="415">
        <v>1023.68936</v>
      </c>
      <c r="DM34" s="415">
        <v>719.807186</v>
      </c>
      <c r="DN34" s="415">
        <v>398.19795199999999</v>
      </c>
      <c r="DO34" s="415">
        <v>20129.374403999998</v>
      </c>
      <c r="DP34" s="415">
        <v>13381.215141000001</v>
      </c>
      <c r="DQ34" s="415">
        <v>14437.625153999999</v>
      </c>
      <c r="DR34" s="415">
        <v>8925.4418110000006</v>
      </c>
      <c r="DS34" s="415">
        <v>19829.105114999998</v>
      </c>
      <c r="DT34" s="415">
        <v>12340.005275</v>
      </c>
      <c r="DU34" s="415">
        <v>28886.372259</v>
      </c>
      <c r="DV34" s="415">
        <v>18745.014811000001</v>
      </c>
      <c r="DW34" s="415">
        <v>16424.610127</v>
      </c>
      <c r="DX34" s="415">
        <v>10006.388223</v>
      </c>
    </row>
    <row r="35" spans="2:128" ht="15">
      <c r="B35" s="425" t="s">
        <v>613</v>
      </c>
      <c r="C35" s="249" t="s">
        <v>614</v>
      </c>
      <c r="D35" s="249" t="s">
        <v>174</v>
      </c>
      <c r="E35" s="426">
        <v>19</v>
      </c>
      <c r="F35" s="427" t="s">
        <v>590</v>
      </c>
      <c r="G35" s="428" t="s">
        <v>615</v>
      </c>
      <c r="H35" t="s">
        <v>613</v>
      </c>
      <c r="I35" s="31">
        <v>4491.1412019999998</v>
      </c>
      <c r="J35" s="31">
        <v>4774.8140670000003</v>
      </c>
      <c r="K35" s="414">
        <v>1672.5294117647059</v>
      </c>
      <c r="L35" s="31">
        <v>3955.7951039999998</v>
      </c>
      <c r="M35" s="31">
        <v>4204.9609119999996</v>
      </c>
      <c r="N35" s="414">
        <v>1481.7647058823529</v>
      </c>
      <c r="O35" s="31">
        <v>4888.0242909999997</v>
      </c>
      <c r="P35" s="31">
        <v>5198.4150200000004</v>
      </c>
      <c r="Q35" s="414">
        <v>1824.4705882352941</v>
      </c>
      <c r="R35" s="31">
        <v>4298.7588910000004</v>
      </c>
      <c r="S35" s="31">
        <v>4570.8859570000004</v>
      </c>
      <c r="T35" s="414">
        <v>1614.7647058823529</v>
      </c>
      <c r="U35" s="31">
        <v>9193.5438790000007</v>
      </c>
      <c r="V35" s="31">
        <v>9698.1407359999994</v>
      </c>
      <c r="W35" s="414">
        <v>4031.9411764705883</v>
      </c>
      <c r="X35" s="31">
        <v>8306.0944799999997</v>
      </c>
      <c r="Y35" s="31">
        <v>8760.0974800000004</v>
      </c>
      <c r="Z35" s="414">
        <v>3639.1764705882351</v>
      </c>
      <c r="AA35" s="31">
        <v>6519.3356750000003</v>
      </c>
      <c r="AB35" s="31">
        <v>6904.9604660000005</v>
      </c>
      <c r="AC35" s="414">
        <v>2839.0588235294117</v>
      </c>
      <c r="AD35" s="31">
        <v>5819.863891</v>
      </c>
      <c r="AE35" s="31">
        <v>6162.6208479999996</v>
      </c>
      <c r="AF35" s="414">
        <v>2541.705882352941</v>
      </c>
      <c r="AG35" s="31">
        <v>11395.732352000001</v>
      </c>
      <c r="AH35" s="31">
        <v>11975.966630000001</v>
      </c>
      <c r="AI35" s="414">
        <v>5461.5294117647063</v>
      </c>
      <c r="AJ35" s="31">
        <v>10325.074473000001</v>
      </c>
      <c r="AK35" s="31">
        <v>10848.215994</v>
      </c>
      <c r="AL35" s="414">
        <v>4907.3529411764703</v>
      </c>
      <c r="AM35" s="31">
        <v>4588.4417720000001</v>
      </c>
      <c r="AN35" s="31">
        <v>4826.523083</v>
      </c>
      <c r="AO35" s="414">
        <v>1831.7647058823529</v>
      </c>
      <c r="AP35" s="31">
        <v>4056.1035689999999</v>
      </c>
      <c r="AQ35" s="31">
        <v>4266.6285740000003</v>
      </c>
      <c r="AR35" s="414">
        <v>1630.4705882352941</v>
      </c>
      <c r="AS35" s="31">
        <v>5006.6838500000003</v>
      </c>
      <c r="AT35" s="31">
        <v>5268.8204079999996</v>
      </c>
      <c r="AU35" s="414">
        <v>2004.6470588235293</v>
      </c>
      <c r="AV35" s="31">
        <v>4422.2918129999998</v>
      </c>
      <c r="AW35" s="31">
        <v>4653.9355580000001</v>
      </c>
      <c r="AX35" s="414">
        <v>1782.4705882352941</v>
      </c>
      <c r="AY35" s="31">
        <v>9415.4472979999991</v>
      </c>
      <c r="AZ35" s="31">
        <v>9911.644096</v>
      </c>
      <c r="BA35" s="414">
        <v>4580.0588235294117</v>
      </c>
      <c r="BB35" s="31">
        <v>8532.8591560000004</v>
      </c>
      <c r="BC35" s="31">
        <v>8982.5477609999998</v>
      </c>
      <c r="BD35" s="414">
        <v>4129</v>
      </c>
      <c r="BE35" s="31">
        <v>6688.8165079999999</v>
      </c>
      <c r="BF35" s="31">
        <v>7041.3598709999997</v>
      </c>
      <c r="BG35" s="414">
        <v>3202.8823529411766</v>
      </c>
      <c r="BH35" s="31">
        <v>5997.8894780000001</v>
      </c>
      <c r="BI35" s="31">
        <v>6314.0215170000001</v>
      </c>
      <c r="BJ35" s="414">
        <v>2866.2941176470586</v>
      </c>
      <c r="BK35" s="31">
        <v>11777.349455</v>
      </c>
      <c r="BL35" s="31">
        <v>12395.239799000001</v>
      </c>
      <c r="BM35" s="414">
        <v>6388.2352941176468</v>
      </c>
      <c r="BN35" s="31">
        <v>10714.992091</v>
      </c>
      <c r="BO35" s="31">
        <v>11277.136208</v>
      </c>
      <c r="BP35" s="414">
        <v>5724.6470588235297</v>
      </c>
      <c r="BQ35" s="31">
        <v>46265.214207999998</v>
      </c>
      <c r="BR35" s="31">
        <v>46724.183965999997</v>
      </c>
      <c r="BS35" s="414">
        <v>17095</v>
      </c>
      <c r="BT35" s="31">
        <v>34831.493007999998</v>
      </c>
      <c r="BU35" s="31">
        <v>35210.554519999998</v>
      </c>
      <c r="BV35" s="414">
        <v>13064.588235294117</v>
      </c>
      <c r="BW35" s="31">
        <v>50562.285325999997</v>
      </c>
      <c r="BX35" s="31">
        <v>51098.355793000002</v>
      </c>
      <c r="BY35" s="414">
        <v>18692.235294117647</v>
      </c>
      <c r="BZ35" s="31">
        <v>38005.132913000001</v>
      </c>
      <c r="CA35" s="31">
        <v>38443.380395</v>
      </c>
      <c r="CB35" s="414">
        <v>14265.823529411766</v>
      </c>
      <c r="CC35" s="31">
        <v>105129.866914</v>
      </c>
      <c r="CD35" s="31">
        <v>105873.13903799999</v>
      </c>
      <c r="CE35" s="414">
        <v>45803.941176470587</v>
      </c>
      <c r="CF35" s="31">
        <v>85890.979806999996</v>
      </c>
      <c r="CG35" s="31">
        <v>86582.170213000005</v>
      </c>
      <c r="CH35" s="414">
        <v>37641.294117647063</v>
      </c>
      <c r="CI35" s="31">
        <v>69943.200922999997</v>
      </c>
      <c r="CJ35" s="31">
        <v>70527.104212999999</v>
      </c>
      <c r="CK35" s="414">
        <v>30461.352941176468</v>
      </c>
      <c r="CL35" s="31">
        <v>55316.437658000003</v>
      </c>
      <c r="CM35" s="31">
        <v>55846.039419000001</v>
      </c>
      <c r="CN35" s="414">
        <v>24336.882352941175</v>
      </c>
      <c r="CO35" s="31">
        <v>132323.105442</v>
      </c>
      <c r="CP35" s="31">
        <v>133074.786135</v>
      </c>
      <c r="CQ35" s="414">
        <v>62765.470588235294</v>
      </c>
      <c r="CR35" s="31">
        <v>109373.03223700001</v>
      </c>
      <c r="CS35" s="31">
        <v>110076.823959</v>
      </c>
      <c r="CT35" s="414">
        <v>51845.411764705881</v>
      </c>
      <c r="CU35" s="415">
        <v>661.27331400000003</v>
      </c>
      <c r="CV35" s="415">
        <v>639.71509400000002</v>
      </c>
      <c r="CW35" s="415">
        <v>351.56946799999997</v>
      </c>
      <c r="CX35" s="415">
        <v>341.39453800000001</v>
      </c>
      <c r="CY35" s="415">
        <v>671.99633600000004</v>
      </c>
      <c r="CZ35" s="415">
        <v>640.97263799999996</v>
      </c>
      <c r="DA35" s="415">
        <v>1118.069857</v>
      </c>
      <c r="DB35" s="415">
        <v>1063.03087</v>
      </c>
      <c r="DC35" s="415">
        <v>486.08438599999999</v>
      </c>
      <c r="DD35" s="415">
        <v>467.068918</v>
      </c>
      <c r="DE35" s="415">
        <v>621.32125799999994</v>
      </c>
      <c r="DF35" s="415">
        <v>596.19770100000005</v>
      </c>
      <c r="DG35" s="415">
        <v>316.19692600000002</v>
      </c>
      <c r="DH35" s="415">
        <v>303.80650800000001</v>
      </c>
      <c r="DI35" s="415">
        <v>616.30213400000002</v>
      </c>
      <c r="DJ35" s="415">
        <v>581.61966600000005</v>
      </c>
      <c r="DK35" s="415">
        <v>1092.965013</v>
      </c>
      <c r="DL35" s="415">
        <v>1033.5788319999999</v>
      </c>
      <c r="DM35" s="415">
        <v>425.437048</v>
      </c>
      <c r="DN35" s="415">
        <v>401.90262000000001</v>
      </c>
      <c r="DO35" s="415">
        <v>13479.102147</v>
      </c>
      <c r="DP35" s="415">
        <v>13382.086310999999</v>
      </c>
      <c r="DQ35" s="415">
        <v>8760.1124589999999</v>
      </c>
      <c r="DR35" s="415">
        <v>8888.5054110000001</v>
      </c>
      <c r="DS35" s="415">
        <v>12766.745007</v>
      </c>
      <c r="DT35" s="415">
        <v>12392.248382</v>
      </c>
      <c r="DU35" s="415">
        <v>19606.244594</v>
      </c>
      <c r="DV35" s="415">
        <v>18856.616671</v>
      </c>
      <c r="DW35" s="415">
        <v>10203.658878</v>
      </c>
      <c r="DX35" s="415">
        <v>10022.525319</v>
      </c>
    </row>
    <row r="36" spans="2:128" ht="15">
      <c r="B36" s="425" t="s">
        <v>617</v>
      </c>
      <c r="C36" s="249" t="s">
        <v>618</v>
      </c>
      <c r="D36" s="249" t="s">
        <v>174</v>
      </c>
      <c r="E36" s="426">
        <v>20</v>
      </c>
      <c r="F36" s="427" t="s">
        <v>619</v>
      </c>
      <c r="G36" s="428" t="s">
        <v>615</v>
      </c>
      <c r="H36" t="s">
        <v>617</v>
      </c>
      <c r="I36" s="31">
        <v>7825.970378</v>
      </c>
      <c r="J36" s="31">
        <v>8326.8616230000007</v>
      </c>
      <c r="K36" s="414">
        <v>2836.8235294117649</v>
      </c>
      <c r="L36" s="31">
        <v>3955.7951039999998</v>
      </c>
      <c r="M36" s="31">
        <v>4204.9609119999996</v>
      </c>
      <c r="N36" s="414">
        <v>1481.7647058823529</v>
      </c>
      <c r="O36" s="31">
        <v>8535.3809789999996</v>
      </c>
      <c r="P36" s="31">
        <v>9084.8936520000007</v>
      </c>
      <c r="Q36" s="414">
        <v>3105</v>
      </c>
      <c r="R36" s="31">
        <v>4298.7588910000004</v>
      </c>
      <c r="S36" s="31">
        <v>4570.8859570000004</v>
      </c>
      <c r="T36" s="414">
        <v>1614.7647058823529</v>
      </c>
      <c r="U36" s="31">
        <v>14638.546759000001</v>
      </c>
      <c r="V36" s="31">
        <v>15456.590389000001</v>
      </c>
      <c r="W36" s="414">
        <v>6812.4117647058829</v>
      </c>
      <c r="X36" s="31">
        <v>8306.0944799999997</v>
      </c>
      <c r="Y36" s="31">
        <v>8760.0974800000004</v>
      </c>
      <c r="Z36" s="414">
        <v>3639.1764705882351</v>
      </c>
      <c r="AA36" s="31">
        <v>10820.853454</v>
      </c>
      <c r="AB36" s="31">
        <v>11473.627157999999</v>
      </c>
      <c r="AC36" s="414">
        <v>4901</v>
      </c>
      <c r="AD36" s="31">
        <v>5819.863891</v>
      </c>
      <c r="AE36" s="31">
        <v>6162.6208479999996</v>
      </c>
      <c r="AF36" s="414">
        <v>2541.705882352941</v>
      </c>
      <c r="AG36" s="31">
        <v>17938.528105000001</v>
      </c>
      <c r="AH36" s="31">
        <v>18871.802817</v>
      </c>
      <c r="AI36" s="414">
        <v>9560.2941176470595</v>
      </c>
      <c r="AJ36" s="31">
        <v>10325.074473000001</v>
      </c>
      <c r="AK36" s="31">
        <v>10848.215994</v>
      </c>
      <c r="AL36" s="414">
        <v>4907.3529411764703</v>
      </c>
      <c r="AM36" s="31">
        <v>7874.9236110000002</v>
      </c>
      <c r="AN36" s="31">
        <v>8283.1738069999992</v>
      </c>
      <c r="AO36" s="414">
        <v>3074.1176470588234</v>
      </c>
      <c r="AP36" s="31">
        <v>4056.1035689999999</v>
      </c>
      <c r="AQ36" s="31">
        <v>4266.6285740000003</v>
      </c>
      <c r="AR36" s="414">
        <v>1630.4705882352941</v>
      </c>
      <c r="AS36" s="31">
        <v>8598.7965769999992</v>
      </c>
      <c r="AT36" s="31">
        <v>9048.3955040000001</v>
      </c>
      <c r="AU36" s="414">
        <v>3387.8823529411766</v>
      </c>
      <c r="AV36" s="31">
        <v>4422.2918129999998</v>
      </c>
      <c r="AW36" s="31">
        <v>4653.9355580000001</v>
      </c>
      <c r="AX36" s="414">
        <v>1782.4705882352941</v>
      </c>
      <c r="AY36" s="31">
        <v>14780.989398</v>
      </c>
      <c r="AZ36" s="31">
        <v>15560.10802</v>
      </c>
      <c r="BA36" s="414">
        <v>7965.7647058823532</v>
      </c>
      <c r="BB36" s="31">
        <v>8532.8591560000004</v>
      </c>
      <c r="BC36" s="31">
        <v>8982.5477609999998</v>
      </c>
      <c r="BD36" s="414">
        <v>4129</v>
      </c>
      <c r="BE36" s="31">
        <v>10925.717945</v>
      </c>
      <c r="BF36" s="31">
        <v>11501.684934000001</v>
      </c>
      <c r="BG36" s="414">
        <v>5636.3529411764703</v>
      </c>
      <c r="BH36" s="31">
        <v>5997.8894780000001</v>
      </c>
      <c r="BI36" s="31">
        <v>6314.0215170000001</v>
      </c>
      <c r="BJ36" s="414">
        <v>2866.2941176470586</v>
      </c>
      <c r="BK36" s="31">
        <v>18250.645433000002</v>
      </c>
      <c r="BL36" s="31">
        <v>19208.36031</v>
      </c>
      <c r="BM36" s="414">
        <v>11261.882352941177</v>
      </c>
      <c r="BN36" s="31">
        <v>10714.992091</v>
      </c>
      <c r="BO36" s="31">
        <v>11277.136208</v>
      </c>
      <c r="BP36" s="414">
        <v>5724.6470588235297</v>
      </c>
      <c r="BQ36" s="31">
        <v>121556.776073</v>
      </c>
      <c r="BR36" s="31">
        <v>122249.364365</v>
      </c>
      <c r="BS36" s="414">
        <v>43023.470588235294</v>
      </c>
      <c r="BT36" s="31">
        <v>34831.493007999998</v>
      </c>
      <c r="BU36" s="31">
        <v>35210.554519999998</v>
      </c>
      <c r="BV36" s="414">
        <v>13064.588235294117</v>
      </c>
      <c r="BW36" s="31">
        <v>132841.67286399999</v>
      </c>
      <c r="BX36" s="31">
        <v>133635.61981900001</v>
      </c>
      <c r="BY36" s="414">
        <v>47177.705882352937</v>
      </c>
      <c r="BZ36" s="31">
        <v>38005.132913000001</v>
      </c>
      <c r="CA36" s="31">
        <v>38443.380395</v>
      </c>
      <c r="CB36" s="414">
        <v>14265.823529411766</v>
      </c>
      <c r="CC36" s="31">
        <v>225000.063135</v>
      </c>
      <c r="CD36" s="31">
        <v>225905.57094800001</v>
      </c>
      <c r="CE36" s="414">
        <v>104105.29411764706</v>
      </c>
      <c r="CF36" s="31">
        <v>85890.979806999996</v>
      </c>
      <c r="CG36" s="31">
        <v>86582.170213000005</v>
      </c>
      <c r="CH36" s="414">
        <v>37641.294117647063</v>
      </c>
      <c r="CI36" s="31">
        <v>165111.201394</v>
      </c>
      <c r="CJ36" s="31">
        <v>165869.59573100001</v>
      </c>
      <c r="CK36" s="414">
        <v>73807.176470588238</v>
      </c>
      <c r="CL36" s="31">
        <v>55316.437658000003</v>
      </c>
      <c r="CM36" s="31">
        <v>55846.039419000001</v>
      </c>
      <c r="CN36" s="414">
        <v>24336.882352941175</v>
      </c>
      <c r="CO36" s="31">
        <v>275284.97769500001</v>
      </c>
      <c r="CP36" s="31">
        <v>276179.74037299998</v>
      </c>
      <c r="CQ36" s="414">
        <v>146101.88235294117</v>
      </c>
      <c r="CR36" s="31">
        <v>109373.03223700001</v>
      </c>
      <c r="CS36" s="31">
        <v>110076.823959</v>
      </c>
      <c r="CT36" s="414">
        <v>51845.411764705881</v>
      </c>
      <c r="CU36" s="415">
        <v>884.72990000000004</v>
      </c>
      <c r="CV36" s="415">
        <v>639.71509400000002</v>
      </c>
      <c r="CW36" s="415">
        <v>489.382632</v>
      </c>
      <c r="CX36" s="415">
        <v>341.39453800000001</v>
      </c>
      <c r="CY36" s="415">
        <v>948.12310600000001</v>
      </c>
      <c r="CZ36" s="415">
        <v>640.97263799999996</v>
      </c>
      <c r="DA36" s="415">
        <v>1537.305384</v>
      </c>
      <c r="DB36" s="415">
        <v>1063.03087</v>
      </c>
      <c r="DC36" s="415">
        <v>698.73234000000002</v>
      </c>
      <c r="DD36" s="415">
        <v>467.068918</v>
      </c>
      <c r="DE36" s="415">
        <v>857.20248400000003</v>
      </c>
      <c r="DF36" s="415">
        <v>596.19770100000005</v>
      </c>
      <c r="DG36" s="415">
        <v>463.97898500000002</v>
      </c>
      <c r="DH36" s="415">
        <v>303.80650800000001</v>
      </c>
      <c r="DI36" s="415">
        <v>908.11347999999998</v>
      </c>
      <c r="DJ36" s="415">
        <v>581.61966600000005</v>
      </c>
      <c r="DK36" s="415">
        <v>1507.1004230000001</v>
      </c>
      <c r="DL36" s="415">
        <v>1033.5788319999999</v>
      </c>
      <c r="DM36" s="415">
        <v>656.63690599999995</v>
      </c>
      <c r="DN36" s="415">
        <v>401.90262000000001</v>
      </c>
      <c r="DO36" s="415">
        <v>17223.303116999999</v>
      </c>
      <c r="DP36" s="415">
        <v>13382.086310999999</v>
      </c>
      <c r="DQ36" s="415">
        <v>11071.662509</v>
      </c>
      <c r="DR36" s="415">
        <v>8888.5054110000001</v>
      </c>
      <c r="DS36" s="415">
        <v>17765.360318999999</v>
      </c>
      <c r="DT36" s="415">
        <v>12392.248382</v>
      </c>
      <c r="DU36" s="415">
        <v>27001.310495999998</v>
      </c>
      <c r="DV36" s="415">
        <v>18856.616671</v>
      </c>
      <c r="DW36" s="415">
        <v>14316.748353999999</v>
      </c>
      <c r="DX36" s="415">
        <v>10022.525319</v>
      </c>
    </row>
    <row r="37" spans="2:128" ht="15">
      <c r="B37" s="425" t="s">
        <v>621</v>
      </c>
      <c r="C37" s="249" t="s">
        <v>622</v>
      </c>
      <c r="D37" s="249" t="s">
        <v>174</v>
      </c>
      <c r="E37" s="426">
        <v>21</v>
      </c>
      <c r="F37" s="427" t="s">
        <v>623</v>
      </c>
      <c r="G37" s="428" t="s">
        <v>615</v>
      </c>
      <c r="H37" t="s">
        <v>621</v>
      </c>
      <c r="I37" s="31">
        <v>6188.3012849999996</v>
      </c>
      <c r="J37" s="31">
        <v>6583.1671550000001</v>
      </c>
      <c r="K37" s="414">
        <v>2274.2941176470586</v>
      </c>
      <c r="L37" s="31">
        <v>3955.7951039999998</v>
      </c>
      <c r="M37" s="31">
        <v>4204.9609119999996</v>
      </c>
      <c r="N37" s="414">
        <v>1481.7647058823529</v>
      </c>
      <c r="O37" s="31">
        <v>6748.8224280000004</v>
      </c>
      <c r="P37" s="31">
        <v>7182.2273910000004</v>
      </c>
      <c r="Q37" s="414">
        <v>2488.5882352941176</v>
      </c>
      <c r="R37" s="31">
        <v>4298.7588910000004</v>
      </c>
      <c r="S37" s="31">
        <v>4570.8859570000004</v>
      </c>
      <c r="T37" s="414">
        <v>1614.7647058823529</v>
      </c>
      <c r="U37" s="31">
        <v>12038.534001</v>
      </c>
      <c r="V37" s="31">
        <v>12705.637425999999</v>
      </c>
      <c r="W37" s="414">
        <v>5442.2941176470586</v>
      </c>
      <c r="X37" s="31">
        <v>8306.0944799999997</v>
      </c>
      <c r="Y37" s="31">
        <v>8760.0974800000004</v>
      </c>
      <c r="Z37" s="414">
        <v>3639.1764705882351</v>
      </c>
      <c r="AA37" s="31">
        <v>8689.3905770000001</v>
      </c>
      <c r="AB37" s="31">
        <v>9209.6654789999993</v>
      </c>
      <c r="AC37" s="414">
        <v>3871.1176470588234</v>
      </c>
      <c r="AD37" s="31">
        <v>5819.863891</v>
      </c>
      <c r="AE37" s="31">
        <v>6162.6208479999996</v>
      </c>
      <c r="AF37" s="414">
        <v>2541.705882352941</v>
      </c>
      <c r="AG37" s="31">
        <v>14884.321923</v>
      </c>
      <c r="AH37" s="31">
        <v>15650.388632</v>
      </c>
      <c r="AI37" s="414">
        <v>7612.8235294117649</v>
      </c>
      <c r="AJ37" s="31">
        <v>10325.074473000001</v>
      </c>
      <c r="AK37" s="31">
        <v>10848.215994</v>
      </c>
      <c r="AL37" s="414">
        <v>4907.3529411764703</v>
      </c>
      <c r="AM37" s="31">
        <v>6238.4104319999997</v>
      </c>
      <c r="AN37" s="31">
        <v>6562.550553</v>
      </c>
      <c r="AO37" s="414">
        <v>2462.2352941176468</v>
      </c>
      <c r="AP37" s="31">
        <v>4056.1035689999999</v>
      </c>
      <c r="AQ37" s="31">
        <v>4266.6285740000003</v>
      </c>
      <c r="AR37" s="414">
        <v>1630.4705882352941</v>
      </c>
      <c r="AS37" s="31">
        <v>6815.9306319999996</v>
      </c>
      <c r="AT37" s="31">
        <v>7173.127759</v>
      </c>
      <c r="AU37" s="414">
        <v>2705.0588235294117</v>
      </c>
      <c r="AV37" s="31">
        <v>4422.2918129999998</v>
      </c>
      <c r="AW37" s="31">
        <v>4653.9355580000001</v>
      </c>
      <c r="AX37" s="414">
        <v>1782.4705882352941</v>
      </c>
      <c r="AY37" s="31">
        <v>12195.448592000001</v>
      </c>
      <c r="AZ37" s="31">
        <v>12838.964459000001</v>
      </c>
      <c r="BA37" s="414">
        <v>6299.4705882352937</v>
      </c>
      <c r="BB37" s="31">
        <v>8532.8591560000004</v>
      </c>
      <c r="BC37" s="31">
        <v>8982.5477609999998</v>
      </c>
      <c r="BD37" s="414">
        <v>4129</v>
      </c>
      <c r="BE37" s="31">
        <v>8803.6794499999996</v>
      </c>
      <c r="BF37" s="31">
        <v>9268.4761020000005</v>
      </c>
      <c r="BG37" s="414">
        <v>4402.4705882352937</v>
      </c>
      <c r="BH37" s="31">
        <v>5997.8894780000001</v>
      </c>
      <c r="BI37" s="31">
        <v>6314.0215170000001</v>
      </c>
      <c r="BJ37" s="414">
        <v>2866.2941176470586</v>
      </c>
      <c r="BK37" s="31">
        <v>15199.469787</v>
      </c>
      <c r="BL37" s="31">
        <v>15997.508803000001</v>
      </c>
      <c r="BM37" s="414">
        <v>8962.5882352941189</v>
      </c>
      <c r="BN37" s="31">
        <v>10714.992091</v>
      </c>
      <c r="BO37" s="31">
        <v>11277.136208</v>
      </c>
      <c r="BP37" s="414">
        <v>5724.6470588235297</v>
      </c>
      <c r="BQ37" s="31">
        <v>85796.336880000003</v>
      </c>
      <c r="BR37" s="31">
        <v>86406.339391999994</v>
      </c>
      <c r="BS37" s="414">
        <v>31099.352941176472</v>
      </c>
      <c r="BT37" s="31">
        <v>34831.493007999998</v>
      </c>
      <c r="BU37" s="31">
        <v>35210.554519999998</v>
      </c>
      <c r="BV37" s="414">
        <v>13064.588235294117</v>
      </c>
      <c r="BW37" s="31">
        <v>93956.579652</v>
      </c>
      <c r="BX37" s="31">
        <v>94655.111948999998</v>
      </c>
      <c r="BY37" s="414">
        <v>34025.705882352937</v>
      </c>
      <c r="BZ37" s="31">
        <v>38005.132913000001</v>
      </c>
      <c r="CA37" s="31">
        <v>38443.380395</v>
      </c>
      <c r="CB37" s="414">
        <v>14265.823529411766</v>
      </c>
      <c r="CC37" s="31">
        <v>169469.39100999999</v>
      </c>
      <c r="CD37" s="31">
        <v>170302.71417799999</v>
      </c>
      <c r="CE37" s="414">
        <v>75846.882352941175</v>
      </c>
      <c r="CF37" s="31">
        <v>85890.979806999996</v>
      </c>
      <c r="CG37" s="31">
        <v>86582.170213000005</v>
      </c>
      <c r="CH37" s="414">
        <v>37641.294117647063</v>
      </c>
      <c r="CI37" s="31">
        <v>119601.762129</v>
      </c>
      <c r="CJ37" s="31">
        <v>120278.99756800001</v>
      </c>
      <c r="CK37" s="414">
        <v>52788</v>
      </c>
      <c r="CL37" s="31">
        <v>55316.437658000003</v>
      </c>
      <c r="CM37" s="31">
        <v>55846.039419000001</v>
      </c>
      <c r="CN37" s="414">
        <v>24336.882352941175</v>
      </c>
      <c r="CO37" s="31">
        <v>210094.411138</v>
      </c>
      <c r="CP37" s="31">
        <v>210924.32265099999</v>
      </c>
      <c r="CQ37" s="414">
        <v>106706.76470588235</v>
      </c>
      <c r="CR37" s="31">
        <v>109373.03223700001</v>
      </c>
      <c r="CS37" s="31">
        <v>110076.823959</v>
      </c>
      <c r="CT37" s="414">
        <v>51845.411764705881</v>
      </c>
      <c r="CU37" s="415">
        <v>968.21588999999994</v>
      </c>
      <c r="CV37" s="415">
        <v>639.71509400000002</v>
      </c>
      <c r="CW37" s="415">
        <v>573.782197</v>
      </c>
      <c r="CX37" s="415">
        <v>341.39453800000001</v>
      </c>
      <c r="CY37" s="415">
        <v>1016.480654</v>
      </c>
      <c r="CZ37" s="415">
        <v>640.97263799999996</v>
      </c>
      <c r="DA37" s="415">
        <v>1606.3658439999999</v>
      </c>
      <c r="DB37" s="415">
        <v>1063.03087</v>
      </c>
      <c r="DC37" s="415">
        <v>766.692902</v>
      </c>
      <c r="DD37" s="415">
        <v>467.068918</v>
      </c>
      <c r="DE37" s="415">
        <v>942.36713199999997</v>
      </c>
      <c r="DF37" s="415">
        <v>596.19770100000005</v>
      </c>
      <c r="DG37" s="415">
        <v>548.45416499999999</v>
      </c>
      <c r="DH37" s="415">
        <v>303.80650800000001</v>
      </c>
      <c r="DI37" s="415">
        <v>977.85448499999995</v>
      </c>
      <c r="DJ37" s="415">
        <v>581.61966600000005</v>
      </c>
      <c r="DK37" s="415">
        <v>1582.0176570000001</v>
      </c>
      <c r="DL37" s="415">
        <v>1033.5788319999999</v>
      </c>
      <c r="DM37" s="415">
        <v>723.48217799999998</v>
      </c>
      <c r="DN37" s="415">
        <v>401.90262000000001</v>
      </c>
      <c r="DO37" s="415">
        <v>19305.838283000001</v>
      </c>
      <c r="DP37" s="415">
        <v>13382.086310999999</v>
      </c>
      <c r="DQ37" s="415">
        <v>13238.257208000001</v>
      </c>
      <c r="DR37" s="415">
        <v>8888.5054110000001</v>
      </c>
      <c r="DS37" s="415">
        <v>19501.628865999999</v>
      </c>
      <c r="DT37" s="415">
        <v>12392.248382</v>
      </c>
      <c r="DU37" s="415">
        <v>28962.660446000002</v>
      </c>
      <c r="DV37" s="415">
        <v>18856.616671</v>
      </c>
      <c r="DW37" s="415">
        <v>15955.713383</v>
      </c>
      <c r="DX37" s="415">
        <v>10022.525319</v>
      </c>
    </row>
    <row r="38" spans="2:128" ht="15">
      <c r="B38" s="425" t="s">
        <v>625</v>
      </c>
      <c r="C38" s="249" t="s">
        <v>626</v>
      </c>
      <c r="D38" s="249" t="s">
        <v>174</v>
      </c>
      <c r="E38" s="426">
        <v>22</v>
      </c>
      <c r="F38" s="427" t="s">
        <v>619</v>
      </c>
      <c r="G38" s="428" t="s">
        <v>593</v>
      </c>
      <c r="H38" t="s">
        <v>625</v>
      </c>
      <c r="I38" s="31">
        <v>7825.970378</v>
      </c>
      <c r="J38" s="31">
        <v>8326.8616230000007</v>
      </c>
      <c r="K38" s="414">
        <v>2836.8235294117649</v>
      </c>
      <c r="L38" s="31">
        <v>4272.867886</v>
      </c>
      <c r="M38" s="31">
        <v>4542.4800240000004</v>
      </c>
      <c r="N38" s="414">
        <v>1595.8235294117646</v>
      </c>
      <c r="O38" s="31">
        <v>8535.3809789999996</v>
      </c>
      <c r="P38" s="31">
        <v>9084.8936520000007</v>
      </c>
      <c r="Q38" s="414">
        <v>3105</v>
      </c>
      <c r="R38" s="31">
        <v>4648.4807280000005</v>
      </c>
      <c r="S38" s="31">
        <v>4943.277478</v>
      </c>
      <c r="T38" s="414">
        <v>1739.2941176470588</v>
      </c>
      <c r="U38" s="31">
        <v>14638.546759000001</v>
      </c>
      <c r="V38" s="31">
        <v>15456.590389000001</v>
      </c>
      <c r="W38" s="414">
        <v>6812.4117647058829</v>
      </c>
      <c r="X38" s="31">
        <v>8835.0592809999998</v>
      </c>
      <c r="Y38" s="31">
        <v>9319.136724</v>
      </c>
      <c r="Z38" s="414">
        <v>3873.2352941176468</v>
      </c>
      <c r="AA38" s="31">
        <v>10820.853454</v>
      </c>
      <c r="AB38" s="31">
        <v>11473.627157999999</v>
      </c>
      <c r="AC38" s="414">
        <v>4901</v>
      </c>
      <c r="AD38" s="31">
        <v>6234.4732780000004</v>
      </c>
      <c r="AE38" s="31">
        <v>6602.6290870000003</v>
      </c>
      <c r="AF38" s="414">
        <v>2717.8235294117649</v>
      </c>
      <c r="AG38" s="31">
        <v>17938.528105000001</v>
      </c>
      <c r="AH38" s="31">
        <v>18871.802817</v>
      </c>
      <c r="AI38" s="414">
        <v>9560.2941176470595</v>
      </c>
      <c r="AJ38" s="31">
        <v>10964.710396</v>
      </c>
      <c r="AK38" s="31">
        <v>11521.854078</v>
      </c>
      <c r="AL38" s="414">
        <v>5235.5882352941171</v>
      </c>
      <c r="AM38" s="31">
        <v>7874.9236110000002</v>
      </c>
      <c r="AN38" s="31">
        <v>8283.1738069999992</v>
      </c>
      <c r="AO38" s="414">
        <v>3074.1176470588234</v>
      </c>
      <c r="AP38" s="31">
        <v>4371.4606869999998</v>
      </c>
      <c r="AQ38" s="31">
        <v>4598.3255669999999</v>
      </c>
      <c r="AR38" s="414">
        <v>1750.0588235294117</v>
      </c>
      <c r="AS38" s="31">
        <v>8598.7965769999992</v>
      </c>
      <c r="AT38" s="31">
        <v>9048.3955040000001</v>
      </c>
      <c r="AU38" s="414">
        <v>3387.8823529411766</v>
      </c>
      <c r="AV38" s="31">
        <v>4768.6037120000001</v>
      </c>
      <c r="AW38" s="31">
        <v>5018.3332879999998</v>
      </c>
      <c r="AX38" s="414">
        <v>1914.4705882352941</v>
      </c>
      <c r="AY38" s="31">
        <v>14780.989398</v>
      </c>
      <c r="AZ38" s="31">
        <v>15560.10802</v>
      </c>
      <c r="BA38" s="414">
        <v>7965.7647058823532</v>
      </c>
      <c r="BB38" s="31">
        <v>9058.1124999999993</v>
      </c>
      <c r="BC38" s="31">
        <v>9535.5001520000005</v>
      </c>
      <c r="BD38" s="414">
        <v>4397.2352941176468</v>
      </c>
      <c r="BE38" s="31">
        <v>10925.717945</v>
      </c>
      <c r="BF38" s="31">
        <v>11501.684934000001</v>
      </c>
      <c r="BG38" s="414">
        <v>5636.3529411764703</v>
      </c>
      <c r="BH38" s="31">
        <v>6407.4293980000002</v>
      </c>
      <c r="BI38" s="31">
        <v>6745.1643119999999</v>
      </c>
      <c r="BJ38" s="414">
        <v>3065.0588235294117</v>
      </c>
      <c r="BK38" s="31">
        <v>18250.645433000002</v>
      </c>
      <c r="BL38" s="31">
        <v>19208.36031</v>
      </c>
      <c r="BM38" s="414">
        <v>11261.882352941177</v>
      </c>
      <c r="BN38" s="31">
        <v>11348.958909999999</v>
      </c>
      <c r="BO38" s="31">
        <v>11944.385966</v>
      </c>
      <c r="BP38" s="414">
        <v>6119.7058823529405</v>
      </c>
      <c r="BQ38" s="31">
        <v>121556.776073</v>
      </c>
      <c r="BR38" s="31">
        <v>122249.364365</v>
      </c>
      <c r="BS38" s="414">
        <v>43023.470588235294</v>
      </c>
      <c r="BT38" s="31">
        <v>41605.413188999999</v>
      </c>
      <c r="BU38" s="31">
        <v>42034.392064</v>
      </c>
      <c r="BV38" s="414">
        <v>15465.352941176472</v>
      </c>
      <c r="BW38" s="31">
        <v>132841.67286399999</v>
      </c>
      <c r="BX38" s="31">
        <v>133635.61981900001</v>
      </c>
      <c r="BY38" s="414">
        <v>47177.705882352937</v>
      </c>
      <c r="BZ38" s="31">
        <v>45452.966907000002</v>
      </c>
      <c r="CA38" s="31">
        <v>45953.011257999999</v>
      </c>
      <c r="CB38" s="414">
        <v>16901.705882352941</v>
      </c>
      <c r="CC38" s="31">
        <v>225000.063135</v>
      </c>
      <c r="CD38" s="31">
        <v>225905.57094800001</v>
      </c>
      <c r="CE38" s="414">
        <v>104105.29411764706</v>
      </c>
      <c r="CF38" s="31">
        <v>97357.902963</v>
      </c>
      <c r="CG38" s="31">
        <v>98081.535877999995</v>
      </c>
      <c r="CH38" s="414">
        <v>42501.117647058825</v>
      </c>
      <c r="CI38" s="31">
        <v>165111.201394</v>
      </c>
      <c r="CJ38" s="31">
        <v>165869.59573100001</v>
      </c>
      <c r="CK38" s="414">
        <v>73807.176470588238</v>
      </c>
      <c r="CL38" s="31">
        <v>63975.947822000002</v>
      </c>
      <c r="CM38" s="31">
        <v>64539.868244999998</v>
      </c>
      <c r="CN38" s="414">
        <v>27981.235294117647</v>
      </c>
      <c r="CO38" s="31">
        <v>275284.97769500001</v>
      </c>
      <c r="CP38" s="31">
        <v>276179.74037299998</v>
      </c>
      <c r="CQ38" s="414">
        <v>146101.88235294117</v>
      </c>
      <c r="CR38" s="31">
        <v>123107.158949</v>
      </c>
      <c r="CS38" s="31">
        <v>123841.54501099999</v>
      </c>
      <c r="CT38" s="414">
        <v>58351.941176470587</v>
      </c>
      <c r="CU38" s="415">
        <v>884.72990000000004</v>
      </c>
      <c r="CV38" s="415">
        <v>656.414626</v>
      </c>
      <c r="CW38" s="415">
        <v>489.382632</v>
      </c>
      <c r="CX38" s="415">
        <v>350.38521500000002</v>
      </c>
      <c r="CY38" s="415">
        <v>948.12310600000001</v>
      </c>
      <c r="CZ38" s="415">
        <v>663.51128600000004</v>
      </c>
      <c r="DA38" s="415">
        <v>1537.305384</v>
      </c>
      <c r="DB38" s="415">
        <v>1101.2734929999999</v>
      </c>
      <c r="DC38" s="415">
        <v>698.73234000000002</v>
      </c>
      <c r="DD38" s="415">
        <v>481.70780400000001</v>
      </c>
      <c r="DE38" s="415">
        <v>857.20248400000003</v>
      </c>
      <c r="DF38" s="415">
        <v>615.20759299999997</v>
      </c>
      <c r="DG38" s="415">
        <v>463.97898500000002</v>
      </c>
      <c r="DH38" s="415">
        <v>314.18500499999999</v>
      </c>
      <c r="DI38" s="415">
        <v>908.11347999999998</v>
      </c>
      <c r="DJ38" s="415">
        <v>606.485049</v>
      </c>
      <c r="DK38" s="415">
        <v>1507.1004230000001</v>
      </c>
      <c r="DL38" s="415">
        <v>1074.8296720000001</v>
      </c>
      <c r="DM38" s="415">
        <v>656.63690599999995</v>
      </c>
      <c r="DN38" s="415">
        <v>419.39653800000002</v>
      </c>
      <c r="DO38" s="415">
        <v>17223.303116999999</v>
      </c>
      <c r="DP38" s="415">
        <v>13509.707635000001</v>
      </c>
      <c r="DQ38" s="415">
        <v>11071.662509</v>
      </c>
      <c r="DR38" s="415">
        <v>8866.9020889999993</v>
      </c>
      <c r="DS38" s="415">
        <v>17765.360318999999</v>
      </c>
      <c r="DT38" s="415">
        <v>12692.097303</v>
      </c>
      <c r="DU38" s="415">
        <v>27001.310495999998</v>
      </c>
      <c r="DV38" s="415">
        <v>19407.302604</v>
      </c>
      <c r="DW38" s="415">
        <v>14316.748353999999</v>
      </c>
      <c r="DX38" s="415">
        <v>10191.875873999999</v>
      </c>
    </row>
    <row r="39" spans="2:128" ht="15">
      <c r="B39" s="425" t="s">
        <v>628</v>
      </c>
      <c r="C39" s="249" t="s">
        <v>629</v>
      </c>
      <c r="D39" s="249" t="s">
        <v>174</v>
      </c>
      <c r="E39" s="426">
        <v>23</v>
      </c>
      <c r="F39" s="427" t="s">
        <v>623</v>
      </c>
      <c r="G39" s="428" t="s">
        <v>593</v>
      </c>
      <c r="H39" t="s">
        <v>628</v>
      </c>
      <c r="I39" s="31">
        <v>6188.3012849999996</v>
      </c>
      <c r="J39" s="31">
        <v>6583.1671550000001</v>
      </c>
      <c r="K39" s="414">
        <v>2274.2941176470586</v>
      </c>
      <c r="L39" s="31">
        <v>4272.867886</v>
      </c>
      <c r="M39" s="31">
        <v>4542.4800240000004</v>
      </c>
      <c r="N39" s="414">
        <v>1595.8235294117646</v>
      </c>
      <c r="O39" s="31">
        <v>6748.8224280000004</v>
      </c>
      <c r="P39" s="31">
        <v>7182.2273910000004</v>
      </c>
      <c r="Q39" s="414">
        <v>2488.5882352941176</v>
      </c>
      <c r="R39" s="31">
        <v>4648.4807280000005</v>
      </c>
      <c r="S39" s="31">
        <v>4943.277478</v>
      </c>
      <c r="T39" s="414">
        <v>1739.2941176470588</v>
      </c>
      <c r="U39" s="31">
        <v>12038.534001</v>
      </c>
      <c r="V39" s="31">
        <v>12705.637425999999</v>
      </c>
      <c r="W39" s="414">
        <v>5442.2941176470586</v>
      </c>
      <c r="X39" s="31">
        <v>8835.0592809999998</v>
      </c>
      <c r="Y39" s="31">
        <v>9319.136724</v>
      </c>
      <c r="Z39" s="414">
        <v>3873.2352941176468</v>
      </c>
      <c r="AA39" s="31">
        <v>8689.3905770000001</v>
      </c>
      <c r="AB39" s="31">
        <v>9209.6654789999993</v>
      </c>
      <c r="AC39" s="414">
        <v>3871.1176470588234</v>
      </c>
      <c r="AD39" s="31">
        <v>6234.4732780000004</v>
      </c>
      <c r="AE39" s="31">
        <v>6602.6290870000003</v>
      </c>
      <c r="AF39" s="414">
        <v>2717.8235294117649</v>
      </c>
      <c r="AG39" s="31">
        <v>14884.321923</v>
      </c>
      <c r="AH39" s="31">
        <v>15650.388632</v>
      </c>
      <c r="AI39" s="414">
        <v>7612.8235294117649</v>
      </c>
      <c r="AJ39" s="31">
        <v>10964.710396</v>
      </c>
      <c r="AK39" s="31">
        <v>11521.854078</v>
      </c>
      <c r="AL39" s="414">
        <v>5235.5882352941171</v>
      </c>
      <c r="AM39" s="31">
        <v>6238.4104319999997</v>
      </c>
      <c r="AN39" s="31">
        <v>6562.550553</v>
      </c>
      <c r="AO39" s="414">
        <v>2462.2352941176468</v>
      </c>
      <c r="AP39" s="31">
        <v>4371.4606869999998</v>
      </c>
      <c r="AQ39" s="31">
        <v>4598.3255669999999</v>
      </c>
      <c r="AR39" s="414">
        <v>1750.0588235294117</v>
      </c>
      <c r="AS39" s="31">
        <v>6815.9306319999996</v>
      </c>
      <c r="AT39" s="31">
        <v>7173.127759</v>
      </c>
      <c r="AU39" s="414">
        <v>2705.0588235294117</v>
      </c>
      <c r="AV39" s="31">
        <v>4768.6037120000001</v>
      </c>
      <c r="AW39" s="31">
        <v>5018.3332879999998</v>
      </c>
      <c r="AX39" s="414">
        <v>1914.4705882352941</v>
      </c>
      <c r="AY39" s="31">
        <v>12195.448592000001</v>
      </c>
      <c r="AZ39" s="31">
        <v>12838.964459000001</v>
      </c>
      <c r="BA39" s="414">
        <v>6299.4705882352937</v>
      </c>
      <c r="BB39" s="31">
        <v>9058.1124999999993</v>
      </c>
      <c r="BC39" s="31">
        <v>9535.5001520000005</v>
      </c>
      <c r="BD39" s="414">
        <v>4397.2352941176468</v>
      </c>
      <c r="BE39" s="31">
        <v>8803.6794499999996</v>
      </c>
      <c r="BF39" s="31">
        <v>9268.4761020000005</v>
      </c>
      <c r="BG39" s="414">
        <v>4402.4705882352937</v>
      </c>
      <c r="BH39" s="31">
        <v>6407.4293980000002</v>
      </c>
      <c r="BI39" s="31">
        <v>6745.1643119999999</v>
      </c>
      <c r="BJ39" s="414">
        <v>3065.0588235294117</v>
      </c>
      <c r="BK39" s="31">
        <v>15199.469787</v>
      </c>
      <c r="BL39" s="31">
        <v>15997.508803000001</v>
      </c>
      <c r="BM39" s="414">
        <v>8962.5882352941189</v>
      </c>
      <c r="BN39" s="31">
        <v>11348.958909999999</v>
      </c>
      <c r="BO39" s="31">
        <v>11944.385966</v>
      </c>
      <c r="BP39" s="414">
        <v>6119.7058823529405</v>
      </c>
      <c r="BQ39" s="31">
        <v>85796.336880000003</v>
      </c>
      <c r="BR39" s="31">
        <v>86406.339391999994</v>
      </c>
      <c r="BS39" s="414">
        <v>31099.352941176472</v>
      </c>
      <c r="BT39" s="31">
        <v>41605.413188999999</v>
      </c>
      <c r="BU39" s="31">
        <v>42034.392064</v>
      </c>
      <c r="BV39" s="414">
        <v>15465.352941176472</v>
      </c>
      <c r="BW39" s="31">
        <v>93956.579652</v>
      </c>
      <c r="BX39" s="31">
        <v>94655.111948999998</v>
      </c>
      <c r="BY39" s="414">
        <v>34025.705882352937</v>
      </c>
      <c r="BZ39" s="31">
        <v>45452.966907000002</v>
      </c>
      <c r="CA39" s="31">
        <v>45953.011257999999</v>
      </c>
      <c r="CB39" s="414">
        <v>16901.705882352941</v>
      </c>
      <c r="CC39" s="31">
        <v>169469.39100999999</v>
      </c>
      <c r="CD39" s="31">
        <v>170302.71417799999</v>
      </c>
      <c r="CE39" s="414">
        <v>75846.882352941175</v>
      </c>
      <c r="CF39" s="31">
        <v>97357.902963</v>
      </c>
      <c r="CG39" s="31">
        <v>98081.535877999995</v>
      </c>
      <c r="CH39" s="414">
        <v>42501.117647058825</v>
      </c>
      <c r="CI39" s="31">
        <v>119601.762129</v>
      </c>
      <c r="CJ39" s="31">
        <v>120278.99756800001</v>
      </c>
      <c r="CK39" s="414">
        <v>52788</v>
      </c>
      <c r="CL39" s="31">
        <v>63975.947822000002</v>
      </c>
      <c r="CM39" s="31">
        <v>64539.868244999998</v>
      </c>
      <c r="CN39" s="414">
        <v>27981.235294117647</v>
      </c>
      <c r="CO39" s="31">
        <v>210094.411138</v>
      </c>
      <c r="CP39" s="31">
        <v>210924.32265099999</v>
      </c>
      <c r="CQ39" s="414">
        <v>106706.76470588235</v>
      </c>
      <c r="CR39" s="31">
        <v>123107.158949</v>
      </c>
      <c r="CS39" s="31">
        <v>123841.54501099999</v>
      </c>
      <c r="CT39" s="414">
        <v>58351.941176470587</v>
      </c>
      <c r="CU39" s="415">
        <v>968.21588999999994</v>
      </c>
      <c r="CV39" s="415">
        <v>656.414626</v>
      </c>
      <c r="CW39" s="415">
        <v>573.782197</v>
      </c>
      <c r="CX39" s="415">
        <v>350.38521500000002</v>
      </c>
      <c r="CY39" s="415">
        <v>1016.480654</v>
      </c>
      <c r="CZ39" s="415">
        <v>663.51128600000004</v>
      </c>
      <c r="DA39" s="415">
        <v>1606.3658439999999</v>
      </c>
      <c r="DB39" s="415">
        <v>1101.2734929999999</v>
      </c>
      <c r="DC39" s="415">
        <v>766.692902</v>
      </c>
      <c r="DD39" s="415">
        <v>481.70780400000001</v>
      </c>
      <c r="DE39" s="415">
        <v>942.36713199999997</v>
      </c>
      <c r="DF39" s="415">
        <v>615.20759299999997</v>
      </c>
      <c r="DG39" s="415">
        <v>548.45416499999999</v>
      </c>
      <c r="DH39" s="415">
        <v>314.18500499999999</v>
      </c>
      <c r="DI39" s="415">
        <v>977.85448499999995</v>
      </c>
      <c r="DJ39" s="415">
        <v>606.485049</v>
      </c>
      <c r="DK39" s="415">
        <v>1582.0176570000001</v>
      </c>
      <c r="DL39" s="415">
        <v>1074.8296720000001</v>
      </c>
      <c r="DM39" s="415">
        <v>723.48217799999998</v>
      </c>
      <c r="DN39" s="415">
        <v>419.39653800000002</v>
      </c>
      <c r="DO39" s="415">
        <v>19305.838283000001</v>
      </c>
      <c r="DP39" s="415">
        <v>13509.707635000001</v>
      </c>
      <c r="DQ39" s="415">
        <v>13238.257208000001</v>
      </c>
      <c r="DR39" s="415">
        <v>8866.9020889999993</v>
      </c>
      <c r="DS39" s="415">
        <v>19501.628865999999</v>
      </c>
      <c r="DT39" s="415">
        <v>12692.097303</v>
      </c>
      <c r="DU39" s="415">
        <v>28962.660446000002</v>
      </c>
      <c r="DV39" s="415">
        <v>19407.302604</v>
      </c>
      <c r="DW39" s="415">
        <v>15955.713383</v>
      </c>
      <c r="DX39" s="415">
        <v>10191.875873999999</v>
      </c>
    </row>
    <row r="40" spans="2:128" ht="15.75" thickBot="1">
      <c r="B40" s="440" t="s">
        <v>631</v>
      </c>
      <c r="C40" s="441" t="s">
        <v>632</v>
      </c>
      <c r="D40" s="441" t="s">
        <v>174</v>
      </c>
      <c r="E40" s="442">
        <v>24</v>
      </c>
      <c r="F40" s="443" t="s">
        <v>590</v>
      </c>
      <c r="G40" s="444" t="s">
        <v>593</v>
      </c>
      <c r="H40" t="s">
        <v>631</v>
      </c>
      <c r="I40" s="31">
        <v>4491.1412019999998</v>
      </c>
      <c r="J40" s="31">
        <v>4774.8140670000003</v>
      </c>
      <c r="K40" s="414">
        <v>1672.5294117647059</v>
      </c>
      <c r="L40" s="31">
        <v>4272.867886</v>
      </c>
      <c r="M40" s="31">
        <v>4542.4800240000004</v>
      </c>
      <c r="N40" s="414">
        <v>1595.8235294117646</v>
      </c>
      <c r="O40" s="31">
        <v>4888.0242909999997</v>
      </c>
      <c r="P40" s="31">
        <v>5198.4150200000004</v>
      </c>
      <c r="Q40" s="414">
        <v>1824.4705882352941</v>
      </c>
      <c r="R40" s="31">
        <v>4648.4807280000005</v>
      </c>
      <c r="S40" s="31">
        <v>4943.277478</v>
      </c>
      <c r="T40" s="414">
        <v>1739.2941176470588</v>
      </c>
      <c r="U40" s="31">
        <v>9193.5438790000007</v>
      </c>
      <c r="V40" s="31">
        <v>9698.1407359999994</v>
      </c>
      <c r="W40" s="414">
        <v>4031.9411764705883</v>
      </c>
      <c r="X40" s="31">
        <v>8835.0592809999998</v>
      </c>
      <c r="Y40" s="31">
        <v>9319.136724</v>
      </c>
      <c r="Z40" s="414">
        <v>3873.2352941176468</v>
      </c>
      <c r="AA40" s="31">
        <v>6519.3356750000003</v>
      </c>
      <c r="AB40" s="31">
        <v>6904.9604660000005</v>
      </c>
      <c r="AC40" s="414">
        <v>2839.0588235294117</v>
      </c>
      <c r="AD40" s="31">
        <v>6234.4732780000004</v>
      </c>
      <c r="AE40" s="31">
        <v>6602.6290870000003</v>
      </c>
      <c r="AF40" s="414">
        <v>2717.8235294117649</v>
      </c>
      <c r="AG40" s="31">
        <v>11395.732352000001</v>
      </c>
      <c r="AH40" s="31">
        <v>11975.966630000001</v>
      </c>
      <c r="AI40" s="414">
        <v>5461.5294117647063</v>
      </c>
      <c r="AJ40" s="31">
        <v>10964.710396</v>
      </c>
      <c r="AK40" s="31">
        <v>11521.854078</v>
      </c>
      <c r="AL40" s="414">
        <v>5235.5882352941171</v>
      </c>
      <c r="AM40" s="31">
        <v>4588.4417720000001</v>
      </c>
      <c r="AN40" s="31">
        <v>4826.523083</v>
      </c>
      <c r="AO40" s="414">
        <v>1831.7647058823529</v>
      </c>
      <c r="AP40" s="31">
        <v>4371.4606869999998</v>
      </c>
      <c r="AQ40" s="31">
        <v>4598.3255669999999</v>
      </c>
      <c r="AR40" s="414">
        <v>1750.0588235294117</v>
      </c>
      <c r="AS40" s="31">
        <v>5006.6838500000003</v>
      </c>
      <c r="AT40" s="31">
        <v>5268.8204079999996</v>
      </c>
      <c r="AU40" s="414">
        <v>2004.6470588235293</v>
      </c>
      <c r="AV40" s="31">
        <v>4768.6037120000001</v>
      </c>
      <c r="AW40" s="31">
        <v>5018.3332879999998</v>
      </c>
      <c r="AX40" s="414">
        <v>1914.4705882352941</v>
      </c>
      <c r="AY40" s="31">
        <v>9415.4472979999991</v>
      </c>
      <c r="AZ40" s="31">
        <v>9911.644096</v>
      </c>
      <c r="BA40" s="414">
        <v>4580.0588235294117</v>
      </c>
      <c r="BB40" s="31">
        <v>9058.1124999999993</v>
      </c>
      <c r="BC40" s="31">
        <v>9535.5001520000005</v>
      </c>
      <c r="BD40" s="414">
        <v>4397.2352941176468</v>
      </c>
      <c r="BE40" s="31">
        <v>6688.8165079999999</v>
      </c>
      <c r="BF40" s="31">
        <v>7041.3598709999997</v>
      </c>
      <c r="BG40" s="414">
        <v>3202.8823529411766</v>
      </c>
      <c r="BH40" s="31">
        <v>6407.4293980000002</v>
      </c>
      <c r="BI40" s="31">
        <v>6745.1643119999999</v>
      </c>
      <c r="BJ40" s="414">
        <v>3065.0588235294117</v>
      </c>
      <c r="BK40" s="31">
        <v>11777.349455</v>
      </c>
      <c r="BL40" s="31">
        <v>12395.239799000001</v>
      </c>
      <c r="BM40" s="414">
        <v>6388.2352941176468</v>
      </c>
      <c r="BN40" s="31">
        <v>11348.958909999999</v>
      </c>
      <c r="BO40" s="31">
        <v>11944.385966</v>
      </c>
      <c r="BP40" s="414">
        <v>6119.7058823529405</v>
      </c>
      <c r="BQ40" s="31">
        <v>46265.214207999998</v>
      </c>
      <c r="BR40" s="31">
        <v>46724.183965999997</v>
      </c>
      <c r="BS40" s="414">
        <v>17095</v>
      </c>
      <c r="BT40" s="31">
        <v>41605.413188999999</v>
      </c>
      <c r="BU40" s="31">
        <v>42034.392064</v>
      </c>
      <c r="BV40" s="414">
        <v>15465.352941176472</v>
      </c>
      <c r="BW40" s="31">
        <v>50562.285325999997</v>
      </c>
      <c r="BX40" s="31">
        <v>51098.355793000002</v>
      </c>
      <c r="BY40" s="414">
        <v>18692.235294117647</v>
      </c>
      <c r="BZ40" s="31">
        <v>45452.966907000002</v>
      </c>
      <c r="CA40" s="31">
        <v>45953.011257999999</v>
      </c>
      <c r="CB40" s="414">
        <v>16901.705882352941</v>
      </c>
      <c r="CC40" s="31">
        <v>105129.866914</v>
      </c>
      <c r="CD40" s="31">
        <v>105873.13903799999</v>
      </c>
      <c r="CE40" s="414">
        <v>45803.941176470587</v>
      </c>
      <c r="CF40" s="31">
        <v>97357.902963</v>
      </c>
      <c r="CG40" s="31">
        <v>98081.535877999995</v>
      </c>
      <c r="CH40" s="414">
        <v>42501.117647058825</v>
      </c>
      <c r="CI40" s="31">
        <v>69943.200922999997</v>
      </c>
      <c r="CJ40" s="31">
        <v>70527.104212999999</v>
      </c>
      <c r="CK40" s="414">
        <v>30461.352941176468</v>
      </c>
      <c r="CL40" s="31">
        <v>63975.947822000002</v>
      </c>
      <c r="CM40" s="31">
        <v>64539.868244999998</v>
      </c>
      <c r="CN40" s="414">
        <v>27981.235294117647</v>
      </c>
      <c r="CO40" s="31">
        <v>132323.105442</v>
      </c>
      <c r="CP40" s="31">
        <v>133074.786135</v>
      </c>
      <c r="CQ40" s="414">
        <v>62765.470588235294</v>
      </c>
      <c r="CR40" s="31">
        <v>123107.158949</v>
      </c>
      <c r="CS40" s="31">
        <v>123841.54501099999</v>
      </c>
      <c r="CT40" s="414">
        <v>58351.941176470587</v>
      </c>
      <c r="CU40" s="415">
        <v>661.27331400000003</v>
      </c>
      <c r="CV40" s="415">
        <v>656.414626</v>
      </c>
      <c r="CW40" s="415">
        <v>351.56946799999997</v>
      </c>
      <c r="CX40" s="415">
        <v>350.38521500000002</v>
      </c>
      <c r="CY40" s="415">
        <v>671.99633600000004</v>
      </c>
      <c r="CZ40" s="415">
        <v>663.51128600000004</v>
      </c>
      <c r="DA40" s="415">
        <v>1118.069857</v>
      </c>
      <c r="DB40" s="415">
        <v>1101.2734929999999</v>
      </c>
      <c r="DC40" s="415">
        <v>486.08438599999999</v>
      </c>
      <c r="DD40" s="415">
        <v>481.70780400000001</v>
      </c>
      <c r="DE40" s="415">
        <v>621.32125799999994</v>
      </c>
      <c r="DF40" s="415">
        <v>615.20759299999997</v>
      </c>
      <c r="DG40" s="415">
        <v>316.19692600000002</v>
      </c>
      <c r="DH40" s="415">
        <v>314.18500499999999</v>
      </c>
      <c r="DI40" s="415">
        <v>616.30213400000002</v>
      </c>
      <c r="DJ40" s="415">
        <v>606.485049</v>
      </c>
      <c r="DK40" s="415">
        <v>1092.965013</v>
      </c>
      <c r="DL40" s="415">
        <v>1074.8296720000001</v>
      </c>
      <c r="DM40" s="415">
        <v>425.437048</v>
      </c>
      <c r="DN40" s="415">
        <v>419.39653800000002</v>
      </c>
      <c r="DO40" s="415">
        <v>13479.102147</v>
      </c>
      <c r="DP40" s="415">
        <v>13509.707635000001</v>
      </c>
      <c r="DQ40" s="415">
        <v>8760.1124589999999</v>
      </c>
      <c r="DR40" s="415">
        <v>8866.9020889999993</v>
      </c>
      <c r="DS40" s="415">
        <v>12766.745007</v>
      </c>
      <c r="DT40" s="415">
        <v>12692.097303</v>
      </c>
      <c r="DU40" s="415">
        <v>19606.244594</v>
      </c>
      <c r="DV40" s="415">
        <v>19407.302604</v>
      </c>
      <c r="DW40" s="415">
        <v>10203.658878</v>
      </c>
      <c r="DX40" s="415">
        <v>10191.875873999999</v>
      </c>
    </row>
    <row r="41" spans="2:128" ht="15">
      <c r="B41" s="429" t="s">
        <v>633</v>
      </c>
      <c r="C41" s="243" t="s">
        <v>634</v>
      </c>
      <c r="D41" s="243" t="s">
        <v>58</v>
      </c>
      <c r="E41" s="430">
        <v>10</v>
      </c>
      <c r="F41" s="431" t="s">
        <v>635</v>
      </c>
      <c r="G41" s="432" t="s">
        <v>177</v>
      </c>
      <c r="H41" t="s">
        <v>633</v>
      </c>
      <c r="I41" s="31">
        <v>4272.867886</v>
      </c>
      <c r="J41" s="31">
        <v>4542.4800240000004</v>
      </c>
      <c r="K41" s="414">
        <v>1595.8235294117646</v>
      </c>
      <c r="L41" s="31">
        <v>4272.867886</v>
      </c>
      <c r="M41" s="31">
        <v>4542.4800240000004</v>
      </c>
      <c r="N41" s="414">
        <v>1595.8235294117646</v>
      </c>
      <c r="O41" s="31">
        <v>4648.4807280000005</v>
      </c>
      <c r="P41" s="31">
        <v>4943.277478</v>
      </c>
      <c r="Q41" s="414">
        <v>1739.2941176470588</v>
      </c>
      <c r="R41" s="31">
        <v>4648.4807280000005</v>
      </c>
      <c r="S41" s="31">
        <v>4943.277478</v>
      </c>
      <c r="T41" s="414">
        <v>1739.2941176470588</v>
      </c>
      <c r="U41" s="31">
        <v>8835.0592809999998</v>
      </c>
      <c r="V41" s="31">
        <v>9319.136724</v>
      </c>
      <c r="W41" s="414">
        <v>3873.2352941176468</v>
      </c>
      <c r="X41" s="31">
        <v>8835.0592809999998</v>
      </c>
      <c r="Y41" s="31">
        <v>9319.136724</v>
      </c>
      <c r="Z41" s="414">
        <v>3873.2352941176468</v>
      </c>
      <c r="AA41" s="31">
        <v>6234.4732780000004</v>
      </c>
      <c r="AB41" s="31">
        <v>6602.6290870000003</v>
      </c>
      <c r="AC41" s="414">
        <v>2717.8235294117649</v>
      </c>
      <c r="AD41" s="31">
        <v>6234.4732780000004</v>
      </c>
      <c r="AE41" s="31">
        <v>6602.6290870000003</v>
      </c>
      <c r="AF41" s="414">
        <v>2717.8235294117649</v>
      </c>
      <c r="AG41" s="31">
        <v>10964.710396</v>
      </c>
      <c r="AH41" s="31">
        <v>11521.854078</v>
      </c>
      <c r="AI41" s="414">
        <v>5235.5882352941171</v>
      </c>
      <c r="AJ41" s="31">
        <v>10964.710396</v>
      </c>
      <c r="AK41" s="31">
        <v>11521.854078</v>
      </c>
      <c r="AL41" s="414">
        <v>5235.5882352941171</v>
      </c>
      <c r="AM41" s="31">
        <v>4371.4606869999998</v>
      </c>
      <c r="AN41" s="31">
        <v>4598.3255669999999</v>
      </c>
      <c r="AO41" s="414">
        <v>1750.0588235294117</v>
      </c>
      <c r="AP41" s="31">
        <v>4371.4606869999998</v>
      </c>
      <c r="AQ41" s="31">
        <v>4598.3255669999999</v>
      </c>
      <c r="AR41" s="414">
        <v>1750.0588235294117</v>
      </c>
      <c r="AS41" s="31">
        <v>4768.6037120000001</v>
      </c>
      <c r="AT41" s="31">
        <v>5018.3332879999998</v>
      </c>
      <c r="AU41" s="414">
        <v>1914.4705882352941</v>
      </c>
      <c r="AV41" s="31">
        <v>4768.6037120000001</v>
      </c>
      <c r="AW41" s="31">
        <v>5018.3332879999998</v>
      </c>
      <c r="AX41" s="414">
        <v>1914.4705882352941</v>
      </c>
      <c r="AY41" s="31">
        <v>9058.1124999999993</v>
      </c>
      <c r="AZ41" s="31">
        <v>9535.5001520000005</v>
      </c>
      <c r="BA41" s="414">
        <v>4397.2352941176468</v>
      </c>
      <c r="BB41" s="31">
        <v>9058.1124999999993</v>
      </c>
      <c r="BC41" s="31">
        <v>9535.5001520000005</v>
      </c>
      <c r="BD41" s="414">
        <v>4397.2352941176468</v>
      </c>
      <c r="BE41" s="31">
        <v>6407.4293980000002</v>
      </c>
      <c r="BF41" s="31">
        <v>6745.1643119999999</v>
      </c>
      <c r="BG41" s="414">
        <v>3065.0588235294117</v>
      </c>
      <c r="BH41" s="31">
        <v>6407.4293980000002</v>
      </c>
      <c r="BI41" s="31">
        <v>6745.1643119999999</v>
      </c>
      <c r="BJ41" s="414">
        <v>3065.0588235294117</v>
      </c>
      <c r="BK41" s="31">
        <v>11348.958909999999</v>
      </c>
      <c r="BL41" s="31">
        <v>11944.385966</v>
      </c>
      <c r="BM41" s="414">
        <v>6119.7058823529405</v>
      </c>
      <c r="BN41" s="31">
        <v>11348.958909999999</v>
      </c>
      <c r="BO41" s="31">
        <v>11944.385966</v>
      </c>
      <c r="BP41" s="414">
        <v>6119.7058823529405</v>
      </c>
      <c r="BQ41" s="31">
        <v>41605.413188999999</v>
      </c>
      <c r="BR41" s="31">
        <v>42034.392064</v>
      </c>
      <c r="BS41" s="414">
        <v>15465.352941176472</v>
      </c>
      <c r="BT41" s="31">
        <v>41605.413188999999</v>
      </c>
      <c r="BU41" s="31">
        <v>42034.392064</v>
      </c>
      <c r="BV41" s="414">
        <v>15465.352941176472</v>
      </c>
      <c r="BW41" s="31">
        <v>45452.966907000002</v>
      </c>
      <c r="BX41" s="31">
        <v>45953.011257999999</v>
      </c>
      <c r="BY41" s="414">
        <v>16901.705882352941</v>
      </c>
      <c r="BZ41" s="31">
        <v>45452.966907000002</v>
      </c>
      <c r="CA41" s="31">
        <v>45953.011257999999</v>
      </c>
      <c r="CB41" s="414">
        <v>16901.705882352941</v>
      </c>
      <c r="CC41" s="31">
        <v>97357.902963</v>
      </c>
      <c r="CD41" s="31">
        <v>98081.535877999995</v>
      </c>
      <c r="CE41" s="414">
        <v>42501.117647058825</v>
      </c>
      <c r="CF41" s="31">
        <v>97357.902963</v>
      </c>
      <c r="CG41" s="31">
        <v>98081.535877999995</v>
      </c>
      <c r="CH41" s="414">
        <v>42501.117647058825</v>
      </c>
      <c r="CI41" s="31">
        <v>63975.947822000002</v>
      </c>
      <c r="CJ41" s="31">
        <v>64539.868244999998</v>
      </c>
      <c r="CK41" s="414">
        <v>27981.235294117647</v>
      </c>
      <c r="CL41" s="31">
        <v>63975.947822000002</v>
      </c>
      <c r="CM41" s="31">
        <v>64539.868244999998</v>
      </c>
      <c r="CN41" s="414">
        <v>27981.235294117647</v>
      </c>
      <c r="CO41" s="31">
        <v>123107.158949</v>
      </c>
      <c r="CP41" s="31">
        <v>123841.54501099999</v>
      </c>
      <c r="CQ41" s="414">
        <v>58351.941176470587</v>
      </c>
      <c r="CR41" s="31">
        <v>123107.158949</v>
      </c>
      <c r="CS41" s="31">
        <v>123841.54501099999</v>
      </c>
      <c r="CT41" s="414">
        <v>58351.941176470587</v>
      </c>
      <c r="CU41" s="415">
        <v>656.414626</v>
      </c>
      <c r="CV41" s="415">
        <v>656.414626</v>
      </c>
      <c r="CW41" s="415">
        <v>350.38521500000002</v>
      </c>
      <c r="CX41" s="415">
        <v>350.38521500000002</v>
      </c>
      <c r="CY41" s="415">
        <v>663.51128600000004</v>
      </c>
      <c r="CZ41" s="415">
        <v>663.51128600000004</v>
      </c>
      <c r="DA41" s="415">
        <v>1101.2734929999999</v>
      </c>
      <c r="DB41" s="415">
        <v>1101.2734929999999</v>
      </c>
      <c r="DC41" s="415">
        <v>481.70780400000001</v>
      </c>
      <c r="DD41" s="415">
        <v>481.70780400000001</v>
      </c>
      <c r="DE41" s="415">
        <v>615.20759299999997</v>
      </c>
      <c r="DF41" s="415">
        <v>615.20759299999997</v>
      </c>
      <c r="DG41" s="415">
        <v>314.18500499999999</v>
      </c>
      <c r="DH41" s="415">
        <v>314.18500499999999</v>
      </c>
      <c r="DI41" s="415">
        <v>606.485049</v>
      </c>
      <c r="DJ41" s="415">
        <v>606.485049</v>
      </c>
      <c r="DK41" s="415">
        <v>1074.8296720000001</v>
      </c>
      <c r="DL41" s="415">
        <v>1074.8296720000001</v>
      </c>
      <c r="DM41" s="415">
        <v>419.39653800000002</v>
      </c>
      <c r="DN41" s="415">
        <v>419.39653800000002</v>
      </c>
      <c r="DO41" s="415">
        <v>13509.707635000001</v>
      </c>
      <c r="DP41" s="415">
        <v>13509.707635000001</v>
      </c>
      <c r="DQ41" s="415">
        <v>8866.9020889999993</v>
      </c>
      <c r="DR41" s="415">
        <v>8866.9020889999993</v>
      </c>
      <c r="DS41" s="415">
        <v>12692.097303</v>
      </c>
      <c r="DT41" s="415">
        <v>12692.097303</v>
      </c>
      <c r="DU41" s="415">
        <v>19407.302604</v>
      </c>
      <c r="DV41" s="415">
        <v>19407.302604</v>
      </c>
      <c r="DW41" s="415">
        <v>10191.875873999999</v>
      </c>
      <c r="DX41" s="415">
        <v>10191.875873999999</v>
      </c>
    </row>
    <row r="42" spans="2:128" ht="15">
      <c r="B42" s="425" t="s">
        <v>637</v>
      </c>
      <c r="C42" s="249" t="s">
        <v>638</v>
      </c>
      <c r="D42" s="249" t="s">
        <v>58</v>
      </c>
      <c r="E42" s="426">
        <v>11</v>
      </c>
      <c r="F42" s="249" t="s">
        <v>635</v>
      </c>
      <c r="G42" s="252" t="s">
        <v>639</v>
      </c>
      <c r="H42" t="s">
        <v>637</v>
      </c>
      <c r="I42" s="31">
        <v>4272.867886</v>
      </c>
      <c r="J42" s="31">
        <v>4542.4800240000004</v>
      </c>
      <c r="K42" s="414">
        <v>1595.8235294117646</v>
      </c>
      <c r="L42" s="31">
        <v>4272.867886</v>
      </c>
      <c r="M42" s="31">
        <v>4542.4800240000004</v>
      </c>
      <c r="N42" s="414">
        <v>1595.8235294117646</v>
      </c>
      <c r="O42" s="31">
        <v>4648.4807280000005</v>
      </c>
      <c r="P42" s="31">
        <v>4943.277478</v>
      </c>
      <c r="Q42" s="414">
        <v>1739.2941176470588</v>
      </c>
      <c r="R42" s="31">
        <v>4648.4807280000005</v>
      </c>
      <c r="S42" s="31">
        <v>4943.277478</v>
      </c>
      <c r="T42" s="414">
        <v>1739.2941176470588</v>
      </c>
      <c r="U42" s="31">
        <v>8835.0592809999998</v>
      </c>
      <c r="V42" s="31">
        <v>9319.136724</v>
      </c>
      <c r="W42" s="414">
        <v>3873.2352941176468</v>
      </c>
      <c r="X42" s="31">
        <v>8835.0592809999998</v>
      </c>
      <c r="Y42" s="31">
        <v>9319.136724</v>
      </c>
      <c r="Z42" s="414">
        <v>3873.2352941176468</v>
      </c>
      <c r="AA42" s="31">
        <v>6234.4732780000004</v>
      </c>
      <c r="AB42" s="31">
        <v>6602.6290870000003</v>
      </c>
      <c r="AC42" s="414">
        <v>2717.8235294117649</v>
      </c>
      <c r="AD42" s="31">
        <v>6234.4732780000004</v>
      </c>
      <c r="AE42" s="31">
        <v>6602.6290870000003</v>
      </c>
      <c r="AF42" s="414">
        <v>2717.8235294117649</v>
      </c>
      <c r="AG42" s="31">
        <v>10964.710396</v>
      </c>
      <c r="AH42" s="31">
        <v>11521.854078</v>
      </c>
      <c r="AI42" s="414">
        <v>5235.5882352941171</v>
      </c>
      <c r="AJ42" s="31">
        <v>10964.710396</v>
      </c>
      <c r="AK42" s="31">
        <v>11521.854078</v>
      </c>
      <c r="AL42" s="414">
        <v>5235.5882352941171</v>
      </c>
      <c r="AM42" s="31">
        <v>4371.4606869999998</v>
      </c>
      <c r="AN42" s="31">
        <v>4598.3255669999999</v>
      </c>
      <c r="AO42" s="414">
        <v>1750.0588235294117</v>
      </c>
      <c r="AP42" s="31">
        <v>4371.4606869999998</v>
      </c>
      <c r="AQ42" s="31">
        <v>4598.3255669999999</v>
      </c>
      <c r="AR42" s="414">
        <v>1750.0588235294117</v>
      </c>
      <c r="AS42" s="31">
        <v>4768.6037120000001</v>
      </c>
      <c r="AT42" s="31">
        <v>5018.3332879999998</v>
      </c>
      <c r="AU42" s="414">
        <v>1914.4705882352941</v>
      </c>
      <c r="AV42" s="31">
        <v>4768.6037120000001</v>
      </c>
      <c r="AW42" s="31">
        <v>5018.3332879999998</v>
      </c>
      <c r="AX42" s="414">
        <v>1914.4705882352941</v>
      </c>
      <c r="AY42" s="31">
        <v>9058.1124999999993</v>
      </c>
      <c r="AZ42" s="31">
        <v>9535.5001520000005</v>
      </c>
      <c r="BA42" s="414">
        <v>4397.2352941176468</v>
      </c>
      <c r="BB42" s="31">
        <v>9058.1124999999993</v>
      </c>
      <c r="BC42" s="31">
        <v>9535.5001520000005</v>
      </c>
      <c r="BD42" s="414">
        <v>4397.2352941176468</v>
      </c>
      <c r="BE42" s="31">
        <v>6407.4293980000002</v>
      </c>
      <c r="BF42" s="31">
        <v>6745.1643119999999</v>
      </c>
      <c r="BG42" s="414">
        <v>3065.0588235294117</v>
      </c>
      <c r="BH42" s="31">
        <v>6407.4293980000002</v>
      </c>
      <c r="BI42" s="31">
        <v>6745.1643119999999</v>
      </c>
      <c r="BJ42" s="414">
        <v>3065.0588235294117</v>
      </c>
      <c r="BK42" s="31">
        <v>11348.958909999999</v>
      </c>
      <c r="BL42" s="31">
        <v>11944.385966</v>
      </c>
      <c r="BM42" s="414">
        <v>6119.7058823529405</v>
      </c>
      <c r="BN42" s="31">
        <v>11348.958909999999</v>
      </c>
      <c r="BO42" s="31">
        <v>11944.385966</v>
      </c>
      <c r="BP42" s="414">
        <v>6119.7058823529405</v>
      </c>
      <c r="BQ42" s="31">
        <v>41605.413188999999</v>
      </c>
      <c r="BR42" s="31">
        <v>42034.392064</v>
      </c>
      <c r="BS42" s="414">
        <v>15465.352941176472</v>
      </c>
      <c r="BT42" s="31">
        <v>41605.413188999999</v>
      </c>
      <c r="BU42" s="31">
        <v>42034.392064</v>
      </c>
      <c r="BV42" s="414">
        <v>15465.352941176472</v>
      </c>
      <c r="BW42" s="31">
        <v>45452.966907000002</v>
      </c>
      <c r="BX42" s="31">
        <v>45953.011257999999</v>
      </c>
      <c r="BY42" s="414">
        <v>16901.705882352941</v>
      </c>
      <c r="BZ42" s="31">
        <v>45452.966907000002</v>
      </c>
      <c r="CA42" s="31">
        <v>45953.011257999999</v>
      </c>
      <c r="CB42" s="414">
        <v>16901.705882352941</v>
      </c>
      <c r="CC42" s="31">
        <v>97357.902963</v>
      </c>
      <c r="CD42" s="31">
        <v>98081.535877999995</v>
      </c>
      <c r="CE42" s="414">
        <v>42501.117647058825</v>
      </c>
      <c r="CF42" s="31">
        <v>97357.902963</v>
      </c>
      <c r="CG42" s="31">
        <v>98081.535877999995</v>
      </c>
      <c r="CH42" s="414">
        <v>42501.117647058825</v>
      </c>
      <c r="CI42" s="31">
        <v>63975.947822000002</v>
      </c>
      <c r="CJ42" s="31">
        <v>64539.868244999998</v>
      </c>
      <c r="CK42" s="414">
        <v>27981.235294117647</v>
      </c>
      <c r="CL42" s="31">
        <v>63975.947822000002</v>
      </c>
      <c r="CM42" s="31">
        <v>64539.868244999998</v>
      </c>
      <c r="CN42" s="414">
        <v>27981.235294117647</v>
      </c>
      <c r="CO42" s="31">
        <v>123107.158949</v>
      </c>
      <c r="CP42" s="31">
        <v>123841.54501099999</v>
      </c>
      <c r="CQ42" s="414">
        <v>58351.941176470587</v>
      </c>
      <c r="CR42" s="31">
        <v>123107.158949</v>
      </c>
      <c r="CS42" s="31">
        <v>123841.54501099999</v>
      </c>
      <c r="CT42" s="414">
        <v>58351.941176470587</v>
      </c>
      <c r="CU42" s="415">
        <v>656.414626</v>
      </c>
      <c r="CV42" s="415">
        <v>656.414626</v>
      </c>
      <c r="CW42" s="415">
        <v>350.38521500000002</v>
      </c>
      <c r="CX42" s="415">
        <v>350.38521500000002</v>
      </c>
      <c r="CY42" s="415">
        <v>663.51128600000004</v>
      </c>
      <c r="CZ42" s="415">
        <v>663.51128600000004</v>
      </c>
      <c r="DA42" s="415">
        <v>1101.2734929999999</v>
      </c>
      <c r="DB42" s="415">
        <v>1101.2734929999999</v>
      </c>
      <c r="DC42" s="415">
        <v>481.70780400000001</v>
      </c>
      <c r="DD42" s="415">
        <v>481.70780400000001</v>
      </c>
      <c r="DE42" s="415">
        <v>615.20759299999997</v>
      </c>
      <c r="DF42" s="415">
        <v>615.20759299999997</v>
      </c>
      <c r="DG42" s="415">
        <v>314.18500499999999</v>
      </c>
      <c r="DH42" s="415">
        <v>314.18500499999999</v>
      </c>
      <c r="DI42" s="415">
        <v>606.485049</v>
      </c>
      <c r="DJ42" s="415">
        <v>606.485049</v>
      </c>
      <c r="DK42" s="415">
        <v>1074.8296720000001</v>
      </c>
      <c r="DL42" s="415">
        <v>1074.8296720000001</v>
      </c>
      <c r="DM42" s="415">
        <v>419.39653800000002</v>
      </c>
      <c r="DN42" s="415">
        <v>419.39653800000002</v>
      </c>
      <c r="DO42" s="415">
        <v>13509.707635000001</v>
      </c>
      <c r="DP42" s="415">
        <v>13509.707635000001</v>
      </c>
      <c r="DQ42" s="415">
        <v>8866.9020889999993</v>
      </c>
      <c r="DR42" s="415">
        <v>8866.9020889999993</v>
      </c>
      <c r="DS42" s="415">
        <v>12692.097303</v>
      </c>
      <c r="DT42" s="415">
        <v>12692.097303</v>
      </c>
      <c r="DU42" s="415">
        <v>19407.302604</v>
      </c>
      <c r="DV42" s="415">
        <v>19407.302604</v>
      </c>
      <c r="DW42" s="415">
        <v>10191.875873999999</v>
      </c>
      <c r="DX42" s="415">
        <v>10191.875873999999</v>
      </c>
    </row>
    <row r="43" spans="2:128" ht="15.75" thickBot="1">
      <c r="B43" s="435" t="s">
        <v>641</v>
      </c>
      <c r="C43" s="255" t="s">
        <v>642</v>
      </c>
      <c r="D43" s="255" t="s">
        <v>58</v>
      </c>
      <c r="E43" s="436">
        <v>12</v>
      </c>
      <c r="F43" s="255" t="s">
        <v>177</v>
      </c>
      <c r="G43" s="258" t="s">
        <v>639</v>
      </c>
      <c r="H43" t="s">
        <v>641</v>
      </c>
      <c r="I43" s="31">
        <v>4272.867886</v>
      </c>
      <c r="J43" s="31">
        <v>4542.4800240000004</v>
      </c>
      <c r="K43" s="414">
        <v>1595.8235294117646</v>
      </c>
      <c r="L43" s="31">
        <v>4272.867886</v>
      </c>
      <c r="M43" s="31">
        <v>4542.4800240000004</v>
      </c>
      <c r="N43" s="414">
        <v>1595.8235294117646</v>
      </c>
      <c r="O43" s="31">
        <v>4648.4807280000005</v>
      </c>
      <c r="P43" s="31">
        <v>4943.277478</v>
      </c>
      <c r="Q43" s="414">
        <v>1739.2941176470588</v>
      </c>
      <c r="R43" s="31">
        <v>4648.4807280000005</v>
      </c>
      <c r="S43" s="31">
        <v>4943.277478</v>
      </c>
      <c r="T43" s="414">
        <v>1739.2941176470588</v>
      </c>
      <c r="U43" s="31">
        <v>8835.0592809999998</v>
      </c>
      <c r="V43" s="31">
        <v>9319.136724</v>
      </c>
      <c r="W43" s="414">
        <v>3873.2352941176468</v>
      </c>
      <c r="X43" s="31">
        <v>8835.0592809999998</v>
      </c>
      <c r="Y43" s="31">
        <v>9319.136724</v>
      </c>
      <c r="Z43" s="414">
        <v>3873.2352941176468</v>
      </c>
      <c r="AA43" s="31">
        <v>6234.4732780000004</v>
      </c>
      <c r="AB43" s="31">
        <v>6602.6290870000003</v>
      </c>
      <c r="AC43" s="414">
        <v>2717.8235294117649</v>
      </c>
      <c r="AD43" s="31">
        <v>6234.4732780000004</v>
      </c>
      <c r="AE43" s="31">
        <v>6602.6290870000003</v>
      </c>
      <c r="AF43" s="414">
        <v>2717.8235294117649</v>
      </c>
      <c r="AG43" s="31">
        <v>10964.710396</v>
      </c>
      <c r="AH43" s="31">
        <v>11521.854078</v>
      </c>
      <c r="AI43" s="414">
        <v>5235.5882352941171</v>
      </c>
      <c r="AJ43" s="31">
        <v>10964.710396</v>
      </c>
      <c r="AK43" s="31">
        <v>11521.854078</v>
      </c>
      <c r="AL43" s="414">
        <v>5235.5882352941171</v>
      </c>
      <c r="AM43" s="31">
        <v>4371.4606869999998</v>
      </c>
      <c r="AN43" s="31">
        <v>4598.3255669999999</v>
      </c>
      <c r="AO43" s="414">
        <v>1750.0588235294117</v>
      </c>
      <c r="AP43" s="31">
        <v>4371.4606869999998</v>
      </c>
      <c r="AQ43" s="31">
        <v>4598.3255669999999</v>
      </c>
      <c r="AR43" s="414">
        <v>1750.0588235294117</v>
      </c>
      <c r="AS43" s="31">
        <v>4768.6037120000001</v>
      </c>
      <c r="AT43" s="31">
        <v>5018.3332879999998</v>
      </c>
      <c r="AU43" s="414">
        <v>1914.4705882352941</v>
      </c>
      <c r="AV43" s="31">
        <v>4768.6037120000001</v>
      </c>
      <c r="AW43" s="31">
        <v>5018.3332879999998</v>
      </c>
      <c r="AX43" s="414">
        <v>1914.4705882352941</v>
      </c>
      <c r="AY43" s="31">
        <v>9058.1124999999993</v>
      </c>
      <c r="AZ43" s="31">
        <v>9535.5001520000005</v>
      </c>
      <c r="BA43" s="414">
        <v>4397.2352941176468</v>
      </c>
      <c r="BB43" s="31">
        <v>9058.1124999999993</v>
      </c>
      <c r="BC43" s="31">
        <v>9535.5001520000005</v>
      </c>
      <c r="BD43" s="414">
        <v>4397.2352941176468</v>
      </c>
      <c r="BE43" s="31">
        <v>6407.4293980000002</v>
      </c>
      <c r="BF43" s="31">
        <v>6745.1643119999999</v>
      </c>
      <c r="BG43" s="414">
        <v>3065.0588235294117</v>
      </c>
      <c r="BH43" s="31">
        <v>6407.4293980000002</v>
      </c>
      <c r="BI43" s="31">
        <v>6745.1643119999999</v>
      </c>
      <c r="BJ43" s="414">
        <v>3065.0588235294117</v>
      </c>
      <c r="BK43" s="31">
        <v>11348.958909999999</v>
      </c>
      <c r="BL43" s="31">
        <v>11944.385966</v>
      </c>
      <c r="BM43" s="414">
        <v>6119.7058823529405</v>
      </c>
      <c r="BN43" s="31">
        <v>11348.958909999999</v>
      </c>
      <c r="BO43" s="31">
        <v>11944.385966</v>
      </c>
      <c r="BP43" s="414">
        <v>6119.7058823529405</v>
      </c>
      <c r="BQ43" s="31">
        <v>41605.413188999999</v>
      </c>
      <c r="BR43" s="31">
        <v>42034.392064</v>
      </c>
      <c r="BS43" s="414">
        <v>15465.352941176472</v>
      </c>
      <c r="BT43" s="31">
        <v>41605.413188999999</v>
      </c>
      <c r="BU43" s="31">
        <v>42034.392064</v>
      </c>
      <c r="BV43" s="414">
        <v>15465.352941176472</v>
      </c>
      <c r="BW43" s="31">
        <v>45452.966907000002</v>
      </c>
      <c r="BX43" s="31">
        <v>45953.011257999999</v>
      </c>
      <c r="BY43" s="414">
        <v>16901.705882352941</v>
      </c>
      <c r="BZ43" s="31">
        <v>45452.966907000002</v>
      </c>
      <c r="CA43" s="31">
        <v>45953.011257999999</v>
      </c>
      <c r="CB43" s="414">
        <v>16901.705882352941</v>
      </c>
      <c r="CC43" s="31">
        <v>97357.902963</v>
      </c>
      <c r="CD43" s="31">
        <v>98081.535877999995</v>
      </c>
      <c r="CE43" s="414">
        <v>42501.117647058825</v>
      </c>
      <c r="CF43" s="31">
        <v>97357.902963</v>
      </c>
      <c r="CG43" s="31">
        <v>98081.535877999995</v>
      </c>
      <c r="CH43" s="414">
        <v>42501.117647058825</v>
      </c>
      <c r="CI43" s="31">
        <v>63975.947822000002</v>
      </c>
      <c r="CJ43" s="31">
        <v>64539.868244999998</v>
      </c>
      <c r="CK43" s="414">
        <v>27981.235294117647</v>
      </c>
      <c r="CL43" s="31">
        <v>63975.947822000002</v>
      </c>
      <c r="CM43" s="31">
        <v>64539.868244999998</v>
      </c>
      <c r="CN43" s="414">
        <v>27981.235294117647</v>
      </c>
      <c r="CO43" s="31">
        <v>123107.158949</v>
      </c>
      <c r="CP43" s="31">
        <v>123841.54501099999</v>
      </c>
      <c r="CQ43" s="414">
        <v>58351.941176470587</v>
      </c>
      <c r="CR43" s="31">
        <v>123107.158949</v>
      </c>
      <c r="CS43" s="31">
        <v>123841.54501099999</v>
      </c>
      <c r="CT43" s="414">
        <v>58351.941176470587</v>
      </c>
      <c r="CU43" s="415">
        <v>656.414626</v>
      </c>
      <c r="CV43" s="415">
        <v>656.414626</v>
      </c>
      <c r="CW43" s="415">
        <v>350.38521500000002</v>
      </c>
      <c r="CX43" s="415">
        <v>350.38521500000002</v>
      </c>
      <c r="CY43" s="415">
        <v>663.51128600000004</v>
      </c>
      <c r="CZ43" s="415">
        <v>663.51128600000004</v>
      </c>
      <c r="DA43" s="415">
        <v>1101.2734929999999</v>
      </c>
      <c r="DB43" s="415">
        <v>1101.2734929999999</v>
      </c>
      <c r="DC43" s="415">
        <v>481.70780400000001</v>
      </c>
      <c r="DD43" s="415">
        <v>481.70780400000001</v>
      </c>
      <c r="DE43" s="415">
        <v>615.20759299999997</v>
      </c>
      <c r="DF43" s="415">
        <v>615.20759299999997</v>
      </c>
      <c r="DG43" s="415">
        <v>314.18500499999999</v>
      </c>
      <c r="DH43" s="415">
        <v>314.18500499999999</v>
      </c>
      <c r="DI43" s="415">
        <v>606.485049</v>
      </c>
      <c r="DJ43" s="415">
        <v>606.485049</v>
      </c>
      <c r="DK43" s="415">
        <v>1074.8296720000001</v>
      </c>
      <c r="DL43" s="415">
        <v>1074.8296720000001</v>
      </c>
      <c r="DM43" s="415">
        <v>419.39653800000002</v>
      </c>
      <c r="DN43" s="415">
        <v>419.39653800000002</v>
      </c>
      <c r="DO43" s="415">
        <v>13509.707635000001</v>
      </c>
      <c r="DP43" s="415">
        <v>13509.707635000001</v>
      </c>
      <c r="DQ43" s="415">
        <v>8866.9020889999993</v>
      </c>
      <c r="DR43" s="415">
        <v>8866.9020889999993</v>
      </c>
      <c r="DS43" s="415">
        <v>12692.097303</v>
      </c>
      <c r="DT43" s="415">
        <v>12692.097303</v>
      </c>
      <c r="DU43" s="415">
        <v>19407.302604</v>
      </c>
      <c r="DV43" s="415">
        <v>19407.302604</v>
      </c>
      <c r="DW43" s="415">
        <v>10191.875873999999</v>
      </c>
      <c r="DX43" s="415">
        <v>10191.875873999999</v>
      </c>
    </row>
    <row r="44" spans="2:128" ht="15.75" thickBot="1">
      <c r="B44" s="401" t="s">
        <v>644</v>
      </c>
      <c r="C44" s="410" t="s">
        <v>645</v>
      </c>
      <c r="D44" s="410" t="s">
        <v>528</v>
      </c>
      <c r="E44" s="411">
        <v>10</v>
      </c>
      <c r="F44" s="412" t="s">
        <v>646</v>
      </c>
      <c r="G44" s="413" t="s">
        <v>647</v>
      </c>
      <c r="H44" t="s">
        <v>644</v>
      </c>
      <c r="I44" s="31">
        <v>4272.867886</v>
      </c>
      <c r="J44" s="31">
        <v>4879.4482099999996</v>
      </c>
      <c r="K44" s="414">
        <v>1685.8235294117649</v>
      </c>
      <c r="L44" s="31">
        <v>4272.867886</v>
      </c>
      <c r="M44" s="31">
        <v>4542.4800240000004</v>
      </c>
      <c r="N44" s="414">
        <v>1595.8235294117646</v>
      </c>
      <c r="O44" s="31">
        <v>4648.4807280000005</v>
      </c>
      <c r="P44" s="31">
        <v>5311.8082750000003</v>
      </c>
      <c r="Q44" s="414">
        <v>1837.7647058823529</v>
      </c>
      <c r="R44" s="31">
        <v>4648.4807280000005</v>
      </c>
      <c r="S44" s="31">
        <v>4943.277478</v>
      </c>
      <c r="T44" s="414">
        <v>1739.2941176470588</v>
      </c>
      <c r="U44" s="31">
        <v>8835.0592809999998</v>
      </c>
      <c r="V44" s="31">
        <v>9897.6527889999998</v>
      </c>
      <c r="W44" s="414">
        <v>3997.7058823529414</v>
      </c>
      <c r="X44" s="31">
        <v>8835.0592809999998</v>
      </c>
      <c r="Y44" s="31">
        <v>9319.136724</v>
      </c>
      <c r="Z44" s="414">
        <v>3873.2352941176468</v>
      </c>
      <c r="AA44" s="31">
        <v>6234.4732780000004</v>
      </c>
      <c r="AB44" s="31">
        <v>7049.5777939999998</v>
      </c>
      <c r="AC44" s="414">
        <v>2828.8823529411766</v>
      </c>
      <c r="AD44" s="31">
        <v>6234.4732780000004</v>
      </c>
      <c r="AE44" s="31">
        <v>6602.6290870000003</v>
      </c>
      <c r="AF44" s="414">
        <v>2717.8235294117649</v>
      </c>
      <c r="AG44" s="31">
        <v>10964.710396</v>
      </c>
      <c r="AH44" s="31">
        <v>12174.545212999999</v>
      </c>
      <c r="AI44" s="414">
        <v>5359.8823529411766</v>
      </c>
      <c r="AJ44" s="31">
        <v>10964.710396</v>
      </c>
      <c r="AK44" s="31">
        <v>11521.854078</v>
      </c>
      <c r="AL44" s="414">
        <v>5235.5882352941171</v>
      </c>
      <c r="AM44" s="31">
        <v>4371.4606869999998</v>
      </c>
      <c r="AN44" s="31">
        <v>0</v>
      </c>
      <c r="AO44" s="414">
        <v>1942.8235294117646</v>
      </c>
      <c r="AP44" s="31">
        <v>4371.4606869999998</v>
      </c>
      <c r="AQ44" s="31">
        <v>4598.3255669999999</v>
      </c>
      <c r="AR44" s="414">
        <v>1750.0588235294117</v>
      </c>
      <c r="AS44" s="31">
        <v>4768.6037120000001</v>
      </c>
      <c r="AT44" s="31">
        <v>0</v>
      </c>
      <c r="AU44" s="414">
        <v>2126.2352941176468</v>
      </c>
      <c r="AV44" s="31">
        <v>4768.6037120000001</v>
      </c>
      <c r="AW44" s="31">
        <v>5018.3332879999998</v>
      </c>
      <c r="AX44" s="414">
        <v>1914.4705882352941</v>
      </c>
      <c r="AY44" s="31">
        <v>9058.1124999999993</v>
      </c>
      <c r="AZ44" s="31">
        <v>0</v>
      </c>
      <c r="BA44" s="414">
        <v>5038.4705882352937</v>
      </c>
      <c r="BB44" s="31">
        <v>9058.1124999999993</v>
      </c>
      <c r="BC44" s="31">
        <v>9535.5001520000005</v>
      </c>
      <c r="BD44" s="414">
        <v>4397.2352941176468</v>
      </c>
      <c r="BE44" s="31">
        <v>6407.4293980000002</v>
      </c>
      <c r="BF44" s="31">
        <v>0</v>
      </c>
      <c r="BG44" s="414">
        <v>3496.1176470588234</v>
      </c>
      <c r="BH44" s="31">
        <v>6407.4293980000002</v>
      </c>
      <c r="BI44" s="31">
        <v>6745.1643119999999</v>
      </c>
      <c r="BJ44" s="414">
        <v>3065.0588235294117</v>
      </c>
      <c r="BK44" s="31">
        <v>11348.958909999999</v>
      </c>
      <c r="BL44" s="31">
        <v>0</v>
      </c>
      <c r="BM44" s="414">
        <v>7139.2352941176468</v>
      </c>
      <c r="BN44" s="31">
        <v>11348.958909999999</v>
      </c>
      <c r="BO44" s="31">
        <v>11944.385966</v>
      </c>
      <c r="BP44" s="414">
        <v>6119.7058823529405</v>
      </c>
      <c r="BQ44" s="31">
        <v>41605.413188999999</v>
      </c>
      <c r="BR44" s="31">
        <v>43361.295475999999</v>
      </c>
      <c r="BS44" s="414">
        <v>16622.764705882353</v>
      </c>
      <c r="BT44" s="31">
        <v>41605.413188999999</v>
      </c>
      <c r="BU44" s="31">
        <v>42034.392064</v>
      </c>
      <c r="BV44" s="414">
        <v>15465.352941176472</v>
      </c>
      <c r="BW44" s="31">
        <v>45452.966907000002</v>
      </c>
      <c r="BX44" s="31">
        <v>47470.462866000002</v>
      </c>
      <c r="BY44" s="414">
        <v>18158.294117647059</v>
      </c>
      <c r="BZ44" s="31">
        <v>45452.966907000002</v>
      </c>
      <c r="CA44" s="31">
        <v>45953.011257999999</v>
      </c>
      <c r="CB44" s="414">
        <v>16901.705882352941</v>
      </c>
      <c r="CC44" s="31">
        <v>97357.902963</v>
      </c>
      <c r="CD44" s="31">
        <v>100760.627465</v>
      </c>
      <c r="CE44" s="414">
        <v>47389.294117647056</v>
      </c>
      <c r="CF44" s="31">
        <v>97357.902963</v>
      </c>
      <c r="CG44" s="31">
        <v>98081.535877999995</v>
      </c>
      <c r="CH44" s="414">
        <v>42501.117647058825</v>
      </c>
      <c r="CI44" s="31">
        <v>63975.947822000002</v>
      </c>
      <c r="CJ44" s="31">
        <v>66497.403997000001</v>
      </c>
      <c r="CK44" s="414">
        <v>30999.647058823528</v>
      </c>
      <c r="CL44" s="31">
        <v>63975.947822000002</v>
      </c>
      <c r="CM44" s="31">
        <v>64539.868244999998</v>
      </c>
      <c r="CN44" s="414">
        <v>27981.235294117647</v>
      </c>
      <c r="CO44" s="31">
        <v>123107.158949</v>
      </c>
      <c r="CP44" s="31">
        <v>126942.785239</v>
      </c>
      <c r="CQ44" s="414">
        <v>66230.76470588235</v>
      </c>
      <c r="CR44" s="31">
        <v>123107.158949</v>
      </c>
      <c r="CS44" s="31">
        <v>123841.54501099999</v>
      </c>
      <c r="CT44" s="414">
        <v>58351.941176470587</v>
      </c>
      <c r="CU44" s="415">
        <v>752.196144</v>
      </c>
      <c r="CV44" s="415">
        <v>656.414626</v>
      </c>
      <c r="CW44" s="415">
        <v>397.99748099999999</v>
      </c>
      <c r="CX44" s="415">
        <v>350.38521500000002</v>
      </c>
      <c r="CY44" s="415">
        <v>769.06940299999997</v>
      </c>
      <c r="CZ44" s="415">
        <v>663.51128600000004</v>
      </c>
      <c r="DA44" s="415">
        <v>1292.277916</v>
      </c>
      <c r="DB44" s="415">
        <v>1101.2734929999999</v>
      </c>
      <c r="DC44" s="415">
        <v>554.40617399999996</v>
      </c>
      <c r="DD44" s="415">
        <v>481.70780400000001</v>
      </c>
      <c r="DE44" s="415">
        <v>675.70774700000004</v>
      </c>
      <c r="DF44" s="415">
        <v>615.20759299999997</v>
      </c>
      <c r="DG44" s="415">
        <v>344.50497200000001</v>
      </c>
      <c r="DH44" s="415">
        <v>314.18500499999999</v>
      </c>
      <c r="DI44" s="415">
        <v>671.23996199999999</v>
      </c>
      <c r="DJ44" s="415">
        <v>606.485049</v>
      </c>
      <c r="DK44" s="415">
        <v>1191.149332</v>
      </c>
      <c r="DL44" s="415">
        <v>1074.8296720000001</v>
      </c>
      <c r="DM44" s="415">
        <v>462.99537099999998</v>
      </c>
      <c r="DN44" s="415">
        <v>419.39653800000002</v>
      </c>
      <c r="DO44" s="415">
        <v>13949.292072</v>
      </c>
      <c r="DP44" s="415">
        <v>13509.707635000001</v>
      </c>
      <c r="DQ44" s="415">
        <v>9072.6794140000002</v>
      </c>
      <c r="DR44" s="415">
        <v>8866.9020889999993</v>
      </c>
      <c r="DS44" s="415">
        <v>13214.308472000001</v>
      </c>
      <c r="DT44" s="415">
        <v>12692.097303</v>
      </c>
      <c r="DU44" s="415">
        <v>20503.744976000002</v>
      </c>
      <c r="DV44" s="415">
        <v>19407.302604</v>
      </c>
      <c r="DW44" s="415">
        <v>10550.864175999999</v>
      </c>
      <c r="DX44" s="415">
        <v>10191.875873999999</v>
      </c>
    </row>
    <row r="45" spans="2:128" ht="15">
      <c r="B45" s="429" t="s">
        <v>649</v>
      </c>
      <c r="C45" s="243" t="s">
        <v>650</v>
      </c>
      <c r="D45" s="243" t="s">
        <v>529</v>
      </c>
      <c r="E45" s="430">
        <v>10</v>
      </c>
      <c r="F45" s="243" t="s">
        <v>514</v>
      </c>
      <c r="G45" s="246" t="s">
        <v>651</v>
      </c>
      <c r="H45" t="s">
        <v>649</v>
      </c>
      <c r="I45" s="31">
        <v>4272.867886</v>
      </c>
      <c r="J45" s="31">
        <v>4687.2520599999998</v>
      </c>
      <c r="K45" s="414">
        <v>1698.2352941176471</v>
      </c>
      <c r="L45" s="31">
        <v>4272.867886</v>
      </c>
      <c r="M45" s="31">
        <v>4542.4800240000004</v>
      </c>
      <c r="N45" s="414">
        <v>1595.8235294117646</v>
      </c>
      <c r="O45" s="31">
        <v>4648.4807280000005</v>
      </c>
      <c r="P45" s="31">
        <v>5101.4193610000002</v>
      </c>
      <c r="Q45" s="414">
        <v>1853.1764705882354</v>
      </c>
      <c r="R45" s="31">
        <v>4648.4807280000005</v>
      </c>
      <c r="S45" s="31">
        <v>4943.277478</v>
      </c>
      <c r="T45" s="414">
        <v>1739.2941176470588</v>
      </c>
      <c r="U45" s="31">
        <v>8835.0592809999998</v>
      </c>
      <c r="V45" s="31">
        <v>9610.5935260000006</v>
      </c>
      <c r="W45" s="414">
        <v>4170.5294117647063</v>
      </c>
      <c r="X45" s="31">
        <v>8835.0592809999998</v>
      </c>
      <c r="Y45" s="31">
        <v>9319.136724</v>
      </c>
      <c r="Z45" s="414">
        <v>3873.2352941176468</v>
      </c>
      <c r="AA45" s="31">
        <v>6234.4732780000004</v>
      </c>
      <c r="AB45" s="31">
        <v>6815.459132</v>
      </c>
      <c r="AC45" s="414">
        <v>2931.5294117647059</v>
      </c>
      <c r="AD45" s="31">
        <v>6234.4732780000004</v>
      </c>
      <c r="AE45" s="31">
        <v>6602.6290870000003</v>
      </c>
      <c r="AF45" s="414">
        <v>2717.8235294117649</v>
      </c>
      <c r="AG45" s="31">
        <v>10964.710396</v>
      </c>
      <c r="AH45" s="31">
        <v>11878.904573</v>
      </c>
      <c r="AI45" s="414">
        <v>5689.6470588235297</v>
      </c>
      <c r="AJ45" s="31">
        <v>10964.710396</v>
      </c>
      <c r="AK45" s="31">
        <v>11521.854078</v>
      </c>
      <c r="AL45" s="414">
        <v>5235.5882352941171</v>
      </c>
      <c r="AM45" s="31">
        <v>4371.4606869999998</v>
      </c>
      <c r="AN45" s="31">
        <v>4620.7401520000003</v>
      </c>
      <c r="AO45" s="414">
        <v>1922.1176470588234</v>
      </c>
      <c r="AP45" s="31">
        <v>4371.4606869999998</v>
      </c>
      <c r="AQ45" s="31">
        <v>4598.3255669999999</v>
      </c>
      <c r="AR45" s="414">
        <v>1750.0588235294117</v>
      </c>
      <c r="AS45" s="31">
        <v>4768.6037120000001</v>
      </c>
      <c r="AT45" s="31">
        <v>5043.415481</v>
      </c>
      <c r="AU45" s="414">
        <v>2112.588235294118</v>
      </c>
      <c r="AV45" s="31">
        <v>4768.6037120000001</v>
      </c>
      <c r="AW45" s="31">
        <v>5018.3332879999998</v>
      </c>
      <c r="AX45" s="414">
        <v>1914.4705882352941</v>
      </c>
      <c r="AY45" s="31">
        <v>9058.1124999999993</v>
      </c>
      <c r="AZ45" s="31">
        <v>9579.3720219999996</v>
      </c>
      <c r="BA45" s="414">
        <v>4939.2941176470595</v>
      </c>
      <c r="BB45" s="31">
        <v>9058.1124999999993</v>
      </c>
      <c r="BC45" s="31">
        <v>9535.5001520000005</v>
      </c>
      <c r="BD45" s="414">
        <v>4397.2352941176468</v>
      </c>
      <c r="BE45" s="31">
        <v>6407.4293980000002</v>
      </c>
      <c r="BF45" s="31">
        <v>6776.0759189999999</v>
      </c>
      <c r="BG45" s="414">
        <v>3436.2352941176468</v>
      </c>
      <c r="BH45" s="31">
        <v>6407.4293980000002</v>
      </c>
      <c r="BI45" s="31">
        <v>6745.1643119999999</v>
      </c>
      <c r="BJ45" s="414">
        <v>3065.0588235294117</v>
      </c>
      <c r="BK45" s="31">
        <v>11348.958909999999</v>
      </c>
      <c r="BL45" s="31">
        <v>11995.208611</v>
      </c>
      <c r="BM45" s="414">
        <v>6920.4117647058829</v>
      </c>
      <c r="BN45" s="31">
        <v>11348.958909999999</v>
      </c>
      <c r="BO45" s="31">
        <v>11944.385966</v>
      </c>
      <c r="BP45" s="414">
        <v>6119.7058823529405</v>
      </c>
      <c r="BQ45" s="31">
        <v>41605.413188999999</v>
      </c>
      <c r="BR45" s="31">
        <v>42085.457306999997</v>
      </c>
      <c r="BS45" s="414">
        <v>15468.35294117647</v>
      </c>
      <c r="BT45" s="31">
        <v>41605.413188999999</v>
      </c>
      <c r="BU45" s="31">
        <v>42034.392064</v>
      </c>
      <c r="BV45" s="414">
        <v>15465.352941176472</v>
      </c>
      <c r="BW45" s="31">
        <v>45452.966907000002</v>
      </c>
      <c r="BX45" s="31">
        <v>46014.115347999999</v>
      </c>
      <c r="BY45" s="414">
        <v>16905.705882352941</v>
      </c>
      <c r="BZ45" s="31">
        <v>45452.966907000002</v>
      </c>
      <c r="CA45" s="31">
        <v>45953.011257999999</v>
      </c>
      <c r="CB45" s="414">
        <v>16901.705882352941</v>
      </c>
      <c r="CC45" s="31">
        <v>97357.902963</v>
      </c>
      <c r="CD45" s="31">
        <v>98161.232921999996</v>
      </c>
      <c r="CE45" s="414">
        <v>42509.588235294112</v>
      </c>
      <c r="CF45" s="31">
        <v>97357.902963</v>
      </c>
      <c r="CG45" s="31">
        <v>98081.535877999995</v>
      </c>
      <c r="CH45" s="414">
        <v>42501.117647058825</v>
      </c>
      <c r="CI45" s="31">
        <v>63975.947822000002</v>
      </c>
      <c r="CJ45" s="31">
        <v>64599.418847000001</v>
      </c>
      <c r="CK45" s="414">
        <v>27986.705882352941</v>
      </c>
      <c r="CL45" s="31">
        <v>63975.947822000002</v>
      </c>
      <c r="CM45" s="31">
        <v>64539.868244999998</v>
      </c>
      <c r="CN45" s="414">
        <v>27981.235294117647</v>
      </c>
      <c r="CO45" s="31">
        <v>123107.158949</v>
      </c>
      <c r="CP45" s="31">
        <v>123915.61034</v>
      </c>
      <c r="CQ45" s="414">
        <v>58361.411764705881</v>
      </c>
      <c r="CR45" s="31">
        <v>123107.158949</v>
      </c>
      <c r="CS45" s="31">
        <v>123841.54501099999</v>
      </c>
      <c r="CT45" s="414">
        <v>58351.941176470587</v>
      </c>
      <c r="CU45" s="415">
        <v>684.33144300000004</v>
      </c>
      <c r="CV45" s="415">
        <v>656.414626</v>
      </c>
      <c r="CW45" s="415">
        <v>363.78959700000001</v>
      </c>
      <c r="CX45" s="415">
        <v>350.38521500000002</v>
      </c>
      <c r="CY45" s="415">
        <v>698.73865000000001</v>
      </c>
      <c r="CZ45" s="415">
        <v>663.51128600000004</v>
      </c>
      <c r="DA45" s="415">
        <v>1170.5561</v>
      </c>
      <c r="DB45" s="415">
        <v>1101.2734929999999</v>
      </c>
      <c r="DC45" s="415">
        <v>505.35054600000001</v>
      </c>
      <c r="DD45" s="415">
        <v>481.70780400000001</v>
      </c>
      <c r="DE45" s="415">
        <v>701.478928</v>
      </c>
      <c r="DF45" s="415">
        <v>615.20759299999997</v>
      </c>
      <c r="DG45" s="415">
        <v>358.182638</v>
      </c>
      <c r="DH45" s="415">
        <v>314.18500499999999</v>
      </c>
      <c r="DI45" s="415">
        <v>706.50031799999999</v>
      </c>
      <c r="DJ45" s="415">
        <v>606.485049</v>
      </c>
      <c r="DK45" s="415">
        <v>1254.4525659999999</v>
      </c>
      <c r="DL45" s="415">
        <v>1074.8296720000001</v>
      </c>
      <c r="DM45" s="415">
        <v>490.28186699999998</v>
      </c>
      <c r="DN45" s="415">
        <v>419.39653800000002</v>
      </c>
      <c r="DO45" s="415">
        <v>13515.809832000001</v>
      </c>
      <c r="DP45" s="415">
        <v>13509.707635000001</v>
      </c>
      <c r="DQ45" s="415">
        <v>8870.1790849999998</v>
      </c>
      <c r="DR45" s="415">
        <v>8866.9020889999993</v>
      </c>
      <c r="DS45" s="415">
        <v>12699.401587</v>
      </c>
      <c r="DT45" s="415">
        <v>12692.097303</v>
      </c>
      <c r="DU45" s="415">
        <v>19421.181857</v>
      </c>
      <c r="DV45" s="415">
        <v>19407.302604</v>
      </c>
      <c r="DW45" s="415">
        <v>10197.359019</v>
      </c>
      <c r="DX45" s="415">
        <v>10191.875873999999</v>
      </c>
    </row>
    <row r="46" spans="2:128" ht="15">
      <c r="B46" s="425" t="s">
        <v>653</v>
      </c>
      <c r="C46" s="249" t="s">
        <v>654</v>
      </c>
      <c r="D46" s="249" t="s">
        <v>529</v>
      </c>
      <c r="E46" s="426">
        <v>11</v>
      </c>
      <c r="F46" s="249" t="s">
        <v>514</v>
      </c>
      <c r="G46" s="252" t="s">
        <v>515</v>
      </c>
      <c r="H46" t="s">
        <v>653</v>
      </c>
      <c r="I46" s="31">
        <v>4272.867886</v>
      </c>
      <c r="J46" s="31">
        <v>4687.2520599999998</v>
      </c>
      <c r="K46" s="414">
        <v>1698.2352941176471</v>
      </c>
      <c r="L46" s="31">
        <v>4272.867886</v>
      </c>
      <c r="M46" s="31">
        <v>4483.6157069999999</v>
      </c>
      <c r="N46" s="414">
        <v>1553.3529411764707</v>
      </c>
      <c r="O46" s="31">
        <v>4648.4807280000005</v>
      </c>
      <c r="P46" s="31">
        <v>5101.4193610000002</v>
      </c>
      <c r="Q46" s="414">
        <v>1853.1764705882354</v>
      </c>
      <c r="R46" s="31">
        <v>4648.4807280000005</v>
      </c>
      <c r="S46" s="31">
        <v>4878.9852389999996</v>
      </c>
      <c r="T46" s="414">
        <v>1692.8235294117646</v>
      </c>
      <c r="U46" s="31">
        <v>8835.0592809999998</v>
      </c>
      <c r="V46" s="31">
        <v>9610.5935260000006</v>
      </c>
      <c r="W46" s="414">
        <v>4170.5294117647063</v>
      </c>
      <c r="X46" s="31">
        <v>8835.0592809999998</v>
      </c>
      <c r="Y46" s="31">
        <v>9199.1695359999994</v>
      </c>
      <c r="Z46" s="414">
        <v>3747.588235294118</v>
      </c>
      <c r="AA46" s="31">
        <v>6234.4732780000004</v>
      </c>
      <c r="AB46" s="31">
        <v>6815.459132</v>
      </c>
      <c r="AC46" s="414">
        <v>2931.5294117647059</v>
      </c>
      <c r="AD46" s="31">
        <v>6234.4732780000004</v>
      </c>
      <c r="AE46" s="31">
        <v>6515.3626709999999</v>
      </c>
      <c r="AF46" s="414">
        <v>2629.7647058823532</v>
      </c>
      <c r="AG46" s="31">
        <v>10964.710396</v>
      </c>
      <c r="AH46" s="31">
        <v>11878.904573</v>
      </c>
      <c r="AI46" s="414">
        <v>5689.6470588235297</v>
      </c>
      <c r="AJ46" s="31">
        <v>10964.710396</v>
      </c>
      <c r="AK46" s="31">
        <v>11374.163399999999</v>
      </c>
      <c r="AL46" s="414">
        <v>5042.7058823529414</v>
      </c>
      <c r="AM46" s="31">
        <v>4371.4606869999998</v>
      </c>
      <c r="AN46" s="31">
        <v>4620.7401520000003</v>
      </c>
      <c r="AO46" s="414">
        <v>1922.1176470588234</v>
      </c>
      <c r="AP46" s="31">
        <v>4371.4606869999998</v>
      </c>
      <c r="AQ46" s="31">
        <v>4588.8708729999998</v>
      </c>
      <c r="AR46" s="414">
        <v>1680.5294117647059</v>
      </c>
      <c r="AS46" s="31">
        <v>4768.6037120000001</v>
      </c>
      <c r="AT46" s="31">
        <v>5043.415481</v>
      </c>
      <c r="AU46" s="414">
        <v>2112.588235294118</v>
      </c>
      <c r="AV46" s="31">
        <v>4768.6037120000001</v>
      </c>
      <c r="AW46" s="31">
        <v>5007.7589150000003</v>
      </c>
      <c r="AX46" s="414">
        <v>1835.4705882352941</v>
      </c>
      <c r="AY46" s="31">
        <v>9058.1124999999993</v>
      </c>
      <c r="AZ46" s="31">
        <v>9579.3720219999996</v>
      </c>
      <c r="BA46" s="414">
        <v>4939.2941176470595</v>
      </c>
      <c r="BB46" s="31">
        <v>9058.1124999999993</v>
      </c>
      <c r="BC46" s="31">
        <v>9516.9414730000008</v>
      </c>
      <c r="BD46" s="414">
        <v>4187.6470588235297</v>
      </c>
      <c r="BE46" s="31">
        <v>6407.4293980000002</v>
      </c>
      <c r="BF46" s="31">
        <v>6776.0759189999999</v>
      </c>
      <c r="BG46" s="414">
        <v>3436.2352941176468</v>
      </c>
      <c r="BH46" s="31">
        <v>6407.4293980000002</v>
      </c>
      <c r="BI46" s="31">
        <v>6732.082899</v>
      </c>
      <c r="BJ46" s="414">
        <v>2921.1764705882351</v>
      </c>
      <c r="BK46" s="31">
        <v>11348.958909999999</v>
      </c>
      <c r="BL46" s="31">
        <v>11995.208611</v>
      </c>
      <c r="BM46" s="414">
        <v>6920.4117647058829</v>
      </c>
      <c r="BN46" s="31">
        <v>11348.958909999999</v>
      </c>
      <c r="BO46" s="31">
        <v>11922.827945000001</v>
      </c>
      <c r="BP46" s="414">
        <v>5810.4705882352937</v>
      </c>
      <c r="BQ46" s="31">
        <v>41605.413188999999</v>
      </c>
      <c r="BR46" s="31">
        <v>42085.457306999997</v>
      </c>
      <c r="BS46" s="414">
        <v>15468.35294117647</v>
      </c>
      <c r="BT46" s="31">
        <v>41605.413188999999</v>
      </c>
      <c r="BU46" s="31">
        <v>42017.066693000001</v>
      </c>
      <c r="BV46" s="414">
        <v>15464.882352941177</v>
      </c>
      <c r="BW46" s="31">
        <v>45452.966907000002</v>
      </c>
      <c r="BX46" s="31">
        <v>46014.115347999999</v>
      </c>
      <c r="BY46" s="414">
        <v>16905.705882352941</v>
      </c>
      <c r="BZ46" s="31">
        <v>45452.966907000002</v>
      </c>
      <c r="CA46" s="31">
        <v>45932.283364000003</v>
      </c>
      <c r="CB46" s="414">
        <v>16900.705882352941</v>
      </c>
      <c r="CC46" s="31">
        <v>97357.902963</v>
      </c>
      <c r="CD46" s="31">
        <v>98161.232921999996</v>
      </c>
      <c r="CE46" s="414">
        <v>42509.588235294112</v>
      </c>
      <c r="CF46" s="31">
        <v>97357.902963</v>
      </c>
      <c r="CG46" s="31">
        <v>98054.478428000002</v>
      </c>
      <c r="CH46" s="414">
        <v>42498.117647058825</v>
      </c>
      <c r="CI46" s="31">
        <v>63975.947822000002</v>
      </c>
      <c r="CJ46" s="31">
        <v>64599.418847000001</v>
      </c>
      <c r="CK46" s="414">
        <v>27986.705882352941</v>
      </c>
      <c r="CL46" s="31">
        <v>63975.947822000002</v>
      </c>
      <c r="CM46" s="31">
        <v>64519.654570999999</v>
      </c>
      <c r="CN46" s="414">
        <v>27979.235294117647</v>
      </c>
      <c r="CO46" s="31">
        <v>123107.158949</v>
      </c>
      <c r="CP46" s="31">
        <v>123915.61034</v>
      </c>
      <c r="CQ46" s="414">
        <v>58361.411764705881</v>
      </c>
      <c r="CR46" s="31">
        <v>123107.158949</v>
      </c>
      <c r="CS46" s="31">
        <v>123816.398951</v>
      </c>
      <c r="CT46" s="414">
        <v>58348.941176470587</v>
      </c>
      <c r="CU46" s="415">
        <v>684.33144300000004</v>
      </c>
      <c r="CV46" s="415">
        <v>645.13433099999997</v>
      </c>
      <c r="CW46" s="415">
        <v>363.78959700000001</v>
      </c>
      <c r="CX46" s="415">
        <v>344.96331099999998</v>
      </c>
      <c r="CY46" s="415">
        <v>698.73865000000001</v>
      </c>
      <c r="CZ46" s="415">
        <v>649.382293</v>
      </c>
      <c r="DA46" s="415">
        <v>1170.5561</v>
      </c>
      <c r="DB46" s="415">
        <v>1073.644753</v>
      </c>
      <c r="DC46" s="415">
        <v>505.35054600000001</v>
      </c>
      <c r="DD46" s="415">
        <v>472.18557399999997</v>
      </c>
      <c r="DE46" s="415">
        <v>701.478928</v>
      </c>
      <c r="DF46" s="415">
        <v>581.02680099999998</v>
      </c>
      <c r="DG46" s="415">
        <v>358.182638</v>
      </c>
      <c r="DH46" s="415">
        <v>297.01335599999999</v>
      </c>
      <c r="DI46" s="415">
        <v>706.50031799999999</v>
      </c>
      <c r="DJ46" s="415">
        <v>567.68625799999995</v>
      </c>
      <c r="DK46" s="415">
        <v>1254.4525659999999</v>
      </c>
      <c r="DL46" s="415">
        <v>1000.702385</v>
      </c>
      <c r="DM46" s="415">
        <v>490.28186699999998</v>
      </c>
      <c r="DN46" s="415">
        <v>392.301106</v>
      </c>
      <c r="DO46" s="415">
        <v>13515.809832000001</v>
      </c>
      <c r="DP46" s="415">
        <v>13507.646197</v>
      </c>
      <c r="DQ46" s="415">
        <v>8870.1790849999998</v>
      </c>
      <c r="DR46" s="415">
        <v>8865.7955089999996</v>
      </c>
      <c r="DS46" s="415">
        <v>12699.401587</v>
      </c>
      <c r="DT46" s="415">
        <v>12689.632697999999</v>
      </c>
      <c r="DU46" s="415">
        <v>19421.181857</v>
      </c>
      <c r="DV46" s="415">
        <v>19402.61923</v>
      </c>
      <c r="DW46" s="415">
        <v>10197.359019</v>
      </c>
      <c r="DX46" s="415">
        <v>10190.025073999999</v>
      </c>
    </row>
    <row r="47" spans="2:128" ht="15.75" thickBot="1">
      <c r="B47" s="435" t="s">
        <v>656</v>
      </c>
      <c r="C47" s="255" t="s">
        <v>657</v>
      </c>
      <c r="D47" s="255" t="s">
        <v>529</v>
      </c>
      <c r="E47" s="436">
        <v>12</v>
      </c>
      <c r="F47" s="255" t="s">
        <v>651</v>
      </c>
      <c r="G47" s="258" t="s">
        <v>515</v>
      </c>
      <c r="H47" t="s">
        <v>656</v>
      </c>
      <c r="I47" s="31">
        <v>4272.867886</v>
      </c>
      <c r="J47" s="31">
        <v>4542.4800240000004</v>
      </c>
      <c r="K47" s="414">
        <v>1595.8235294117646</v>
      </c>
      <c r="L47" s="31">
        <v>4272.867886</v>
      </c>
      <c r="M47" s="31">
        <v>4483.6157069999999</v>
      </c>
      <c r="N47" s="414">
        <v>1553.3529411764707</v>
      </c>
      <c r="O47" s="31">
        <v>4648.4807280000005</v>
      </c>
      <c r="P47" s="31">
        <v>4943.277478</v>
      </c>
      <c r="Q47" s="414">
        <v>1739.2941176470588</v>
      </c>
      <c r="R47" s="31">
        <v>4648.4807280000005</v>
      </c>
      <c r="S47" s="31">
        <v>4878.9852389999996</v>
      </c>
      <c r="T47" s="414">
        <v>1692.8235294117646</v>
      </c>
      <c r="U47" s="31">
        <v>8835.0592809999998</v>
      </c>
      <c r="V47" s="31">
        <v>9319.136724</v>
      </c>
      <c r="W47" s="414">
        <v>3873.2352941176468</v>
      </c>
      <c r="X47" s="31">
        <v>8835.0592809999998</v>
      </c>
      <c r="Y47" s="31">
        <v>9199.1695359999994</v>
      </c>
      <c r="Z47" s="414">
        <v>3747.588235294118</v>
      </c>
      <c r="AA47" s="31">
        <v>6234.4732780000004</v>
      </c>
      <c r="AB47" s="31">
        <v>6602.6290870000003</v>
      </c>
      <c r="AC47" s="414">
        <v>2717.8235294117649</v>
      </c>
      <c r="AD47" s="31">
        <v>6234.4732780000004</v>
      </c>
      <c r="AE47" s="31">
        <v>6515.3626709999999</v>
      </c>
      <c r="AF47" s="414">
        <v>2629.7647058823532</v>
      </c>
      <c r="AG47" s="31">
        <v>10964.710396</v>
      </c>
      <c r="AH47" s="31">
        <v>11521.854078</v>
      </c>
      <c r="AI47" s="414">
        <v>5235.5882352941171</v>
      </c>
      <c r="AJ47" s="31">
        <v>10964.710396</v>
      </c>
      <c r="AK47" s="31">
        <v>11374.163399999999</v>
      </c>
      <c r="AL47" s="414">
        <v>5042.7058823529414</v>
      </c>
      <c r="AM47" s="31">
        <v>4371.4606869999998</v>
      </c>
      <c r="AN47" s="31">
        <v>4598.3255669999999</v>
      </c>
      <c r="AO47" s="414">
        <v>1750.0588235294117</v>
      </c>
      <c r="AP47" s="31">
        <v>4371.4606869999998</v>
      </c>
      <c r="AQ47" s="31">
        <v>4588.8708729999998</v>
      </c>
      <c r="AR47" s="414">
        <v>1680.5294117647059</v>
      </c>
      <c r="AS47" s="31">
        <v>4768.6037120000001</v>
      </c>
      <c r="AT47" s="31">
        <v>5018.3332879999998</v>
      </c>
      <c r="AU47" s="414">
        <v>1914.4705882352941</v>
      </c>
      <c r="AV47" s="31">
        <v>4768.6037120000001</v>
      </c>
      <c r="AW47" s="31">
        <v>5007.7589150000003</v>
      </c>
      <c r="AX47" s="414">
        <v>1835.4705882352941</v>
      </c>
      <c r="AY47" s="31">
        <v>9058.1124999999993</v>
      </c>
      <c r="AZ47" s="31">
        <v>9535.5001520000005</v>
      </c>
      <c r="BA47" s="414">
        <v>4397.2352941176468</v>
      </c>
      <c r="BB47" s="31">
        <v>9058.1124999999993</v>
      </c>
      <c r="BC47" s="31">
        <v>9516.9414730000008</v>
      </c>
      <c r="BD47" s="414">
        <v>4187.6470588235297</v>
      </c>
      <c r="BE47" s="31">
        <v>6407.4293980000002</v>
      </c>
      <c r="BF47" s="31">
        <v>6745.1643119999999</v>
      </c>
      <c r="BG47" s="414">
        <v>3065.0588235294117</v>
      </c>
      <c r="BH47" s="31">
        <v>6407.4293980000002</v>
      </c>
      <c r="BI47" s="31">
        <v>6732.082899</v>
      </c>
      <c r="BJ47" s="414">
        <v>2921.1764705882351</v>
      </c>
      <c r="BK47" s="31">
        <v>11348.958909999999</v>
      </c>
      <c r="BL47" s="31">
        <v>11944.385966</v>
      </c>
      <c r="BM47" s="414">
        <v>6119.7058823529405</v>
      </c>
      <c r="BN47" s="31">
        <v>11348.958909999999</v>
      </c>
      <c r="BO47" s="31">
        <v>11922.827945000001</v>
      </c>
      <c r="BP47" s="414">
        <v>5810.4705882352937</v>
      </c>
      <c r="BQ47" s="31">
        <v>41605.413188999999</v>
      </c>
      <c r="BR47" s="31">
        <v>42034.392064</v>
      </c>
      <c r="BS47" s="414">
        <v>15465.352941176472</v>
      </c>
      <c r="BT47" s="31">
        <v>41605.413188999999</v>
      </c>
      <c r="BU47" s="31">
        <v>42017.066693000001</v>
      </c>
      <c r="BV47" s="414">
        <v>15464.882352941177</v>
      </c>
      <c r="BW47" s="31">
        <v>45452.966907000002</v>
      </c>
      <c r="BX47" s="31">
        <v>45953.011257999999</v>
      </c>
      <c r="BY47" s="414">
        <v>16901.705882352941</v>
      </c>
      <c r="BZ47" s="31">
        <v>45452.966907000002</v>
      </c>
      <c r="CA47" s="31">
        <v>45932.283364000003</v>
      </c>
      <c r="CB47" s="414">
        <v>16900.705882352941</v>
      </c>
      <c r="CC47" s="31">
        <v>97357.902963</v>
      </c>
      <c r="CD47" s="31">
        <v>98081.535877999995</v>
      </c>
      <c r="CE47" s="414">
        <v>42501.117647058825</v>
      </c>
      <c r="CF47" s="31">
        <v>97357.902963</v>
      </c>
      <c r="CG47" s="31">
        <v>98054.478428000002</v>
      </c>
      <c r="CH47" s="414">
        <v>42498.117647058825</v>
      </c>
      <c r="CI47" s="31">
        <v>63975.947822000002</v>
      </c>
      <c r="CJ47" s="31">
        <v>64539.868244999998</v>
      </c>
      <c r="CK47" s="414">
        <v>27981.235294117647</v>
      </c>
      <c r="CL47" s="31">
        <v>63975.947822000002</v>
      </c>
      <c r="CM47" s="31">
        <v>64519.654570999999</v>
      </c>
      <c r="CN47" s="414">
        <v>27979.235294117647</v>
      </c>
      <c r="CO47" s="31">
        <v>123107.158949</v>
      </c>
      <c r="CP47" s="31">
        <v>123841.54501099999</v>
      </c>
      <c r="CQ47" s="414">
        <v>58351.941176470587</v>
      </c>
      <c r="CR47" s="31">
        <v>123107.158949</v>
      </c>
      <c r="CS47" s="31">
        <v>123816.398951</v>
      </c>
      <c r="CT47" s="414">
        <v>58348.941176470587</v>
      </c>
      <c r="CU47" s="415">
        <v>656.414626</v>
      </c>
      <c r="CV47" s="415">
        <v>645.13433099999997</v>
      </c>
      <c r="CW47" s="415">
        <v>350.38521500000002</v>
      </c>
      <c r="CX47" s="415">
        <v>344.96331099999998</v>
      </c>
      <c r="CY47" s="415">
        <v>663.51128600000004</v>
      </c>
      <c r="CZ47" s="415">
        <v>649.382293</v>
      </c>
      <c r="DA47" s="415">
        <v>1101.2734929999999</v>
      </c>
      <c r="DB47" s="415">
        <v>1073.644753</v>
      </c>
      <c r="DC47" s="415">
        <v>481.70780400000001</v>
      </c>
      <c r="DD47" s="415">
        <v>472.18557399999997</v>
      </c>
      <c r="DE47" s="415">
        <v>615.20759299999997</v>
      </c>
      <c r="DF47" s="415">
        <v>581.02680099999998</v>
      </c>
      <c r="DG47" s="415">
        <v>314.18500499999999</v>
      </c>
      <c r="DH47" s="415">
        <v>297.01335599999999</v>
      </c>
      <c r="DI47" s="415">
        <v>606.485049</v>
      </c>
      <c r="DJ47" s="415">
        <v>567.68625799999995</v>
      </c>
      <c r="DK47" s="415">
        <v>1074.8296720000001</v>
      </c>
      <c r="DL47" s="415">
        <v>1000.702385</v>
      </c>
      <c r="DM47" s="415">
        <v>419.39653800000002</v>
      </c>
      <c r="DN47" s="415">
        <v>392.301106</v>
      </c>
      <c r="DO47" s="415">
        <v>13509.707635000001</v>
      </c>
      <c r="DP47" s="415">
        <v>13507.646197</v>
      </c>
      <c r="DQ47" s="415">
        <v>8866.9020889999993</v>
      </c>
      <c r="DR47" s="415">
        <v>8865.7955089999996</v>
      </c>
      <c r="DS47" s="415">
        <v>12692.097303</v>
      </c>
      <c r="DT47" s="415">
        <v>12689.632697999999</v>
      </c>
      <c r="DU47" s="415">
        <v>19407.302604</v>
      </c>
      <c r="DV47" s="415">
        <v>19402.61923</v>
      </c>
      <c r="DW47" s="415">
        <v>10191.875873999999</v>
      </c>
      <c r="DX47" s="415">
        <v>10190.025073999999</v>
      </c>
    </row>
    <row r="48" spans="2:128" ht="15">
      <c r="B48" s="429" t="s">
        <v>659</v>
      </c>
      <c r="C48" s="243" t="s">
        <v>660</v>
      </c>
      <c r="D48" s="243" t="s">
        <v>530</v>
      </c>
      <c r="E48" s="430">
        <v>10</v>
      </c>
      <c r="F48" s="431" t="s">
        <v>661</v>
      </c>
      <c r="G48" s="432" t="s">
        <v>662</v>
      </c>
      <c r="H48" t="s">
        <v>659</v>
      </c>
      <c r="I48" s="31"/>
      <c r="J48" s="31"/>
      <c r="K48" s="415">
        <v>2179.3740259740257</v>
      </c>
      <c r="L48" s="415"/>
      <c r="M48" s="415"/>
      <c r="N48" s="415">
        <v>1988.1735294117648</v>
      </c>
      <c r="O48" s="415"/>
      <c r="P48" s="415"/>
      <c r="Q48" s="415">
        <v>2384.5902597402596</v>
      </c>
      <c r="R48" s="415"/>
      <c r="S48" s="415"/>
      <c r="T48" s="415">
        <v>2178.535294117647</v>
      </c>
      <c r="U48" s="415"/>
      <c r="V48" s="415"/>
      <c r="W48" s="415">
        <v>5575.07987012987</v>
      </c>
      <c r="X48" s="415"/>
      <c r="Y48" s="415"/>
      <c r="Z48" s="415">
        <v>5301.7617647058823</v>
      </c>
      <c r="AA48" s="415"/>
      <c r="AB48" s="415"/>
      <c r="AC48" s="415">
        <v>3868.7084415584413</v>
      </c>
      <c r="AD48" s="415"/>
      <c r="AE48" s="415"/>
      <c r="AF48" s="415">
        <v>3662.126470588235</v>
      </c>
      <c r="AG48" s="415"/>
      <c r="AH48" s="415"/>
      <c r="AI48" s="415">
        <v>7544.972077922077</v>
      </c>
      <c r="AJ48" s="415"/>
      <c r="AK48" s="415"/>
      <c r="AL48" s="415">
        <v>7270.4617647058822</v>
      </c>
      <c r="AM48" s="415"/>
      <c r="AN48" s="415"/>
      <c r="AO48" s="415">
        <v>2405.6084415584414</v>
      </c>
      <c r="AP48" s="415"/>
      <c r="AQ48" s="415"/>
      <c r="AR48" s="415">
        <v>2211.5205882352939</v>
      </c>
      <c r="AS48" s="415"/>
      <c r="AT48" s="415"/>
      <c r="AU48" s="415">
        <v>2640.7714285714283</v>
      </c>
      <c r="AV48" s="415"/>
      <c r="AW48" s="415"/>
      <c r="AX48" s="415">
        <v>2431.2529411764708</v>
      </c>
      <c r="AY48" s="415"/>
      <c r="AZ48" s="415"/>
      <c r="BA48" s="415">
        <v>6304.5025974025975</v>
      </c>
      <c r="BB48" s="415"/>
      <c r="BC48" s="415"/>
      <c r="BD48" s="415">
        <v>6054.964705882353</v>
      </c>
      <c r="BE48" s="415"/>
      <c r="BF48" s="415"/>
      <c r="BG48" s="415">
        <v>4360.9980519480523</v>
      </c>
      <c r="BH48" s="415"/>
      <c r="BI48" s="415"/>
      <c r="BJ48" s="415">
        <v>4165.9029411764714</v>
      </c>
      <c r="BK48" s="415"/>
      <c r="BL48" s="415"/>
      <c r="BM48" s="415">
        <v>8651.6415584415572</v>
      </c>
      <c r="BN48" s="415"/>
      <c r="BO48" s="415"/>
      <c r="BP48" s="415">
        <v>8413.2529411764699</v>
      </c>
      <c r="BQ48" s="415"/>
      <c r="BR48" s="415"/>
      <c r="BS48" s="415">
        <v>18133.576623376623</v>
      </c>
      <c r="BT48" s="415"/>
      <c r="BU48" s="415"/>
      <c r="BV48" s="415">
        <v>15955.679411764708</v>
      </c>
      <c r="BW48" s="415"/>
      <c r="BX48" s="415"/>
      <c r="BY48" s="415">
        <v>19888.198051948053</v>
      </c>
      <c r="BZ48" s="415"/>
      <c r="CA48" s="415"/>
      <c r="CB48" s="415">
        <v>17536.305882352943</v>
      </c>
      <c r="CC48" s="415"/>
      <c r="CD48" s="415"/>
      <c r="CE48" s="415">
        <v>52181.096103896096</v>
      </c>
      <c r="CF48" s="415"/>
      <c r="CG48" s="415"/>
      <c r="CH48" s="415">
        <v>48170.73529411765</v>
      </c>
      <c r="CI48" s="415"/>
      <c r="CJ48" s="415"/>
      <c r="CK48" s="415">
        <v>34084.659090909088</v>
      </c>
      <c r="CL48" s="415"/>
      <c r="CM48" s="415"/>
      <c r="CN48" s="415">
        <v>31313.599999999999</v>
      </c>
      <c r="CO48" s="415"/>
      <c r="CP48" s="415"/>
      <c r="CQ48" s="415">
        <v>72303.921428571426</v>
      </c>
      <c r="CR48" s="415"/>
      <c r="CS48" s="415"/>
      <c r="CT48" s="415">
        <v>67841.479411764696</v>
      </c>
      <c r="CU48" s="445">
        <v>654.226765</v>
      </c>
      <c r="CV48" s="445">
        <v>654.226765</v>
      </c>
      <c r="CW48" s="445">
        <v>349.934978</v>
      </c>
      <c r="CX48" s="445">
        <v>349.934978</v>
      </c>
      <c r="CY48" s="445">
        <v>666.35982799999999</v>
      </c>
      <c r="CZ48" s="445">
        <v>666.35982799999999</v>
      </c>
      <c r="DA48" s="445">
        <v>1106.675303</v>
      </c>
      <c r="DB48" s="445">
        <v>1106.675303</v>
      </c>
      <c r="DC48" s="445">
        <v>482.81315799999999</v>
      </c>
      <c r="DD48" s="445">
        <v>482.81315799999999</v>
      </c>
      <c r="DE48" s="445">
        <v>624.84404800000004</v>
      </c>
      <c r="DF48" s="445">
        <v>624.84404800000004</v>
      </c>
      <c r="DG48" s="445">
        <v>320.51410299999998</v>
      </c>
      <c r="DH48" s="445">
        <v>320.51410299999998</v>
      </c>
      <c r="DI48" s="445">
        <v>622.93687199999999</v>
      </c>
      <c r="DJ48" s="445">
        <v>622.93687199999999</v>
      </c>
      <c r="DK48" s="445">
        <v>1095.2570290000001</v>
      </c>
      <c r="DL48" s="445">
        <v>1095.2570290000001</v>
      </c>
      <c r="DM48" s="445">
        <v>431.11177500000002</v>
      </c>
      <c r="DN48" s="445">
        <v>431.11177500000002</v>
      </c>
      <c r="DO48" s="445">
        <v>13361.365855</v>
      </c>
      <c r="DP48" s="445">
        <v>13361.365855</v>
      </c>
      <c r="DQ48" s="445">
        <v>8789.3019530000001</v>
      </c>
      <c r="DR48" s="445">
        <v>8789.3019530000001</v>
      </c>
      <c r="DS48" s="445">
        <v>12607.13947</v>
      </c>
      <c r="DT48" s="445">
        <v>12607.13947</v>
      </c>
      <c r="DU48" s="445">
        <v>19283.442671000001</v>
      </c>
      <c r="DV48" s="445">
        <v>19283.442671000001</v>
      </c>
      <c r="DW48" s="445">
        <v>10106.556103000001</v>
      </c>
      <c r="DX48" s="445">
        <v>10106.556103000001</v>
      </c>
    </row>
    <row r="49" spans="2:129" ht="15">
      <c r="B49" s="446" t="s">
        <v>664</v>
      </c>
      <c r="C49" s="447" t="s">
        <v>665</v>
      </c>
      <c r="D49" s="447" t="s">
        <v>530</v>
      </c>
      <c r="E49" s="448">
        <v>11</v>
      </c>
      <c r="F49" s="449" t="s">
        <v>661</v>
      </c>
      <c r="G49" s="428" t="s">
        <v>666</v>
      </c>
      <c r="H49" t="s">
        <v>664</v>
      </c>
      <c r="I49" s="31"/>
      <c r="J49" s="31"/>
      <c r="K49" s="415">
        <v>2179.3740259740257</v>
      </c>
      <c r="L49" s="415"/>
      <c r="M49" s="415"/>
      <c r="N49" s="415">
        <v>1902.95</v>
      </c>
      <c r="O49" s="415"/>
      <c r="P49" s="415"/>
      <c r="Q49" s="415">
        <v>2384.5902597402596</v>
      </c>
      <c r="R49" s="415"/>
      <c r="S49" s="415"/>
      <c r="T49" s="415">
        <v>2086.6999999999998</v>
      </c>
      <c r="U49" s="415"/>
      <c r="V49" s="415"/>
      <c r="W49" s="415">
        <v>5575.07987012987</v>
      </c>
      <c r="X49" s="415"/>
      <c r="Y49" s="415"/>
      <c r="Z49" s="415">
        <v>5178.75</v>
      </c>
      <c r="AA49" s="415"/>
      <c r="AB49" s="415"/>
      <c r="AC49" s="415">
        <v>3868.7084415584413</v>
      </c>
      <c r="AD49" s="415"/>
      <c r="AE49" s="415"/>
      <c r="AF49" s="415">
        <v>3568.95</v>
      </c>
      <c r="AG49" s="415"/>
      <c r="AH49" s="415"/>
      <c r="AI49" s="415">
        <v>7544.972077922077</v>
      </c>
      <c r="AJ49" s="415"/>
      <c r="AK49" s="415"/>
      <c r="AL49" s="415">
        <v>7155.85</v>
      </c>
      <c r="AM49" s="415"/>
      <c r="AN49" s="415"/>
      <c r="AO49" s="415">
        <v>2405.6084415584414</v>
      </c>
      <c r="AP49" s="415"/>
      <c r="AQ49" s="415"/>
      <c r="AR49" s="415">
        <v>2125.85</v>
      </c>
      <c r="AS49" s="415"/>
      <c r="AT49" s="415"/>
      <c r="AU49" s="415">
        <v>2640.7714285714283</v>
      </c>
      <c r="AV49" s="415"/>
      <c r="AW49" s="415"/>
      <c r="AX49" s="415">
        <v>2339.3000000000002</v>
      </c>
      <c r="AY49" s="415"/>
      <c r="AZ49" s="415"/>
      <c r="BA49" s="415">
        <v>6304.5025974025975</v>
      </c>
      <c r="BB49" s="415"/>
      <c r="BC49" s="415"/>
      <c r="BD49" s="415">
        <v>5955.6</v>
      </c>
      <c r="BE49" s="415"/>
      <c r="BF49" s="415"/>
      <c r="BG49" s="415">
        <v>4360.9980519480523</v>
      </c>
      <c r="BH49" s="415"/>
      <c r="BI49" s="415"/>
      <c r="BJ49" s="415">
        <v>4083.95</v>
      </c>
      <c r="BK49" s="415"/>
      <c r="BL49" s="415"/>
      <c r="BM49" s="415">
        <v>8651.6415584415572</v>
      </c>
      <c r="BN49" s="415"/>
      <c r="BO49" s="415"/>
      <c r="BP49" s="415">
        <v>8332.9</v>
      </c>
      <c r="BQ49" s="415"/>
      <c r="BR49" s="415"/>
      <c r="BS49" s="415">
        <v>18133.576623376623</v>
      </c>
      <c r="BT49" s="415"/>
      <c r="BU49" s="415"/>
      <c r="BV49" s="415">
        <v>14926.550000000001</v>
      </c>
      <c r="BW49" s="415"/>
      <c r="BX49" s="415"/>
      <c r="BY49" s="415">
        <v>19888.198051948053</v>
      </c>
      <c r="BZ49" s="415"/>
      <c r="CA49" s="415"/>
      <c r="CB49" s="415">
        <v>16424</v>
      </c>
      <c r="CC49" s="415"/>
      <c r="CD49" s="415"/>
      <c r="CE49" s="415">
        <v>52181.096103896096</v>
      </c>
      <c r="CF49" s="415"/>
      <c r="CG49" s="415"/>
      <c r="CH49" s="415">
        <v>46105.3</v>
      </c>
      <c r="CI49" s="415"/>
      <c r="CJ49" s="415"/>
      <c r="CK49" s="415">
        <v>34084.659090909088</v>
      </c>
      <c r="CL49" s="415"/>
      <c r="CM49" s="415"/>
      <c r="CN49" s="415">
        <v>29894</v>
      </c>
      <c r="CO49" s="415"/>
      <c r="CP49" s="415"/>
      <c r="CQ49" s="415">
        <v>72303.921428571426</v>
      </c>
      <c r="CR49" s="415"/>
      <c r="CS49" s="415"/>
      <c r="CT49" s="415">
        <v>65509.95</v>
      </c>
      <c r="CU49" s="445">
        <v>654.226765</v>
      </c>
      <c r="CV49" s="445">
        <v>583.00142957142862</v>
      </c>
      <c r="CW49" s="445">
        <v>349.934978</v>
      </c>
      <c r="CX49" s="445">
        <v>312.48031528571431</v>
      </c>
      <c r="CY49" s="445">
        <v>666.35982799999999</v>
      </c>
      <c r="CZ49" s="445">
        <v>599.69381507142862</v>
      </c>
      <c r="DA49" s="445">
        <v>1106.675303</v>
      </c>
      <c r="DB49" s="445">
        <v>996.3493874285715</v>
      </c>
      <c r="DC49" s="445">
        <v>482.81315799999999</v>
      </c>
      <c r="DD49" s="445">
        <v>435.88200703571431</v>
      </c>
      <c r="DE49" s="445">
        <v>624.84404800000004</v>
      </c>
      <c r="DF49" s="445">
        <v>559.77359889285719</v>
      </c>
      <c r="DG49" s="445">
        <v>320.51410299999998</v>
      </c>
      <c r="DH49" s="445">
        <v>288.17614235714291</v>
      </c>
      <c r="DI49" s="445">
        <v>622.93687199999999</v>
      </c>
      <c r="DJ49" s="445">
        <v>564.01144760714294</v>
      </c>
      <c r="DK49" s="445">
        <v>1095.2570290000001</v>
      </c>
      <c r="DL49" s="445">
        <v>989.57108900000014</v>
      </c>
      <c r="DM49" s="445">
        <v>431.11177500000002</v>
      </c>
      <c r="DN49" s="445">
        <v>392.26545292857145</v>
      </c>
      <c r="DO49" s="445">
        <v>13361.365855</v>
      </c>
      <c r="DP49" s="445">
        <v>11798.087057178573</v>
      </c>
      <c r="DQ49" s="445">
        <v>8789.3019530000001</v>
      </c>
      <c r="DR49" s="445">
        <v>7767.7732106428575</v>
      </c>
      <c r="DS49" s="445">
        <v>12607.13947</v>
      </c>
      <c r="DT49" s="445">
        <v>11229.89175782143</v>
      </c>
      <c r="DU49" s="445">
        <v>19283.442671000001</v>
      </c>
      <c r="DV49" s="445">
        <v>17191.818996714286</v>
      </c>
      <c r="DW49" s="445">
        <v>10106.556103000001</v>
      </c>
      <c r="DX49" s="445">
        <v>9026.6422519285734</v>
      </c>
    </row>
    <row r="50" spans="2:129" ht="15.75" thickBot="1">
      <c r="B50" s="450" t="s">
        <v>668</v>
      </c>
      <c r="C50" s="451" t="s">
        <v>669</v>
      </c>
      <c r="D50" s="451" t="s">
        <v>530</v>
      </c>
      <c r="E50" s="452">
        <v>12</v>
      </c>
      <c r="F50" s="453" t="s">
        <v>661</v>
      </c>
      <c r="G50" s="438" t="s">
        <v>670</v>
      </c>
      <c r="H50" s="397" t="s">
        <v>668</v>
      </c>
      <c r="I50" s="454"/>
      <c r="J50" s="454"/>
      <c r="K50" s="415">
        <v>2179.3740259740257</v>
      </c>
      <c r="L50" s="455"/>
      <c r="M50" s="455"/>
      <c r="N50" s="415">
        <v>2044.296341463415</v>
      </c>
      <c r="O50" s="455"/>
      <c r="P50" s="455"/>
      <c r="Q50" s="415">
        <v>2384.5902597402596</v>
      </c>
      <c r="R50" s="455"/>
      <c r="S50" s="455"/>
      <c r="T50" s="415">
        <v>2239.0121951219517</v>
      </c>
      <c r="U50" s="455"/>
      <c r="V50" s="455"/>
      <c r="W50" s="415">
        <v>5575.07987012987</v>
      </c>
      <c r="X50" s="455"/>
      <c r="Y50" s="455"/>
      <c r="Z50" s="415">
        <v>5382.7695121951228</v>
      </c>
      <c r="AA50" s="455"/>
      <c r="AB50" s="455"/>
      <c r="AC50" s="415">
        <v>3868.7084415584413</v>
      </c>
      <c r="AD50" s="455"/>
      <c r="AE50" s="455"/>
      <c r="AF50" s="415">
        <v>3723.4865853658534</v>
      </c>
      <c r="AG50" s="455"/>
      <c r="AH50" s="455"/>
      <c r="AI50" s="415">
        <v>7544.972077922077</v>
      </c>
      <c r="AJ50" s="455"/>
      <c r="AK50" s="455"/>
      <c r="AL50" s="415">
        <v>7345.9378048780491</v>
      </c>
      <c r="AM50" s="455"/>
      <c r="AN50" s="455"/>
      <c r="AO50" s="455">
        <v>2405.6084415584414</v>
      </c>
      <c r="AP50" s="455"/>
      <c r="AQ50" s="455"/>
      <c r="AR50" s="455">
        <v>2267.9378048780491</v>
      </c>
      <c r="AS50" s="455"/>
      <c r="AT50" s="455"/>
      <c r="AU50" s="455">
        <v>2640.7714285714283</v>
      </c>
      <c r="AV50" s="455"/>
      <c r="AW50" s="455"/>
      <c r="AX50" s="455">
        <v>2491.8073170731709</v>
      </c>
      <c r="AY50" s="455"/>
      <c r="AZ50" s="455"/>
      <c r="BA50" s="455">
        <v>6304.5025974025975</v>
      </c>
      <c r="BB50" s="455"/>
      <c r="BC50" s="455"/>
      <c r="BD50" s="455">
        <v>6120.4</v>
      </c>
      <c r="BE50" s="455"/>
      <c r="BF50" s="455"/>
      <c r="BG50" s="455">
        <v>4360.9980519480523</v>
      </c>
      <c r="BH50" s="455"/>
      <c r="BI50" s="455"/>
      <c r="BJ50" s="455">
        <v>4219.8719512195121</v>
      </c>
      <c r="BK50" s="455"/>
      <c r="BL50" s="455"/>
      <c r="BM50" s="455">
        <v>8651.6415584415572</v>
      </c>
      <c r="BN50" s="455"/>
      <c r="BO50" s="455"/>
      <c r="BP50" s="455">
        <v>8466.1682926829253</v>
      </c>
      <c r="BQ50" s="455"/>
      <c r="BR50" s="455"/>
      <c r="BS50" s="455">
        <v>18133.576623376623</v>
      </c>
      <c r="BT50" s="455"/>
      <c r="BU50" s="455"/>
      <c r="BV50" s="455">
        <v>16633.398780487809</v>
      </c>
      <c r="BW50" s="455"/>
      <c r="BX50" s="455"/>
      <c r="BY50" s="455">
        <v>19888.198051948053</v>
      </c>
      <c r="BZ50" s="455"/>
      <c r="CA50" s="455"/>
      <c r="CB50" s="455">
        <v>18268.800000000003</v>
      </c>
      <c r="CC50" s="455"/>
      <c r="CD50" s="455"/>
      <c r="CE50" s="455">
        <v>52181.096103896096</v>
      </c>
      <c r="CF50" s="455"/>
      <c r="CG50" s="455"/>
      <c r="CH50" s="455">
        <v>49530.900000000009</v>
      </c>
      <c r="CI50" s="455"/>
      <c r="CJ50" s="455"/>
      <c r="CK50" s="455">
        <v>34084.659090909088</v>
      </c>
      <c r="CL50" s="455"/>
      <c r="CM50" s="455"/>
      <c r="CN50" s="455">
        <v>32248.458536585371</v>
      </c>
      <c r="CO50" s="455"/>
      <c r="CP50" s="455"/>
      <c r="CQ50" s="455">
        <v>72303.921428571426</v>
      </c>
      <c r="CR50" s="455"/>
      <c r="CS50" s="455"/>
      <c r="CT50" s="455">
        <v>69376.876829268294</v>
      </c>
      <c r="CU50" s="445">
        <v>654.226765</v>
      </c>
      <c r="CV50" s="445">
        <v>654.226765</v>
      </c>
      <c r="CW50" s="445">
        <v>349.934978</v>
      </c>
      <c r="CX50" s="445">
        <v>349.934978</v>
      </c>
      <c r="CY50" s="445">
        <v>666.35982799999999</v>
      </c>
      <c r="CZ50" s="445">
        <v>666.35982799999999</v>
      </c>
      <c r="DA50" s="445">
        <v>1106.675303</v>
      </c>
      <c r="DB50" s="445">
        <v>1106.675303</v>
      </c>
      <c r="DC50" s="445">
        <v>482.81315799999999</v>
      </c>
      <c r="DD50" s="445">
        <v>482.81315799999999</v>
      </c>
      <c r="DE50" s="445">
        <v>624.84404800000004</v>
      </c>
      <c r="DF50" s="445">
        <v>624.84404800000004</v>
      </c>
      <c r="DG50" s="445">
        <v>320.51410299999998</v>
      </c>
      <c r="DH50" s="445">
        <v>320.51410299999998</v>
      </c>
      <c r="DI50" s="445">
        <v>622.93687199999999</v>
      </c>
      <c r="DJ50" s="445">
        <v>622.93687199999999</v>
      </c>
      <c r="DK50" s="445">
        <v>1095.2570290000001</v>
      </c>
      <c r="DL50" s="445">
        <v>1095.2570290000001</v>
      </c>
      <c r="DM50" s="445">
        <v>431.11177500000002</v>
      </c>
      <c r="DN50" s="445">
        <v>431.11177500000002</v>
      </c>
      <c r="DO50" s="445">
        <v>13361.365855</v>
      </c>
      <c r="DP50" s="445">
        <v>13361.365855</v>
      </c>
      <c r="DQ50" s="445">
        <v>8789.3019530000001</v>
      </c>
      <c r="DR50" s="445">
        <v>8789.3019530000001</v>
      </c>
      <c r="DS50" s="445">
        <v>12607.13947</v>
      </c>
      <c r="DT50" s="445">
        <v>12607.13947</v>
      </c>
      <c r="DU50" s="445">
        <v>19283.442671000001</v>
      </c>
      <c r="DV50" s="445">
        <v>19283.442671000001</v>
      </c>
      <c r="DW50" s="445">
        <v>10106.556103000001</v>
      </c>
      <c r="DX50" s="445">
        <v>10106.556103000001</v>
      </c>
    </row>
    <row r="51" spans="2:129" ht="15.75" thickBot="1">
      <c r="B51" s="456" t="s">
        <v>672</v>
      </c>
      <c r="C51" s="457" t="s">
        <v>673</v>
      </c>
      <c r="D51" s="457" t="s">
        <v>531</v>
      </c>
      <c r="E51" s="458">
        <v>10</v>
      </c>
      <c r="F51" s="457" t="s">
        <v>674</v>
      </c>
      <c r="G51" s="459" t="s">
        <v>176</v>
      </c>
      <c r="H51" s="460" t="s">
        <v>672</v>
      </c>
      <c r="I51" s="461"/>
      <c r="J51" s="461"/>
      <c r="K51" s="462">
        <v>1988.1735294117648</v>
      </c>
      <c r="L51" s="462"/>
      <c r="M51" s="462"/>
      <c r="N51" s="462">
        <v>1595.8235294117646</v>
      </c>
      <c r="O51" s="462"/>
      <c r="P51" s="462"/>
      <c r="Q51" s="462">
        <v>2178.535294117647</v>
      </c>
      <c r="R51" s="462"/>
      <c r="S51" s="462"/>
      <c r="T51" s="462">
        <v>1739.2941176470588</v>
      </c>
      <c r="U51" s="462"/>
      <c r="V51" s="462"/>
      <c r="W51" s="462">
        <v>5301.7617647058823</v>
      </c>
      <c r="X51" s="462"/>
      <c r="Y51" s="462"/>
      <c r="Z51" s="462">
        <v>3873.2352941176468</v>
      </c>
      <c r="AA51" s="462"/>
      <c r="AB51" s="462"/>
      <c r="AC51" s="462">
        <v>3662.126470588235</v>
      </c>
      <c r="AD51" s="462"/>
      <c r="AE51" s="462"/>
      <c r="AF51" s="462">
        <v>2717.8235294117649</v>
      </c>
      <c r="AG51" s="462"/>
      <c r="AH51" s="462"/>
      <c r="AI51" s="462">
        <v>7270.4617647058822</v>
      </c>
      <c r="AJ51" s="462"/>
      <c r="AK51" s="462"/>
      <c r="AL51" s="462">
        <v>5235.5882352941171</v>
      </c>
      <c r="AM51" s="462"/>
      <c r="AN51" s="462"/>
      <c r="AO51" s="462">
        <v>2211.5205882352939</v>
      </c>
      <c r="AP51" s="462"/>
      <c r="AQ51" s="462"/>
      <c r="AR51" s="462">
        <v>1750.0588235294117</v>
      </c>
      <c r="AS51" s="462"/>
      <c r="AT51" s="462"/>
      <c r="AU51" s="462">
        <v>2431.2529411764708</v>
      </c>
      <c r="AV51" s="462"/>
      <c r="AW51" s="462"/>
      <c r="AX51" s="462">
        <v>1914.4705882352941</v>
      </c>
      <c r="AY51" s="462"/>
      <c r="AZ51" s="462"/>
      <c r="BA51" s="462">
        <v>6054.964705882353</v>
      </c>
      <c r="BB51" s="462"/>
      <c r="BC51" s="462"/>
      <c r="BD51" s="462">
        <v>4397.2352941176468</v>
      </c>
      <c r="BE51" s="462"/>
      <c r="BF51" s="462"/>
      <c r="BG51" s="462">
        <v>4165.9029411764714</v>
      </c>
      <c r="BH51" s="462"/>
      <c r="BI51" s="462"/>
      <c r="BJ51" s="462">
        <v>3065.0588235294117</v>
      </c>
      <c r="BK51" s="462"/>
      <c r="BL51" s="462"/>
      <c r="BM51" s="462">
        <v>8413.2529411764699</v>
      </c>
      <c r="BN51" s="462"/>
      <c r="BO51" s="462"/>
      <c r="BP51" s="462">
        <v>6119.7058823529405</v>
      </c>
      <c r="BQ51" s="462"/>
      <c r="BR51" s="462"/>
      <c r="BS51" s="462">
        <v>15955.679411764708</v>
      </c>
      <c r="BT51" s="462"/>
      <c r="BU51" s="462"/>
      <c r="BV51" s="462">
        <v>15465.352941176472</v>
      </c>
      <c r="BW51" s="462"/>
      <c r="BX51" s="462"/>
      <c r="BY51" s="462">
        <v>17536.305882352943</v>
      </c>
      <c r="BZ51" s="462"/>
      <c r="CA51" s="462"/>
      <c r="CB51" s="462">
        <v>16901.705882352941</v>
      </c>
      <c r="CC51" s="462"/>
      <c r="CD51" s="462"/>
      <c r="CE51" s="462">
        <v>48170.73529411765</v>
      </c>
      <c r="CF51" s="462"/>
      <c r="CG51" s="462"/>
      <c r="CH51" s="462">
        <v>42501.117647058825</v>
      </c>
      <c r="CI51" s="462"/>
      <c r="CJ51" s="462"/>
      <c r="CK51" s="462">
        <v>31313.599999999999</v>
      </c>
      <c r="CL51" s="462"/>
      <c r="CM51" s="462"/>
      <c r="CN51" s="462">
        <v>27981.235294117647</v>
      </c>
      <c r="CO51" s="462"/>
      <c r="CP51" s="462"/>
      <c r="CQ51" s="462">
        <v>67841.479411764696</v>
      </c>
      <c r="CR51" s="462"/>
      <c r="CS51" s="462"/>
      <c r="CT51" s="462">
        <v>58351.941176470587</v>
      </c>
      <c r="CU51" s="463">
        <v>654.226765</v>
      </c>
      <c r="CV51" s="463">
        <v>656.414626</v>
      </c>
      <c r="CW51" s="463">
        <v>349.934978</v>
      </c>
      <c r="CX51" s="463">
        <v>350.38521500000002</v>
      </c>
      <c r="CY51" s="463">
        <v>666.35982799999999</v>
      </c>
      <c r="CZ51" s="463">
        <v>663.51128600000004</v>
      </c>
      <c r="DA51" s="463">
        <v>1106.675303</v>
      </c>
      <c r="DB51" s="463">
        <v>1101.2734929999999</v>
      </c>
      <c r="DC51" s="463">
        <v>482.81315799999999</v>
      </c>
      <c r="DD51" s="463">
        <v>481.70780400000001</v>
      </c>
      <c r="DE51" s="463">
        <v>624.84404800000004</v>
      </c>
      <c r="DF51" s="463">
        <v>615.20759299999997</v>
      </c>
      <c r="DG51" s="463">
        <v>320.51410299999998</v>
      </c>
      <c r="DH51" s="463">
        <v>314.18500499999999</v>
      </c>
      <c r="DI51" s="463">
        <v>622.93687199999999</v>
      </c>
      <c r="DJ51" s="463">
        <v>606.485049</v>
      </c>
      <c r="DK51" s="463">
        <v>1095.2570290000001</v>
      </c>
      <c r="DL51" s="463">
        <v>1074.8296720000001</v>
      </c>
      <c r="DM51" s="463">
        <v>431.11177500000002</v>
      </c>
      <c r="DN51" s="463">
        <v>419.39653800000002</v>
      </c>
      <c r="DO51" s="463">
        <v>13361.365855</v>
      </c>
      <c r="DP51" s="463">
        <v>13509.707635000001</v>
      </c>
      <c r="DQ51" s="463">
        <v>8789.3019530000001</v>
      </c>
      <c r="DR51" s="463">
        <v>8866.9020889999993</v>
      </c>
      <c r="DS51" s="463">
        <v>12607.13947</v>
      </c>
      <c r="DT51" s="463">
        <v>12692.097303</v>
      </c>
      <c r="DU51" s="463">
        <v>19283.442671000001</v>
      </c>
      <c r="DV51" s="463">
        <v>19407.302604</v>
      </c>
      <c r="DW51" s="463">
        <v>10106.556103000001</v>
      </c>
      <c r="DX51" s="463">
        <v>10191.875873999999</v>
      </c>
      <c r="DY51" s="463"/>
    </row>
    <row r="52" spans="2:129" ht="15">
      <c r="B52" s="403"/>
      <c r="C52" s="403"/>
      <c r="D52" s="403"/>
      <c r="E52" s="464"/>
      <c r="F52" s="403"/>
      <c r="G52" s="398"/>
      <c r="I52" s="31"/>
      <c r="J52" s="31"/>
      <c r="K52" s="414"/>
      <c r="L52" s="31"/>
      <c r="M52" s="31"/>
      <c r="N52" s="414"/>
      <c r="O52" s="31"/>
      <c r="P52" s="31"/>
      <c r="Q52" s="414"/>
      <c r="R52" s="31"/>
      <c r="S52" s="31"/>
      <c r="T52" s="414"/>
      <c r="U52" s="31"/>
      <c r="V52" s="31"/>
      <c r="W52" s="414"/>
      <c r="X52" s="31"/>
      <c r="Y52" s="31"/>
      <c r="Z52" s="414"/>
      <c r="AA52" s="31"/>
      <c r="AB52" s="31"/>
      <c r="AC52" s="414"/>
      <c r="AD52" s="31"/>
      <c r="AE52" s="31"/>
      <c r="AF52" s="414"/>
      <c r="AG52" s="31"/>
      <c r="AH52" s="31"/>
      <c r="AI52" s="414"/>
      <c r="AJ52" s="31"/>
      <c r="AK52" s="31"/>
      <c r="AL52" s="414"/>
      <c r="AM52" s="31"/>
      <c r="AN52" s="31"/>
      <c r="AO52" s="414"/>
      <c r="AP52" s="31"/>
      <c r="AQ52" s="31"/>
      <c r="AR52" s="414"/>
      <c r="AS52" s="31"/>
      <c r="AT52" s="31"/>
      <c r="AU52" s="414"/>
      <c r="AV52" s="31"/>
      <c r="AW52" s="31"/>
      <c r="AX52" s="414"/>
      <c r="AY52" s="31"/>
      <c r="AZ52" s="31"/>
      <c r="BA52" s="414"/>
      <c r="BB52" s="31"/>
      <c r="BC52" s="31"/>
      <c r="BD52" s="414"/>
      <c r="BE52" s="31"/>
      <c r="BF52" s="31"/>
      <c r="BG52" s="414"/>
      <c r="BH52" s="31"/>
      <c r="BI52" s="31"/>
      <c r="BJ52" s="414"/>
      <c r="BK52" s="31"/>
      <c r="BL52" s="31"/>
      <c r="BM52" s="414"/>
      <c r="BN52" s="31"/>
      <c r="BO52" s="31"/>
      <c r="BP52" s="414"/>
      <c r="BQ52" s="31"/>
      <c r="BR52" s="31"/>
      <c r="BS52" s="414"/>
      <c r="BT52" s="31"/>
      <c r="BU52" s="31"/>
      <c r="BV52" s="414"/>
      <c r="BW52" s="31"/>
      <c r="BX52" s="31"/>
      <c r="BY52" s="414"/>
      <c r="BZ52" s="31"/>
      <c r="CA52" s="31"/>
      <c r="CB52" s="414"/>
      <c r="CC52" s="31"/>
      <c r="CD52" s="31"/>
      <c r="CE52" s="414"/>
      <c r="CF52" s="31"/>
      <c r="CG52" s="31"/>
      <c r="CH52" s="414"/>
      <c r="CI52" s="31"/>
      <c r="CJ52" s="31"/>
      <c r="CK52" s="414"/>
      <c r="CL52" s="31"/>
      <c r="CM52" s="31"/>
      <c r="CN52" s="414"/>
      <c r="CO52" s="31"/>
      <c r="CP52" s="31"/>
      <c r="CQ52" s="414"/>
      <c r="CR52" s="31"/>
      <c r="CS52" s="31"/>
      <c r="CT52" s="414"/>
      <c r="CU52" s="415"/>
      <c r="CV52" s="415"/>
      <c r="CW52" s="415"/>
      <c r="CX52" s="415"/>
      <c r="CY52" s="415"/>
      <c r="CZ52" s="415"/>
      <c r="DA52" s="415"/>
      <c r="DB52" s="415"/>
      <c r="DC52" s="415"/>
      <c r="DD52" s="415"/>
      <c r="DE52" s="415"/>
      <c r="DF52" s="415"/>
      <c r="DG52" s="415"/>
      <c r="DH52" s="415"/>
      <c r="DI52" s="415"/>
      <c r="DJ52" s="415"/>
      <c r="DK52" s="415"/>
      <c r="DL52" s="415"/>
      <c r="DM52" s="415"/>
      <c r="DN52" s="415"/>
      <c r="DO52" s="415"/>
      <c r="DP52" s="415"/>
      <c r="DQ52" s="415"/>
      <c r="DR52" s="415"/>
      <c r="DS52" s="415"/>
      <c r="DT52" s="415"/>
      <c r="DU52" s="415"/>
      <c r="DV52" s="415"/>
      <c r="DW52" s="415"/>
      <c r="DX52" s="415"/>
    </row>
    <row r="53" spans="2:129" ht="13.5" thickBot="1"/>
    <row r="54" spans="2:129" ht="13.5" thickBot="1">
      <c r="I54" s="465" t="s">
        <v>509</v>
      </c>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7"/>
      <c r="BB54" s="468" t="s">
        <v>510</v>
      </c>
      <c r="BC54" s="469"/>
      <c r="BD54" s="469"/>
      <c r="BE54" s="469"/>
      <c r="BF54" s="469"/>
      <c r="BG54" s="469"/>
      <c r="BH54" s="469"/>
      <c r="BI54" s="469"/>
      <c r="BJ54" s="469"/>
      <c r="BK54" s="469"/>
      <c r="BL54" s="469"/>
      <c r="BM54" s="469"/>
      <c r="BN54" s="469"/>
      <c r="BO54" s="469"/>
      <c r="BP54" s="470"/>
    </row>
    <row r="55" spans="2:129" ht="47.25" thickBot="1">
      <c r="B55" s="471" t="s">
        <v>1121</v>
      </c>
      <c r="I55" s="472" t="s">
        <v>1108</v>
      </c>
      <c r="J55" s="473" t="s">
        <v>1108</v>
      </c>
      <c r="K55" s="474" t="s">
        <v>1108</v>
      </c>
      <c r="L55" s="473" t="s">
        <v>1108</v>
      </c>
      <c r="M55" s="473" t="s">
        <v>1108</v>
      </c>
      <c r="N55" s="473" t="s">
        <v>1108</v>
      </c>
      <c r="O55" s="473" t="s">
        <v>1108</v>
      </c>
      <c r="P55" s="473" t="s">
        <v>1108</v>
      </c>
      <c r="Q55" s="473" t="s">
        <v>1108</v>
      </c>
      <c r="R55" s="473" t="s">
        <v>1108</v>
      </c>
      <c r="S55" s="473" t="s">
        <v>1108</v>
      </c>
      <c r="T55" s="473" t="s">
        <v>1108</v>
      </c>
      <c r="U55" s="473" t="s">
        <v>1108</v>
      </c>
      <c r="V55" s="473" t="s">
        <v>1108</v>
      </c>
      <c r="W55" s="473" t="s">
        <v>1108</v>
      </c>
      <c r="X55" s="473" t="s">
        <v>1109</v>
      </c>
      <c r="Y55" s="473" t="s">
        <v>1109</v>
      </c>
      <c r="Z55" s="473" t="s">
        <v>1109</v>
      </c>
      <c r="AA55" s="473" t="s">
        <v>1109</v>
      </c>
      <c r="AB55" s="473" t="s">
        <v>1109</v>
      </c>
      <c r="AC55" s="473" t="s">
        <v>1109</v>
      </c>
      <c r="AD55" s="473" t="s">
        <v>1109</v>
      </c>
      <c r="AE55" s="473" t="s">
        <v>1109</v>
      </c>
      <c r="AF55" s="473" t="s">
        <v>1109</v>
      </c>
      <c r="AG55" s="473" t="s">
        <v>1109</v>
      </c>
      <c r="AH55" s="473" t="s">
        <v>1109</v>
      </c>
      <c r="AI55" s="473" t="s">
        <v>1109</v>
      </c>
      <c r="AJ55" s="473" t="s">
        <v>1109</v>
      </c>
      <c r="AK55" s="473" t="s">
        <v>1109</v>
      </c>
      <c r="AL55" s="473" t="s">
        <v>1109</v>
      </c>
      <c r="AM55" s="473">
        <v>1000</v>
      </c>
      <c r="AN55" s="473">
        <v>1000</v>
      </c>
      <c r="AO55" s="473">
        <v>1000</v>
      </c>
      <c r="AP55" s="473">
        <v>1000</v>
      </c>
      <c r="AQ55" s="473">
        <v>1000</v>
      </c>
      <c r="AR55" s="473">
        <v>1000</v>
      </c>
      <c r="AS55" s="473">
        <v>1000</v>
      </c>
      <c r="AT55" s="473">
        <v>1000</v>
      </c>
      <c r="AU55" s="473">
        <v>1000</v>
      </c>
      <c r="AV55" s="473">
        <v>1000</v>
      </c>
      <c r="AW55" s="473">
        <v>1000</v>
      </c>
      <c r="AX55" s="473">
        <v>1000</v>
      </c>
      <c r="AY55" s="473">
        <v>1000</v>
      </c>
      <c r="AZ55" s="473">
        <v>1000</v>
      </c>
      <c r="BA55" s="474">
        <v>1000</v>
      </c>
      <c r="BB55" s="472" t="s">
        <v>1108</v>
      </c>
      <c r="BC55" s="473" t="s">
        <v>1108</v>
      </c>
      <c r="BD55" s="473" t="s">
        <v>1108</v>
      </c>
      <c r="BE55" s="473" t="s">
        <v>1108</v>
      </c>
      <c r="BF55" s="473" t="s">
        <v>1108</v>
      </c>
      <c r="BG55" s="473" t="s">
        <v>1109</v>
      </c>
      <c r="BH55" s="473" t="s">
        <v>1109</v>
      </c>
      <c r="BI55" s="473" t="s">
        <v>1109</v>
      </c>
      <c r="BJ55" s="473" t="s">
        <v>1109</v>
      </c>
      <c r="BK55" s="473" t="s">
        <v>1109</v>
      </c>
      <c r="BL55" s="473">
        <v>1000</v>
      </c>
      <c r="BM55" s="473">
        <v>1000</v>
      </c>
      <c r="BN55" s="473">
        <v>1000</v>
      </c>
      <c r="BO55" s="473">
        <v>1000</v>
      </c>
      <c r="BP55" s="474">
        <v>1000</v>
      </c>
    </row>
    <row r="56" spans="2:129">
      <c r="I56" s="373" t="s">
        <v>1110</v>
      </c>
      <c r="J56" s="374" t="s">
        <v>1110</v>
      </c>
      <c r="K56" s="376" t="s">
        <v>1110</v>
      </c>
      <c r="L56" s="377" t="s">
        <v>1111</v>
      </c>
      <c r="M56" s="378" t="s">
        <v>1111</v>
      </c>
      <c r="N56" s="379" t="s">
        <v>1111</v>
      </c>
      <c r="O56" s="381" t="s">
        <v>1112</v>
      </c>
      <c r="P56" s="382" t="s">
        <v>1112</v>
      </c>
      <c r="Q56" s="383" t="s">
        <v>1112</v>
      </c>
      <c r="R56" s="385" t="s">
        <v>1113</v>
      </c>
      <c r="S56" s="386" t="s">
        <v>1113</v>
      </c>
      <c r="T56" s="387" t="s">
        <v>1113</v>
      </c>
      <c r="U56" s="389" t="s">
        <v>1114</v>
      </c>
      <c r="V56" s="390" t="s">
        <v>1114</v>
      </c>
      <c r="W56" s="391" t="s">
        <v>1114</v>
      </c>
      <c r="X56" s="373" t="s">
        <v>1110</v>
      </c>
      <c r="Y56" s="374" t="s">
        <v>1110</v>
      </c>
      <c r="Z56" s="375" t="s">
        <v>1110</v>
      </c>
      <c r="AA56" s="377" t="s">
        <v>1111</v>
      </c>
      <c r="AB56" s="378" t="s">
        <v>1111</v>
      </c>
      <c r="AC56" s="379" t="s">
        <v>1111</v>
      </c>
      <c r="AD56" s="381" t="s">
        <v>1112</v>
      </c>
      <c r="AE56" s="382" t="s">
        <v>1112</v>
      </c>
      <c r="AF56" s="383" t="s">
        <v>1112</v>
      </c>
      <c r="AG56" s="385" t="s">
        <v>1113</v>
      </c>
      <c r="AH56" s="386" t="s">
        <v>1113</v>
      </c>
      <c r="AI56" s="387" t="s">
        <v>1113</v>
      </c>
      <c r="AJ56" s="389" t="s">
        <v>1114</v>
      </c>
      <c r="AK56" s="390" t="s">
        <v>1114</v>
      </c>
      <c r="AL56" s="391" t="s">
        <v>1114</v>
      </c>
      <c r="AM56" s="373" t="s">
        <v>1110</v>
      </c>
      <c r="AN56" s="374" t="s">
        <v>1110</v>
      </c>
      <c r="AO56" s="375" t="s">
        <v>1110</v>
      </c>
      <c r="AP56" s="377" t="s">
        <v>1111</v>
      </c>
      <c r="AQ56" s="378" t="s">
        <v>1111</v>
      </c>
      <c r="AR56" s="379" t="s">
        <v>1111</v>
      </c>
      <c r="AS56" s="381" t="s">
        <v>1112</v>
      </c>
      <c r="AT56" s="382" t="s">
        <v>1112</v>
      </c>
      <c r="AU56" s="383" t="s">
        <v>1112</v>
      </c>
      <c r="AV56" s="385" t="s">
        <v>1113</v>
      </c>
      <c r="AW56" s="386" t="s">
        <v>1113</v>
      </c>
      <c r="AX56" s="387" t="s">
        <v>1113</v>
      </c>
      <c r="AY56" s="389" t="s">
        <v>1114</v>
      </c>
      <c r="AZ56" s="390" t="s">
        <v>1114</v>
      </c>
      <c r="BA56" s="392" t="s">
        <v>1114</v>
      </c>
      <c r="BB56" s="393" t="s">
        <v>1110</v>
      </c>
      <c r="BC56" s="379" t="s">
        <v>1111</v>
      </c>
      <c r="BD56" s="381" t="s">
        <v>1112</v>
      </c>
      <c r="BE56" s="395" t="s">
        <v>1113</v>
      </c>
      <c r="BF56" s="389" t="s">
        <v>1114</v>
      </c>
      <c r="BG56" s="393" t="s">
        <v>1110</v>
      </c>
      <c r="BH56" s="379" t="s">
        <v>1111</v>
      </c>
      <c r="BI56" s="381" t="s">
        <v>1112</v>
      </c>
      <c r="BJ56" s="395" t="s">
        <v>1113</v>
      </c>
      <c r="BK56" s="389" t="s">
        <v>1114</v>
      </c>
      <c r="BL56" s="393" t="s">
        <v>1110</v>
      </c>
      <c r="BM56" s="379" t="s">
        <v>1111</v>
      </c>
      <c r="BN56" s="381" t="s">
        <v>1112</v>
      </c>
      <c r="BO56" s="395" t="s">
        <v>1113</v>
      </c>
      <c r="BP56" s="475" t="s">
        <v>1114</v>
      </c>
    </row>
    <row r="57" spans="2:129" ht="13.5" thickBot="1">
      <c r="I57" s="460" t="s">
        <v>1116</v>
      </c>
      <c r="J57" s="476" t="s">
        <v>1117</v>
      </c>
      <c r="K57" s="477" t="s">
        <v>1118</v>
      </c>
      <c r="L57" s="460" t="s">
        <v>1116</v>
      </c>
      <c r="M57" s="476" t="s">
        <v>1117</v>
      </c>
      <c r="N57" s="478" t="s">
        <v>1118</v>
      </c>
      <c r="O57" s="460" t="s">
        <v>1116</v>
      </c>
      <c r="P57" s="476" t="s">
        <v>1117</v>
      </c>
      <c r="Q57" s="478" t="s">
        <v>1118</v>
      </c>
      <c r="R57" s="460" t="s">
        <v>1116</v>
      </c>
      <c r="S57" s="476" t="s">
        <v>1117</v>
      </c>
      <c r="T57" s="478" t="s">
        <v>1118</v>
      </c>
      <c r="U57" s="460" t="s">
        <v>1116</v>
      </c>
      <c r="V57" s="476" t="s">
        <v>1117</v>
      </c>
      <c r="W57" s="478" t="s">
        <v>1118</v>
      </c>
      <c r="X57" s="460" t="s">
        <v>1116</v>
      </c>
      <c r="Y57" s="476" t="s">
        <v>1117</v>
      </c>
      <c r="Z57" s="478" t="s">
        <v>1118</v>
      </c>
      <c r="AA57" s="460" t="s">
        <v>1116</v>
      </c>
      <c r="AB57" s="476" t="s">
        <v>1117</v>
      </c>
      <c r="AC57" s="478" t="s">
        <v>1118</v>
      </c>
      <c r="AD57" s="460" t="s">
        <v>1116</v>
      </c>
      <c r="AE57" s="476" t="s">
        <v>1117</v>
      </c>
      <c r="AF57" s="478" t="s">
        <v>1118</v>
      </c>
      <c r="AG57" s="460" t="s">
        <v>1116</v>
      </c>
      <c r="AH57" s="476" t="s">
        <v>1117</v>
      </c>
      <c r="AI57" s="478" t="s">
        <v>1118</v>
      </c>
      <c r="AJ57" s="460" t="s">
        <v>1116</v>
      </c>
      <c r="AK57" s="476" t="s">
        <v>1117</v>
      </c>
      <c r="AL57" s="478" t="s">
        <v>1118</v>
      </c>
      <c r="AM57" s="460" t="s">
        <v>1116</v>
      </c>
      <c r="AN57" s="476" t="s">
        <v>1117</v>
      </c>
      <c r="AO57" s="478" t="s">
        <v>1118</v>
      </c>
      <c r="AP57" s="460" t="s">
        <v>1116</v>
      </c>
      <c r="AQ57" s="476" t="s">
        <v>1117</v>
      </c>
      <c r="AR57" s="478" t="s">
        <v>1118</v>
      </c>
      <c r="AS57" s="460" t="s">
        <v>1116</v>
      </c>
      <c r="AT57" s="476" t="s">
        <v>1117</v>
      </c>
      <c r="AU57" s="478" t="s">
        <v>1118</v>
      </c>
      <c r="AV57" s="460" t="s">
        <v>1116</v>
      </c>
      <c r="AW57" s="476" t="s">
        <v>1117</v>
      </c>
      <c r="AX57" s="478" t="s">
        <v>1118</v>
      </c>
      <c r="AY57" s="460" t="s">
        <v>1116</v>
      </c>
      <c r="AZ57" s="476" t="s">
        <v>1117</v>
      </c>
      <c r="BA57" s="477" t="s">
        <v>1118</v>
      </c>
      <c r="BB57" s="479" t="s">
        <v>1118</v>
      </c>
      <c r="BC57" s="478" t="s">
        <v>1118</v>
      </c>
      <c r="BD57" s="460" t="s">
        <v>1118</v>
      </c>
      <c r="BE57" s="479" t="s">
        <v>1118</v>
      </c>
      <c r="BF57" s="460" t="s">
        <v>1118</v>
      </c>
      <c r="BG57" s="479" t="s">
        <v>1118</v>
      </c>
      <c r="BH57" s="478" t="s">
        <v>1118</v>
      </c>
      <c r="BI57" s="460" t="s">
        <v>1118</v>
      </c>
      <c r="BJ57" s="479" t="s">
        <v>1118</v>
      </c>
      <c r="BK57" s="460" t="s">
        <v>1118</v>
      </c>
      <c r="BL57" s="479" t="s">
        <v>1118</v>
      </c>
      <c r="BM57" s="478" t="s">
        <v>1118</v>
      </c>
      <c r="BN57" s="460" t="s">
        <v>1118</v>
      </c>
      <c r="BO57" s="479" t="s">
        <v>1118</v>
      </c>
      <c r="BP57" s="480" t="s">
        <v>1118</v>
      </c>
    </row>
    <row r="58" spans="2:129" ht="13.5" thickBot="1">
      <c r="I58" s="481" t="s">
        <v>1122</v>
      </c>
      <c r="J58" s="481" t="s">
        <v>1123</v>
      </c>
      <c r="K58" s="481" t="s">
        <v>1124</v>
      </c>
      <c r="L58" s="481" t="s">
        <v>1125</v>
      </c>
      <c r="M58" s="481" t="s">
        <v>1126</v>
      </c>
      <c r="N58" s="481" t="s">
        <v>1127</v>
      </c>
      <c r="O58" s="481" t="s">
        <v>1128</v>
      </c>
      <c r="P58" s="481" t="s">
        <v>1129</v>
      </c>
      <c r="Q58" s="481" t="s">
        <v>1130</v>
      </c>
      <c r="R58" s="481" t="s">
        <v>1131</v>
      </c>
      <c r="S58" s="481" t="s">
        <v>1132</v>
      </c>
      <c r="T58" s="481" t="s">
        <v>1133</v>
      </c>
      <c r="U58" s="481" t="s">
        <v>1134</v>
      </c>
      <c r="V58" s="481" t="s">
        <v>1135</v>
      </c>
      <c r="W58" s="481" t="s">
        <v>1136</v>
      </c>
      <c r="X58" s="481" t="s">
        <v>1137</v>
      </c>
      <c r="Y58" s="481" t="s">
        <v>1138</v>
      </c>
      <c r="Z58" s="481" t="s">
        <v>1139</v>
      </c>
      <c r="AA58" s="481" t="s">
        <v>1140</v>
      </c>
      <c r="AB58" s="481" t="s">
        <v>1141</v>
      </c>
      <c r="AC58" s="481" t="s">
        <v>1142</v>
      </c>
      <c r="AD58" s="481" t="s">
        <v>1143</v>
      </c>
      <c r="AE58" s="481" t="s">
        <v>1144</v>
      </c>
      <c r="AF58" s="481" t="s">
        <v>1145</v>
      </c>
      <c r="AG58" s="481" t="s">
        <v>1146</v>
      </c>
      <c r="AH58" s="481" t="s">
        <v>1147</v>
      </c>
      <c r="AI58" s="481" t="s">
        <v>1148</v>
      </c>
      <c r="AJ58" s="481" t="s">
        <v>1149</v>
      </c>
      <c r="AK58" s="481" t="s">
        <v>1150</v>
      </c>
      <c r="AL58" s="481" t="s">
        <v>1151</v>
      </c>
      <c r="AM58" s="481" t="s">
        <v>1152</v>
      </c>
      <c r="AN58" s="481" t="s">
        <v>1153</v>
      </c>
      <c r="AO58" s="481" t="s">
        <v>1154</v>
      </c>
      <c r="AP58" s="481" t="s">
        <v>1155</v>
      </c>
      <c r="AQ58" s="481" t="s">
        <v>1156</v>
      </c>
      <c r="AR58" s="481" t="s">
        <v>1157</v>
      </c>
      <c r="AS58" s="481" t="s">
        <v>1158</v>
      </c>
      <c r="AT58" s="481" t="s">
        <v>1159</v>
      </c>
      <c r="AU58" s="481" t="s">
        <v>1160</v>
      </c>
      <c r="AV58" s="481" t="s">
        <v>1161</v>
      </c>
      <c r="AW58" s="481" t="s">
        <v>1162</v>
      </c>
      <c r="AX58" s="481" t="s">
        <v>1163</v>
      </c>
      <c r="AY58" s="481" t="s">
        <v>1164</v>
      </c>
      <c r="AZ58" s="481" t="s">
        <v>1165</v>
      </c>
      <c r="BA58" s="481" t="s">
        <v>1166</v>
      </c>
      <c r="BB58" s="481" t="s">
        <v>1167</v>
      </c>
      <c r="BC58" s="481" t="s">
        <v>1168</v>
      </c>
      <c r="BD58" s="481" t="s">
        <v>1169</v>
      </c>
      <c r="BE58" s="481" t="s">
        <v>1170</v>
      </c>
      <c r="BF58" s="481" t="s">
        <v>1171</v>
      </c>
      <c r="BG58" s="481" t="s">
        <v>1172</v>
      </c>
      <c r="BH58" s="481" t="s">
        <v>1173</v>
      </c>
      <c r="BI58" s="481" t="s">
        <v>1174</v>
      </c>
      <c r="BJ58" s="481" t="s">
        <v>1175</v>
      </c>
      <c r="BK58" s="481" t="s">
        <v>1176</v>
      </c>
      <c r="BL58" s="481" t="s">
        <v>1177</v>
      </c>
      <c r="BM58" s="481" t="s">
        <v>1178</v>
      </c>
      <c r="BN58" s="481" t="s">
        <v>1179</v>
      </c>
      <c r="BO58" s="481" t="s">
        <v>1180</v>
      </c>
      <c r="BP58" s="481" t="s">
        <v>1181</v>
      </c>
    </row>
    <row r="59" spans="2:129">
      <c r="B59" t="s">
        <v>512</v>
      </c>
      <c r="C59" t="s">
        <v>512</v>
      </c>
      <c r="D59" t="s">
        <v>513</v>
      </c>
      <c r="E59">
        <v>10</v>
      </c>
      <c r="F59" t="s">
        <v>514</v>
      </c>
      <c r="G59" t="s">
        <v>515</v>
      </c>
      <c r="H59" t="s">
        <v>512</v>
      </c>
      <c r="I59" s="482">
        <v>1719.2029080000002</v>
      </c>
      <c r="J59" s="454">
        <v>1830.1824669999996</v>
      </c>
      <c r="K59" s="454">
        <v>600.17647058823536</v>
      </c>
      <c r="L59" s="454">
        <v>1877.8910349999996</v>
      </c>
      <c r="M59" s="454">
        <v>2000.0845989999998</v>
      </c>
      <c r="N59" s="454">
        <v>658.47058823529437</v>
      </c>
      <c r="O59" s="454">
        <v>2776.9972849999995</v>
      </c>
      <c r="P59" s="454">
        <v>2936.5757400000002</v>
      </c>
      <c r="Q59" s="454">
        <v>1258.2352941176468</v>
      </c>
      <c r="R59" s="454">
        <v>2231.9831139999997</v>
      </c>
      <c r="S59" s="454">
        <v>2370.1556069999997</v>
      </c>
      <c r="T59" s="454">
        <v>967.82352941176441</v>
      </c>
      <c r="U59" s="454">
        <v>3301.7267199999987</v>
      </c>
      <c r="V59" s="454">
        <v>3480.4809059999989</v>
      </c>
      <c r="W59" s="454">
        <v>1818.588235294118</v>
      </c>
      <c r="X59" s="454">
        <v>1705.4514530000006</v>
      </c>
      <c r="Y59" s="454">
        <v>1793.3599530000001</v>
      </c>
      <c r="Z59" s="454">
        <v>632.70588235294144</v>
      </c>
      <c r="AA59" s="454">
        <v>1864.2043489999996</v>
      </c>
      <c r="AB59" s="454">
        <v>1961.0709230000002</v>
      </c>
      <c r="AC59" s="454">
        <v>698.11764705882388</v>
      </c>
      <c r="AD59" s="454">
        <v>2754.8170010000013</v>
      </c>
      <c r="AE59" s="454">
        <v>2899.5299029999987</v>
      </c>
      <c r="AF59" s="454">
        <v>1491</v>
      </c>
      <c r="AG59" s="454">
        <v>2209.6522480000003</v>
      </c>
      <c r="AH59" s="454">
        <v>2325.6419699999997</v>
      </c>
      <c r="AI59" s="454">
        <v>1106</v>
      </c>
      <c r="AJ59" s="454">
        <v>3281.0672520000007</v>
      </c>
      <c r="AK59" s="454">
        <v>3452.9165649999995</v>
      </c>
      <c r="AL59" s="454">
        <v>2173.4705882352937</v>
      </c>
      <c r="AM59" s="454">
        <v>10718.476947000003</v>
      </c>
      <c r="AN59" s="454">
        <v>10783.113230000003</v>
      </c>
      <c r="AO59" s="454">
        <v>3724.8235294117621</v>
      </c>
      <c r="AP59" s="454">
        <v>11750.344907999999</v>
      </c>
      <c r="AQ59" s="454">
        <v>11826.844802</v>
      </c>
      <c r="AR59" s="454">
        <v>4091.4117647058847</v>
      </c>
      <c r="AS59" s="454">
        <v>17729.596069000007</v>
      </c>
      <c r="AT59" s="454">
        <v>17773.25391900001</v>
      </c>
      <c r="AU59" s="454">
        <v>7519.529411764699</v>
      </c>
      <c r="AV59" s="454">
        <v>13809.791664999997</v>
      </c>
      <c r="AW59" s="454">
        <v>13853.190397999999</v>
      </c>
      <c r="AX59" s="454">
        <v>5672.8235294117658</v>
      </c>
      <c r="AY59" s="454">
        <v>20989.882387999998</v>
      </c>
      <c r="AZ59" s="454">
        <v>21027.314881999991</v>
      </c>
      <c r="BA59" s="483">
        <v>10036.882352941175</v>
      </c>
      <c r="BB59" s="482">
        <v>2.3080079999999725</v>
      </c>
      <c r="BC59" s="454">
        <v>-14.740844000000038</v>
      </c>
      <c r="BD59" s="454">
        <v>26.152990999999929</v>
      </c>
      <c r="BE59" s="454">
        <v>70.724628000000166</v>
      </c>
      <c r="BF59" s="454">
        <v>4.7431229999999687</v>
      </c>
      <c r="BG59" s="454">
        <v>9.563694000000055</v>
      </c>
      <c r="BH59" s="454">
        <v>-9.9331540000000018</v>
      </c>
      <c r="BI59" s="454">
        <v>33.532291999999984</v>
      </c>
      <c r="BJ59" s="454">
        <v>74.942254999999932</v>
      </c>
      <c r="BK59" s="454">
        <v>15.133089999999982</v>
      </c>
      <c r="BL59" s="454">
        <v>-342.36434100000042</v>
      </c>
      <c r="BM59" s="454">
        <v>-463.53058099999907</v>
      </c>
      <c r="BN59" s="454">
        <v>-117.76310800000101</v>
      </c>
      <c r="BO59" s="454">
        <v>58.104922999998962</v>
      </c>
      <c r="BP59" s="483">
        <v>-211.63908900000024</v>
      </c>
    </row>
    <row r="60" spans="2:129">
      <c r="B60" t="s">
        <v>518</v>
      </c>
      <c r="C60" t="s">
        <v>519</v>
      </c>
      <c r="D60" t="s">
        <v>520</v>
      </c>
      <c r="E60">
        <v>10</v>
      </c>
      <c r="F60" t="s">
        <v>514</v>
      </c>
      <c r="G60" t="s">
        <v>515</v>
      </c>
      <c r="H60" t="s">
        <v>518</v>
      </c>
      <c r="I60" s="482">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4">
        <v>0</v>
      </c>
      <c r="BA60" s="483">
        <v>0</v>
      </c>
      <c r="BB60" s="482">
        <v>0</v>
      </c>
      <c r="BC60" s="454">
        <v>0</v>
      </c>
      <c r="BD60" s="454">
        <v>0</v>
      </c>
      <c r="BE60" s="454">
        <v>0</v>
      </c>
      <c r="BF60" s="454">
        <v>0</v>
      </c>
      <c r="BG60" s="454">
        <v>0</v>
      </c>
      <c r="BH60" s="454">
        <v>0</v>
      </c>
      <c r="BI60" s="454">
        <v>0</v>
      </c>
      <c r="BJ60" s="454">
        <v>0</v>
      </c>
      <c r="BK60" s="454">
        <v>0</v>
      </c>
      <c r="BL60" s="454">
        <v>0</v>
      </c>
      <c r="BM60" s="454">
        <v>0</v>
      </c>
      <c r="BN60" s="454">
        <v>0</v>
      </c>
      <c r="BO60" s="454">
        <v>0</v>
      </c>
      <c r="BP60" s="483">
        <v>0</v>
      </c>
    </row>
    <row r="61" spans="2:129">
      <c r="B61" t="s">
        <v>522</v>
      </c>
      <c r="C61" t="s">
        <v>523</v>
      </c>
      <c r="D61" t="s">
        <v>524</v>
      </c>
      <c r="E61">
        <v>10</v>
      </c>
      <c r="F61" t="s">
        <v>514</v>
      </c>
      <c r="G61" t="s">
        <v>525</v>
      </c>
      <c r="H61" t="s">
        <v>522</v>
      </c>
      <c r="I61" s="482">
        <v>344.15628200000083</v>
      </c>
      <c r="J61" s="454">
        <v>328.64759200000026</v>
      </c>
      <c r="K61" s="454">
        <v>97.058823529411939</v>
      </c>
      <c r="L61" s="454">
        <v>379.27213400000073</v>
      </c>
      <c r="M61" s="454">
        <v>362.71424399999978</v>
      </c>
      <c r="N61" s="454">
        <v>107</v>
      </c>
      <c r="O61" s="454">
        <v>495.65746199999921</v>
      </c>
      <c r="P61" s="454">
        <v>448.61850499999855</v>
      </c>
      <c r="Q61" s="454">
        <v>141.05882352941171</v>
      </c>
      <c r="R61" s="454">
        <v>414.2283980000002</v>
      </c>
      <c r="S61" s="454">
        <v>382.70253099999991</v>
      </c>
      <c r="T61" s="454">
        <v>121.05882352941171</v>
      </c>
      <c r="U61" s="454">
        <v>581.3241160000016</v>
      </c>
      <c r="V61" s="454">
        <v>519.81327700000111</v>
      </c>
      <c r="W61" s="454">
        <v>173.58823529411802</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4514.9146880000044</v>
      </c>
      <c r="AN61" s="454">
        <v>4566.0354290000032</v>
      </c>
      <c r="AO61" s="454">
        <v>1602.5294117647027</v>
      </c>
      <c r="AP61" s="454">
        <v>4970.7328960000013</v>
      </c>
      <c r="AQ61" s="454">
        <v>5030.8997249999957</v>
      </c>
      <c r="AR61" s="454">
        <v>1751.9411764705874</v>
      </c>
      <c r="AS61" s="454">
        <v>6380.7135229999985</v>
      </c>
      <c r="AT61" s="454">
        <v>6448.8441040000034</v>
      </c>
      <c r="AU61" s="454">
        <v>2711.529411764699</v>
      </c>
      <c r="AV61" s="454">
        <v>5086.2964240000074</v>
      </c>
      <c r="AW61" s="454">
        <v>5138.4028759999928</v>
      </c>
      <c r="AX61" s="454">
        <v>2134.4117647058811</v>
      </c>
      <c r="AY61" s="454">
        <v>7260.8916340000142</v>
      </c>
      <c r="AZ61" s="454">
        <v>7338.2173610000173</v>
      </c>
      <c r="BA61" s="483">
        <v>3324.1764705882379</v>
      </c>
      <c r="BB61" s="482">
        <v>-39.535470000000032</v>
      </c>
      <c r="BC61" s="454">
        <v>-33.110908999999992</v>
      </c>
      <c r="BD61" s="454">
        <v>-36.35797500000001</v>
      </c>
      <c r="BE61" s="454">
        <v>-38.09188099999983</v>
      </c>
      <c r="BF61" s="454">
        <v>-35.370538999999951</v>
      </c>
      <c r="BG61" s="454">
        <v>0</v>
      </c>
      <c r="BH61" s="454">
        <v>0</v>
      </c>
      <c r="BI61" s="454">
        <v>0</v>
      </c>
      <c r="BJ61" s="454">
        <v>0</v>
      </c>
      <c r="BK61" s="454">
        <v>0</v>
      </c>
      <c r="BL61" s="454">
        <v>-846.41496900000129</v>
      </c>
      <c r="BM61" s="454">
        <v>-802.95775700000013</v>
      </c>
      <c r="BN61" s="454">
        <v>-760.62413399999969</v>
      </c>
      <c r="BO61" s="454">
        <v>-816.44744899999932</v>
      </c>
      <c r="BP61" s="483">
        <v>-758.12455600000067</v>
      </c>
    </row>
    <row r="62" spans="2:129">
      <c r="B62" t="s">
        <v>533</v>
      </c>
      <c r="C62" t="s">
        <v>534</v>
      </c>
      <c r="D62" t="s">
        <v>524</v>
      </c>
      <c r="E62">
        <v>11</v>
      </c>
      <c r="F62" t="s">
        <v>514</v>
      </c>
      <c r="G62" t="s">
        <v>535</v>
      </c>
      <c r="H62" t="s">
        <v>533</v>
      </c>
      <c r="I62" s="482">
        <v>392.94790900000044</v>
      </c>
      <c r="J62" s="454">
        <v>375.52059499999996</v>
      </c>
      <c r="K62" s="454">
        <v>111.00000000000023</v>
      </c>
      <c r="L62" s="454">
        <v>433.55791899999986</v>
      </c>
      <c r="M62" s="454">
        <v>414.96324699999968</v>
      </c>
      <c r="N62" s="454">
        <v>122.94117647058829</v>
      </c>
      <c r="O62" s="454">
        <v>567.0509689999999</v>
      </c>
      <c r="P62" s="454">
        <v>513.58209899999929</v>
      </c>
      <c r="Q62" s="454">
        <v>161.4705882352946</v>
      </c>
      <c r="R62" s="454">
        <v>473.83003899999949</v>
      </c>
      <c r="S62" s="454">
        <v>438.06507299999976</v>
      </c>
      <c r="T62" s="454">
        <v>139</v>
      </c>
      <c r="U62" s="454">
        <v>665.03721500000029</v>
      </c>
      <c r="V62" s="454">
        <v>595.00211800000034</v>
      </c>
      <c r="W62" s="454">
        <v>199.05882352941262</v>
      </c>
      <c r="X62" s="454">
        <v>0</v>
      </c>
      <c r="Y62" s="454">
        <v>0</v>
      </c>
      <c r="Z62" s="454">
        <v>0</v>
      </c>
      <c r="AA62" s="454">
        <v>0</v>
      </c>
      <c r="AB62" s="454">
        <v>0</v>
      </c>
      <c r="AC62" s="454">
        <v>0</v>
      </c>
      <c r="AD62" s="454">
        <v>0</v>
      </c>
      <c r="AE62" s="454">
        <v>0</v>
      </c>
      <c r="AF62" s="454">
        <v>0</v>
      </c>
      <c r="AG62" s="454">
        <v>0</v>
      </c>
      <c r="AH62" s="454">
        <v>0</v>
      </c>
      <c r="AI62" s="454">
        <v>0</v>
      </c>
      <c r="AJ62" s="454">
        <v>0</v>
      </c>
      <c r="AK62" s="454">
        <v>0</v>
      </c>
      <c r="AL62" s="454">
        <v>0</v>
      </c>
      <c r="AM62" s="454">
        <v>5178.8023250000042</v>
      </c>
      <c r="AN62" s="454">
        <v>5237.505849000001</v>
      </c>
      <c r="AO62" s="454">
        <v>1839.5294117647027</v>
      </c>
      <c r="AP62" s="454">
        <v>5703.1613629999993</v>
      </c>
      <c r="AQ62" s="454">
        <v>5772.3167990000002</v>
      </c>
      <c r="AR62" s="454">
        <v>2009.8235294117658</v>
      </c>
      <c r="AS62" s="454">
        <v>7336.5507209999923</v>
      </c>
      <c r="AT62" s="454">
        <v>7415.0269260000059</v>
      </c>
      <c r="AU62" s="454">
        <v>3119.7058823529369</v>
      </c>
      <c r="AV62" s="454">
        <v>5840.5264060000045</v>
      </c>
      <c r="AW62" s="454">
        <v>5900.6001869999964</v>
      </c>
      <c r="AX62" s="454">
        <v>2452.2941176470595</v>
      </c>
      <c r="AY62" s="454">
        <v>8345.8447710000037</v>
      </c>
      <c r="AZ62" s="454">
        <v>8435.005730000019</v>
      </c>
      <c r="BA62" s="483">
        <v>3821.3529411764757</v>
      </c>
      <c r="BB62" s="482">
        <v>-45.529089999999997</v>
      </c>
      <c r="BC62" s="454">
        <v>-38.262260000000026</v>
      </c>
      <c r="BD62" s="454">
        <v>-41.911012000000028</v>
      </c>
      <c r="BE62" s="454">
        <v>-43.854445999999825</v>
      </c>
      <c r="BF62" s="454">
        <v>-40.75835699999999</v>
      </c>
      <c r="BG62" s="454">
        <v>0</v>
      </c>
      <c r="BH62" s="454">
        <v>0</v>
      </c>
      <c r="BI62" s="454">
        <v>0</v>
      </c>
      <c r="BJ62" s="454">
        <v>0</v>
      </c>
      <c r="BK62" s="454">
        <v>0</v>
      </c>
      <c r="BL62" s="454">
        <v>-980.11725100000149</v>
      </c>
      <c r="BM62" s="454">
        <v>-930.36103399999956</v>
      </c>
      <c r="BN62" s="454">
        <v>-883.46483900000021</v>
      </c>
      <c r="BO62" s="454">
        <v>-948.6842429999997</v>
      </c>
      <c r="BP62" s="483">
        <v>-882.52043400000002</v>
      </c>
    </row>
    <row r="63" spans="2:129">
      <c r="B63" t="s">
        <v>537</v>
      </c>
      <c r="C63" t="s">
        <v>538</v>
      </c>
      <c r="D63" t="s">
        <v>524</v>
      </c>
      <c r="E63">
        <v>12</v>
      </c>
      <c r="F63" t="s">
        <v>514</v>
      </c>
      <c r="G63" t="s">
        <v>539</v>
      </c>
      <c r="H63" t="s">
        <v>537</v>
      </c>
      <c r="I63" s="482">
        <v>443.93071800000052</v>
      </c>
      <c r="J63" s="454">
        <v>424.56152300000031</v>
      </c>
      <c r="K63" s="454">
        <v>125.94117647058829</v>
      </c>
      <c r="L63" s="454">
        <v>490.41053100000045</v>
      </c>
      <c r="M63" s="454">
        <v>469.75042499999927</v>
      </c>
      <c r="N63" s="454">
        <v>138.88235294117635</v>
      </c>
      <c r="O63" s="454">
        <v>641.97692199999983</v>
      </c>
      <c r="P63" s="454">
        <v>581.85237699999925</v>
      </c>
      <c r="Q63" s="454">
        <v>182.41176470588289</v>
      </c>
      <c r="R63" s="454">
        <v>536.36246299999948</v>
      </c>
      <c r="S63" s="454">
        <v>496.25666499999988</v>
      </c>
      <c r="T63" s="454">
        <v>156.94117647058829</v>
      </c>
      <c r="U63" s="454">
        <v>752.89365900000121</v>
      </c>
      <c r="V63" s="454">
        <v>673.97184700000071</v>
      </c>
      <c r="W63" s="454">
        <v>224</v>
      </c>
      <c r="X63" s="454">
        <v>0</v>
      </c>
      <c r="Y63" s="454">
        <v>0</v>
      </c>
      <c r="Z63" s="454">
        <v>0</v>
      </c>
      <c r="AA63" s="454">
        <v>0</v>
      </c>
      <c r="AB63" s="454">
        <v>0</v>
      </c>
      <c r="AC63" s="454">
        <v>0</v>
      </c>
      <c r="AD63" s="454">
        <v>0</v>
      </c>
      <c r="AE63" s="454">
        <v>0</v>
      </c>
      <c r="AF63" s="454">
        <v>0</v>
      </c>
      <c r="AG63" s="454">
        <v>0</v>
      </c>
      <c r="AH63" s="454">
        <v>0</v>
      </c>
      <c r="AI63" s="454">
        <v>0</v>
      </c>
      <c r="AJ63" s="454">
        <v>0</v>
      </c>
      <c r="AK63" s="454">
        <v>0</v>
      </c>
      <c r="AL63" s="454">
        <v>0</v>
      </c>
      <c r="AM63" s="454">
        <v>5878.689280000006</v>
      </c>
      <c r="AN63" s="454">
        <v>5945.4320339999977</v>
      </c>
      <c r="AO63" s="454">
        <v>2088.9411764705874</v>
      </c>
      <c r="AP63" s="454">
        <v>6476.4749830000001</v>
      </c>
      <c r="AQ63" s="454">
        <v>6555.1509839999999</v>
      </c>
      <c r="AR63" s="454">
        <v>2285.6470588235316</v>
      </c>
      <c r="AS63" s="454">
        <v>8349.0437569999922</v>
      </c>
      <c r="AT63" s="454">
        <v>8438.4797229999967</v>
      </c>
      <c r="AU63" s="454">
        <v>3551.3529411764684</v>
      </c>
      <c r="AV63" s="454">
        <v>6638.0274230000068</v>
      </c>
      <c r="AW63" s="454">
        <v>6706.5916889999935</v>
      </c>
      <c r="AX63" s="454">
        <v>2790.5882352941189</v>
      </c>
      <c r="AY63" s="454">
        <v>9497.0703120000107</v>
      </c>
      <c r="AZ63" s="454">
        <v>9598.8776720000169</v>
      </c>
      <c r="BA63" s="483">
        <v>4347.9411764705874</v>
      </c>
      <c r="BB63" s="482">
        <v>-51.882486999999969</v>
      </c>
      <c r="BC63" s="454">
        <v>-43.756959999999992</v>
      </c>
      <c r="BD63" s="454">
        <v>-47.819760999999971</v>
      </c>
      <c r="BE63" s="454">
        <v>-49.990484999999808</v>
      </c>
      <c r="BF63" s="454">
        <v>-46.494596999999999</v>
      </c>
      <c r="BG63" s="454">
        <v>0</v>
      </c>
      <c r="BH63" s="454">
        <v>0</v>
      </c>
      <c r="BI63" s="454">
        <v>0</v>
      </c>
      <c r="BJ63" s="454">
        <v>0</v>
      </c>
      <c r="BK63" s="454">
        <v>0</v>
      </c>
      <c r="BL63" s="454">
        <v>-1124.1157510000012</v>
      </c>
      <c r="BM63" s="454">
        <v>-1067.6601659999997</v>
      </c>
      <c r="BN63" s="454">
        <v>-1016.1242929999989</v>
      </c>
      <c r="BO63" s="454">
        <v>-1092.0310470000004</v>
      </c>
      <c r="BP63" s="483">
        <v>-1017.778921000001</v>
      </c>
    </row>
    <row r="64" spans="2:129">
      <c r="B64" t="s">
        <v>541</v>
      </c>
      <c r="C64" t="s">
        <v>542</v>
      </c>
      <c r="D64" t="s">
        <v>524</v>
      </c>
      <c r="E64">
        <v>13</v>
      </c>
      <c r="F64" t="s">
        <v>514</v>
      </c>
      <c r="G64" t="s">
        <v>543</v>
      </c>
      <c r="H64" t="s">
        <v>541</v>
      </c>
      <c r="I64" s="482">
        <v>457.42258500000025</v>
      </c>
      <c r="J64" s="454">
        <v>437.56068400000004</v>
      </c>
      <c r="K64" s="454">
        <v>129.94117647058829</v>
      </c>
      <c r="L64" s="454">
        <v>505.46927600000072</v>
      </c>
      <c r="M64" s="454">
        <v>484.26450199999999</v>
      </c>
      <c r="N64" s="454">
        <v>143.35294117647049</v>
      </c>
      <c r="O64" s="454">
        <v>661.86218399999962</v>
      </c>
      <c r="P64" s="454">
        <v>599.97977699999865</v>
      </c>
      <c r="Q64" s="454">
        <v>187.88235294117658</v>
      </c>
      <c r="R64" s="454">
        <v>552.94130299999961</v>
      </c>
      <c r="S64" s="454">
        <v>511.68965599999956</v>
      </c>
      <c r="T64" s="454">
        <v>161.94117647058829</v>
      </c>
      <c r="U64" s="454">
        <v>776.20325400000002</v>
      </c>
      <c r="V64" s="454">
        <v>694.92870700000094</v>
      </c>
      <c r="W64" s="454">
        <v>230.47058823529369</v>
      </c>
      <c r="X64" s="454">
        <v>0</v>
      </c>
      <c r="Y64" s="454">
        <v>0</v>
      </c>
      <c r="Z64" s="454">
        <v>0</v>
      </c>
      <c r="AA64" s="454">
        <v>0</v>
      </c>
      <c r="AB64" s="454">
        <v>0</v>
      </c>
      <c r="AC64" s="454">
        <v>0</v>
      </c>
      <c r="AD64" s="454">
        <v>0</v>
      </c>
      <c r="AE64" s="454">
        <v>0</v>
      </c>
      <c r="AF64" s="454">
        <v>0</v>
      </c>
      <c r="AG64" s="454">
        <v>0</v>
      </c>
      <c r="AH64" s="454">
        <v>0</v>
      </c>
      <c r="AI64" s="454">
        <v>0</v>
      </c>
      <c r="AJ64" s="454">
        <v>0</v>
      </c>
      <c r="AK64" s="454">
        <v>0</v>
      </c>
      <c r="AL64" s="454">
        <v>0</v>
      </c>
      <c r="AM64" s="454">
        <v>6064.8112300000066</v>
      </c>
      <c r="AN64" s="454">
        <v>6133.7012790000008</v>
      </c>
      <c r="AO64" s="454">
        <v>2155.6470588235279</v>
      </c>
      <c r="AP64" s="454">
        <v>6682.3957960000043</v>
      </c>
      <c r="AQ64" s="454">
        <v>6763.6159859999971</v>
      </c>
      <c r="AR64" s="454">
        <v>2360.2941176470595</v>
      </c>
      <c r="AS64" s="454">
        <v>8619.3798299999908</v>
      </c>
      <c r="AT64" s="454">
        <v>8711.7514110000047</v>
      </c>
      <c r="AU64" s="454">
        <v>3667</v>
      </c>
      <c r="AV64" s="454">
        <v>6850.7994810000091</v>
      </c>
      <c r="AW64" s="454">
        <v>6921.6392029999915</v>
      </c>
      <c r="AX64" s="454">
        <v>2880.2941176470595</v>
      </c>
      <c r="AY64" s="454">
        <v>9804.7819130000134</v>
      </c>
      <c r="AZ64" s="454">
        <v>9909.9807010000077</v>
      </c>
      <c r="BA64" s="483">
        <v>4488.0588235294126</v>
      </c>
      <c r="BB64" s="482">
        <v>-53.57831699999997</v>
      </c>
      <c r="BC64" s="454">
        <v>-45.235205000000008</v>
      </c>
      <c r="BD64" s="454">
        <v>-49.401426000000015</v>
      </c>
      <c r="BE64" s="454">
        <v>-51.630715999999893</v>
      </c>
      <c r="BF64" s="454">
        <v>-48.031975999999986</v>
      </c>
      <c r="BG64" s="454">
        <v>0</v>
      </c>
      <c r="BH64" s="454">
        <v>0</v>
      </c>
      <c r="BI64" s="454">
        <v>0</v>
      </c>
      <c r="BJ64" s="454">
        <v>0</v>
      </c>
      <c r="BK64" s="454">
        <v>0</v>
      </c>
      <c r="BL64" s="454">
        <v>-1163.0013440000002</v>
      </c>
      <c r="BM64" s="454">
        <v>-1104.665395</v>
      </c>
      <c r="BN64" s="454">
        <v>-1052.0503019999996</v>
      </c>
      <c r="BO64" s="454">
        <v>-1130.8698129999975</v>
      </c>
      <c r="BP64" s="483">
        <v>-1054.4220139999998</v>
      </c>
    </row>
    <row r="65" spans="2:68">
      <c r="B65" t="s">
        <v>545</v>
      </c>
      <c r="C65" t="s">
        <v>546</v>
      </c>
      <c r="D65" t="s">
        <v>524</v>
      </c>
      <c r="E65">
        <v>14</v>
      </c>
      <c r="F65" t="s">
        <v>525</v>
      </c>
      <c r="G65" t="s">
        <v>535</v>
      </c>
      <c r="H65" t="s">
        <v>545</v>
      </c>
      <c r="I65" s="482">
        <v>48.791626999999608</v>
      </c>
      <c r="J65" s="454">
        <v>46.873002999999699</v>
      </c>
      <c r="K65" s="454">
        <v>13.941176470588289</v>
      </c>
      <c r="L65" s="454">
        <v>54.285784999999123</v>
      </c>
      <c r="M65" s="454">
        <v>52.249002999999902</v>
      </c>
      <c r="N65" s="454">
        <v>15.941176470588289</v>
      </c>
      <c r="O65" s="454">
        <v>71.393507000000682</v>
      </c>
      <c r="P65" s="454">
        <v>64.963594000000739</v>
      </c>
      <c r="Q65" s="454">
        <v>20.411764705882888</v>
      </c>
      <c r="R65" s="454">
        <v>59.60164099999929</v>
      </c>
      <c r="S65" s="454">
        <v>55.362541999999848</v>
      </c>
      <c r="T65" s="454">
        <v>17.941176470588289</v>
      </c>
      <c r="U65" s="454">
        <v>83.713098999998692</v>
      </c>
      <c r="V65" s="454">
        <v>75.188840999999229</v>
      </c>
      <c r="W65" s="454">
        <v>25.470588235294599</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663.88763699999981</v>
      </c>
      <c r="AN65" s="454">
        <v>671.47041999999783</v>
      </c>
      <c r="AO65" s="454">
        <v>237</v>
      </c>
      <c r="AP65" s="454">
        <v>732.42846699999791</v>
      </c>
      <c r="AQ65" s="454">
        <v>741.4170740000045</v>
      </c>
      <c r="AR65" s="454">
        <v>257.8823529411784</v>
      </c>
      <c r="AS65" s="454">
        <v>955.8371979999938</v>
      </c>
      <c r="AT65" s="454">
        <v>966.18282200000249</v>
      </c>
      <c r="AU65" s="454">
        <v>408.17647058823786</v>
      </c>
      <c r="AV65" s="454">
        <v>754.22998199999711</v>
      </c>
      <c r="AW65" s="454">
        <v>762.19731100000354</v>
      </c>
      <c r="AX65" s="454">
        <v>317.8823529411784</v>
      </c>
      <c r="AY65" s="454">
        <v>1084.9531369999895</v>
      </c>
      <c r="AZ65" s="454">
        <v>1096.7883690000017</v>
      </c>
      <c r="BA65" s="483">
        <v>497.17647058823786</v>
      </c>
      <c r="BB65" s="482">
        <v>-5.9936199999999644</v>
      </c>
      <c r="BC65" s="454">
        <v>-5.1513510000000338</v>
      </c>
      <c r="BD65" s="454">
        <v>-5.5530370000000175</v>
      </c>
      <c r="BE65" s="454">
        <v>-5.7625649999999951</v>
      </c>
      <c r="BF65" s="454">
        <v>-5.3878180000000384</v>
      </c>
      <c r="BG65" s="454">
        <v>0</v>
      </c>
      <c r="BH65" s="454">
        <v>0</v>
      </c>
      <c r="BI65" s="454">
        <v>0</v>
      </c>
      <c r="BJ65" s="454">
        <v>0</v>
      </c>
      <c r="BK65" s="454">
        <v>0</v>
      </c>
      <c r="BL65" s="454">
        <v>-133.7022820000002</v>
      </c>
      <c r="BM65" s="454">
        <v>-127.40327699999943</v>
      </c>
      <c r="BN65" s="454">
        <v>-122.84070500000053</v>
      </c>
      <c r="BO65" s="454">
        <v>-132.23679400000037</v>
      </c>
      <c r="BP65" s="483">
        <v>-124.39587799999936</v>
      </c>
    </row>
    <row r="66" spans="2:68">
      <c r="B66" t="s">
        <v>549</v>
      </c>
      <c r="C66" t="s">
        <v>550</v>
      </c>
      <c r="D66" t="s">
        <v>524</v>
      </c>
      <c r="E66">
        <v>15</v>
      </c>
      <c r="F66" t="s">
        <v>525</v>
      </c>
      <c r="G66" t="s">
        <v>539</v>
      </c>
      <c r="H66" t="s">
        <v>549</v>
      </c>
      <c r="I66" s="482">
        <v>99.774435999999696</v>
      </c>
      <c r="J66" s="454">
        <v>95.913931000000048</v>
      </c>
      <c r="K66" s="454">
        <v>28.88235294117635</v>
      </c>
      <c r="L66" s="454">
        <v>111.13839699999971</v>
      </c>
      <c r="M66" s="454">
        <v>107.03618099999949</v>
      </c>
      <c r="N66" s="454">
        <v>31.88235294117635</v>
      </c>
      <c r="O66" s="454">
        <v>146.31946000000062</v>
      </c>
      <c r="P66" s="454">
        <v>133.2338720000007</v>
      </c>
      <c r="Q66" s="454">
        <v>41.352941176471177</v>
      </c>
      <c r="R66" s="454">
        <v>122.13406499999928</v>
      </c>
      <c r="S66" s="454">
        <v>113.55413399999998</v>
      </c>
      <c r="T66" s="454">
        <v>35.882352941176578</v>
      </c>
      <c r="U66" s="454">
        <v>171.56954299999961</v>
      </c>
      <c r="V66" s="454">
        <v>154.1585699999996</v>
      </c>
      <c r="W66" s="454">
        <v>50.411764705881978</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1363.7745920000016</v>
      </c>
      <c r="AN66" s="454">
        <v>1379.3966049999945</v>
      </c>
      <c r="AO66" s="454">
        <v>486.41176470588471</v>
      </c>
      <c r="AP66" s="454">
        <v>1505.7420869999987</v>
      </c>
      <c r="AQ66" s="454">
        <v>1524.2512590000042</v>
      </c>
      <c r="AR66" s="454">
        <v>533.70588235294417</v>
      </c>
      <c r="AS66" s="454">
        <v>1968.3302339999937</v>
      </c>
      <c r="AT66" s="454">
        <v>1989.6356189999933</v>
      </c>
      <c r="AU66" s="454">
        <v>839.82352941176941</v>
      </c>
      <c r="AV66" s="454">
        <v>1551.7309989999994</v>
      </c>
      <c r="AW66" s="454">
        <v>1568.1888130000007</v>
      </c>
      <c r="AX66" s="454">
        <v>656.17647058823786</v>
      </c>
      <c r="AY66" s="454">
        <v>2236.1786779999966</v>
      </c>
      <c r="AZ66" s="454">
        <v>2260.6603109999996</v>
      </c>
      <c r="BA66" s="483">
        <v>1023.7647058823495</v>
      </c>
      <c r="BB66" s="482">
        <v>-12.347016999999937</v>
      </c>
      <c r="BC66" s="454">
        <v>-10.646051</v>
      </c>
      <c r="BD66" s="454">
        <v>-11.461785999999961</v>
      </c>
      <c r="BE66" s="454">
        <v>-11.898603999999978</v>
      </c>
      <c r="BF66" s="454">
        <v>-11.124058000000048</v>
      </c>
      <c r="BG66" s="454">
        <v>0</v>
      </c>
      <c r="BH66" s="454">
        <v>0</v>
      </c>
      <c r="BI66" s="454">
        <v>0</v>
      </c>
      <c r="BJ66" s="454">
        <v>0</v>
      </c>
      <c r="BK66" s="454">
        <v>0</v>
      </c>
      <c r="BL66" s="454">
        <v>-277.70078199999989</v>
      </c>
      <c r="BM66" s="454">
        <v>-264.70240899999953</v>
      </c>
      <c r="BN66" s="454">
        <v>-255.50015899999926</v>
      </c>
      <c r="BO66" s="454">
        <v>-275.58359800000107</v>
      </c>
      <c r="BP66" s="483">
        <v>-259.65436500000033</v>
      </c>
    </row>
    <row r="67" spans="2:68">
      <c r="B67" t="s">
        <v>552</v>
      </c>
      <c r="C67" t="s">
        <v>553</v>
      </c>
      <c r="D67" t="s">
        <v>524</v>
      </c>
      <c r="E67">
        <v>16</v>
      </c>
      <c r="F67" t="s">
        <v>525</v>
      </c>
      <c r="G67" t="s">
        <v>543</v>
      </c>
      <c r="H67" t="s">
        <v>552</v>
      </c>
      <c r="I67" s="482">
        <v>113.26630299999943</v>
      </c>
      <c r="J67" s="454">
        <v>108.91309199999978</v>
      </c>
      <c r="K67" s="454">
        <v>32.88235294117635</v>
      </c>
      <c r="L67" s="454">
        <v>126.19714199999999</v>
      </c>
      <c r="M67" s="454">
        <v>121.55025800000021</v>
      </c>
      <c r="N67" s="454">
        <v>36.352941176470495</v>
      </c>
      <c r="O67" s="454">
        <v>166.2047220000004</v>
      </c>
      <c r="P67" s="454">
        <v>151.3612720000001</v>
      </c>
      <c r="Q67" s="454">
        <v>46.823529411764866</v>
      </c>
      <c r="R67" s="454">
        <v>138.71290499999941</v>
      </c>
      <c r="S67" s="454">
        <v>128.98712499999965</v>
      </c>
      <c r="T67" s="454">
        <v>40.882352941176578</v>
      </c>
      <c r="U67" s="454">
        <v>194.87913799999842</v>
      </c>
      <c r="V67" s="454">
        <v>175.11542999999983</v>
      </c>
      <c r="W67" s="454">
        <v>56.882352941175668</v>
      </c>
      <c r="X67" s="454">
        <v>0</v>
      </c>
      <c r="Y67" s="454">
        <v>0</v>
      </c>
      <c r="Z67" s="454">
        <v>0</v>
      </c>
      <c r="AA67" s="454">
        <v>0</v>
      </c>
      <c r="AB67" s="454">
        <v>0</v>
      </c>
      <c r="AC67" s="454">
        <v>0</v>
      </c>
      <c r="AD67" s="454">
        <v>0</v>
      </c>
      <c r="AE67" s="454">
        <v>0</v>
      </c>
      <c r="AF67" s="454">
        <v>0</v>
      </c>
      <c r="AG67" s="454">
        <v>0</v>
      </c>
      <c r="AH67" s="454">
        <v>0</v>
      </c>
      <c r="AI67" s="454">
        <v>0</v>
      </c>
      <c r="AJ67" s="454">
        <v>0</v>
      </c>
      <c r="AK67" s="454">
        <v>0</v>
      </c>
      <c r="AL67" s="454">
        <v>0</v>
      </c>
      <c r="AM67" s="454">
        <v>1549.8965420000022</v>
      </c>
      <c r="AN67" s="454">
        <v>1567.6658499999976</v>
      </c>
      <c r="AO67" s="454">
        <v>553.11764705882524</v>
      </c>
      <c r="AP67" s="454">
        <v>1711.662900000003</v>
      </c>
      <c r="AQ67" s="454">
        <v>1732.7162610000014</v>
      </c>
      <c r="AR67" s="454">
        <v>608.35294117647209</v>
      </c>
      <c r="AS67" s="454">
        <v>2238.6663069999922</v>
      </c>
      <c r="AT67" s="454">
        <v>2262.9073070000013</v>
      </c>
      <c r="AU67" s="454">
        <v>955.47058823530097</v>
      </c>
      <c r="AV67" s="454">
        <v>1764.5030570000017</v>
      </c>
      <c r="AW67" s="454">
        <v>1783.2363269999987</v>
      </c>
      <c r="AX67" s="454">
        <v>745.8823529411784</v>
      </c>
      <c r="AY67" s="454">
        <v>2543.8902789999993</v>
      </c>
      <c r="AZ67" s="454">
        <v>2571.7633399999904</v>
      </c>
      <c r="BA67" s="483">
        <v>1163.8823529411748</v>
      </c>
      <c r="BB67" s="482">
        <v>-14.042846999999938</v>
      </c>
      <c r="BC67" s="454">
        <v>-12.124296000000015</v>
      </c>
      <c r="BD67" s="454">
        <v>-13.043451000000005</v>
      </c>
      <c r="BE67" s="454">
        <v>-13.538835000000063</v>
      </c>
      <c r="BF67" s="454">
        <v>-12.661437000000035</v>
      </c>
      <c r="BG67" s="454">
        <v>0</v>
      </c>
      <c r="BH67" s="454">
        <v>0</v>
      </c>
      <c r="BI67" s="454">
        <v>0</v>
      </c>
      <c r="BJ67" s="454">
        <v>0</v>
      </c>
      <c r="BK67" s="454">
        <v>0</v>
      </c>
      <c r="BL67" s="454">
        <v>-316.58637499999895</v>
      </c>
      <c r="BM67" s="454">
        <v>-301.70763799999986</v>
      </c>
      <c r="BN67" s="454">
        <v>-291.42616799999996</v>
      </c>
      <c r="BO67" s="454">
        <v>-314.4223639999982</v>
      </c>
      <c r="BP67" s="483">
        <v>-296.2974579999991</v>
      </c>
    </row>
    <row r="68" spans="2:68">
      <c r="B68" t="s">
        <v>555</v>
      </c>
      <c r="C68" t="s">
        <v>556</v>
      </c>
      <c r="D68" t="s">
        <v>524</v>
      </c>
      <c r="E68">
        <v>17</v>
      </c>
      <c r="F68" t="s">
        <v>515</v>
      </c>
      <c r="G68" t="s">
        <v>539</v>
      </c>
      <c r="H68" t="s">
        <v>555</v>
      </c>
      <c r="I68" s="482">
        <v>1039.5202980000004</v>
      </c>
      <c r="J68" s="454">
        <v>986.17975899999965</v>
      </c>
      <c r="K68" s="454">
        <v>292.17647058823513</v>
      </c>
      <c r="L68" s="454">
        <v>1141.9862730000004</v>
      </c>
      <c r="M68" s="454">
        <v>1084.137428</v>
      </c>
      <c r="N68" s="454">
        <v>320.58823529411757</v>
      </c>
      <c r="O68" s="454">
        <v>1482.2927679999993</v>
      </c>
      <c r="P68" s="454">
        <v>1334.0678630000002</v>
      </c>
      <c r="Q68" s="454">
        <v>421.64705882352973</v>
      </c>
      <c r="R68" s="454">
        <v>1234.4046759999992</v>
      </c>
      <c r="S68" s="454">
        <v>1133.1073139999999</v>
      </c>
      <c r="T68" s="454">
        <v>359.7647058823527</v>
      </c>
      <c r="U68" s="454">
        <v>1728.8708150000002</v>
      </c>
      <c r="V68" s="454">
        <v>1537.7360750000007</v>
      </c>
      <c r="W68" s="454">
        <v>518.88235294117658</v>
      </c>
      <c r="X68" s="454">
        <v>0</v>
      </c>
      <c r="Y68" s="454">
        <v>0</v>
      </c>
      <c r="Z68" s="454">
        <v>0</v>
      </c>
      <c r="AA68" s="454">
        <v>0</v>
      </c>
      <c r="AB68" s="454">
        <v>0</v>
      </c>
      <c r="AC68" s="454">
        <v>0</v>
      </c>
      <c r="AD68" s="454">
        <v>0</v>
      </c>
      <c r="AE68" s="454">
        <v>0</v>
      </c>
      <c r="AF68" s="454">
        <v>0</v>
      </c>
      <c r="AG68" s="454">
        <v>0</v>
      </c>
      <c r="AH68" s="454">
        <v>0</v>
      </c>
      <c r="AI68" s="454">
        <v>0</v>
      </c>
      <c r="AJ68" s="454">
        <v>0</v>
      </c>
      <c r="AK68" s="454">
        <v>0</v>
      </c>
      <c r="AL68" s="454">
        <v>0</v>
      </c>
      <c r="AM68" s="454">
        <v>13024.268519000005</v>
      </c>
      <c r="AN68" s="454">
        <v>13169.705104000001</v>
      </c>
      <c r="AO68" s="454">
        <v>4625.4705882352937</v>
      </c>
      <c r="AP68" s="454">
        <v>14384.050665000002</v>
      </c>
      <c r="AQ68" s="454">
        <v>14554.413505000004</v>
      </c>
      <c r="AR68" s="454">
        <v>5040.2352941176505</v>
      </c>
      <c r="AS68" s="454">
        <v>18111.852939000004</v>
      </c>
      <c r="AT68" s="454">
        <v>18303.156122999993</v>
      </c>
      <c r="AU68" s="454">
        <v>7728.3529411764684</v>
      </c>
      <c r="AV68" s="454">
        <v>14573.675266999999</v>
      </c>
      <c r="AW68" s="454">
        <v>14719.527025999996</v>
      </c>
      <c r="AX68" s="454">
        <v>6092.1764705882379</v>
      </c>
      <c r="AY68" s="454">
        <v>20673.284184000004</v>
      </c>
      <c r="AZ68" s="454">
        <v>20889.810069000014</v>
      </c>
      <c r="BA68" s="483">
        <v>9502.529411764699</v>
      </c>
      <c r="BB68" s="482">
        <v>-111.20764299999996</v>
      </c>
      <c r="BC68" s="454">
        <v>-91.142765999999995</v>
      </c>
      <c r="BD68" s="454">
        <v>-100.82699200000002</v>
      </c>
      <c r="BE68" s="454">
        <v>-107.62483199999986</v>
      </c>
      <c r="BF68" s="454">
        <v>-96.915080000000046</v>
      </c>
      <c r="BG68" s="454">
        <v>0</v>
      </c>
      <c r="BH68" s="454">
        <v>0</v>
      </c>
      <c r="BI68" s="454">
        <v>0</v>
      </c>
      <c r="BJ68" s="454">
        <v>0</v>
      </c>
      <c r="BK68" s="454">
        <v>0</v>
      </c>
      <c r="BL68" s="454">
        <v>-2273.3956300000009</v>
      </c>
      <c r="BM68" s="454">
        <v>-2132.8893569999991</v>
      </c>
      <c r="BN68" s="454">
        <v>-2000.9726729999984</v>
      </c>
      <c r="BO68" s="454">
        <v>-2143.9142109999993</v>
      </c>
      <c r="BP68" s="483">
        <v>-1977.4640149999996</v>
      </c>
    </row>
    <row r="69" spans="2:68">
      <c r="B69" t="s">
        <v>557</v>
      </c>
      <c r="C69" t="s">
        <v>558</v>
      </c>
      <c r="D69" t="s">
        <v>524</v>
      </c>
      <c r="E69">
        <v>18</v>
      </c>
      <c r="F69" t="s">
        <v>514</v>
      </c>
      <c r="G69" t="s">
        <v>525</v>
      </c>
      <c r="H69" t="s">
        <v>557</v>
      </c>
      <c r="I69" s="482">
        <v>344.15628200000083</v>
      </c>
      <c r="J69" s="454">
        <v>328.64759200000026</v>
      </c>
      <c r="K69" s="454">
        <v>97.058823529411939</v>
      </c>
      <c r="L69" s="454">
        <v>379.27213400000073</v>
      </c>
      <c r="M69" s="454">
        <v>362.71424399999978</v>
      </c>
      <c r="N69" s="454">
        <v>107</v>
      </c>
      <c r="O69" s="454">
        <v>495.65746199999921</v>
      </c>
      <c r="P69" s="454">
        <v>448.61850499999855</v>
      </c>
      <c r="Q69" s="454">
        <v>141.05882352941171</v>
      </c>
      <c r="R69" s="454">
        <v>414.2283980000002</v>
      </c>
      <c r="S69" s="454">
        <v>382.70253099999991</v>
      </c>
      <c r="T69" s="454">
        <v>121.05882352941171</v>
      </c>
      <c r="U69" s="454">
        <v>581.3241160000016</v>
      </c>
      <c r="V69" s="454">
        <v>519.81327700000111</v>
      </c>
      <c r="W69" s="454">
        <v>173.58823529411802</v>
      </c>
      <c r="X69" s="454">
        <v>0</v>
      </c>
      <c r="Y69" s="454">
        <v>0</v>
      </c>
      <c r="Z69" s="454">
        <v>0</v>
      </c>
      <c r="AA69" s="454">
        <v>0</v>
      </c>
      <c r="AB69" s="454">
        <v>0</v>
      </c>
      <c r="AC69" s="454">
        <v>0</v>
      </c>
      <c r="AD69" s="454">
        <v>0</v>
      </c>
      <c r="AE69" s="454">
        <v>0</v>
      </c>
      <c r="AF69" s="454">
        <v>0</v>
      </c>
      <c r="AG69" s="454">
        <v>0</v>
      </c>
      <c r="AH69" s="454">
        <v>0</v>
      </c>
      <c r="AI69" s="454">
        <v>0</v>
      </c>
      <c r="AJ69" s="454">
        <v>0</v>
      </c>
      <c r="AK69" s="454">
        <v>0</v>
      </c>
      <c r="AL69" s="454">
        <v>0</v>
      </c>
      <c r="AM69" s="454">
        <v>4514.9146880000044</v>
      </c>
      <c r="AN69" s="454">
        <v>4566.0354290000032</v>
      </c>
      <c r="AO69" s="454">
        <v>1602.5294117647027</v>
      </c>
      <c r="AP69" s="454">
        <v>4970.7328960000013</v>
      </c>
      <c r="AQ69" s="454">
        <v>5030.8997249999957</v>
      </c>
      <c r="AR69" s="454">
        <v>1751.9411764705874</v>
      </c>
      <c r="AS69" s="454">
        <v>6380.7135229999985</v>
      </c>
      <c r="AT69" s="454">
        <v>6448.8441040000034</v>
      </c>
      <c r="AU69" s="454">
        <v>2711.529411764699</v>
      </c>
      <c r="AV69" s="454">
        <v>5086.2964240000074</v>
      </c>
      <c r="AW69" s="454">
        <v>5138.4028759999928</v>
      </c>
      <c r="AX69" s="454">
        <v>2134.4117647058811</v>
      </c>
      <c r="AY69" s="454">
        <v>7260.8916340000142</v>
      </c>
      <c r="AZ69" s="454">
        <v>7338.2173610000173</v>
      </c>
      <c r="BA69" s="483">
        <v>3324.1764705882379</v>
      </c>
      <c r="BB69" s="482">
        <v>-39.535470000000032</v>
      </c>
      <c r="BC69" s="454">
        <v>-33.110908999999992</v>
      </c>
      <c r="BD69" s="454">
        <v>-36.35797500000001</v>
      </c>
      <c r="BE69" s="454">
        <v>-38.09188099999983</v>
      </c>
      <c r="BF69" s="454">
        <v>-35.370538999999951</v>
      </c>
      <c r="BG69" s="454">
        <v>0</v>
      </c>
      <c r="BH69" s="454">
        <v>0</v>
      </c>
      <c r="BI69" s="454">
        <v>0</v>
      </c>
      <c r="BJ69" s="454">
        <v>0</v>
      </c>
      <c r="BK69" s="454">
        <v>0</v>
      </c>
      <c r="BL69" s="454">
        <v>-846.41496900000129</v>
      </c>
      <c r="BM69" s="454">
        <v>-802.95775700000013</v>
      </c>
      <c r="BN69" s="454">
        <v>-760.62413399999969</v>
      </c>
      <c r="BO69" s="454">
        <v>-816.44744899999932</v>
      </c>
      <c r="BP69" s="483">
        <v>-758.12455600000067</v>
      </c>
    </row>
    <row r="70" spans="2:68">
      <c r="B70" t="s">
        <v>560</v>
      </c>
      <c r="C70" t="s">
        <v>561</v>
      </c>
      <c r="D70" t="s">
        <v>527</v>
      </c>
      <c r="E70">
        <v>10</v>
      </c>
      <c r="F70" t="s">
        <v>514</v>
      </c>
      <c r="G70" t="s">
        <v>525</v>
      </c>
      <c r="H70" t="s">
        <v>560</v>
      </c>
      <c r="I70" s="482">
        <v>210.53935600000023</v>
      </c>
      <c r="J70" s="454">
        <v>223.86051800000041</v>
      </c>
      <c r="K70" s="454">
        <v>72.705882352941217</v>
      </c>
      <c r="L70" s="454">
        <v>247.12035999999989</v>
      </c>
      <c r="M70" s="454">
        <v>262.59887600000002</v>
      </c>
      <c r="N70" s="454">
        <v>86.176470588235361</v>
      </c>
      <c r="O70" s="454">
        <v>216.12529100000029</v>
      </c>
      <c r="P70" s="454">
        <v>232.13552900000104</v>
      </c>
      <c r="Q70" s="454">
        <v>84.705882352941444</v>
      </c>
      <c r="R70" s="454">
        <v>189.99142099999972</v>
      </c>
      <c r="S70" s="454">
        <v>203.75223300000016</v>
      </c>
      <c r="T70" s="454">
        <v>74.2352941176473</v>
      </c>
      <c r="U70" s="454">
        <v>181.3691230000004</v>
      </c>
      <c r="V70" s="454">
        <v>198.70169899999928</v>
      </c>
      <c r="W70" s="454">
        <v>73.235294117646845</v>
      </c>
      <c r="X70" s="454">
        <v>235.94510199999968</v>
      </c>
      <c r="Y70" s="454">
        <v>243.400216</v>
      </c>
      <c r="Z70" s="454">
        <v>68.705882352940989</v>
      </c>
      <c r="AA70" s="454">
        <v>287.99565999999959</v>
      </c>
      <c r="AB70" s="454">
        <v>297.05060100000082</v>
      </c>
      <c r="AC70" s="454">
        <v>84.647058823529278</v>
      </c>
      <c r="AD70" s="454">
        <v>263.51834100000087</v>
      </c>
      <c r="AE70" s="454">
        <v>272.59751200000028</v>
      </c>
      <c r="AF70" s="454">
        <v>60.176470588236043</v>
      </c>
      <c r="AG70" s="454">
        <v>211.49485199999981</v>
      </c>
      <c r="AH70" s="454">
        <v>220.08237800000006</v>
      </c>
      <c r="AI70" s="454">
        <v>53.705882352940989</v>
      </c>
      <c r="AJ70" s="454">
        <v>212.44519600000058</v>
      </c>
      <c r="AK70" s="454">
        <v>222.32518899999923</v>
      </c>
      <c r="AL70" s="454">
        <v>23.705882352942353</v>
      </c>
      <c r="AM70" s="454">
        <v>3883.8512640000044</v>
      </c>
      <c r="AN70" s="454">
        <v>3927.5826000000015</v>
      </c>
      <c r="AO70" s="454">
        <v>1347.1764705882342</v>
      </c>
      <c r="AP70" s="454">
        <v>4544.7890079999997</v>
      </c>
      <c r="AQ70" s="454">
        <v>4597.0618639999957</v>
      </c>
      <c r="AR70" s="454">
        <v>1580.1764705882379</v>
      </c>
      <c r="AS70" s="454">
        <v>4409.2448469999945</v>
      </c>
      <c r="AT70" s="454">
        <v>4462.7449830000114</v>
      </c>
      <c r="AU70" s="454">
        <v>1777.0588235294126</v>
      </c>
      <c r="AV70" s="454">
        <v>3671.9818349999987</v>
      </c>
      <c r="AW70" s="454">
        <v>3714.4587869999959</v>
      </c>
      <c r="AX70" s="454">
        <v>1482.3529411764684</v>
      </c>
      <c r="AY70" s="454">
        <v>3917.5368780000135</v>
      </c>
      <c r="AZ70" s="454">
        <v>3975.6584719999955</v>
      </c>
      <c r="BA70" s="483">
        <v>1661.9411764705874</v>
      </c>
      <c r="BB70" s="482">
        <v>46.429155000000037</v>
      </c>
      <c r="BC70" s="454">
        <v>32.935089000000005</v>
      </c>
      <c r="BD70" s="454">
        <v>54.514583000000016</v>
      </c>
      <c r="BE70" s="454">
        <v>83.320776999999907</v>
      </c>
      <c r="BF70" s="454">
        <v>45.943961000000002</v>
      </c>
      <c r="BG70" s="454">
        <v>38.159084000000007</v>
      </c>
      <c r="BH70" s="454">
        <v>28.327382999999998</v>
      </c>
      <c r="BI70" s="454">
        <v>43.847544999999968</v>
      </c>
      <c r="BJ70" s="454">
        <v>61.794677999999976</v>
      </c>
      <c r="BK70" s="454">
        <v>40.377843999999982</v>
      </c>
      <c r="BL70" s="454">
        <v>607.02824800000053</v>
      </c>
      <c r="BM70" s="454">
        <v>359.0965269999997</v>
      </c>
      <c r="BN70" s="454">
        <v>798.78045199999906</v>
      </c>
      <c r="BO70" s="454">
        <v>1270.6934339999971</v>
      </c>
      <c r="BP70" s="483">
        <v>694.20629399999962</v>
      </c>
    </row>
    <row r="71" spans="2:68">
      <c r="B71" t="s">
        <v>563</v>
      </c>
      <c r="C71" t="s">
        <v>564</v>
      </c>
      <c r="D71" t="s">
        <v>527</v>
      </c>
      <c r="E71">
        <v>11</v>
      </c>
      <c r="F71" t="s">
        <v>514</v>
      </c>
      <c r="G71" t="s">
        <v>543</v>
      </c>
      <c r="H71" t="s">
        <v>563</v>
      </c>
      <c r="I71" s="482">
        <v>287.08814100000018</v>
      </c>
      <c r="J71" s="454">
        <v>305.27506699999958</v>
      </c>
      <c r="K71" s="454">
        <v>98.588235294117794</v>
      </c>
      <c r="L71" s="454">
        <v>337.37502199999926</v>
      </c>
      <c r="M71" s="454">
        <v>358.53197600000021</v>
      </c>
      <c r="N71" s="454">
        <v>117.52941176470586</v>
      </c>
      <c r="O71" s="454">
        <v>295.34081900000092</v>
      </c>
      <c r="P71" s="454">
        <v>317.21883700000035</v>
      </c>
      <c r="Q71" s="454">
        <v>116.11764705882388</v>
      </c>
      <c r="R71" s="454">
        <v>259.35940099999971</v>
      </c>
      <c r="S71" s="454">
        <v>278.14102999999977</v>
      </c>
      <c r="T71" s="454">
        <v>101.64705882352928</v>
      </c>
      <c r="U71" s="454">
        <v>248.04293700000017</v>
      </c>
      <c r="V71" s="454">
        <v>271.71627199999966</v>
      </c>
      <c r="W71" s="454">
        <v>101.17647058823604</v>
      </c>
      <c r="X71" s="454">
        <v>322.17263800000001</v>
      </c>
      <c r="Y71" s="454">
        <v>332.36288500000046</v>
      </c>
      <c r="Z71" s="454">
        <v>94.058823529411711</v>
      </c>
      <c r="AA71" s="454">
        <v>393.22432599999956</v>
      </c>
      <c r="AB71" s="454">
        <v>405.63183900000058</v>
      </c>
      <c r="AC71" s="454">
        <v>116</v>
      </c>
      <c r="AD71" s="454">
        <v>360.29044700000122</v>
      </c>
      <c r="AE71" s="454">
        <v>372.53099699999984</v>
      </c>
      <c r="AF71" s="454">
        <v>82.058823529412621</v>
      </c>
      <c r="AG71" s="454">
        <v>288.62860699999965</v>
      </c>
      <c r="AH71" s="454">
        <v>300.20622100000037</v>
      </c>
      <c r="AI71" s="454">
        <v>74.117647058823422</v>
      </c>
      <c r="AJ71" s="454">
        <v>290.51658800000041</v>
      </c>
      <c r="AK71" s="454">
        <v>303.71367699999973</v>
      </c>
      <c r="AL71" s="454">
        <v>34.588235294118931</v>
      </c>
      <c r="AM71" s="454">
        <v>5280.7360160000026</v>
      </c>
      <c r="AN71" s="454">
        <v>5340.475308000001</v>
      </c>
      <c r="AO71" s="454">
        <v>1834.058823529409</v>
      </c>
      <c r="AP71" s="454">
        <v>6180.5979469999947</v>
      </c>
      <c r="AQ71" s="454">
        <v>6252.3453349999982</v>
      </c>
      <c r="AR71" s="454">
        <v>2153.2352941176468</v>
      </c>
      <c r="AS71" s="454">
        <v>6016.7464679999975</v>
      </c>
      <c r="AT71" s="454">
        <v>6090.0333480000118</v>
      </c>
      <c r="AU71" s="454">
        <v>2424.6470588235243</v>
      </c>
      <c r="AV71" s="454">
        <v>4985.3711739999999</v>
      </c>
      <c r="AW71" s="454">
        <v>5043.6279120000036</v>
      </c>
      <c r="AX71" s="454">
        <v>2016.3529411764721</v>
      </c>
      <c r="AY71" s="454">
        <v>5344.4344350000028</v>
      </c>
      <c r="AZ71" s="454">
        <v>5424.2016310000035</v>
      </c>
      <c r="BA71" s="483">
        <v>2265.7647058823495</v>
      </c>
      <c r="BB71" s="482">
        <v>63.754643999999985</v>
      </c>
      <c r="BC71" s="454">
        <v>45.031195999999966</v>
      </c>
      <c r="BD71" s="454">
        <v>74.839067999999997</v>
      </c>
      <c r="BE71" s="454">
        <v>114.34809700000005</v>
      </c>
      <c r="BF71" s="454">
        <v>63.065751999999975</v>
      </c>
      <c r="BG71" s="454">
        <v>52.436824999999999</v>
      </c>
      <c r="BH71" s="454">
        <v>38.743200999999999</v>
      </c>
      <c r="BI71" s="454">
        <v>60.272257999999965</v>
      </c>
      <c r="BJ71" s="454">
        <v>85.437784999999849</v>
      </c>
      <c r="BK71" s="454">
        <v>55.630903999999987</v>
      </c>
      <c r="BL71" s="454">
        <v>831.25269800000024</v>
      </c>
      <c r="BM71" s="454">
        <v>487.61794900000132</v>
      </c>
      <c r="BN71" s="454">
        <v>1094.5158919999994</v>
      </c>
      <c r="BO71" s="454">
        <v>1744.4039339999981</v>
      </c>
      <c r="BP71" s="483">
        <v>949.31728199999998</v>
      </c>
    </row>
    <row r="72" spans="2:68">
      <c r="B72" t="s">
        <v>566</v>
      </c>
      <c r="C72" t="s">
        <v>567</v>
      </c>
      <c r="D72" t="s">
        <v>527</v>
      </c>
      <c r="E72">
        <v>12</v>
      </c>
      <c r="F72" t="s">
        <v>514</v>
      </c>
      <c r="G72" t="s">
        <v>568</v>
      </c>
      <c r="H72" t="s">
        <v>566</v>
      </c>
      <c r="I72" s="482">
        <v>304.86976899999991</v>
      </c>
      <c r="J72" s="454">
        <v>324.17868699999963</v>
      </c>
      <c r="K72" s="454">
        <v>105.05882352941171</v>
      </c>
      <c r="L72" s="454">
        <v>358.35931100000016</v>
      </c>
      <c r="M72" s="454">
        <v>380.83951500000057</v>
      </c>
      <c r="N72" s="454">
        <v>124.52941176470563</v>
      </c>
      <c r="O72" s="454">
        <v>313.79100900000049</v>
      </c>
      <c r="P72" s="454">
        <v>337.03642000000036</v>
      </c>
      <c r="Q72" s="454">
        <v>123.11764705882388</v>
      </c>
      <c r="R72" s="454">
        <v>275.47596799999974</v>
      </c>
      <c r="S72" s="454">
        <v>295.43532400000004</v>
      </c>
      <c r="T72" s="454">
        <v>107.64705882352928</v>
      </c>
      <c r="U72" s="454">
        <v>263.56949800000075</v>
      </c>
      <c r="V72" s="454">
        <v>288.71473499999956</v>
      </c>
      <c r="W72" s="454">
        <v>107.17647058823604</v>
      </c>
      <c r="X72" s="454">
        <v>342.24643399999968</v>
      </c>
      <c r="Y72" s="454">
        <v>353.07686000000012</v>
      </c>
      <c r="Z72" s="454">
        <v>100.05882352941171</v>
      </c>
      <c r="AA72" s="454">
        <v>417.69906499999979</v>
      </c>
      <c r="AB72" s="454">
        <v>430.89159199999995</v>
      </c>
      <c r="AC72" s="454">
        <v>123.47058823529414</v>
      </c>
      <c r="AD72" s="454">
        <v>382.84101800000099</v>
      </c>
      <c r="AE72" s="454">
        <v>395.80926999999974</v>
      </c>
      <c r="AF72" s="454">
        <v>87.52941176470631</v>
      </c>
      <c r="AG72" s="454">
        <v>306.56489199999942</v>
      </c>
      <c r="AH72" s="454">
        <v>318.83012899999994</v>
      </c>
      <c r="AI72" s="454">
        <v>78.588235294117567</v>
      </c>
      <c r="AJ72" s="454">
        <v>308.69684899999993</v>
      </c>
      <c r="AK72" s="454">
        <v>322.64714300000014</v>
      </c>
      <c r="AL72" s="454">
        <v>37.058823529412621</v>
      </c>
      <c r="AM72" s="454">
        <v>5603.6527380000043</v>
      </c>
      <c r="AN72" s="454">
        <v>5667.1235809999998</v>
      </c>
      <c r="AO72" s="454">
        <v>1946.5294117647045</v>
      </c>
      <c r="AP72" s="454">
        <v>6559.3591649999944</v>
      </c>
      <c r="AQ72" s="454">
        <v>6635.6624579999989</v>
      </c>
      <c r="AR72" s="454">
        <v>2284.1764705882342</v>
      </c>
      <c r="AS72" s="454">
        <v>6389.8190329999925</v>
      </c>
      <c r="AT72" s="454">
        <v>6467.7082920000103</v>
      </c>
      <c r="AU72" s="454">
        <v>2575.117647058818</v>
      </c>
      <c r="AV72" s="454">
        <v>5289.1092869999993</v>
      </c>
      <c r="AW72" s="454">
        <v>5351.0377609999996</v>
      </c>
      <c r="AX72" s="454">
        <v>2140.3529411764721</v>
      </c>
      <c r="AY72" s="454">
        <v>5676.3956720000133</v>
      </c>
      <c r="AZ72" s="454">
        <v>5761.2236479999992</v>
      </c>
      <c r="BA72" s="483">
        <v>2405.7647058823495</v>
      </c>
      <c r="BB72" s="482">
        <v>67.827882999999929</v>
      </c>
      <c r="BC72" s="454">
        <v>47.861403999999993</v>
      </c>
      <c r="BD72" s="454">
        <v>79.614276000000018</v>
      </c>
      <c r="BE72" s="454">
        <v>121.63099099999999</v>
      </c>
      <c r="BF72" s="454">
        <v>67.097336999999982</v>
      </c>
      <c r="BG72" s="454">
        <v>55.783773999999994</v>
      </c>
      <c r="BH72" s="454">
        <v>41.189847999999984</v>
      </c>
      <c r="BI72" s="454">
        <v>64.136450999999965</v>
      </c>
      <c r="BJ72" s="454">
        <v>91.016124999999874</v>
      </c>
      <c r="BK72" s="454">
        <v>59.216872000000023</v>
      </c>
      <c r="BL72" s="454">
        <v>883.61821000000054</v>
      </c>
      <c r="BM72" s="454">
        <v>517.23328300000139</v>
      </c>
      <c r="BN72" s="454">
        <v>1163.81322</v>
      </c>
      <c r="BO72" s="454">
        <v>1855.5316229999989</v>
      </c>
      <c r="BP72" s="483">
        <v>1008.8977909999994</v>
      </c>
    </row>
    <row r="73" spans="2:68">
      <c r="B73" t="s">
        <v>570</v>
      </c>
      <c r="C73" t="s">
        <v>571</v>
      </c>
      <c r="D73" t="s">
        <v>527</v>
      </c>
      <c r="E73">
        <v>13</v>
      </c>
      <c r="F73" t="s">
        <v>539</v>
      </c>
      <c r="G73" t="s">
        <v>543</v>
      </c>
      <c r="H73" t="s">
        <v>570</v>
      </c>
      <c r="I73" s="482">
        <v>21.098473000000013</v>
      </c>
      <c r="J73" s="454">
        <v>22.437509999999747</v>
      </c>
      <c r="K73" s="454">
        <v>6.4705882352941444</v>
      </c>
      <c r="L73" s="454">
        <v>24.896055999999589</v>
      </c>
      <c r="M73" s="454">
        <v>26.455054000000018</v>
      </c>
      <c r="N73" s="454">
        <v>8.9411764705882888</v>
      </c>
      <c r="O73" s="454">
        <v>21.864299999999275</v>
      </c>
      <c r="P73" s="454">
        <v>23.48371699999916</v>
      </c>
      <c r="Q73" s="454">
        <v>8.9411764705882888</v>
      </c>
      <c r="R73" s="454">
        <v>19.108893999999964</v>
      </c>
      <c r="S73" s="454">
        <v>20.495401999999558</v>
      </c>
      <c r="T73" s="454">
        <v>7.4705882352936896</v>
      </c>
      <c r="U73" s="454">
        <v>18.40081999999893</v>
      </c>
      <c r="V73" s="454">
        <v>20.150601999999708</v>
      </c>
      <c r="W73" s="454">
        <v>8</v>
      </c>
      <c r="X73" s="454">
        <v>23.788650999999845</v>
      </c>
      <c r="Y73" s="454">
        <v>24.545344000000114</v>
      </c>
      <c r="Z73" s="454">
        <v>6.9411764705882888</v>
      </c>
      <c r="AA73" s="454">
        <v>29.024352999999792</v>
      </c>
      <c r="AB73" s="454">
        <v>29.952481000000262</v>
      </c>
      <c r="AC73" s="454">
        <v>8.4705882352941444</v>
      </c>
      <c r="AD73" s="454">
        <v>26.713788000000932</v>
      </c>
      <c r="AE73" s="454">
        <v>27.579691999999341</v>
      </c>
      <c r="AF73" s="454">
        <v>5.4705882352936896</v>
      </c>
      <c r="AG73" s="454">
        <v>21.271090999999615</v>
      </c>
      <c r="AH73" s="454">
        <v>22.089606000000458</v>
      </c>
      <c r="AI73" s="454">
        <v>5.4705882352941444</v>
      </c>
      <c r="AJ73" s="454">
        <v>21.551267000000735</v>
      </c>
      <c r="AK73" s="454">
        <v>22.452554999999847</v>
      </c>
      <c r="AL73" s="454">
        <v>2.4705882352945991</v>
      </c>
      <c r="AM73" s="454">
        <v>384.01792299999943</v>
      </c>
      <c r="AN73" s="454">
        <v>388.43478000000323</v>
      </c>
      <c r="AO73" s="454">
        <v>133.94117647058738</v>
      </c>
      <c r="AP73" s="454">
        <v>449.74681399999827</v>
      </c>
      <c r="AQ73" s="454">
        <v>455.14388200000394</v>
      </c>
      <c r="AR73" s="454">
        <v>154.82352941176578</v>
      </c>
      <c r="AS73" s="454">
        <v>442.79813500000455</v>
      </c>
      <c r="AT73" s="454">
        <v>448.26373400000739</v>
      </c>
      <c r="AU73" s="454">
        <v>178.82352941176214</v>
      </c>
      <c r="AV73" s="454">
        <v>361.06020899999567</v>
      </c>
      <c r="AW73" s="454">
        <v>365.41660000000411</v>
      </c>
      <c r="AX73" s="454">
        <v>146.94117647058738</v>
      </c>
      <c r="AY73" s="454">
        <v>393.71741499999189</v>
      </c>
      <c r="AZ73" s="454">
        <v>399.70569500001147</v>
      </c>
      <c r="BA73" s="483">
        <v>166.41176470588834</v>
      </c>
      <c r="BB73" s="482">
        <v>4.8067360000000008</v>
      </c>
      <c r="BC73" s="454">
        <v>3.3428219999999556</v>
      </c>
      <c r="BD73" s="454">
        <v>5.638828999999987</v>
      </c>
      <c r="BE73" s="454">
        <v>8.6076140000000123</v>
      </c>
      <c r="BF73" s="454">
        <v>4.7490950000000112</v>
      </c>
      <c r="BG73" s="454">
        <v>3.958293000000026</v>
      </c>
      <c r="BH73" s="454">
        <v>2.8877560000000244</v>
      </c>
      <c r="BI73" s="454">
        <v>4.5587510000000293</v>
      </c>
      <c r="BJ73" s="454">
        <v>6.5849120000000312</v>
      </c>
      <c r="BK73" s="454">
        <v>4.2311429999999746</v>
      </c>
      <c r="BL73" s="454">
        <v>61.9643930000002</v>
      </c>
      <c r="BM73" s="454">
        <v>35.234024000001227</v>
      </c>
      <c r="BN73" s="454">
        <v>81.876019999999698</v>
      </c>
      <c r="BO73" s="454">
        <v>131.27154599999994</v>
      </c>
      <c r="BP73" s="483">
        <v>70.509723000001031</v>
      </c>
    </row>
    <row r="74" spans="2:68">
      <c r="B74" t="s">
        <v>573</v>
      </c>
      <c r="C74" t="s">
        <v>574</v>
      </c>
      <c r="D74" t="s">
        <v>527</v>
      </c>
      <c r="E74">
        <v>14</v>
      </c>
      <c r="F74" t="s">
        <v>539</v>
      </c>
      <c r="G74" t="s">
        <v>568</v>
      </c>
      <c r="H74" t="s">
        <v>573</v>
      </c>
      <c r="I74" s="482">
        <v>38.88010099999974</v>
      </c>
      <c r="J74" s="454">
        <v>41.341129999999794</v>
      </c>
      <c r="K74" s="454">
        <v>12.941176470588061</v>
      </c>
      <c r="L74" s="454">
        <v>45.880345000000489</v>
      </c>
      <c r="M74" s="454">
        <v>48.762593000000379</v>
      </c>
      <c r="N74" s="454">
        <v>15.941176470588061</v>
      </c>
      <c r="O74" s="454">
        <v>40.314489999998841</v>
      </c>
      <c r="P74" s="454">
        <v>43.301299999999173</v>
      </c>
      <c r="Q74" s="454">
        <v>15.941176470588289</v>
      </c>
      <c r="R74" s="454">
        <v>35.225460999999996</v>
      </c>
      <c r="S74" s="454">
        <v>37.789695999999822</v>
      </c>
      <c r="T74" s="454">
        <v>13.47058823529369</v>
      </c>
      <c r="U74" s="454">
        <v>33.927380999999514</v>
      </c>
      <c r="V74" s="454">
        <v>37.149064999999609</v>
      </c>
      <c r="W74" s="454">
        <v>14</v>
      </c>
      <c r="X74" s="454">
        <v>43.86244699999952</v>
      </c>
      <c r="Y74" s="454">
        <v>45.259318999999778</v>
      </c>
      <c r="Z74" s="454">
        <v>12.941176470588289</v>
      </c>
      <c r="AA74" s="454">
        <v>53.499092000000019</v>
      </c>
      <c r="AB74" s="454">
        <v>55.212233999999626</v>
      </c>
      <c r="AC74" s="454">
        <v>15.941176470588289</v>
      </c>
      <c r="AD74" s="454">
        <v>49.264359000000695</v>
      </c>
      <c r="AE74" s="454">
        <v>50.85796499999924</v>
      </c>
      <c r="AF74" s="454">
        <v>10.941176470587379</v>
      </c>
      <c r="AG74" s="454">
        <v>39.207375999999385</v>
      </c>
      <c r="AH74" s="454">
        <v>40.713514000000032</v>
      </c>
      <c r="AI74" s="454">
        <v>9.9411764705882888</v>
      </c>
      <c r="AJ74" s="454">
        <v>39.731528000000253</v>
      </c>
      <c r="AK74" s="454">
        <v>41.386021000000255</v>
      </c>
      <c r="AL74" s="454">
        <v>4.9411764705882888</v>
      </c>
      <c r="AM74" s="454">
        <v>706.93464500000118</v>
      </c>
      <c r="AN74" s="454">
        <v>715.08305300000211</v>
      </c>
      <c r="AO74" s="454">
        <v>246.41176470588289</v>
      </c>
      <c r="AP74" s="454">
        <v>828.50803199999791</v>
      </c>
      <c r="AQ74" s="454">
        <v>838.46100500000466</v>
      </c>
      <c r="AR74" s="454">
        <v>285.76470588235316</v>
      </c>
      <c r="AS74" s="454">
        <v>815.87069999999949</v>
      </c>
      <c r="AT74" s="454">
        <v>825.93867800000589</v>
      </c>
      <c r="AU74" s="454">
        <v>329.29411764705583</v>
      </c>
      <c r="AV74" s="454">
        <v>664.7983219999951</v>
      </c>
      <c r="AW74" s="454">
        <v>672.82644900000014</v>
      </c>
      <c r="AX74" s="454">
        <v>270.94117647058738</v>
      </c>
      <c r="AY74" s="454">
        <v>725.67865200000233</v>
      </c>
      <c r="AZ74" s="454">
        <v>736.72771200000716</v>
      </c>
      <c r="BA74" s="483">
        <v>306.41176470588834</v>
      </c>
      <c r="BB74" s="482">
        <v>8.8799749999999449</v>
      </c>
      <c r="BC74" s="454">
        <v>6.1730299999999829</v>
      </c>
      <c r="BD74" s="454">
        <v>10.414037000000008</v>
      </c>
      <c r="BE74" s="454">
        <v>15.890507999999954</v>
      </c>
      <c r="BF74" s="454">
        <v>8.780680000000018</v>
      </c>
      <c r="BG74" s="454">
        <v>7.3052420000000211</v>
      </c>
      <c r="BH74" s="454">
        <v>5.3344030000000089</v>
      </c>
      <c r="BI74" s="454">
        <v>8.4229440000000295</v>
      </c>
      <c r="BJ74" s="454">
        <v>12.163252000000057</v>
      </c>
      <c r="BK74" s="454">
        <v>7.8171110000000112</v>
      </c>
      <c r="BL74" s="454">
        <v>114.32990500000051</v>
      </c>
      <c r="BM74" s="454">
        <v>64.849358000001303</v>
      </c>
      <c r="BN74" s="454">
        <v>151.17334800000026</v>
      </c>
      <c r="BO74" s="454">
        <v>242.39923500000077</v>
      </c>
      <c r="BP74" s="483">
        <v>130.09023200000047</v>
      </c>
    </row>
    <row r="75" spans="2:68">
      <c r="B75" t="s">
        <v>576</v>
      </c>
      <c r="C75" t="s">
        <v>577</v>
      </c>
      <c r="D75" t="s">
        <v>527</v>
      </c>
      <c r="E75">
        <v>15</v>
      </c>
      <c r="F75" t="s">
        <v>525</v>
      </c>
      <c r="G75" t="s">
        <v>539</v>
      </c>
      <c r="H75" t="s">
        <v>576</v>
      </c>
      <c r="I75" s="482">
        <v>55.45031199999994</v>
      </c>
      <c r="J75" s="454">
        <v>58.977038999999422</v>
      </c>
      <c r="K75" s="454">
        <v>19.411764705882433</v>
      </c>
      <c r="L75" s="454">
        <v>65.358605999999781</v>
      </c>
      <c r="M75" s="454">
        <v>69.478046000000177</v>
      </c>
      <c r="N75" s="454">
        <v>22.411764705882206</v>
      </c>
      <c r="O75" s="454">
        <v>57.351228000001356</v>
      </c>
      <c r="P75" s="454">
        <v>61.599591000000146</v>
      </c>
      <c r="Q75" s="454">
        <v>22.470588235294144</v>
      </c>
      <c r="R75" s="454">
        <v>50.259086000000025</v>
      </c>
      <c r="S75" s="454">
        <v>53.893395000000055</v>
      </c>
      <c r="T75" s="454">
        <v>19.941176470588289</v>
      </c>
      <c r="U75" s="454">
        <v>48.272994000000836</v>
      </c>
      <c r="V75" s="454">
        <v>52.863971000000674</v>
      </c>
      <c r="W75" s="454">
        <v>19.941176470589198</v>
      </c>
      <c r="X75" s="454">
        <v>62.438885000000482</v>
      </c>
      <c r="Y75" s="454">
        <v>64.417325000000346</v>
      </c>
      <c r="Z75" s="454">
        <v>18.411764705882433</v>
      </c>
      <c r="AA75" s="454">
        <v>76.204313000000184</v>
      </c>
      <c r="AB75" s="454">
        <v>78.628756999999496</v>
      </c>
      <c r="AC75" s="454">
        <v>22.882352941176578</v>
      </c>
      <c r="AD75" s="454">
        <v>70.058317999999417</v>
      </c>
      <c r="AE75" s="454">
        <v>72.353793000000223</v>
      </c>
      <c r="AF75" s="454">
        <v>16.411764705882888</v>
      </c>
      <c r="AG75" s="454">
        <v>55.862664000000223</v>
      </c>
      <c r="AH75" s="454">
        <v>58.034236999999848</v>
      </c>
      <c r="AI75" s="454">
        <v>14.941176470588289</v>
      </c>
      <c r="AJ75" s="454">
        <v>56.520124999999098</v>
      </c>
      <c r="AK75" s="454">
        <v>58.935933000000659</v>
      </c>
      <c r="AL75" s="454">
        <v>8.4117647058819784</v>
      </c>
      <c r="AM75" s="454">
        <v>1012.8668289999987</v>
      </c>
      <c r="AN75" s="454">
        <v>1024.4579279999962</v>
      </c>
      <c r="AO75" s="454">
        <v>352.94117647058738</v>
      </c>
      <c r="AP75" s="454">
        <v>1186.0621249999967</v>
      </c>
      <c r="AQ75" s="454">
        <v>1200.1395889999985</v>
      </c>
      <c r="AR75" s="454">
        <v>418.23529411764321</v>
      </c>
      <c r="AS75" s="454">
        <v>1164.7034859999985</v>
      </c>
      <c r="AT75" s="454">
        <v>1179.024630999993</v>
      </c>
      <c r="AU75" s="454">
        <v>468.76470588234952</v>
      </c>
      <c r="AV75" s="454">
        <v>952.32913000000553</v>
      </c>
      <c r="AW75" s="454">
        <v>963.75252500000352</v>
      </c>
      <c r="AX75" s="454">
        <v>387.05882352941626</v>
      </c>
      <c r="AY75" s="454">
        <v>1033.1801419999974</v>
      </c>
      <c r="AZ75" s="454">
        <v>1048.8374639999965</v>
      </c>
      <c r="BA75" s="483">
        <v>437.41176470587379</v>
      </c>
      <c r="BB75" s="482">
        <v>12.518752999999947</v>
      </c>
      <c r="BC75" s="454">
        <v>8.7532850000000053</v>
      </c>
      <c r="BD75" s="454">
        <v>14.685655999999994</v>
      </c>
      <c r="BE75" s="454">
        <v>22.419706000000133</v>
      </c>
      <c r="BF75" s="454">
        <v>12.372695999999962</v>
      </c>
      <c r="BG75" s="454">
        <v>10.319447999999966</v>
      </c>
      <c r="BH75" s="454">
        <v>7.5280619999999772</v>
      </c>
      <c r="BI75" s="454">
        <v>11.865961999999968</v>
      </c>
      <c r="BJ75" s="454">
        <v>17.058194999999841</v>
      </c>
      <c r="BK75" s="454">
        <v>11.02191700000003</v>
      </c>
      <c r="BL75" s="454">
        <v>162.26005699999951</v>
      </c>
      <c r="BM75" s="454">
        <v>93.287398000000394</v>
      </c>
      <c r="BN75" s="454">
        <v>213.85942000000068</v>
      </c>
      <c r="BO75" s="454">
        <v>342.4389540000011</v>
      </c>
      <c r="BP75" s="483">
        <v>184.60126499999933</v>
      </c>
    </row>
    <row r="76" spans="2:68">
      <c r="B76" t="s">
        <v>579</v>
      </c>
      <c r="C76" t="s">
        <v>580</v>
      </c>
      <c r="D76" t="s">
        <v>527</v>
      </c>
      <c r="E76">
        <v>16</v>
      </c>
      <c r="F76" t="s">
        <v>525</v>
      </c>
      <c r="G76" t="s">
        <v>543</v>
      </c>
      <c r="H76" t="s">
        <v>579</v>
      </c>
      <c r="I76" s="482">
        <v>76.548784999999953</v>
      </c>
      <c r="J76" s="454">
        <v>81.41454899999917</v>
      </c>
      <c r="K76" s="454">
        <v>25.882352941176578</v>
      </c>
      <c r="L76" s="454">
        <v>90.254661999999371</v>
      </c>
      <c r="M76" s="454">
        <v>95.933100000000195</v>
      </c>
      <c r="N76" s="454">
        <v>31.352941176470495</v>
      </c>
      <c r="O76" s="454">
        <v>79.215528000000631</v>
      </c>
      <c r="P76" s="454">
        <v>85.083307999999306</v>
      </c>
      <c r="Q76" s="454">
        <v>31.411764705882433</v>
      </c>
      <c r="R76" s="454">
        <v>69.367979999999989</v>
      </c>
      <c r="S76" s="454">
        <v>74.388796999999613</v>
      </c>
      <c r="T76" s="454">
        <v>27.411764705881978</v>
      </c>
      <c r="U76" s="454">
        <v>66.673813999999766</v>
      </c>
      <c r="V76" s="454">
        <v>73.014573000000382</v>
      </c>
      <c r="W76" s="454">
        <v>27.941176470589198</v>
      </c>
      <c r="X76" s="454">
        <v>86.227536000000327</v>
      </c>
      <c r="Y76" s="454">
        <v>88.96266900000046</v>
      </c>
      <c r="Z76" s="454">
        <v>25.352941176470722</v>
      </c>
      <c r="AA76" s="454">
        <v>105.22866599999998</v>
      </c>
      <c r="AB76" s="454">
        <v>108.58123799999976</v>
      </c>
      <c r="AC76" s="454">
        <v>31.352941176470722</v>
      </c>
      <c r="AD76" s="454">
        <v>96.772106000000349</v>
      </c>
      <c r="AE76" s="454">
        <v>99.933484999999564</v>
      </c>
      <c r="AF76" s="454">
        <v>21.882352941176578</v>
      </c>
      <c r="AG76" s="454">
        <v>77.133754999999837</v>
      </c>
      <c r="AH76" s="454">
        <v>80.123843000000306</v>
      </c>
      <c r="AI76" s="454">
        <v>20.411764705882433</v>
      </c>
      <c r="AJ76" s="454">
        <v>78.071391999999832</v>
      </c>
      <c r="AK76" s="454">
        <v>81.388488000000507</v>
      </c>
      <c r="AL76" s="454">
        <v>10.882352941176578</v>
      </c>
      <c r="AM76" s="454">
        <v>1396.8847519999981</v>
      </c>
      <c r="AN76" s="454">
        <v>1412.8927079999994</v>
      </c>
      <c r="AO76" s="454">
        <v>486.88235294117476</v>
      </c>
      <c r="AP76" s="454">
        <v>1635.808938999995</v>
      </c>
      <c r="AQ76" s="454">
        <v>1655.2834710000025</v>
      </c>
      <c r="AR76" s="454">
        <v>573.05882352940898</v>
      </c>
      <c r="AS76" s="454">
        <v>1607.5016210000031</v>
      </c>
      <c r="AT76" s="454">
        <v>1627.2883650000003</v>
      </c>
      <c r="AU76" s="454">
        <v>647.58823529411166</v>
      </c>
      <c r="AV76" s="454">
        <v>1313.3893390000012</v>
      </c>
      <c r="AW76" s="454">
        <v>1329.1691250000076</v>
      </c>
      <c r="AX76" s="454">
        <v>534.00000000000364</v>
      </c>
      <c r="AY76" s="454">
        <v>1426.8975569999893</v>
      </c>
      <c r="AZ76" s="454">
        <v>1448.543159000008</v>
      </c>
      <c r="BA76" s="483">
        <v>603.82352941176214</v>
      </c>
      <c r="BB76" s="482">
        <v>17.325488999999948</v>
      </c>
      <c r="BC76" s="454">
        <v>12.096106999999961</v>
      </c>
      <c r="BD76" s="454">
        <v>20.324484999999981</v>
      </c>
      <c r="BE76" s="454">
        <v>31.027320000000145</v>
      </c>
      <c r="BF76" s="454">
        <v>17.121790999999973</v>
      </c>
      <c r="BG76" s="454">
        <v>14.277740999999992</v>
      </c>
      <c r="BH76" s="454">
        <v>10.415818000000002</v>
      </c>
      <c r="BI76" s="454">
        <v>16.424712999999997</v>
      </c>
      <c r="BJ76" s="454">
        <v>23.643106999999873</v>
      </c>
      <c r="BK76" s="454">
        <v>15.253060000000005</v>
      </c>
      <c r="BL76" s="454">
        <v>224.22444999999971</v>
      </c>
      <c r="BM76" s="454">
        <v>128.52142200000162</v>
      </c>
      <c r="BN76" s="454">
        <v>295.73544000000038</v>
      </c>
      <c r="BO76" s="454">
        <v>473.71050000000105</v>
      </c>
      <c r="BP76" s="483">
        <v>255.11098800000036</v>
      </c>
    </row>
    <row r="77" spans="2:68">
      <c r="B77" t="s">
        <v>582</v>
      </c>
      <c r="C77" t="s">
        <v>583</v>
      </c>
      <c r="D77" t="s">
        <v>527</v>
      </c>
      <c r="E77">
        <v>17</v>
      </c>
      <c r="F77" t="s">
        <v>525</v>
      </c>
      <c r="G77" t="s">
        <v>568</v>
      </c>
      <c r="H77" t="s">
        <v>582</v>
      </c>
      <c r="I77" s="482">
        <v>94.33041299999968</v>
      </c>
      <c r="J77" s="454">
        <v>100.31816899999922</v>
      </c>
      <c r="K77" s="454">
        <v>32.352941176470495</v>
      </c>
      <c r="L77" s="454">
        <v>111.23895100000027</v>
      </c>
      <c r="M77" s="454">
        <v>118.24063900000056</v>
      </c>
      <c r="N77" s="454">
        <v>38.352941176470267</v>
      </c>
      <c r="O77" s="454">
        <v>97.665718000000197</v>
      </c>
      <c r="P77" s="454">
        <v>104.90089099999932</v>
      </c>
      <c r="Q77" s="454">
        <v>38.411764705882433</v>
      </c>
      <c r="R77" s="454">
        <v>85.48454700000002</v>
      </c>
      <c r="S77" s="454">
        <v>91.683090999999877</v>
      </c>
      <c r="T77" s="454">
        <v>33.411764705881978</v>
      </c>
      <c r="U77" s="454">
        <v>82.200375000000349</v>
      </c>
      <c r="V77" s="454">
        <v>90.013036000000284</v>
      </c>
      <c r="W77" s="454">
        <v>33.941176470589198</v>
      </c>
      <c r="X77" s="454">
        <v>106.301332</v>
      </c>
      <c r="Y77" s="454">
        <v>109.67664400000012</v>
      </c>
      <c r="Z77" s="454">
        <v>31.352941176470722</v>
      </c>
      <c r="AA77" s="454">
        <v>129.7034050000002</v>
      </c>
      <c r="AB77" s="454">
        <v>133.84099099999912</v>
      </c>
      <c r="AC77" s="454">
        <v>38.823529411764866</v>
      </c>
      <c r="AD77" s="454">
        <v>119.32267700000011</v>
      </c>
      <c r="AE77" s="454">
        <v>123.21175799999946</v>
      </c>
      <c r="AF77" s="454">
        <v>27.352941176470267</v>
      </c>
      <c r="AG77" s="454">
        <v>95.070039999999608</v>
      </c>
      <c r="AH77" s="454">
        <v>98.74775099999988</v>
      </c>
      <c r="AI77" s="454">
        <v>24.882352941176578</v>
      </c>
      <c r="AJ77" s="454">
        <v>96.251652999999351</v>
      </c>
      <c r="AK77" s="454">
        <v>100.32195400000091</v>
      </c>
      <c r="AL77" s="454">
        <v>13.352941176470267</v>
      </c>
      <c r="AM77" s="454">
        <v>1719.8014739999999</v>
      </c>
      <c r="AN77" s="454">
        <v>1739.5409809999983</v>
      </c>
      <c r="AO77" s="454">
        <v>599.35294117647027</v>
      </c>
      <c r="AP77" s="454">
        <v>2014.5701569999947</v>
      </c>
      <c r="AQ77" s="454">
        <v>2038.6005940000032</v>
      </c>
      <c r="AR77" s="454">
        <v>703.99999999999636</v>
      </c>
      <c r="AS77" s="454">
        <v>1980.574185999998</v>
      </c>
      <c r="AT77" s="454">
        <v>2004.9633089999988</v>
      </c>
      <c r="AU77" s="454">
        <v>798.05882352940534</v>
      </c>
      <c r="AV77" s="454">
        <v>1617.1274520000006</v>
      </c>
      <c r="AW77" s="454">
        <v>1636.5789740000037</v>
      </c>
      <c r="AX77" s="454">
        <v>658.00000000000364</v>
      </c>
      <c r="AY77" s="454">
        <v>1758.8587939999998</v>
      </c>
      <c r="AZ77" s="454">
        <v>1785.5651760000037</v>
      </c>
      <c r="BA77" s="483">
        <v>743.82352941176214</v>
      </c>
      <c r="BB77" s="482">
        <v>21.398727999999892</v>
      </c>
      <c r="BC77" s="454">
        <v>14.926314999999988</v>
      </c>
      <c r="BD77" s="454">
        <v>25.099693000000002</v>
      </c>
      <c r="BE77" s="454">
        <v>38.310214000000087</v>
      </c>
      <c r="BF77" s="454">
        <v>21.15337599999998</v>
      </c>
      <c r="BG77" s="454">
        <v>17.624689999999987</v>
      </c>
      <c r="BH77" s="454">
        <v>12.862464999999986</v>
      </c>
      <c r="BI77" s="454">
        <v>20.288905999999997</v>
      </c>
      <c r="BJ77" s="454">
        <v>29.221446999999898</v>
      </c>
      <c r="BK77" s="454">
        <v>18.839028000000042</v>
      </c>
      <c r="BL77" s="454">
        <v>276.58996200000001</v>
      </c>
      <c r="BM77" s="454">
        <v>158.1367560000017</v>
      </c>
      <c r="BN77" s="454">
        <v>365.03276800000094</v>
      </c>
      <c r="BO77" s="454">
        <v>584.83818900000188</v>
      </c>
      <c r="BP77" s="483">
        <v>314.6914969999998</v>
      </c>
    </row>
    <row r="78" spans="2:68">
      <c r="B78" t="s">
        <v>585</v>
      </c>
      <c r="C78" t="s">
        <v>586</v>
      </c>
      <c r="D78" t="s">
        <v>527</v>
      </c>
      <c r="E78">
        <v>18</v>
      </c>
      <c r="F78" t="s">
        <v>543</v>
      </c>
      <c r="G78" t="s">
        <v>568</v>
      </c>
      <c r="H78" t="s">
        <v>585</v>
      </c>
      <c r="I78" s="482">
        <v>17.781627999999728</v>
      </c>
      <c r="J78" s="454">
        <v>18.903620000000046</v>
      </c>
      <c r="K78" s="454">
        <v>6.470588235293917</v>
      </c>
      <c r="L78" s="454">
        <v>20.984289000000899</v>
      </c>
      <c r="M78" s="454">
        <v>22.307539000000361</v>
      </c>
      <c r="N78" s="454">
        <v>6.9999999999997726</v>
      </c>
      <c r="O78" s="454">
        <v>18.450189999999566</v>
      </c>
      <c r="P78" s="454">
        <v>19.817583000000013</v>
      </c>
      <c r="Q78" s="454">
        <v>7</v>
      </c>
      <c r="R78" s="454">
        <v>16.116567000000032</v>
      </c>
      <c r="S78" s="454">
        <v>17.294294000000264</v>
      </c>
      <c r="T78" s="454">
        <v>6</v>
      </c>
      <c r="U78" s="454">
        <v>15.526561000000584</v>
      </c>
      <c r="V78" s="454">
        <v>16.998462999999902</v>
      </c>
      <c r="W78" s="454">
        <v>6</v>
      </c>
      <c r="X78" s="454">
        <v>20.073795999999675</v>
      </c>
      <c r="Y78" s="454">
        <v>20.713974999999664</v>
      </c>
      <c r="Z78" s="454">
        <v>6</v>
      </c>
      <c r="AA78" s="454">
        <v>24.474739000000227</v>
      </c>
      <c r="AB78" s="454">
        <v>25.259752999999364</v>
      </c>
      <c r="AC78" s="454">
        <v>7.4705882352941444</v>
      </c>
      <c r="AD78" s="454">
        <v>22.550570999999763</v>
      </c>
      <c r="AE78" s="454">
        <v>23.278272999999899</v>
      </c>
      <c r="AF78" s="454">
        <v>5.4705882352936896</v>
      </c>
      <c r="AG78" s="454">
        <v>17.936284999999771</v>
      </c>
      <c r="AH78" s="454">
        <v>18.623907999999574</v>
      </c>
      <c r="AI78" s="454">
        <v>4.4705882352941444</v>
      </c>
      <c r="AJ78" s="454">
        <v>18.180260999999518</v>
      </c>
      <c r="AK78" s="454">
        <v>18.933466000000408</v>
      </c>
      <c r="AL78" s="454">
        <v>2.4705882352936896</v>
      </c>
      <c r="AM78" s="454">
        <v>322.91672200000176</v>
      </c>
      <c r="AN78" s="454">
        <v>326.64827299999888</v>
      </c>
      <c r="AO78" s="454">
        <v>112.47058823529551</v>
      </c>
      <c r="AP78" s="454">
        <v>378.76121799999964</v>
      </c>
      <c r="AQ78" s="454">
        <v>383.31712300000072</v>
      </c>
      <c r="AR78" s="454">
        <v>130.94117647058738</v>
      </c>
      <c r="AS78" s="454">
        <v>373.07256499999494</v>
      </c>
      <c r="AT78" s="454">
        <v>377.6749439999985</v>
      </c>
      <c r="AU78" s="454">
        <v>150.47058823529369</v>
      </c>
      <c r="AV78" s="454">
        <v>303.73811299999943</v>
      </c>
      <c r="AW78" s="454">
        <v>307.40984899999603</v>
      </c>
      <c r="AX78" s="454">
        <v>124</v>
      </c>
      <c r="AY78" s="454">
        <v>331.96123700001044</v>
      </c>
      <c r="AZ78" s="454">
        <v>337.02201699999569</v>
      </c>
      <c r="BA78" s="483">
        <v>140</v>
      </c>
      <c r="BB78" s="482">
        <v>4.0732389999999441</v>
      </c>
      <c r="BC78" s="454">
        <v>2.8302080000000274</v>
      </c>
      <c r="BD78" s="454">
        <v>4.7752080000000205</v>
      </c>
      <c r="BE78" s="454">
        <v>7.282893999999942</v>
      </c>
      <c r="BF78" s="454">
        <v>4.0315850000000069</v>
      </c>
      <c r="BG78" s="454">
        <v>3.3469489999999951</v>
      </c>
      <c r="BH78" s="454">
        <v>2.4466469999999845</v>
      </c>
      <c r="BI78" s="454">
        <v>3.8641930000000002</v>
      </c>
      <c r="BJ78" s="454">
        <v>5.5783400000000256</v>
      </c>
      <c r="BK78" s="454">
        <v>3.5859680000000367</v>
      </c>
      <c r="BL78" s="454">
        <v>52.365512000000308</v>
      </c>
      <c r="BM78" s="454">
        <v>29.615334000000075</v>
      </c>
      <c r="BN78" s="454">
        <v>69.297328000000562</v>
      </c>
      <c r="BO78" s="454">
        <v>111.12768900000083</v>
      </c>
      <c r="BP78" s="483">
        <v>59.580508999999438</v>
      </c>
    </row>
    <row r="79" spans="2:68">
      <c r="B79" t="s">
        <v>587</v>
      </c>
      <c r="C79" t="s">
        <v>588</v>
      </c>
      <c r="D79" t="s">
        <v>174</v>
      </c>
      <c r="E79">
        <v>10</v>
      </c>
      <c r="F79" t="s">
        <v>589</v>
      </c>
      <c r="G79" t="s">
        <v>590</v>
      </c>
      <c r="H79" t="s">
        <v>587</v>
      </c>
      <c r="I79" s="482">
        <v>-1182.568722</v>
      </c>
      <c r="J79" s="454">
        <v>-1259.2351230000004</v>
      </c>
      <c r="K79" s="454">
        <v>-431.82352941176464</v>
      </c>
      <c r="L79" s="454">
        <v>-1303.1036469999999</v>
      </c>
      <c r="M79" s="454">
        <v>-1388.1867610000004</v>
      </c>
      <c r="N79" s="454">
        <v>-476.17647058823513</v>
      </c>
      <c r="O79" s="454">
        <v>-2028.9327420000009</v>
      </c>
      <c r="P79" s="454">
        <v>-2143.2531649999992</v>
      </c>
      <c r="Q79" s="454">
        <v>-916.35294117647072</v>
      </c>
      <c r="R79" s="454">
        <v>-1524.9067110000005</v>
      </c>
      <c r="S79" s="454">
        <v>-1617.5877820000005</v>
      </c>
      <c r="T79" s="454">
        <v>-667</v>
      </c>
      <c r="U79" s="454">
        <v>-2512.81718</v>
      </c>
      <c r="V79" s="454">
        <v>-2644.4482530000005</v>
      </c>
      <c r="W79" s="454">
        <v>-1312.2352941176478</v>
      </c>
      <c r="X79" s="454">
        <v>-1156.5772820000002</v>
      </c>
      <c r="Y79" s="454">
        <v>-1217.263696</v>
      </c>
      <c r="Z79" s="454">
        <v>-450.88235294117635</v>
      </c>
      <c r="AA79" s="454">
        <v>-1271.1457380000002</v>
      </c>
      <c r="AB79" s="454">
        <v>-1338.4693089999996</v>
      </c>
      <c r="AC79" s="454">
        <v>-498.70588235294099</v>
      </c>
      <c r="AD79" s="454">
        <v>-1981.5264919999991</v>
      </c>
      <c r="AE79" s="454">
        <v>-2087.2181520000004</v>
      </c>
      <c r="AF79" s="454">
        <v>-1038.5294117647059</v>
      </c>
      <c r="AG79" s="454">
        <v>-1486.6207589999995</v>
      </c>
      <c r="AH79" s="454">
        <v>-1566.1267989999997</v>
      </c>
      <c r="AI79" s="454">
        <v>-743.58823529411802</v>
      </c>
      <c r="AJ79" s="454">
        <v>-2459.6145980000001</v>
      </c>
      <c r="AK79" s="454">
        <v>-2589.6512310000016</v>
      </c>
      <c r="AL79" s="454">
        <v>-1556.9411764705874</v>
      </c>
      <c r="AM79" s="454">
        <v>-26406.187565999997</v>
      </c>
      <c r="AN79" s="454">
        <v>-26655.001631999996</v>
      </c>
      <c r="AO79" s="454">
        <v>-9510</v>
      </c>
      <c r="AP79" s="454">
        <v>-29136.180785999997</v>
      </c>
      <c r="AQ79" s="454">
        <v>-29429.589463000004</v>
      </c>
      <c r="AR79" s="454">
        <v>-10493.176470588234</v>
      </c>
      <c r="AS79" s="454">
        <v>-45653.180803999996</v>
      </c>
      <c r="AT79" s="454">
        <v>-45841.84185199999</v>
      </c>
      <c r="AU79" s="454">
        <v>-19570.764705882353</v>
      </c>
      <c r="AV79" s="454">
        <v>-33641.971932999993</v>
      </c>
      <c r="AW79" s="454">
        <v>-33837.677469000002</v>
      </c>
      <c r="AX79" s="454">
        <v>-14392.823529411762</v>
      </c>
      <c r="AY79" s="454">
        <v>-55901.147970999999</v>
      </c>
      <c r="AZ79" s="454">
        <v>-56071.235186999998</v>
      </c>
      <c r="BA79" s="483">
        <v>-26444.529411764706</v>
      </c>
      <c r="BB79" s="482">
        <v>-225.71528000000001</v>
      </c>
      <c r="BC79" s="454">
        <v>-151.39242899999996</v>
      </c>
      <c r="BD79" s="454">
        <v>-245.28283500000003</v>
      </c>
      <c r="BE79" s="454">
        <v>-362.58019899999999</v>
      </c>
      <c r="BF79" s="454">
        <v>-192.604466</v>
      </c>
      <c r="BG79" s="454">
        <v>-241.42418699999996</v>
      </c>
      <c r="BH79" s="454">
        <v>-157.71178100000003</v>
      </c>
      <c r="BI79" s="454">
        <v>-257.98618600000003</v>
      </c>
      <c r="BJ79" s="454">
        <v>-391.00384499999996</v>
      </c>
      <c r="BK79" s="454">
        <v>-205.022043</v>
      </c>
      <c r="BL79" s="454">
        <v>-3848.630298</v>
      </c>
      <c r="BM79" s="454">
        <v>-2687.4059440000001</v>
      </c>
      <c r="BN79" s="454">
        <v>-4596.6282249999995</v>
      </c>
      <c r="BO79" s="454">
        <v>-6790.9627440000004</v>
      </c>
      <c r="BP79" s="483">
        <v>-3580.0933569999997</v>
      </c>
    </row>
    <row r="80" spans="2:68">
      <c r="B80" t="s">
        <v>591</v>
      </c>
      <c r="C80" t="s">
        <v>592</v>
      </c>
      <c r="D80" t="s">
        <v>174</v>
      </c>
      <c r="E80">
        <v>11</v>
      </c>
      <c r="F80" t="s">
        <v>589</v>
      </c>
      <c r="G80" t="s">
        <v>593</v>
      </c>
      <c r="H80" t="s">
        <v>591</v>
      </c>
      <c r="I80" s="482">
        <v>-964.29540600000018</v>
      </c>
      <c r="J80" s="454">
        <v>-1026.9010800000005</v>
      </c>
      <c r="K80" s="454">
        <v>-355.11764705882342</v>
      </c>
      <c r="L80" s="454">
        <v>-1063.5600840000006</v>
      </c>
      <c r="M80" s="454">
        <v>-1133.049219</v>
      </c>
      <c r="N80" s="454">
        <v>-390.99999999999977</v>
      </c>
      <c r="O80" s="454">
        <v>-1670.448144</v>
      </c>
      <c r="P80" s="454">
        <v>-1764.2491529999998</v>
      </c>
      <c r="Q80" s="454">
        <v>-757.64705882352928</v>
      </c>
      <c r="R80" s="454">
        <v>-1240.0443140000007</v>
      </c>
      <c r="S80" s="454">
        <v>-1315.2564030000003</v>
      </c>
      <c r="T80" s="454">
        <v>-545.76470588235316</v>
      </c>
      <c r="U80" s="454">
        <v>-2081.7952239999995</v>
      </c>
      <c r="V80" s="454">
        <v>-2190.335701</v>
      </c>
      <c r="W80" s="454">
        <v>-1086.2941176470586</v>
      </c>
      <c r="X80" s="454">
        <v>-939.59619699999985</v>
      </c>
      <c r="Y80" s="454">
        <v>-989.0661799999998</v>
      </c>
      <c r="Z80" s="454">
        <v>-369.17647058823513</v>
      </c>
      <c r="AA80" s="454">
        <v>-1033.0655999999999</v>
      </c>
      <c r="AB80" s="454">
        <v>-1087.9821889999998</v>
      </c>
      <c r="AC80" s="454">
        <v>-408.52941176470586</v>
      </c>
      <c r="AD80" s="454">
        <v>-1624.1916939999992</v>
      </c>
      <c r="AE80" s="454">
        <v>-1711.0742080000009</v>
      </c>
      <c r="AF80" s="454">
        <v>-855.70588235294099</v>
      </c>
      <c r="AG80" s="454">
        <v>-1205.2336489999998</v>
      </c>
      <c r="AH80" s="454">
        <v>-1269.9312399999999</v>
      </c>
      <c r="AI80" s="454">
        <v>-605.76470588235316</v>
      </c>
      <c r="AJ80" s="454">
        <v>-2031.2240529999999</v>
      </c>
      <c r="AK80" s="454">
        <v>-2138.7973980000006</v>
      </c>
      <c r="AL80" s="454">
        <v>-1288.4117647058811</v>
      </c>
      <c r="AM80" s="454">
        <v>-21746.386546999998</v>
      </c>
      <c r="AN80" s="454">
        <v>-21965.209729999999</v>
      </c>
      <c r="AO80" s="454">
        <v>-7880.3529411764721</v>
      </c>
      <c r="AP80" s="454">
        <v>-24026.862367000002</v>
      </c>
      <c r="AQ80" s="454">
        <v>-24284.244928</v>
      </c>
      <c r="AR80" s="454">
        <v>-8702.6470588235279</v>
      </c>
      <c r="AS80" s="454">
        <v>-37881.216852999998</v>
      </c>
      <c r="AT80" s="454">
        <v>-38050.238691999992</v>
      </c>
      <c r="AU80" s="454">
        <v>-16267.941176470591</v>
      </c>
      <c r="AV80" s="454">
        <v>-27674.718831999999</v>
      </c>
      <c r="AW80" s="454">
        <v>-27850.441501000001</v>
      </c>
      <c r="AX80" s="454">
        <v>-11912.705882352941</v>
      </c>
      <c r="AY80" s="454">
        <v>-46685.201478000003</v>
      </c>
      <c r="AZ80" s="454">
        <v>-46837.994062999991</v>
      </c>
      <c r="BA80" s="483">
        <v>-22031</v>
      </c>
      <c r="BB80" s="482">
        <v>-220.85659199999998</v>
      </c>
      <c r="BC80" s="454">
        <v>-150.20817600000001</v>
      </c>
      <c r="BD80" s="454">
        <v>-236.79778500000003</v>
      </c>
      <c r="BE80" s="454">
        <v>-345.78383499999995</v>
      </c>
      <c r="BF80" s="454">
        <v>-188.22788400000002</v>
      </c>
      <c r="BG80" s="454">
        <v>-235.31052199999999</v>
      </c>
      <c r="BH80" s="454">
        <v>-155.69986</v>
      </c>
      <c r="BI80" s="454">
        <v>-248.16910100000001</v>
      </c>
      <c r="BJ80" s="454">
        <v>-372.86850400000003</v>
      </c>
      <c r="BK80" s="454">
        <v>-198.98153300000001</v>
      </c>
      <c r="BL80" s="454">
        <v>-3879.2357860000011</v>
      </c>
      <c r="BM80" s="454">
        <v>-2794.1955739999994</v>
      </c>
      <c r="BN80" s="454">
        <v>-4521.9805210000004</v>
      </c>
      <c r="BO80" s="454">
        <v>-6592.020754000001</v>
      </c>
      <c r="BP80" s="483">
        <v>-3568.3103529999989</v>
      </c>
    </row>
    <row r="81" spans="2:68">
      <c r="B81" t="s">
        <v>594</v>
      </c>
      <c r="C81" t="s">
        <v>595</v>
      </c>
      <c r="D81" t="s">
        <v>174</v>
      </c>
      <c r="E81">
        <v>12</v>
      </c>
      <c r="F81" t="s">
        <v>589</v>
      </c>
      <c r="G81" t="s">
        <v>596</v>
      </c>
      <c r="H81" t="s">
        <v>594</v>
      </c>
      <c r="I81" s="482">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0</v>
      </c>
      <c r="AQ81" s="454">
        <v>0</v>
      </c>
      <c r="AR81" s="454">
        <v>0</v>
      </c>
      <c r="AS81" s="454">
        <v>0</v>
      </c>
      <c r="AT81" s="454">
        <v>0</v>
      </c>
      <c r="AU81" s="454">
        <v>0</v>
      </c>
      <c r="AV81" s="454">
        <v>0</v>
      </c>
      <c r="AW81" s="454">
        <v>0</v>
      </c>
      <c r="AX81" s="454">
        <v>0</v>
      </c>
      <c r="AY81" s="454">
        <v>0</v>
      </c>
      <c r="AZ81" s="454">
        <v>0</v>
      </c>
      <c r="BA81" s="483">
        <v>0</v>
      </c>
      <c r="BB81" s="482">
        <v>0</v>
      </c>
      <c r="BC81" s="454">
        <v>0</v>
      </c>
      <c r="BD81" s="454">
        <v>0</v>
      </c>
      <c r="BE81" s="454">
        <v>0</v>
      </c>
      <c r="BF81" s="454">
        <v>0</v>
      </c>
      <c r="BG81" s="454">
        <v>0</v>
      </c>
      <c r="BH81" s="454">
        <v>0</v>
      </c>
      <c r="BI81" s="454">
        <v>0</v>
      </c>
      <c r="BJ81" s="454">
        <v>0</v>
      </c>
      <c r="BK81" s="454">
        <v>0</v>
      </c>
      <c r="BL81" s="454">
        <v>0</v>
      </c>
      <c r="BM81" s="454">
        <v>0</v>
      </c>
      <c r="BN81" s="454">
        <v>0</v>
      </c>
      <c r="BO81" s="454">
        <v>0</v>
      </c>
      <c r="BP81" s="483">
        <v>0</v>
      </c>
    </row>
    <row r="82" spans="2:68">
      <c r="B82" t="s">
        <v>597</v>
      </c>
      <c r="C82" t="s">
        <v>598</v>
      </c>
      <c r="D82" t="s">
        <v>174</v>
      </c>
      <c r="E82">
        <v>13</v>
      </c>
      <c r="F82" t="s">
        <v>589</v>
      </c>
      <c r="G82" t="s">
        <v>599</v>
      </c>
      <c r="H82" t="s">
        <v>597</v>
      </c>
      <c r="I82" s="482">
        <v>-558.73038900000029</v>
      </c>
      <c r="J82" s="454">
        <v>-595.17935300000045</v>
      </c>
      <c r="K82" s="454">
        <v>-209.70588235294122</v>
      </c>
      <c r="L82" s="454">
        <v>-616.21817499999997</v>
      </c>
      <c r="M82" s="454">
        <v>-656.7474559999996</v>
      </c>
      <c r="N82" s="454">
        <v>-231.11764705882342</v>
      </c>
      <c r="O82" s="454">
        <v>-993.5428380000003</v>
      </c>
      <c r="P82" s="454">
        <v>-1048.8256869999996</v>
      </c>
      <c r="Q82" s="454">
        <v>-459.2352941176473</v>
      </c>
      <c r="R82" s="454">
        <v>-709.25385199999982</v>
      </c>
      <c r="S82" s="454">
        <v>-751.94605599999977</v>
      </c>
      <c r="T82" s="454">
        <v>-320.76470588235316</v>
      </c>
      <c r="U82" s="454">
        <v>-1263.6685199999993</v>
      </c>
      <c r="V82" s="454">
        <v>-1328.6796759999997</v>
      </c>
      <c r="W82" s="454">
        <v>-668.11764705882433</v>
      </c>
      <c r="X82" s="454">
        <v>-536.06987000000026</v>
      </c>
      <c r="Y82" s="454">
        <v>-564.63467500000024</v>
      </c>
      <c r="Z82" s="454">
        <v>-216.23529411764684</v>
      </c>
      <c r="AA82" s="454">
        <v>-589.76678699999957</v>
      </c>
      <c r="AB82" s="454">
        <v>-621.53627300000016</v>
      </c>
      <c r="AC82" s="454">
        <v>-239.64705882352928</v>
      </c>
      <c r="AD82" s="454">
        <v>-951.85425100000066</v>
      </c>
      <c r="AE82" s="454">
        <v>-1003.2861089999997</v>
      </c>
      <c r="AF82" s="454">
        <v>-514.05882352941171</v>
      </c>
      <c r="AG82" s="454">
        <v>-680.80969699999969</v>
      </c>
      <c r="AH82" s="454">
        <v>-717.84939899999972</v>
      </c>
      <c r="AI82" s="454">
        <v>-352.58823529411802</v>
      </c>
      <c r="AJ82" s="454">
        <v>-1220.215975000001</v>
      </c>
      <c r="AK82" s="454">
        <v>-1285.2154060000012</v>
      </c>
      <c r="AL82" s="454">
        <v>-784.88235294117567</v>
      </c>
      <c r="AM82" s="454">
        <v>-13130.255935999998</v>
      </c>
      <c r="AN82" s="454">
        <v>-13284.210052999999</v>
      </c>
      <c r="AO82" s="454">
        <v>-4824.8823529411748</v>
      </c>
      <c r="AP82" s="454">
        <v>-14541.476046999996</v>
      </c>
      <c r="AQ82" s="454">
        <v>-14718.232564999998</v>
      </c>
      <c r="AR82" s="454">
        <v>-5338.8235294117621</v>
      </c>
      <c r="AS82" s="454">
        <v>-23264.866527999991</v>
      </c>
      <c r="AT82" s="454">
        <v>-23391.126339000002</v>
      </c>
      <c r="AU82" s="454">
        <v>-10070.529411764703</v>
      </c>
      <c r="AV82" s="454">
        <v>-16630.841587999996</v>
      </c>
      <c r="AW82" s="454">
        <v>-16761.229303</v>
      </c>
      <c r="AX82" s="454">
        <v>-7266.1764705882379</v>
      </c>
      <c r="AY82" s="454">
        <v>-29147.097248000005</v>
      </c>
      <c r="AZ82" s="454">
        <v>-29259.314208999989</v>
      </c>
      <c r="BA82" s="483">
        <v>-13749.76470588235</v>
      </c>
      <c r="BB82" s="482">
        <v>-200.77263199999993</v>
      </c>
      <c r="BC82" s="454">
        <v>-139.74229999999997</v>
      </c>
      <c r="BD82" s="454">
        <v>-209.22629699999999</v>
      </c>
      <c r="BE82" s="454">
        <v>-298.48893500000008</v>
      </c>
      <c r="BF82" s="454">
        <v>-170.59889900000002</v>
      </c>
      <c r="BG82" s="454">
        <v>-212.29103199999997</v>
      </c>
      <c r="BH82" s="454">
        <v>-143.44520399999999</v>
      </c>
      <c r="BI82" s="454">
        <v>-217.68305000000004</v>
      </c>
      <c r="BJ82" s="454">
        <v>-321.72819199999992</v>
      </c>
      <c r="BK82" s="454">
        <v>-177.78294699999998</v>
      </c>
      <c r="BL82" s="454">
        <v>-3750.743292000001</v>
      </c>
      <c r="BM82" s="454">
        <v>-2852.7352960000007</v>
      </c>
      <c r="BN82" s="454">
        <v>-4169.8884929999995</v>
      </c>
      <c r="BO82" s="454">
        <v>-5929.7329610000015</v>
      </c>
      <c r="BP82" s="483">
        <v>-3382.8227019999995</v>
      </c>
    </row>
    <row r="83" spans="2:68">
      <c r="B83" t="s">
        <v>600</v>
      </c>
      <c r="C83" t="s">
        <v>601</v>
      </c>
      <c r="D83" t="s">
        <v>174</v>
      </c>
      <c r="E83">
        <v>14</v>
      </c>
      <c r="F83" t="s">
        <v>589</v>
      </c>
      <c r="G83" t="s">
        <v>602</v>
      </c>
      <c r="H83" t="s">
        <v>600</v>
      </c>
      <c r="I83" s="482">
        <v>-307.37983200000008</v>
      </c>
      <c r="J83" s="454">
        <v>-327.63515600000028</v>
      </c>
      <c r="K83" s="454">
        <v>-120.05882352941171</v>
      </c>
      <c r="L83" s="454">
        <v>-339.91967599999998</v>
      </c>
      <c r="M83" s="454">
        <v>-362.7749859999999</v>
      </c>
      <c r="N83" s="454">
        <v>-132.52941176470563</v>
      </c>
      <c r="O83" s="454">
        <v>-577.59878800000024</v>
      </c>
      <c r="P83" s="454">
        <v>-609.14400500000011</v>
      </c>
      <c r="Q83" s="454">
        <v>-280.11764705882388</v>
      </c>
      <c r="R83" s="454">
        <v>-376.65852200000063</v>
      </c>
      <c r="S83" s="454">
        <v>-398.97352599999977</v>
      </c>
      <c r="T83" s="454">
        <v>-182.17647058823513</v>
      </c>
      <c r="U83" s="454">
        <v>-767.90479999999843</v>
      </c>
      <c r="V83" s="454">
        <v>-806.43871299999955</v>
      </c>
      <c r="W83" s="454">
        <v>-424.88235294117658</v>
      </c>
      <c r="X83" s="454">
        <v>-284.06687800000009</v>
      </c>
      <c r="Y83" s="454">
        <v>-299.6418020000001</v>
      </c>
      <c r="Z83" s="454">
        <v>-121.58823529411757</v>
      </c>
      <c r="AA83" s="454">
        <v>-312.53144599999996</v>
      </c>
      <c r="AB83" s="454">
        <v>-329.89638100000002</v>
      </c>
      <c r="AC83" s="454">
        <v>-134.52941176470586</v>
      </c>
      <c r="AD83" s="454">
        <v>-534.81330199999957</v>
      </c>
      <c r="AE83" s="454">
        <v>-564.34747300000072</v>
      </c>
      <c r="AF83" s="454">
        <v>-311.82352941176441</v>
      </c>
      <c r="AG83" s="454">
        <v>-349.71347099999912</v>
      </c>
      <c r="AH83" s="454">
        <v>-369.38090999999986</v>
      </c>
      <c r="AI83" s="454">
        <v>-198.88235294117658</v>
      </c>
      <c r="AJ83" s="454">
        <v>-725.77427800000078</v>
      </c>
      <c r="AK83" s="454">
        <v>-764.88565999999992</v>
      </c>
      <c r="AL83" s="454">
        <v>-495.88235294117567</v>
      </c>
      <c r="AM83" s="454">
        <v>-8197.9463670000005</v>
      </c>
      <c r="AN83" s="454">
        <v>-8309.2985279999994</v>
      </c>
      <c r="AO83" s="454">
        <v>-3057.5294117647063</v>
      </c>
      <c r="AP83" s="454">
        <v>-9122.168056999999</v>
      </c>
      <c r="AQ83" s="454">
        <v>-9247.0970130000023</v>
      </c>
      <c r="AR83" s="454">
        <v>-3395.6470588235279</v>
      </c>
      <c r="AS83" s="454">
        <v>-14727.403945999999</v>
      </c>
      <c r="AT83" s="454">
        <v>-14822.587504000003</v>
      </c>
      <c r="AU83" s="454">
        <v>-6490.4117647058847</v>
      </c>
      <c r="AV83" s="454">
        <v>-10133.157486999997</v>
      </c>
      <c r="AW83" s="454">
        <v>-10229.221353000001</v>
      </c>
      <c r="AX83" s="454">
        <v>-4543.3529411764684</v>
      </c>
      <c r="AY83" s="454">
        <v>-18825.199980000005</v>
      </c>
      <c r="AZ83" s="454">
        <v>-18906.52765199999</v>
      </c>
      <c r="BA83" s="483">
        <v>-9044.5294117647063</v>
      </c>
      <c r="BB83" s="482">
        <v>-209.58752400000003</v>
      </c>
      <c r="BC83" s="454">
        <v>-150.00480400000001</v>
      </c>
      <c r="BD83" s="454">
        <v>-213.83201600000001</v>
      </c>
      <c r="BE83" s="454">
        <v>-297.51683900000012</v>
      </c>
      <c r="BF83" s="454">
        <v>-177.98523</v>
      </c>
      <c r="BG83" s="454">
        <v>-220.08452499999999</v>
      </c>
      <c r="BH83" s="454">
        <v>-152.69981999999999</v>
      </c>
      <c r="BI83" s="454">
        <v>-220.92040900000001</v>
      </c>
      <c r="BJ83" s="454">
        <v>-319.7804779999999</v>
      </c>
      <c r="BK83" s="454">
        <v>-183.90319799999997</v>
      </c>
      <c r="BL83" s="454">
        <v>-4154.7263590000002</v>
      </c>
      <c r="BM83" s="454">
        <v>-3313.357766000001</v>
      </c>
      <c r="BN83" s="454">
        <v>-4436.5590110000003</v>
      </c>
      <c r="BO83" s="454">
        <v>-6173.6857300000011</v>
      </c>
      <c r="BP83" s="483">
        <v>-3699.9729289999996</v>
      </c>
    </row>
    <row r="84" spans="2:68">
      <c r="B84" t="s">
        <v>603</v>
      </c>
      <c r="C84" t="s">
        <v>604</v>
      </c>
      <c r="D84" t="s">
        <v>174</v>
      </c>
      <c r="E84">
        <v>15</v>
      </c>
      <c r="F84" t="s">
        <v>605</v>
      </c>
      <c r="G84" t="s">
        <v>590</v>
      </c>
      <c r="H84" t="s">
        <v>603</v>
      </c>
      <c r="I84" s="482">
        <v>116.77404999999999</v>
      </c>
      <c r="J84" s="454">
        <v>125.85707000000002</v>
      </c>
      <c r="K84" s="454">
        <v>49.882352941176578</v>
      </c>
      <c r="L84" s="454">
        <v>137.07326700000067</v>
      </c>
      <c r="M84" s="454">
        <v>147.67124499999954</v>
      </c>
      <c r="N84" s="454">
        <v>57.882352941176578</v>
      </c>
      <c r="O84" s="454">
        <v>277.7093819999991</v>
      </c>
      <c r="P84" s="454">
        <v>292.41172600000027</v>
      </c>
      <c r="Q84" s="454">
        <v>183.29411764705856</v>
      </c>
      <c r="R84" s="454">
        <v>111.50857600000018</v>
      </c>
      <c r="S84" s="454">
        <v>118.98818299999948</v>
      </c>
      <c r="T84" s="454">
        <v>92.823529411764866</v>
      </c>
      <c r="U84" s="454">
        <v>424.81621999999879</v>
      </c>
      <c r="V84" s="454">
        <v>445.21896799999922</v>
      </c>
      <c r="W84" s="454">
        <v>348.29411764705856</v>
      </c>
      <c r="X84" s="454">
        <v>81.57319600000028</v>
      </c>
      <c r="Y84" s="454">
        <v>86.556921999999759</v>
      </c>
      <c r="Z84" s="454">
        <v>44.411764705882206</v>
      </c>
      <c r="AA84" s="454">
        <v>98.492097999999714</v>
      </c>
      <c r="AB84" s="454">
        <v>104.38351899999998</v>
      </c>
      <c r="AC84" s="454">
        <v>53.470588235294144</v>
      </c>
      <c r="AD84" s="454">
        <v>225.19048199999997</v>
      </c>
      <c r="AE84" s="454">
        <v>238.00159399999939</v>
      </c>
      <c r="AF84" s="454">
        <v>219.17647058823513</v>
      </c>
      <c r="AG84" s="454">
        <v>76.72351400000025</v>
      </c>
      <c r="AH84" s="454">
        <v>81.714772000000266</v>
      </c>
      <c r="AI84" s="454">
        <v>111.47058823529414</v>
      </c>
      <c r="AJ84" s="454">
        <v>370.92173700000058</v>
      </c>
      <c r="AK84" s="454">
        <v>391.034764</v>
      </c>
      <c r="AL84" s="454">
        <v>424.05882352941262</v>
      </c>
      <c r="AM84" s="454">
        <v>5324.8507329999993</v>
      </c>
      <c r="AN84" s="454">
        <v>5345.2112080000006</v>
      </c>
      <c r="AO84" s="454">
        <v>2166.2352941176505</v>
      </c>
      <c r="AP84" s="454">
        <v>6131.5779050000056</v>
      </c>
      <c r="AQ84" s="454">
        <v>6153.4154789999957</v>
      </c>
      <c r="AR84" s="454">
        <v>2453.2352941176468</v>
      </c>
      <c r="AS84" s="454">
        <v>9227.6415970000089</v>
      </c>
      <c r="AT84" s="454">
        <v>9217.9553460000025</v>
      </c>
      <c r="AU84" s="454">
        <v>5062.8235294117621</v>
      </c>
      <c r="AV84" s="454">
        <v>5939.1225819999963</v>
      </c>
      <c r="AW84" s="454">
        <v>5927.169642000008</v>
      </c>
      <c r="AX84" s="454">
        <v>3267.2352941176432</v>
      </c>
      <c r="AY84" s="454">
        <v>12272.549497</v>
      </c>
      <c r="AZ84" s="454">
        <v>12265.784081999998</v>
      </c>
      <c r="BA84" s="483">
        <v>7928.5294117647063</v>
      </c>
      <c r="BB84" s="482">
        <v>315.07214199999999</v>
      </c>
      <c r="BC84" s="454">
        <v>250.12189700000005</v>
      </c>
      <c r="BD84" s="454">
        <v>330.71982199999991</v>
      </c>
      <c r="BE84" s="454">
        <v>444.56790599999999</v>
      </c>
      <c r="BF84" s="454">
        <v>281.26490000000001</v>
      </c>
      <c r="BG84" s="454">
        <v>328.2034020000001</v>
      </c>
      <c r="BH84" s="454">
        <v>258.48797999999994</v>
      </c>
      <c r="BI84" s="454">
        <v>346.25394399999993</v>
      </c>
      <c r="BJ84" s="454">
        <v>452.78154799999993</v>
      </c>
      <c r="BK84" s="454">
        <v>294.370138</v>
      </c>
      <c r="BL84" s="454">
        <v>6650.2722569999987</v>
      </c>
      <c r="BM84" s="454">
        <v>5677.5126949999994</v>
      </c>
      <c r="BN84" s="454">
        <v>7062.3601079999989</v>
      </c>
      <c r="BO84" s="454">
        <v>9280.127665</v>
      </c>
      <c r="BP84" s="483">
        <v>6220.9512489999997</v>
      </c>
    </row>
    <row r="85" spans="2:68">
      <c r="B85" t="s">
        <v>606</v>
      </c>
      <c r="C85" t="s">
        <v>607</v>
      </c>
      <c r="D85" t="s">
        <v>174</v>
      </c>
      <c r="E85">
        <v>16</v>
      </c>
      <c r="F85" t="s">
        <v>605</v>
      </c>
      <c r="G85" t="s">
        <v>593</v>
      </c>
      <c r="H85" t="s">
        <v>606</v>
      </c>
      <c r="I85" s="482">
        <v>335.04736599999978</v>
      </c>
      <c r="J85" s="454">
        <v>358.19111299999986</v>
      </c>
      <c r="K85" s="454">
        <v>126.58823529411779</v>
      </c>
      <c r="L85" s="454">
        <v>376.61682999999994</v>
      </c>
      <c r="M85" s="454">
        <v>402.80878699999994</v>
      </c>
      <c r="N85" s="454">
        <v>143.05882352941194</v>
      </c>
      <c r="O85" s="454">
        <v>636.19398000000001</v>
      </c>
      <c r="P85" s="454">
        <v>671.41573799999969</v>
      </c>
      <c r="Q85" s="454">
        <v>342</v>
      </c>
      <c r="R85" s="454">
        <v>396.37097300000005</v>
      </c>
      <c r="S85" s="454">
        <v>421.31956199999968</v>
      </c>
      <c r="T85" s="454">
        <v>214.05882352941171</v>
      </c>
      <c r="U85" s="454">
        <v>855.83817599999929</v>
      </c>
      <c r="V85" s="454">
        <v>899.33151999999973</v>
      </c>
      <c r="W85" s="454">
        <v>574.23529411764775</v>
      </c>
      <c r="X85" s="454">
        <v>298.55428100000063</v>
      </c>
      <c r="Y85" s="454">
        <v>314.75443799999994</v>
      </c>
      <c r="Z85" s="454">
        <v>126.11764705882342</v>
      </c>
      <c r="AA85" s="454">
        <v>336.57223599999998</v>
      </c>
      <c r="AB85" s="454">
        <v>354.87063899999976</v>
      </c>
      <c r="AC85" s="454">
        <v>143.64705882352928</v>
      </c>
      <c r="AD85" s="454">
        <v>582.52527999999984</v>
      </c>
      <c r="AE85" s="454">
        <v>614.14553799999885</v>
      </c>
      <c r="AF85" s="454">
        <v>402</v>
      </c>
      <c r="AG85" s="454">
        <v>358.11062399999992</v>
      </c>
      <c r="AH85" s="454">
        <v>377.91033100000004</v>
      </c>
      <c r="AI85" s="454">
        <v>249.29411764705901</v>
      </c>
      <c r="AJ85" s="454">
        <v>799.31228200000078</v>
      </c>
      <c r="AK85" s="454">
        <v>841.88859700000103</v>
      </c>
      <c r="AL85" s="454">
        <v>692.58823529411893</v>
      </c>
      <c r="AM85" s="454">
        <v>9984.6517519999979</v>
      </c>
      <c r="AN85" s="454">
        <v>10035.003109999998</v>
      </c>
      <c r="AO85" s="454">
        <v>3795.8823529411784</v>
      </c>
      <c r="AP85" s="454">
        <v>11240.896324000001</v>
      </c>
      <c r="AQ85" s="454">
        <v>11298.760014</v>
      </c>
      <c r="AR85" s="454">
        <v>4243.7647058823532</v>
      </c>
      <c r="AS85" s="454">
        <v>16999.605548000007</v>
      </c>
      <c r="AT85" s="454">
        <v>17009.558506000001</v>
      </c>
      <c r="AU85" s="454">
        <v>8365.6470588235243</v>
      </c>
      <c r="AV85" s="454">
        <v>11906.375682999991</v>
      </c>
      <c r="AW85" s="454">
        <v>11914.405610000009</v>
      </c>
      <c r="AX85" s="454">
        <v>5747.3529411764648</v>
      </c>
      <c r="AY85" s="454">
        <v>21488.495989999996</v>
      </c>
      <c r="AZ85" s="454">
        <v>21499.025206000006</v>
      </c>
      <c r="BA85" s="483">
        <v>12342.058823529413</v>
      </c>
      <c r="BB85" s="482">
        <v>319.93083000000001</v>
      </c>
      <c r="BC85" s="454">
        <v>251.30615</v>
      </c>
      <c r="BD85" s="454">
        <v>339.20487199999991</v>
      </c>
      <c r="BE85" s="454">
        <v>461.36427000000003</v>
      </c>
      <c r="BF85" s="454">
        <v>285.641482</v>
      </c>
      <c r="BG85" s="454">
        <v>334.31706700000007</v>
      </c>
      <c r="BH85" s="454">
        <v>260.49990099999997</v>
      </c>
      <c r="BI85" s="454">
        <v>356.07102899999995</v>
      </c>
      <c r="BJ85" s="454">
        <v>470.91688899999986</v>
      </c>
      <c r="BK85" s="454">
        <v>300.41064799999998</v>
      </c>
      <c r="BL85" s="454">
        <v>6619.6667689999977</v>
      </c>
      <c r="BM85" s="454">
        <v>5570.7230650000001</v>
      </c>
      <c r="BN85" s="454">
        <v>7137.007811999998</v>
      </c>
      <c r="BO85" s="454">
        <v>9479.0696549999993</v>
      </c>
      <c r="BP85" s="483">
        <v>6232.7342530000005</v>
      </c>
    </row>
    <row r="86" spans="2:68">
      <c r="B86" t="s">
        <v>608</v>
      </c>
      <c r="C86" t="s">
        <v>609</v>
      </c>
      <c r="D86" t="s">
        <v>174</v>
      </c>
      <c r="E86">
        <v>17</v>
      </c>
      <c r="F86" t="s">
        <v>605</v>
      </c>
      <c r="G86" t="s">
        <v>596</v>
      </c>
      <c r="H86" t="s">
        <v>608</v>
      </c>
      <c r="I86" s="482">
        <v>1299.342772</v>
      </c>
      <c r="J86" s="454">
        <v>1385.0921930000004</v>
      </c>
      <c r="K86" s="454">
        <v>481.70588235294122</v>
      </c>
      <c r="L86" s="454">
        <v>1440.1769140000006</v>
      </c>
      <c r="M86" s="454">
        <v>1535.8580059999999</v>
      </c>
      <c r="N86" s="454">
        <v>534.05882352941171</v>
      </c>
      <c r="O86" s="454">
        <v>2306.642124</v>
      </c>
      <c r="P86" s="454">
        <v>2435.6648909999994</v>
      </c>
      <c r="Q86" s="454">
        <v>1099.6470588235293</v>
      </c>
      <c r="R86" s="454">
        <v>1636.4152870000007</v>
      </c>
      <c r="S86" s="454">
        <v>1736.575965</v>
      </c>
      <c r="T86" s="454">
        <v>759.82352941176487</v>
      </c>
      <c r="U86" s="454">
        <v>2937.6333999999988</v>
      </c>
      <c r="V86" s="454">
        <v>3089.6672209999997</v>
      </c>
      <c r="W86" s="454">
        <v>1660.5294117647063</v>
      </c>
      <c r="X86" s="454">
        <v>1238.1504780000005</v>
      </c>
      <c r="Y86" s="454">
        <v>1303.8206179999997</v>
      </c>
      <c r="Z86" s="454">
        <v>495.29411764705856</v>
      </c>
      <c r="AA86" s="454">
        <v>1369.6378359999999</v>
      </c>
      <c r="AB86" s="454">
        <v>1442.8528279999996</v>
      </c>
      <c r="AC86" s="454">
        <v>552.17647058823513</v>
      </c>
      <c r="AD86" s="454">
        <v>2206.716973999999</v>
      </c>
      <c r="AE86" s="454">
        <v>2325.2197459999998</v>
      </c>
      <c r="AF86" s="454">
        <v>1257.705882352941</v>
      </c>
      <c r="AG86" s="454">
        <v>1563.3442729999997</v>
      </c>
      <c r="AH86" s="454">
        <v>1647.8415709999999</v>
      </c>
      <c r="AI86" s="454">
        <v>855.05882352941217</v>
      </c>
      <c r="AJ86" s="454">
        <v>2830.5363350000007</v>
      </c>
      <c r="AK86" s="454">
        <v>2980.6859950000016</v>
      </c>
      <c r="AL86" s="454">
        <v>1981</v>
      </c>
      <c r="AM86" s="454">
        <v>31731.038298999996</v>
      </c>
      <c r="AN86" s="454">
        <v>32000.212839999997</v>
      </c>
      <c r="AO86" s="454">
        <v>11676.23529411765</v>
      </c>
      <c r="AP86" s="454">
        <v>35267.758691000003</v>
      </c>
      <c r="AQ86" s="454">
        <v>35583.004942</v>
      </c>
      <c r="AR86" s="454">
        <v>12946.411764705881</v>
      </c>
      <c r="AS86" s="454">
        <v>54880.822401000005</v>
      </c>
      <c r="AT86" s="454">
        <v>55059.797197999993</v>
      </c>
      <c r="AU86" s="454">
        <v>24633.588235294115</v>
      </c>
      <c r="AV86" s="454">
        <v>39581.09451499999</v>
      </c>
      <c r="AW86" s="454">
        <v>39764.84711100001</v>
      </c>
      <c r="AX86" s="454">
        <v>17660.058823529405</v>
      </c>
      <c r="AY86" s="454">
        <v>68173.697467999998</v>
      </c>
      <c r="AZ86" s="454">
        <v>68337.019268999997</v>
      </c>
      <c r="BA86" s="483">
        <v>34373.058823529413</v>
      </c>
      <c r="BB86" s="482">
        <v>540.78742199999999</v>
      </c>
      <c r="BC86" s="454">
        <v>401.51432599999998</v>
      </c>
      <c r="BD86" s="454">
        <v>576.002657</v>
      </c>
      <c r="BE86" s="454">
        <v>807.14810499999999</v>
      </c>
      <c r="BF86" s="454">
        <v>473.86936600000001</v>
      </c>
      <c r="BG86" s="454">
        <v>569.62758900000006</v>
      </c>
      <c r="BH86" s="454">
        <v>416.19976099999997</v>
      </c>
      <c r="BI86" s="454">
        <v>604.24012999999991</v>
      </c>
      <c r="BJ86" s="454">
        <v>843.78539299999989</v>
      </c>
      <c r="BK86" s="454">
        <v>499.39218099999999</v>
      </c>
      <c r="BL86" s="454">
        <v>10498.902554999999</v>
      </c>
      <c r="BM86" s="454">
        <v>8364.9186389999995</v>
      </c>
      <c r="BN86" s="454">
        <v>11658.988332999998</v>
      </c>
      <c r="BO86" s="454">
        <v>16071.090409</v>
      </c>
      <c r="BP86" s="483">
        <v>9801.0446059999995</v>
      </c>
    </row>
    <row r="87" spans="2:68">
      <c r="B87" t="s">
        <v>610</v>
      </c>
      <c r="C87" t="s">
        <v>611</v>
      </c>
      <c r="D87" t="s">
        <v>174</v>
      </c>
      <c r="E87">
        <v>18</v>
      </c>
      <c r="F87" t="s">
        <v>605</v>
      </c>
      <c r="G87" t="s">
        <v>599</v>
      </c>
      <c r="H87" t="s">
        <v>610</v>
      </c>
      <c r="I87" s="482">
        <v>740.61238299999968</v>
      </c>
      <c r="J87" s="454">
        <v>789.91283999999996</v>
      </c>
      <c r="K87" s="454">
        <v>272</v>
      </c>
      <c r="L87" s="454">
        <v>823.95873900000061</v>
      </c>
      <c r="M87" s="454">
        <v>879.11055000000033</v>
      </c>
      <c r="N87" s="454">
        <v>302.94117647058829</v>
      </c>
      <c r="O87" s="454">
        <v>1313.0992859999997</v>
      </c>
      <c r="P87" s="454">
        <v>1386.8392039999999</v>
      </c>
      <c r="Q87" s="454">
        <v>640.41176470588198</v>
      </c>
      <c r="R87" s="454">
        <v>927.16143500000089</v>
      </c>
      <c r="S87" s="454">
        <v>984.62990900000023</v>
      </c>
      <c r="T87" s="454">
        <v>439.05882352941171</v>
      </c>
      <c r="U87" s="454">
        <v>1673.9648799999995</v>
      </c>
      <c r="V87" s="454">
        <v>1760.987545</v>
      </c>
      <c r="W87" s="454">
        <v>992.41176470588198</v>
      </c>
      <c r="X87" s="454">
        <v>702.08060800000021</v>
      </c>
      <c r="Y87" s="454">
        <v>739.1859429999995</v>
      </c>
      <c r="Z87" s="454">
        <v>279.05882352941171</v>
      </c>
      <c r="AA87" s="454">
        <v>779.87104900000031</v>
      </c>
      <c r="AB87" s="454">
        <v>821.31655499999943</v>
      </c>
      <c r="AC87" s="454">
        <v>312.52941176470586</v>
      </c>
      <c r="AD87" s="454">
        <v>1254.8627229999984</v>
      </c>
      <c r="AE87" s="454">
        <v>1321.9336370000001</v>
      </c>
      <c r="AF87" s="454">
        <v>743.64705882352928</v>
      </c>
      <c r="AG87" s="454">
        <v>882.53457600000002</v>
      </c>
      <c r="AH87" s="454">
        <v>929.99217200000021</v>
      </c>
      <c r="AI87" s="454">
        <v>502.47058823529414</v>
      </c>
      <c r="AJ87" s="454">
        <v>1610.3203599999997</v>
      </c>
      <c r="AK87" s="454">
        <v>1695.4705890000005</v>
      </c>
      <c r="AL87" s="454">
        <v>1196.1176470588243</v>
      </c>
      <c r="AM87" s="454">
        <v>18600.782362999998</v>
      </c>
      <c r="AN87" s="454">
        <v>18716.002786999998</v>
      </c>
      <c r="AO87" s="454">
        <v>6851.3529411764757</v>
      </c>
      <c r="AP87" s="454">
        <v>20726.282644000006</v>
      </c>
      <c r="AQ87" s="454">
        <v>20864.772377000001</v>
      </c>
      <c r="AR87" s="454">
        <v>7607.5882352941189</v>
      </c>
      <c r="AS87" s="454">
        <v>31615.955873000014</v>
      </c>
      <c r="AT87" s="454">
        <v>31668.670858999991</v>
      </c>
      <c r="AU87" s="454">
        <v>14563.058823529413</v>
      </c>
      <c r="AV87" s="454">
        <v>22950.252926999994</v>
      </c>
      <c r="AW87" s="454">
        <v>23003.61780800001</v>
      </c>
      <c r="AX87" s="454">
        <v>10393.882352941167</v>
      </c>
      <c r="AY87" s="454">
        <v>39026.600219999993</v>
      </c>
      <c r="AZ87" s="454">
        <v>39077.705060000008</v>
      </c>
      <c r="BA87" s="483">
        <v>20623.294117647063</v>
      </c>
      <c r="BB87" s="482">
        <v>340.01479000000006</v>
      </c>
      <c r="BC87" s="454">
        <v>261.77202600000004</v>
      </c>
      <c r="BD87" s="454">
        <v>366.77635999999995</v>
      </c>
      <c r="BE87" s="454">
        <v>508.6591699999999</v>
      </c>
      <c r="BF87" s="454">
        <v>303.270467</v>
      </c>
      <c r="BG87" s="454">
        <v>357.33655700000008</v>
      </c>
      <c r="BH87" s="454">
        <v>272.75455699999998</v>
      </c>
      <c r="BI87" s="454">
        <v>386.55707999999993</v>
      </c>
      <c r="BJ87" s="454">
        <v>522.05720099999996</v>
      </c>
      <c r="BK87" s="454">
        <v>321.60923400000001</v>
      </c>
      <c r="BL87" s="454">
        <v>6748.1592629999977</v>
      </c>
      <c r="BM87" s="454">
        <v>5512.1833429999988</v>
      </c>
      <c r="BN87" s="454">
        <v>7489.0998399999989</v>
      </c>
      <c r="BO87" s="454">
        <v>10141.357447999999</v>
      </c>
      <c r="BP87" s="483">
        <v>6418.221904</v>
      </c>
    </row>
    <row r="88" spans="2:68">
      <c r="B88" t="s">
        <v>613</v>
      </c>
      <c r="C88" t="s">
        <v>614</v>
      </c>
      <c r="D88" t="s">
        <v>174</v>
      </c>
      <c r="E88">
        <v>19</v>
      </c>
      <c r="F88" t="s">
        <v>590</v>
      </c>
      <c r="G88" t="s">
        <v>615</v>
      </c>
      <c r="H88" t="s">
        <v>613</v>
      </c>
      <c r="I88" s="482">
        <v>535.34609799999998</v>
      </c>
      <c r="J88" s="454">
        <v>569.8531550000007</v>
      </c>
      <c r="K88" s="454">
        <v>190.76470588235293</v>
      </c>
      <c r="L88" s="454">
        <v>589.26539999999932</v>
      </c>
      <c r="M88" s="454">
        <v>627.52906299999995</v>
      </c>
      <c r="N88" s="454">
        <v>209.70588235294122</v>
      </c>
      <c r="O88" s="454">
        <v>887.44939900000099</v>
      </c>
      <c r="P88" s="454">
        <v>938.04325599999902</v>
      </c>
      <c r="Q88" s="454">
        <v>392.76470588235316</v>
      </c>
      <c r="R88" s="454">
        <v>699.4717840000003</v>
      </c>
      <c r="S88" s="454">
        <v>742.33961800000088</v>
      </c>
      <c r="T88" s="454">
        <v>297.35294117647072</v>
      </c>
      <c r="U88" s="454">
        <v>1070.6578790000003</v>
      </c>
      <c r="V88" s="454">
        <v>1127.7506360000007</v>
      </c>
      <c r="W88" s="454">
        <v>554.17647058823604</v>
      </c>
      <c r="X88" s="454">
        <v>532.33820300000025</v>
      </c>
      <c r="Y88" s="454">
        <v>559.89450899999974</v>
      </c>
      <c r="Z88" s="454">
        <v>201.29411764705878</v>
      </c>
      <c r="AA88" s="454">
        <v>584.39203700000053</v>
      </c>
      <c r="AB88" s="454">
        <v>614.88484999999946</v>
      </c>
      <c r="AC88" s="454">
        <v>222.17647058823513</v>
      </c>
      <c r="AD88" s="454">
        <v>882.5881419999987</v>
      </c>
      <c r="AE88" s="454">
        <v>929.09633500000018</v>
      </c>
      <c r="AF88" s="454">
        <v>451.05882352941171</v>
      </c>
      <c r="AG88" s="454">
        <v>690.92702999999983</v>
      </c>
      <c r="AH88" s="454">
        <v>727.33835399999953</v>
      </c>
      <c r="AI88" s="454">
        <v>336.58823529411802</v>
      </c>
      <c r="AJ88" s="454">
        <v>1062.3573639999995</v>
      </c>
      <c r="AK88" s="454">
        <v>1118.103591000001</v>
      </c>
      <c r="AL88" s="454">
        <v>663.58823529411711</v>
      </c>
      <c r="AM88" s="454">
        <v>11433.7212</v>
      </c>
      <c r="AN88" s="454">
        <v>11513.629445999999</v>
      </c>
      <c r="AO88" s="454">
        <v>4030.4117647058829</v>
      </c>
      <c r="AP88" s="454">
        <v>12557.152412999996</v>
      </c>
      <c r="AQ88" s="454">
        <v>12654.975398000002</v>
      </c>
      <c r="AR88" s="454">
        <v>4426.4117647058811</v>
      </c>
      <c r="AS88" s="454">
        <v>19238.887107000002</v>
      </c>
      <c r="AT88" s="454">
        <v>19290.968824999989</v>
      </c>
      <c r="AU88" s="454">
        <v>8162.6470588235243</v>
      </c>
      <c r="AV88" s="454">
        <v>14626.763264999994</v>
      </c>
      <c r="AW88" s="454">
        <v>14681.064793999998</v>
      </c>
      <c r="AX88" s="454">
        <v>6124.4705882352937</v>
      </c>
      <c r="AY88" s="454">
        <v>22950.073204999993</v>
      </c>
      <c r="AZ88" s="454">
        <v>22997.962176000001</v>
      </c>
      <c r="BA88" s="483">
        <v>10920.058823529413</v>
      </c>
      <c r="BB88" s="482">
        <v>21.558220000000006</v>
      </c>
      <c r="BC88" s="454">
        <v>10.174929999999961</v>
      </c>
      <c r="BD88" s="454">
        <v>31.023698000000081</v>
      </c>
      <c r="BE88" s="454">
        <v>55.038986999999906</v>
      </c>
      <c r="BF88" s="454">
        <v>19.015467999999998</v>
      </c>
      <c r="BG88" s="454">
        <v>25.123556999999892</v>
      </c>
      <c r="BH88" s="454">
        <v>12.390418000000011</v>
      </c>
      <c r="BI88" s="454">
        <v>34.682467999999972</v>
      </c>
      <c r="BJ88" s="454">
        <v>59.386181000000079</v>
      </c>
      <c r="BK88" s="454">
        <v>23.534427999999991</v>
      </c>
      <c r="BL88" s="454">
        <v>97.01583600000049</v>
      </c>
      <c r="BM88" s="454">
        <v>-128.39295200000015</v>
      </c>
      <c r="BN88" s="454">
        <v>374.49662499999977</v>
      </c>
      <c r="BO88" s="454">
        <v>749.62792300000001</v>
      </c>
      <c r="BP88" s="483">
        <v>181.13355899999988</v>
      </c>
    </row>
    <row r="89" spans="2:68">
      <c r="B89" t="s">
        <v>617</v>
      </c>
      <c r="C89" t="s">
        <v>618</v>
      </c>
      <c r="D89" t="s">
        <v>174</v>
      </c>
      <c r="E89">
        <v>20</v>
      </c>
      <c r="F89" t="s">
        <v>619</v>
      </c>
      <c r="G89" t="s">
        <v>615</v>
      </c>
      <c r="H89" t="s">
        <v>617</v>
      </c>
      <c r="I89" s="482">
        <v>3870.1752740000002</v>
      </c>
      <c r="J89" s="454">
        <v>4121.9007110000011</v>
      </c>
      <c r="K89" s="454">
        <v>1355.0588235294119</v>
      </c>
      <c r="L89" s="454">
        <v>4236.6220879999992</v>
      </c>
      <c r="M89" s="454">
        <v>4514.0076950000002</v>
      </c>
      <c r="N89" s="454">
        <v>1490.2352941176471</v>
      </c>
      <c r="O89" s="454">
        <v>6332.452279000001</v>
      </c>
      <c r="P89" s="454">
        <v>6696.4929090000005</v>
      </c>
      <c r="Q89" s="454">
        <v>3173.2352941176478</v>
      </c>
      <c r="R89" s="454">
        <v>5000.9895630000001</v>
      </c>
      <c r="S89" s="454">
        <v>5311.0063099999998</v>
      </c>
      <c r="T89" s="454">
        <v>2359.294117647059</v>
      </c>
      <c r="U89" s="454">
        <v>7613.4536320000007</v>
      </c>
      <c r="V89" s="454">
        <v>8023.5868229999996</v>
      </c>
      <c r="W89" s="454">
        <v>4652.9411764705892</v>
      </c>
      <c r="X89" s="454">
        <v>3818.8200420000003</v>
      </c>
      <c r="Y89" s="454">
        <v>4016.5452329999989</v>
      </c>
      <c r="Z89" s="454">
        <v>1443.6470588235293</v>
      </c>
      <c r="AA89" s="454">
        <v>4176.5047639999993</v>
      </c>
      <c r="AB89" s="454">
        <v>4394.4599459999999</v>
      </c>
      <c r="AC89" s="454">
        <v>1605.4117647058824</v>
      </c>
      <c r="AD89" s="454">
        <v>6248.1302419999993</v>
      </c>
      <c r="AE89" s="454">
        <v>6577.5602589999999</v>
      </c>
      <c r="AF89" s="454">
        <v>3836.7647058823532</v>
      </c>
      <c r="AG89" s="454">
        <v>4927.8284670000003</v>
      </c>
      <c r="AH89" s="454">
        <v>5187.6634170000007</v>
      </c>
      <c r="AI89" s="454">
        <v>2770.0588235294117</v>
      </c>
      <c r="AJ89" s="454">
        <v>7535.6533420000014</v>
      </c>
      <c r="AK89" s="454">
        <v>7931.2241020000001</v>
      </c>
      <c r="AL89" s="454">
        <v>5537.2352941176468</v>
      </c>
      <c r="AM89" s="454">
        <v>86725.283064999996</v>
      </c>
      <c r="AN89" s="454">
        <v>87038.809845000011</v>
      </c>
      <c r="AO89" s="454">
        <v>29958.882352941175</v>
      </c>
      <c r="AP89" s="454">
        <v>94836.539950999984</v>
      </c>
      <c r="AQ89" s="454">
        <v>95192.239424000014</v>
      </c>
      <c r="AR89" s="454">
        <v>32911.882352941175</v>
      </c>
      <c r="AS89" s="454">
        <v>139109.08332800001</v>
      </c>
      <c r="AT89" s="454">
        <v>139323.400735</v>
      </c>
      <c r="AU89" s="454">
        <v>66464</v>
      </c>
      <c r="AV89" s="454">
        <v>109794.76373599999</v>
      </c>
      <c r="AW89" s="454">
        <v>110023.556312</v>
      </c>
      <c r="AX89" s="454">
        <v>49470.294117647063</v>
      </c>
      <c r="AY89" s="454">
        <v>165911.945458</v>
      </c>
      <c r="AZ89" s="454">
        <v>166102.91641399998</v>
      </c>
      <c r="BA89" s="483">
        <v>94256.470588235301</v>
      </c>
      <c r="BB89" s="482">
        <v>245.01480600000002</v>
      </c>
      <c r="BC89" s="454">
        <v>147.98809399999999</v>
      </c>
      <c r="BD89" s="454">
        <v>307.15046800000005</v>
      </c>
      <c r="BE89" s="454">
        <v>474.27451399999995</v>
      </c>
      <c r="BF89" s="454">
        <v>231.66342200000003</v>
      </c>
      <c r="BG89" s="454">
        <v>261.00478299999997</v>
      </c>
      <c r="BH89" s="454">
        <v>160.17247700000001</v>
      </c>
      <c r="BI89" s="454">
        <v>326.49381399999993</v>
      </c>
      <c r="BJ89" s="454">
        <v>473.52159100000017</v>
      </c>
      <c r="BK89" s="454">
        <v>254.73428599999994</v>
      </c>
      <c r="BL89" s="454">
        <v>3841.2168060000004</v>
      </c>
      <c r="BM89" s="454">
        <v>2183.1570979999997</v>
      </c>
      <c r="BN89" s="454">
        <v>5373.1119369999997</v>
      </c>
      <c r="BO89" s="454">
        <v>8144.6938249999985</v>
      </c>
      <c r="BP89" s="483">
        <v>4294.2230349999991</v>
      </c>
    </row>
    <row r="90" spans="2:68">
      <c r="B90" t="s">
        <v>621</v>
      </c>
      <c r="C90" t="s">
        <v>622</v>
      </c>
      <c r="D90" t="s">
        <v>174</v>
      </c>
      <c r="E90">
        <v>21</v>
      </c>
      <c r="F90" t="s">
        <v>623</v>
      </c>
      <c r="G90" t="s">
        <v>615</v>
      </c>
      <c r="H90" t="s">
        <v>621</v>
      </c>
      <c r="I90" s="482">
        <v>2232.5061809999997</v>
      </c>
      <c r="J90" s="454">
        <v>2378.2062430000005</v>
      </c>
      <c r="K90" s="454">
        <v>792.52941176470563</v>
      </c>
      <c r="L90" s="454">
        <v>2450.063537</v>
      </c>
      <c r="M90" s="454">
        <v>2611.3414339999999</v>
      </c>
      <c r="N90" s="454">
        <v>873.82352941176464</v>
      </c>
      <c r="O90" s="454">
        <v>3732.4395210000002</v>
      </c>
      <c r="P90" s="454">
        <v>3945.539945999999</v>
      </c>
      <c r="Q90" s="454">
        <v>1803.1176470588234</v>
      </c>
      <c r="R90" s="454">
        <v>2869.5266860000002</v>
      </c>
      <c r="S90" s="454">
        <v>3047.0446309999998</v>
      </c>
      <c r="T90" s="454">
        <v>1329.4117647058824</v>
      </c>
      <c r="U90" s="454">
        <v>4559.2474499999989</v>
      </c>
      <c r="V90" s="454">
        <v>4802.172638</v>
      </c>
      <c r="W90" s="454">
        <v>2705.4705882352946</v>
      </c>
      <c r="X90" s="454">
        <v>2182.3068629999998</v>
      </c>
      <c r="Y90" s="454">
        <v>2295.9219789999997</v>
      </c>
      <c r="Z90" s="454">
        <v>831.7647058823527</v>
      </c>
      <c r="AA90" s="454">
        <v>2393.6388189999998</v>
      </c>
      <c r="AB90" s="454">
        <v>2519.1922009999998</v>
      </c>
      <c r="AC90" s="454">
        <v>922.58823529411757</v>
      </c>
      <c r="AD90" s="454">
        <v>3662.5894360000002</v>
      </c>
      <c r="AE90" s="454">
        <v>3856.4166980000009</v>
      </c>
      <c r="AF90" s="454">
        <v>2170.4705882352937</v>
      </c>
      <c r="AG90" s="454">
        <v>2805.7899719999996</v>
      </c>
      <c r="AH90" s="454">
        <v>2954.4545850000004</v>
      </c>
      <c r="AI90" s="454">
        <v>1536.1764705882351</v>
      </c>
      <c r="AJ90" s="454">
        <v>4484.4776959999999</v>
      </c>
      <c r="AK90" s="454">
        <v>4720.3725950000007</v>
      </c>
      <c r="AL90" s="454">
        <v>3237.9411764705892</v>
      </c>
      <c r="AM90" s="454">
        <v>50964.843872000005</v>
      </c>
      <c r="AN90" s="454">
        <v>51195.784871999997</v>
      </c>
      <c r="AO90" s="454">
        <v>18034.764705882357</v>
      </c>
      <c r="AP90" s="454">
        <v>55951.446738999999</v>
      </c>
      <c r="AQ90" s="454">
        <v>56211.731553999998</v>
      </c>
      <c r="AR90" s="454">
        <v>19759.882352941171</v>
      </c>
      <c r="AS90" s="454">
        <v>83578.411202999996</v>
      </c>
      <c r="AT90" s="454">
        <v>83720.54396499999</v>
      </c>
      <c r="AU90" s="454">
        <v>38205.588235294112</v>
      </c>
      <c r="AV90" s="454">
        <v>64285.324470999993</v>
      </c>
      <c r="AW90" s="454">
        <v>64432.958149000006</v>
      </c>
      <c r="AX90" s="454">
        <v>28451.117647058825</v>
      </c>
      <c r="AY90" s="454">
        <v>100721.37890099999</v>
      </c>
      <c r="AZ90" s="454">
        <v>100847.49869199999</v>
      </c>
      <c r="BA90" s="483">
        <v>54861.352941176468</v>
      </c>
      <c r="BB90" s="482">
        <v>328.50079599999992</v>
      </c>
      <c r="BC90" s="454">
        <v>232.38765899999999</v>
      </c>
      <c r="BD90" s="454">
        <v>375.508016</v>
      </c>
      <c r="BE90" s="454">
        <v>543.33497399999987</v>
      </c>
      <c r="BF90" s="454">
        <v>299.62398400000001</v>
      </c>
      <c r="BG90" s="454">
        <v>346.16943099999992</v>
      </c>
      <c r="BH90" s="454">
        <v>244.64765699999998</v>
      </c>
      <c r="BI90" s="454">
        <v>396.2348189999999</v>
      </c>
      <c r="BJ90" s="454">
        <v>548.43882500000018</v>
      </c>
      <c r="BK90" s="454">
        <v>321.57955799999996</v>
      </c>
      <c r="BL90" s="454">
        <v>5923.7519720000018</v>
      </c>
      <c r="BM90" s="454">
        <v>4349.7517970000008</v>
      </c>
      <c r="BN90" s="454">
        <v>7109.3804839999993</v>
      </c>
      <c r="BO90" s="454">
        <v>10106.043775000002</v>
      </c>
      <c r="BP90" s="483">
        <v>5933.1880639999999</v>
      </c>
    </row>
    <row r="91" spans="2:68">
      <c r="B91" t="s">
        <v>625</v>
      </c>
      <c r="C91" t="s">
        <v>626</v>
      </c>
      <c r="D91" t="s">
        <v>174</v>
      </c>
      <c r="E91">
        <v>22</v>
      </c>
      <c r="F91" t="s">
        <v>619</v>
      </c>
      <c r="G91" t="s">
        <v>593</v>
      </c>
      <c r="H91" t="s">
        <v>625</v>
      </c>
      <c r="I91" s="482">
        <v>3553.102492</v>
      </c>
      <c r="J91" s="454">
        <v>3784.3815990000003</v>
      </c>
      <c r="K91" s="454">
        <v>1241.0000000000002</v>
      </c>
      <c r="L91" s="454">
        <v>3886.9002509999991</v>
      </c>
      <c r="M91" s="454">
        <v>4141.6161740000007</v>
      </c>
      <c r="N91" s="454">
        <v>1365.7058823529412</v>
      </c>
      <c r="O91" s="454">
        <v>5803.4874780000009</v>
      </c>
      <c r="P91" s="454">
        <v>6137.4536650000009</v>
      </c>
      <c r="Q91" s="454">
        <v>2939.176470588236</v>
      </c>
      <c r="R91" s="454">
        <v>4586.3801759999997</v>
      </c>
      <c r="S91" s="454">
        <v>4870.9980709999991</v>
      </c>
      <c r="T91" s="454">
        <v>2183.1764705882351</v>
      </c>
      <c r="U91" s="454">
        <v>6973.8177090000008</v>
      </c>
      <c r="V91" s="454">
        <v>7349.9487389999995</v>
      </c>
      <c r="W91" s="454">
        <v>4324.7058823529424</v>
      </c>
      <c r="X91" s="454">
        <v>3503.4629240000004</v>
      </c>
      <c r="Y91" s="454">
        <v>3684.8482399999994</v>
      </c>
      <c r="Z91" s="454">
        <v>1324.0588235294117</v>
      </c>
      <c r="AA91" s="454">
        <v>3830.1928649999991</v>
      </c>
      <c r="AB91" s="454">
        <v>4030.0622160000003</v>
      </c>
      <c r="AC91" s="454">
        <v>1473.4117647058824</v>
      </c>
      <c r="AD91" s="454">
        <v>5722.8768980000004</v>
      </c>
      <c r="AE91" s="454">
        <v>6024.6078679999991</v>
      </c>
      <c r="AF91" s="454">
        <v>3568.5294117647063</v>
      </c>
      <c r="AG91" s="454">
        <v>4518.2885470000001</v>
      </c>
      <c r="AH91" s="454">
        <v>4756.5206220000009</v>
      </c>
      <c r="AI91" s="454">
        <v>2571.2941176470586</v>
      </c>
      <c r="AJ91" s="454">
        <v>6901.6865230000021</v>
      </c>
      <c r="AK91" s="454">
        <v>7263.9743440000002</v>
      </c>
      <c r="AL91" s="454">
        <v>5142.176470588236</v>
      </c>
      <c r="AM91" s="454">
        <v>79951.362884000002</v>
      </c>
      <c r="AN91" s="454">
        <v>80214.972301000002</v>
      </c>
      <c r="AO91" s="454">
        <v>27558.117647058822</v>
      </c>
      <c r="AP91" s="454">
        <v>87388.705956999998</v>
      </c>
      <c r="AQ91" s="454">
        <v>87682.608561000015</v>
      </c>
      <c r="AR91" s="454">
        <v>30275.999999999996</v>
      </c>
      <c r="AS91" s="454">
        <v>127642.160172</v>
      </c>
      <c r="AT91" s="454">
        <v>127824.03507000001</v>
      </c>
      <c r="AU91" s="454">
        <v>61604.176470588238</v>
      </c>
      <c r="AV91" s="454">
        <v>101135.253572</v>
      </c>
      <c r="AW91" s="454">
        <v>101329.72748600002</v>
      </c>
      <c r="AX91" s="454">
        <v>45825.941176470587</v>
      </c>
      <c r="AY91" s="454">
        <v>152177.818746</v>
      </c>
      <c r="AZ91" s="454">
        <v>152338.19536199997</v>
      </c>
      <c r="BA91" s="483">
        <v>87749.941176470587</v>
      </c>
      <c r="BB91" s="482">
        <v>228.31527400000004</v>
      </c>
      <c r="BC91" s="454">
        <v>138.99741699999998</v>
      </c>
      <c r="BD91" s="454">
        <v>284.61181999999997</v>
      </c>
      <c r="BE91" s="454">
        <v>436.03189100000009</v>
      </c>
      <c r="BF91" s="454">
        <v>217.02453600000001</v>
      </c>
      <c r="BG91" s="454">
        <v>241.99489100000005</v>
      </c>
      <c r="BH91" s="454">
        <v>149.79398000000003</v>
      </c>
      <c r="BI91" s="454">
        <v>301.62843099999998</v>
      </c>
      <c r="BJ91" s="454">
        <v>432.27075100000002</v>
      </c>
      <c r="BK91" s="454">
        <v>237.24036799999993</v>
      </c>
      <c r="BL91" s="454">
        <v>3713.5954819999988</v>
      </c>
      <c r="BM91" s="454">
        <v>2204.7604200000005</v>
      </c>
      <c r="BN91" s="454">
        <v>5073.263015999999</v>
      </c>
      <c r="BO91" s="454">
        <v>7594.0078919999978</v>
      </c>
      <c r="BP91" s="483">
        <v>4124.87248</v>
      </c>
    </row>
    <row r="92" spans="2:68">
      <c r="B92" t="s">
        <v>628</v>
      </c>
      <c r="C92" t="s">
        <v>629</v>
      </c>
      <c r="D92" t="s">
        <v>174</v>
      </c>
      <c r="E92">
        <v>23</v>
      </c>
      <c r="F92" t="s">
        <v>623</v>
      </c>
      <c r="G92" t="s">
        <v>593</v>
      </c>
      <c r="H92" t="s">
        <v>628</v>
      </c>
      <c r="I92" s="482">
        <v>1915.4333989999996</v>
      </c>
      <c r="J92" s="454">
        <v>2040.6871309999997</v>
      </c>
      <c r="K92" s="454">
        <v>678.47058823529392</v>
      </c>
      <c r="L92" s="454">
        <v>2100.3416999999999</v>
      </c>
      <c r="M92" s="454">
        <v>2238.9499130000004</v>
      </c>
      <c r="N92" s="454">
        <v>749.29411764705878</v>
      </c>
      <c r="O92" s="454">
        <v>3203.4747200000002</v>
      </c>
      <c r="P92" s="454">
        <v>3386.5007019999994</v>
      </c>
      <c r="Q92" s="454">
        <v>1569.0588235294117</v>
      </c>
      <c r="R92" s="454">
        <v>2454.9172989999997</v>
      </c>
      <c r="S92" s="454">
        <v>2607.0363919999991</v>
      </c>
      <c r="T92" s="454">
        <v>1153.2941176470586</v>
      </c>
      <c r="U92" s="454">
        <v>3919.6115269999991</v>
      </c>
      <c r="V92" s="454">
        <v>4128.5345539999998</v>
      </c>
      <c r="W92" s="454">
        <v>2377.2352941176478</v>
      </c>
      <c r="X92" s="454">
        <v>1866.9497449999999</v>
      </c>
      <c r="Y92" s="454">
        <v>1964.2249860000002</v>
      </c>
      <c r="Z92" s="454">
        <v>712.17647058823513</v>
      </c>
      <c r="AA92" s="454">
        <v>2047.3269199999995</v>
      </c>
      <c r="AB92" s="454">
        <v>2154.7944710000002</v>
      </c>
      <c r="AC92" s="454">
        <v>790.58823529411757</v>
      </c>
      <c r="AD92" s="454">
        <v>3137.3360920000014</v>
      </c>
      <c r="AE92" s="454">
        <v>3303.4643070000002</v>
      </c>
      <c r="AF92" s="454">
        <v>1902.2352941176468</v>
      </c>
      <c r="AG92" s="454">
        <v>2396.2500519999994</v>
      </c>
      <c r="AH92" s="454">
        <v>2523.3117900000007</v>
      </c>
      <c r="AI92" s="454">
        <v>1337.411764705882</v>
      </c>
      <c r="AJ92" s="454">
        <v>3850.5108770000006</v>
      </c>
      <c r="AK92" s="454">
        <v>4053.1228370000008</v>
      </c>
      <c r="AL92" s="454">
        <v>2842.8823529411784</v>
      </c>
      <c r="AM92" s="454">
        <v>44190.923691000004</v>
      </c>
      <c r="AN92" s="454">
        <v>44371.947327999995</v>
      </c>
      <c r="AO92" s="454">
        <v>15634</v>
      </c>
      <c r="AP92" s="454">
        <v>48503.612744999999</v>
      </c>
      <c r="AQ92" s="454">
        <v>48702.100691</v>
      </c>
      <c r="AR92" s="454">
        <v>17123.999999999996</v>
      </c>
      <c r="AS92" s="454">
        <v>72111.488046999992</v>
      </c>
      <c r="AT92" s="454">
        <v>72221.1783</v>
      </c>
      <c r="AU92" s="454">
        <v>33345.76470588235</v>
      </c>
      <c r="AV92" s="454">
        <v>55625.814306999993</v>
      </c>
      <c r="AW92" s="454">
        <v>55739.129323000008</v>
      </c>
      <c r="AX92" s="454">
        <v>24806.764705882353</v>
      </c>
      <c r="AY92" s="454">
        <v>86987.252188999992</v>
      </c>
      <c r="AZ92" s="454">
        <v>87082.77764</v>
      </c>
      <c r="BA92" s="483">
        <v>48354.823529411762</v>
      </c>
      <c r="BB92" s="482">
        <v>311.80126399999995</v>
      </c>
      <c r="BC92" s="454">
        <v>223.39698199999998</v>
      </c>
      <c r="BD92" s="454">
        <v>352.96936799999992</v>
      </c>
      <c r="BE92" s="454">
        <v>505.09235100000001</v>
      </c>
      <c r="BF92" s="454">
        <v>284.98509799999999</v>
      </c>
      <c r="BG92" s="454">
        <v>327.159539</v>
      </c>
      <c r="BH92" s="454">
        <v>234.26916</v>
      </c>
      <c r="BI92" s="454">
        <v>371.36943599999995</v>
      </c>
      <c r="BJ92" s="454">
        <v>507.18798500000003</v>
      </c>
      <c r="BK92" s="454">
        <v>304.08563999999996</v>
      </c>
      <c r="BL92" s="454">
        <v>5796.1306480000003</v>
      </c>
      <c r="BM92" s="454">
        <v>4371.3551190000017</v>
      </c>
      <c r="BN92" s="454">
        <v>6809.5315629999986</v>
      </c>
      <c r="BO92" s="454">
        <v>9555.3578420000013</v>
      </c>
      <c r="BP92" s="483">
        <v>5763.8375090000009</v>
      </c>
    </row>
    <row r="93" spans="2:68">
      <c r="B93" t="s">
        <v>631</v>
      </c>
      <c r="C93" t="s">
        <v>632</v>
      </c>
      <c r="D93" t="s">
        <v>174</v>
      </c>
      <c r="E93">
        <v>24</v>
      </c>
      <c r="F93" t="s">
        <v>590</v>
      </c>
      <c r="G93" t="s">
        <v>593</v>
      </c>
      <c r="H93" t="s">
        <v>631</v>
      </c>
      <c r="I93" s="482">
        <v>218.2733159999998</v>
      </c>
      <c r="J93" s="454">
        <v>232.33404299999984</v>
      </c>
      <c r="K93" s="454">
        <v>76.705882352941217</v>
      </c>
      <c r="L93" s="454">
        <v>239.54356299999927</v>
      </c>
      <c r="M93" s="454">
        <v>255.13754200000039</v>
      </c>
      <c r="N93" s="454">
        <v>85.176470588235361</v>
      </c>
      <c r="O93" s="454">
        <v>358.48459800000091</v>
      </c>
      <c r="P93" s="454">
        <v>379.00401199999942</v>
      </c>
      <c r="Q93" s="454">
        <v>158.70588235294144</v>
      </c>
      <c r="R93" s="454">
        <v>284.86239699999987</v>
      </c>
      <c r="S93" s="454">
        <v>302.3313790000002</v>
      </c>
      <c r="T93" s="454">
        <v>121.23529411764684</v>
      </c>
      <c r="U93" s="454">
        <v>431.0219560000005</v>
      </c>
      <c r="V93" s="454">
        <v>454.11255200000051</v>
      </c>
      <c r="W93" s="454">
        <v>225.9411764705892</v>
      </c>
      <c r="X93" s="454">
        <v>216.98108500000035</v>
      </c>
      <c r="Y93" s="454">
        <v>228.19751600000018</v>
      </c>
      <c r="Z93" s="454">
        <v>81.705882352941217</v>
      </c>
      <c r="AA93" s="454">
        <v>238.08013800000026</v>
      </c>
      <c r="AB93" s="454">
        <v>250.48711999999978</v>
      </c>
      <c r="AC93" s="454">
        <v>90.176470588235134</v>
      </c>
      <c r="AD93" s="454">
        <v>357.33479799999986</v>
      </c>
      <c r="AE93" s="454">
        <v>376.14394399999946</v>
      </c>
      <c r="AF93" s="454">
        <v>182.82352941176487</v>
      </c>
      <c r="AG93" s="454">
        <v>281.38710999999967</v>
      </c>
      <c r="AH93" s="454">
        <v>296.19555899999978</v>
      </c>
      <c r="AI93" s="454">
        <v>137.82352941176487</v>
      </c>
      <c r="AJ93" s="454">
        <v>428.3905450000002</v>
      </c>
      <c r="AK93" s="454">
        <v>450.85383300000103</v>
      </c>
      <c r="AL93" s="454">
        <v>268.52941176470631</v>
      </c>
      <c r="AM93" s="454">
        <v>4659.8010189999986</v>
      </c>
      <c r="AN93" s="454">
        <v>4689.7919019999972</v>
      </c>
      <c r="AO93" s="454">
        <v>1629.6470588235279</v>
      </c>
      <c r="AP93" s="454">
        <v>5109.3184189999956</v>
      </c>
      <c r="AQ93" s="454">
        <v>5145.3445350000038</v>
      </c>
      <c r="AR93" s="454">
        <v>1790.5294117647063</v>
      </c>
      <c r="AS93" s="454">
        <v>7771.9639509999979</v>
      </c>
      <c r="AT93" s="454">
        <v>7791.6031599999988</v>
      </c>
      <c r="AU93" s="454">
        <v>3302.8235294117621</v>
      </c>
      <c r="AV93" s="454">
        <v>5967.2531009999948</v>
      </c>
      <c r="AW93" s="454">
        <v>5987.2359680000009</v>
      </c>
      <c r="AX93" s="454">
        <v>2480.1176470588216</v>
      </c>
      <c r="AY93" s="454">
        <v>9215.9464929999958</v>
      </c>
      <c r="AZ93" s="454">
        <v>9233.2411240000074</v>
      </c>
      <c r="BA93" s="483">
        <v>4413.5294117647063</v>
      </c>
      <c r="BB93" s="482">
        <v>4.8586880000000292</v>
      </c>
      <c r="BC93" s="454">
        <v>1.1842529999999556</v>
      </c>
      <c r="BD93" s="454">
        <v>8.4850500000000011</v>
      </c>
      <c r="BE93" s="454">
        <v>16.79636400000004</v>
      </c>
      <c r="BF93" s="454">
        <v>4.3765819999999849</v>
      </c>
      <c r="BG93" s="454">
        <v>6.113664999999969</v>
      </c>
      <c r="BH93" s="454">
        <v>2.0119210000000294</v>
      </c>
      <c r="BI93" s="454">
        <v>9.81708500000002</v>
      </c>
      <c r="BJ93" s="454">
        <v>18.135340999999926</v>
      </c>
      <c r="BK93" s="454">
        <v>6.0405099999999834</v>
      </c>
      <c r="BL93" s="454">
        <v>-30.60548800000106</v>
      </c>
      <c r="BM93" s="454">
        <v>-106.78962999999931</v>
      </c>
      <c r="BN93" s="454">
        <v>74.647703999999067</v>
      </c>
      <c r="BO93" s="454">
        <v>198.94198999999935</v>
      </c>
      <c r="BP93" s="483">
        <v>11.783004000000801</v>
      </c>
    </row>
    <row r="94" spans="2:68">
      <c r="B94" t="s">
        <v>633</v>
      </c>
      <c r="C94" t="s">
        <v>634</v>
      </c>
      <c r="D94" t="s">
        <v>58</v>
      </c>
      <c r="E94">
        <v>10</v>
      </c>
      <c r="F94" t="s">
        <v>635</v>
      </c>
      <c r="G94" t="s">
        <v>177</v>
      </c>
      <c r="H94" t="s">
        <v>633</v>
      </c>
      <c r="I94" s="482">
        <v>0</v>
      </c>
      <c r="J94" s="454">
        <v>0</v>
      </c>
      <c r="K94" s="454">
        <v>0</v>
      </c>
      <c r="L94" s="454">
        <v>0</v>
      </c>
      <c r="M94" s="454">
        <v>0</v>
      </c>
      <c r="N94" s="454">
        <v>0</v>
      </c>
      <c r="O94" s="454">
        <v>0</v>
      </c>
      <c r="P94" s="454">
        <v>0</v>
      </c>
      <c r="Q94" s="454">
        <v>0</v>
      </c>
      <c r="R94" s="454">
        <v>0</v>
      </c>
      <c r="S94" s="454">
        <v>0</v>
      </c>
      <c r="T94" s="454">
        <v>0</v>
      </c>
      <c r="U94" s="454">
        <v>0</v>
      </c>
      <c r="V94" s="454">
        <v>0</v>
      </c>
      <c r="W94" s="454">
        <v>0</v>
      </c>
      <c r="X94" s="454">
        <v>0</v>
      </c>
      <c r="Y94" s="454">
        <v>0</v>
      </c>
      <c r="Z94" s="454">
        <v>0</v>
      </c>
      <c r="AA94" s="454">
        <v>0</v>
      </c>
      <c r="AB94" s="454">
        <v>0</v>
      </c>
      <c r="AC94" s="454">
        <v>0</v>
      </c>
      <c r="AD94" s="454">
        <v>0</v>
      </c>
      <c r="AE94" s="454">
        <v>0</v>
      </c>
      <c r="AF94" s="454">
        <v>0</v>
      </c>
      <c r="AG94" s="454">
        <v>0</v>
      </c>
      <c r="AH94" s="454">
        <v>0</v>
      </c>
      <c r="AI94" s="454">
        <v>0</v>
      </c>
      <c r="AJ94" s="454">
        <v>0</v>
      </c>
      <c r="AK94" s="454">
        <v>0</v>
      </c>
      <c r="AL94" s="454">
        <v>0</v>
      </c>
      <c r="AM94" s="454">
        <v>0</v>
      </c>
      <c r="AN94" s="454">
        <v>0</v>
      </c>
      <c r="AO94" s="454">
        <v>0</v>
      </c>
      <c r="AP94" s="454">
        <v>0</v>
      </c>
      <c r="AQ94" s="454">
        <v>0</v>
      </c>
      <c r="AR94" s="454">
        <v>0</v>
      </c>
      <c r="AS94" s="454">
        <v>0</v>
      </c>
      <c r="AT94" s="454">
        <v>0</v>
      </c>
      <c r="AU94" s="454">
        <v>0</v>
      </c>
      <c r="AV94" s="454">
        <v>0</v>
      </c>
      <c r="AW94" s="454">
        <v>0</v>
      </c>
      <c r="AX94" s="454">
        <v>0</v>
      </c>
      <c r="AY94" s="454">
        <v>0</v>
      </c>
      <c r="AZ94" s="454">
        <v>0</v>
      </c>
      <c r="BA94" s="483">
        <v>0</v>
      </c>
      <c r="BB94" s="482">
        <v>0</v>
      </c>
      <c r="BC94" s="454">
        <v>0</v>
      </c>
      <c r="BD94" s="454">
        <v>0</v>
      </c>
      <c r="BE94" s="454">
        <v>0</v>
      </c>
      <c r="BF94" s="454">
        <v>0</v>
      </c>
      <c r="BG94" s="454">
        <v>0</v>
      </c>
      <c r="BH94" s="454">
        <v>0</v>
      </c>
      <c r="BI94" s="454">
        <v>0</v>
      </c>
      <c r="BJ94" s="454">
        <v>0</v>
      </c>
      <c r="BK94" s="454">
        <v>0</v>
      </c>
      <c r="BL94" s="454">
        <v>0</v>
      </c>
      <c r="BM94" s="454">
        <v>0</v>
      </c>
      <c r="BN94" s="454">
        <v>0</v>
      </c>
      <c r="BO94" s="454">
        <v>0</v>
      </c>
      <c r="BP94" s="483">
        <v>0</v>
      </c>
    </row>
    <row r="95" spans="2:68">
      <c r="B95" t="s">
        <v>637</v>
      </c>
      <c r="C95" t="s">
        <v>638</v>
      </c>
      <c r="D95" t="s">
        <v>58</v>
      </c>
      <c r="E95">
        <v>11</v>
      </c>
      <c r="F95" t="s">
        <v>635</v>
      </c>
      <c r="G95" t="s">
        <v>639</v>
      </c>
      <c r="H95" t="s">
        <v>637</v>
      </c>
      <c r="I95" s="482">
        <v>0</v>
      </c>
      <c r="J95" s="454">
        <v>0</v>
      </c>
      <c r="K95" s="454">
        <v>0</v>
      </c>
      <c r="L95" s="454">
        <v>0</v>
      </c>
      <c r="M95" s="454">
        <v>0</v>
      </c>
      <c r="N95" s="454">
        <v>0</v>
      </c>
      <c r="O95" s="454">
        <v>0</v>
      </c>
      <c r="P95" s="454">
        <v>0</v>
      </c>
      <c r="Q95" s="454">
        <v>0</v>
      </c>
      <c r="R95" s="454">
        <v>0</v>
      </c>
      <c r="S95" s="454">
        <v>0</v>
      </c>
      <c r="T95" s="454">
        <v>0</v>
      </c>
      <c r="U95" s="454">
        <v>0</v>
      </c>
      <c r="V95" s="454">
        <v>0</v>
      </c>
      <c r="W95" s="454">
        <v>0</v>
      </c>
      <c r="X95" s="454">
        <v>0</v>
      </c>
      <c r="Y95" s="454">
        <v>0</v>
      </c>
      <c r="Z95" s="454">
        <v>0</v>
      </c>
      <c r="AA95" s="454">
        <v>0</v>
      </c>
      <c r="AB95" s="454">
        <v>0</v>
      </c>
      <c r="AC95" s="454">
        <v>0</v>
      </c>
      <c r="AD95" s="454">
        <v>0</v>
      </c>
      <c r="AE95" s="454">
        <v>0</v>
      </c>
      <c r="AF95" s="454">
        <v>0</v>
      </c>
      <c r="AG95" s="454">
        <v>0</v>
      </c>
      <c r="AH95" s="454">
        <v>0</v>
      </c>
      <c r="AI95" s="454">
        <v>0</v>
      </c>
      <c r="AJ95" s="454">
        <v>0</v>
      </c>
      <c r="AK95" s="454">
        <v>0</v>
      </c>
      <c r="AL95" s="454">
        <v>0</v>
      </c>
      <c r="AM95" s="454">
        <v>0</v>
      </c>
      <c r="AN95" s="454">
        <v>0</v>
      </c>
      <c r="AO95" s="454">
        <v>0</v>
      </c>
      <c r="AP95" s="454">
        <v>0</v>
      </c>
      <c r="AQ95" s="454">
        <v>0</v>
      </c>
      <c r="AR95" s="454">
        <v>0</v>
      </c>
      <c r="AS95" s="454">
        <v>0</v>
      </c>
      <c r="AT95" s="454">
        <v>0</v>
      </c>
      <c r="AU95" s="454">
        <v>0</v>
      </c>
      <c r="AV95" s="454">
        <v>0</v>
      </c>
      <c r="AW95" s="454">
        <v>0</v>
      </c>
      <c r="AX95" s="454">
        <v>0</v>
      </c>
      <c r="AY95" s="454">
        <v>0</v>
      </c>
      <c r="AZ95" s="454">
        <v>0</v>
      </c>
      <c r="BA95" s="483">
        <v>0</v>
      </c>
      <c r="BB95" s="482">
        <v>0</v>
      </c>
      <c r="BC95" s="454">
        <v>0</v>
      </c>
      <c r="BD95" s="454">
        <v>0</v>
      </c>
      <c r="BE95" s="454">
        <v>0</v>
      </c>
      <c r="BF95" s="454">
        <v>0</v>
      </c>
      <c r="BG95" s="454">
        <v>0</v>
      </c>
      <c r="BH95" s="454">
        <v>0</v>
      </c>
      <c r="BI95" s="454">
        <v>0</v>
      </c>
      <c r="BJ95" s="454">
        <v>0</v>
      </c>
      <c r="BK95" s="454">
        <v>0</v>
      </c>
      <c r="BL95" s="454">
        <v>0</v>
      </c>
      <c r="BM95" s="454">
        <v>0</v>
      </c>
      <c r="BN95" s="454">
        <v>0</v>
      </c>
      <c r="BO95" s="454">
        <v>0</v>
      </c>
      <c r="BP95" s="483">
        <v>0</v>
      </c>
    </row>
    <row r="96" spans="2:68">
      <c r="B96" t="s">
        <v>641</v>
      </c>
      <c r="C96" t="s">
        <v>642</v>
      </c>
      <c r="D96" t="s">
        <v>58</v>
      </c>
      <c r="E96">
        <v>12</v>
      </c>
      <c r="F96" t="s">
        <v>177</v>
      </c>
      <c r="G96" t="s">
        <v>639</v>
      </c>
      <c r="H96" t="s">
        <v>641</v>
      </c>
      <c r="I96" s="482">
        <v>0</v>
      </c>
      <c r="J96" s="454">
        <v>0</v>
      </c>
      <c r="K96" s="454">
        <v>0</v>
      </c>
      <c r="L96" s="454">
        <v>0</v>
      </c>
      <c r="M96" s="454">
        <v>0</v>
      </c>
      <c r="N96" s="454">
        <v>0</v>
      </c>
      <c r="O96" s="454">
        <v>0</v>
      </c>
      <c r="P96" s="454">
        <v>0</v>
      </c>
      <c r="Q96" s="454">
        <v>0</v>
      </c>
      <c r="R96" s="454">
        <v>0</v>
      </c>
      <c r="S96" s="454">
        <v>0</v>
      </c>
      <c r="T96" s="454">
        <v>0</v>
      </c>
      <c r="U96" s="454">
        <v>0</v>
      </c>
      <c r="V96" s="454">
        <v>0</v>
      </c>
      <c r="W96" s="454">
        <v>0</v>
      </c>
      <c r="X96" s="454">
        <v>0</v>
      </c>
      <c r="Y96" s="454">
        <v>0</v>
      </c>
      <c r="Z96" s="454">
        <v>0</v>
      </c>
      <c r="AA96" s="454">
        <v>0</v>
      </c>
      <c r="AB96" s="454">
        <v>0</v>
      </c>
      <c r="AC96" s="454">
        <v>0</v>
      </c>
      <c r="AD96" s="454">
        <v>0</v>
      </c>
      <c r="AE96" s="454">
        <v>0</v>
      </c>
      <c r="AF96" s="454">
        <v>0</v>
      </c>
      <c r="AG96" s="454">
        <v>0</v>
      </c>
      <c r="AH96" s="454">
        <v>0</v>
      </c>
      <c r="AI96" s="454">
        <v>0</v>
      </c>
      <c r="AJ96" s="454">
        <v>0</v>
      </c>
      <c r="AK96" s="454">
        <v>0</v>
      </c>
      <c r="AL96" s="454">
        <v>0</v>
      </c>
      <c r="AM96" s="454">
        <v>0</v>
      </c>
      <c r="AN96" s="454">
        <v>0</v>
      </c>
      <c r="AO96" s="454">
        <v>0</v>
      </c>
      <c r="AP96" s="454">
        <v>0</v>
      </c>
      <c r="AQ96" s="454">
        <v>0</v>
      </c>
      <c r="AR96" s="454">
        <v>0</v>
      </c>
      <c r="AS96" s="454">
        <v>0</v>
      </c>
      <c r="AT96" s="454">
        <v>0</v>
      </c>
      <c r="AU96" s="454">
        <v>0</v>
      </c>
      <c r="AV96" s="454">
        <v>0</v>
      </c>
      <c r="AW96" s="454">
        <v>0</v>
      </c>
      <c r="AX96" s="454">
        <v>0</v>
      </c>
      <c r="AY96" s="454">
        <v>0</v>
      </c>
      <c r="AZ96" s="454">
        <v>0</v>
      </c>
      <c r="BA96" s="483">
        <v>0</v>
      </c>
      <c r="BB96" s="482">
        <v>0</v>
      </c>
      <c r="BC96" s="454">
        <v>0</v>
      </c>
      <c r="BD96" s="454">
        <v>0</v>
      </c>
      <c r="BE96" s="454">
        <v>0</v>
      </c>
      <c r="BF96" s="454">
        <v>0</v>
      </c>
      <c r="BG96" s="454">
        <v>0</v>
      </c>
      <c r="BH96" s="454">
        <v>0</v>
      </c>
      <c r="BI96" s="454">
        <v>0</v>
      </c>
      <c r="BJ96" s="454">
        <v>0</v>
      </c>
      <c r="BK96" s="454">
        <v>0</v>
      </c>
      <c r="BL96" s="454">
        <v>0</v>
      </c>
      <c r="BM96" s="454">
        <v>0</v>
      </c>
      <c r="BN96" s="454">
        <v>0</v>
      </c>
      <c r="BO96" s="454">
        <v>0</v>
      </c>
      <c r="BP96" s="483">
        <v>0</v>
      </c>
    </row>
    <row r="97" spans="2:68">
      <c r="B97" t="s">
        <v>644</v>
      </c>
      <c r="C97" t="s">
        <v>645</v>
      </c>
      <c r="D97" t="s">
        <v>528</v>
      </c>
      <c r="E97">
        <v>10</v>
      </c>
      <c r="F97" t="s">
        <v>646</v>
      </c>
      <c r="G97" t="s">
        <v>647</v>
      </c>
      <c r="H97" t="s">
        <v>644</v>
      </c>
      <c r="I97" s="482">
        <v>0</v>
      </c>
      <c r="J97" s="454">
        <v>336.96818599999915</v>
      </c>
      <c r="K97" s="454">
        <v>90.000000000000227</v>
      </c>
      <c r="L97" s="454">
        <v>0</v>
      </c>
      <c r="M97" s="454">
        <v>368.53079700000035</v>
      </c>
      <c r="N97" s="454">
        <v>98.470588235294144</v>
      </c>
      <c r="O97" s="454">
        <v>0</v>
      </c>
      <c r="P97" s="454">
        <v>578.5160649999998</v>
      </c>
      <c r="Q97" s="454">
        <v>124.4705882352946</v>
      </c>
      <c r="R97" s="454">
        <v>0</v>
      </c>
      <c r="S97" s="454">
        <v>446.94870699999956</v>
      </c>
      <c r="T97" s="454">
        <v>111.05882352941171</v>
      </c>
      <c r="U97" s="454">
        <v>0</v>
      </c>
      <c r="V97" s="454">
        <v>652.69113499999912</v>
      </c>
      <c r="W97" s="454">
        <v>124.29411764705947</v>
      </c>
      <c r="X97" s="454">
        <v>0</v>
      </c>
      <c r="Y97" s="454">
        <v>-4598.3255669999999</v>
      </c>
      <c r="Z97" s="454">
        <v>192.76470588235293</v>
      </c>
      <c r="AA97" s="454">
        <v>0</v>
      </c>
      <c r="AB97" s="454">
        <v>-5018.3332879999998</v>
      </c>
      <c r="AC97" s="454">
        <v>211.7647058823527</v>
      </c>
      <c r="AD97" s="454">
        <v>0</v>
      </c>
      <c r="AE97" s="454">
        <v>-9535.5001520000005</v>
      </c>
      <c r="AF97" s="454">
        <v>641.23529411764684</v>
      </c>
      <c r="AG97" s="454">
        <v>0</v>
      </c>
      <c r="AH97" s="454">
        <v>-6745.1643119999999</v>
      </c>
      <c r="AI97" s="454">
        <v>431.05882352941171</v>
      </c>
      <c r="AJ97" s="454">
        <v>0</v>
      </c>
      <c r="AK97" s="454">
        <v>-11944.385966</v>
      </c>
      <c r="AL97" s="454">
        <v>1019.5294117647063</v>
      </c>
      <c r="AM97" s="454">
        <v>0</v>
      </c>
      <c r="AN97" s="454">
        <v>1326.9034119999997</v>
      </c>
      <c r="AO97" s="454">
        <v>1157.4117647058811</v>
      </c>
      <c r="AP97" s="454">
        <v>0</v>
      </c>
      <c r="AQ97" s="454">
        <v>1517.451608000003</v>
      </c>
      <c r="AR97" s="454">
        <v>1256.5882352941189</v>
      </c>
      <c r="AS97" s="454">
        <v>0</v>
      </c>
      <c r="AT97" s="454">
        <v>2679.0915870000026</v>
      </c>
      <c r="AU97" s="454">
        <v>4888.1764705882306</v>
      </c>
      <c r="AV97" s="454">
        <v>0</v>
      </c>
      <c r="AW97" s="454">
        <v>1957.5357520000034</v>
      </c>
      <c r="AX97" s="454">
        <v>3018.4117647058811</v>
      </c>
      <c r="AY97" s="454">
        <v>0</v>
      </c>
      <c r="AZ97" s="454">
        <v>3101.2402280000097</v>
      </c>
      <c r="BA97" s="483">
        <v>7878.8235294117621</v>
      </c>
      <c r="BB97" s="482">
        <v>95.781518000000005</v>
      </c>
      <c r="BC97" s="454">
        <v>47.612265999999977</v>
      </c>
      <c r="BD97" s="454">
        <v>105.55811699999992</v>
      </c>
      <c r="BE97" s="454">
        <v>191.00442300000009</v>
      </c>
      <c r="BF97" s="454">
        <v>72.698369999999954</v>
      </c>
      <c r="BG97" s="454">
        <v>60.500154000000066</v>
      </c>
      <c r="BH97" s="454">
        <v>30.31996700000002</v>
      </c>
      <c r="BI97" s="454">
        <v>64.754912999999988</v>
      </c>
      <c r="BJ97" s="454">
        <v>116.31965999999989</v>
      </c>
      <c r="BK97" s="454">
        <v>43.598832999999956</v>
      </c>
      <c r="BL97" s="454">
        <v>439.58443699999953</v>
      </c>
      <c r="BM97" s="454">
        <v>205.77732500000093</v>
      </c>
      <c r="BN97" s="454">
        <v>522.21116900000015</v>
      </c>
      <c r="BO97" s="454">
        <v>1096.4423720000013</v>
      </c>
      <c r="BP97" s="483">
        <v>358.98830199999975</v>
      </c>
    </row>
    <row r="98" spans="2:68">
      <c r="B98" t="s">
        <v>649</v>
      </c>
      <c r="C98" t="s">
        <v>650</v>
      </c>
      <c r="D98" t="s">
        <v>529</v>
      </c>
      <c r="E98">
        <v>10</v>
      </c>
      <c r="F98" t="s">
        <v>514</v>
      </c>
      <c r="G98" t="s">
        <v>651</v>
      </c>
      <c r="H98" t="s">
        <v>649</v>
      </c>
      <c r="I98" s="482">
        <v>0</v>
      </c>
      <c r="J98" s="454">
        <v>144.77203599999939</v>
      </c>
      <c r="K98" s="454">
        <v>102.41176470588243</v>
      </c>
      <c r="L98" s="454">
        <v>0</v>
      </c>
      <c r="M98" s="454">
        <v>158.14188300000023</v>
      </c>
      <c r="N98" s="454">
        <v>113.88235294117658</v>
      </c>
      <c r="O98" s="454">
        <v>0</v>
      </c>
      <c r="P98" s="454">
        <v>291.45680200000061</v>
      </c>
      <c r="Q98" s="454">
        <v>297.29411764705947</v>
      </c>
      <c r="R98" s="454">
        <v>0</v>
      </c>
      <c r="S98" s="454">
        <v>212.8300449999997</v>
      </c>
      <c r="T98" s="454">
        <v>213.70588235294099</v>
      </c>
      <c r="U98" s="454">
        <v>0</v>
      </c>
      <c r="V98" s="454">
        <v>357.0504949999995</v>
      </c>
      <c r="W98" s="454">
        <v>454.05882352941262</v>
      </c>
      <c r="X98" s="454">
        <v>0</v>
      </c>
      <c r="Y98" s="454">
        <v>22.414585000000443</v>
      </c>
      <c r="Z98" s="454">
        <v>172.05882352941171</v>
      </c>
      <c r="AA98" s="454">
        <v>0</v>
      </c>
      <c r="AB98" s="454">
        <v>25.082193000000188</v>
      </c>
      <c r="AC98" s="454">
        <v>198.11764705882388</v>
      </c>
      <c r="AD98" s="454">
        <v>0</v>
      </c>
      <c r="AE98" s="454">
        <v>43.871869999999035</v>
      </c>
      <c r="AF98" s="454">
        <v>542.05882352941262</v>
      </c>
      <c r="AG98" s="454">
        <v>0</v>
      </c>
      <c r="AH98" s="454">
        <v>30.911607000000004</v>
      </c>
      <c r="AI98" s="454">
        <v>371.17647058823513</v>
      </c>
      <c r="AJ98" s="454">
        <v>0</v>
      </c>
      <c r="AK98" s="454">
        <v>50.822645000000193</v>
      </c>
      <c r="AL98" s="454">
        <v>800.70588235294235</v>
      </c>
      <c r="AM98" s="454">
        <v>0</v>
      </c>
      <c r="AN98" s="454">
        <v>51.065242999997281</v>
      </c>
      <c r="AO98" s="454">
        <v>2.999999999998181</v>
      </c>
      <c r="AP98" s="454">
        <v>0</v>
      </c>
      <c r="AQ98" s="454">
        <v>61.104090000000724</v>
      </c>
      <c r="AR98" s="454">
        <v>4</v>
      </c>
      <c r="AS98" s="454">
        <v>0</v>
      </c>
      <c r="AT98" s="454">
        <v>79.69704400000046</v>
      </c>
      <c r="AU98" s="454">
        <v>8.4705882352864137</v>
      </c>
      <c r="AV98" s="454">
        <v>0</v>
      </c>
      <c r="AW98" s="454">
        <v>59.550602000002982</v>
      </c>
      <c r="AX98" s="454">
        <v>5.4705882352936896</v>
      </c>
      <c r="AY98" s="454">
        <v>0</v>
      </c>
      <c r="AZ98" s="454">
        <v>74.065329000004567</v>
      </c>
      <c r="BA98" s="483">
        <v>9.4705882352936896</v>
      </c>
      <c r="BB98" s="482">
        <v>27.916817000000037</v>
      </c>
      <c r="BC98" s="454">
        <v>13.404381999999998</v>
      </c>
      <c r="BD98" s="454">
        <v>35.227363999999966</v>
      </c>
      <c r="BE98" s="454">
        <v>69.282607000000098</v>
      </c>
      <c r="BF98" s="454">
        <v>23.642741999999998</v>
      </c>
      <c r="BG98" s="454">
        <v>86.271335000000022</v>
      </c>
      <c r="BH98" s="454">
        <v>43.997633000000008</v>
      </c>
      <c r="BI98" s="454">
        <v>100.01526899999999</v>
      </c>
      <c r="BJ98" s="454">
        <v>179.62289399999986</v>
      </c>
      <c r="BK98" s="454">
        <v>70.885328999999956</v>
      </c>
      <c r="BL98" s="454">
        <v>6.1021970000001602</v>
      </c>
      <c r="BM98" s="454">
        <v>3.2769960000005085</v>
      </c>
      <c r="BN98" s="454">
        <v>7.304283999999825</v>
      </c>
      <c r="BO98" s="454">
        <v>13.879252999999153</v>
      </c>
      <c r="BP98" s="483">
        <v>5.4831450000001496</v>
      </c>
    </row>
    <row r="99" spans="2:68">
      <c r="B99" t="s">
        <v>653</v>
      </c>
      <c r="C99" t="s">
        <v>654</v>
      </c>
      <c r="D99" t="s">
        <v>529</v>
      </c>
      <c r="E99">
        <v>11</v>
      </c>
      <c r="F99" t="s">
        <v>514</v>
      </c>
      <c r="G99" t="s">
        <v>515</v>
      </c>
      <c r="H99" t="s">
        <v>653</v>
      </c>
      <c r="I99" s="482">
        <v>0</v>
      </c>
      <c r="J99" s="454">
        <v>203.63635299999987</v>
      </c>
      <c r="K99" s="454">
        <v>144.88235294117635</v>
      </c>
      <c r="L99" s="454">
        <v>0</v>
      </c>
      <c r="M99" s="454">
        <v>222.43412200000057</v>
      </c>
      <c r="N99" s="454">
        <v>160.35294117647072</v>
      </c>
      <c r="O99" s="454">
        <v>0</v>
      </c>
      <c r="P99" s="454">
        <v>411.42399000000114</v>
      </c>
      <c r="Q99" s="454">
        <v>422.94117647058829</v>
      </c>
      <c r="R99" s="454">
        <v>0</v>
      </c>
      <c r="S99" s="454">
        <v>300.09646100000009</v>
      </c>
      <c r="T99" s="454">
        <v>301.7647058823527</v>
      </c>
      <c r="U99" s="454">
        <v>0</v>
      </c>
      <c r="V99" s="454">
        <v>504.74117300000034</v>
      </c>
      <c r="W99" s="454">
        <v>646.94117647058829</v>
      </c>
      <c r="X99" s="454">
        <v>0</v>
      </c>
      <c r="Y99" s="454">
        <v>31.869279000000461</v>
      </c>
      <c r="Z99" s="454">
        <v>241.58823529411757</v>
      </c>
      <c r="AA99" s="454">
        <v>0</v>
      </c>
      <c r="AB99" s="454">
        <v>35.656565999999657</v>
      </c>
      <c r="AC99" s="454">
        <v>277.11764705882388</v>
      </c>
      <c r="AD99" s="454">
        <v>0</v>
      </c>
      <c r="AE99" s="454">
        <v>62.430548999998791</v>
      </c>
      <c r="AF99" s="454">
        <v>751.64705882352973</v>
      </c>
      <c r="AG99" s="454">
        <v>0</v>
      </c>
      <c r="AH99" s="454">
        <v>43.993019999999888</v>
      </c>
      <c r="AI99" s="454">
        <v>515.05882352941171</v>
      </c>
      <c r="AJ99" s="454">
        <v>0</v>
      </c>
      <c r="AK99" s="454">
        <v>72.38066599999911</v>
      </c>
      <c r="AL99" s="454">
        <v>1109.9411764705892</v>
      </c>
      <c r="AM99" s="454">
        <v>0</v>
      </c>
      <c r="AN99" s="454">
        <v>68.390613999996276</v>
      </c>
      <c r="AO99" s="454">
        <v>3.4705882352936896</v>
      </c>
      <c r="AP99" s="454">
        <v>0</v>
      </c>
      <c r="AQ99" s="454">
        <v>81.831983999996737</v>
      </c>
      <c r="AR99" s="454">
        <v>5</v>
      </c>
      <c r="AS99" s="454">
        <v>0</v>
      </c>
      <c r="AT99" s="454">
        <v>106.75449399999343</v>
      </c>
      <c r="AU99" s="454">
        <v>11.470588235286414</v>
      </c>
      <c r="AV99" s="454">
        <v>0</v>
      </c>
      <c r="AW99" s="454">
        <v>79.764276000001701</v>
      </c>
      <c r="AX99" s="454">
        <v>7.4705882352936896</v>
      </c>
      <c r="AY99" s="454">
        <v>0</v>
      </c>
      <c r="AZ99" s="454">
        <v>99.211389000003692</v>
      </c>
      <c r="BA99" s="483">
        <v>12.47058823529369</v>
      </c>
      <c r="BB99" s="482">
        <v>39.197112000000061</v>
      </c>
      <c r="BC99" s="454">
        <v>18.826286000000039</v>
      </c>
      <c r="BD99" s="454">
        <v>49.356357000000003</v>
      </c>
      <c r="BE99" s="454">
        <v>96.911346999999978</v>
      </c>
      <c r="BF99" s="454">
        <v>33.164972000000034</v>
      </c>
      <c r="BG99" s="454">
        <v>120.45212700000002</v>
      </c>
      <c r="BH99" s="454">
        <v>61.16928200000001</v>
      </c>
      <c r="BI99" s="454">
        <v>138.81406000000004</v>
      </c>
      <c r="BJ99" s="454">
        <v>253.75018099999988</v>
      </c>
      <c r="BK99" s="454">
        <v>97.980760999999973</v>
      </c>
      <c r="BL99" s="454">
        <v>8.1636350000007951</v>
      </c>
      <c r="BM99" s="454">
        <v>4.3835760000001756</v>
      </c>
      <c r="BN99" s="454">
        <v>9.7688890000008541</v>
      </c>
      <c r="BO99" s="454">
        <v>18.562626999999338</v>
      </c>
      <c r="BP99" s="483">
        <v>7.3339450000003126</v>
      </c>
    </row>
    <row r="100" spans="2:68">
      <c r="B100" t="s">
        <v>656</v>
      </c>
      <c r="C100" t="s">
        <v>657</v>
      </c>
      <c r="D100" t="s">
        <v>529</v>
      </c>
      <c r="E100">
        <v>12</v>
      </c>
      <c r="F100" t="s">
        <v>651</v>
      </c>
      <c r="G100" t="s">
        <v>515</v>
      </c>
      <c r="H100" t="s">
        <v>656</v>
      </c>
      <c r="I100" s="482">
        <v>0</v>
      </c>
      <c r="J100" s="454">
        <v>58.864317000000483</v>
      </c>
      <c r="K100" s="454">
        <v>42.470588235293917</v>
      </c>
      <c r="L100" s="454">
        <v>0</v>
      </c>
      <c r="M100" s="454">
        <v>64.292239000000336</v>
      </c>
      <c r="N100" s="454">
        <v>46.470588235294144</v>
      </c>
      <c r="O100" s="454">
        <v>0</v>
      </c>
      <c r="P100" s="454">
        <v>119.96718800000053</v>
      </c>
      <c r="Q100" s="454">
        <v>125.64705882352882</v>
      </c>
      <c r="R100" s="454">
        <v>0</v>
      </c>
      <c r="S100" s="454">
        <v>87.26641600000039</v>
      </c>
      <c r="T100" s="454">
        <v>88.058823529411711</v>
      </c>
      <c r="U100" s="454">
        <v>0</v>
      </c>
      <c r="V100" s="454">
        <v>147.69067800000084</v>
      </c>
      <c r="W100" s="454">
        <v>192.88235294117567</v>
      </c>
      <c r="X100" s="454">
        <v>0</v>
      </c>
      <c r="Y100" s="454">
        <v>9.4546940000000177</v>
      </c>
      <c r="Z100" s="454">
        <v>69.529411764705856</v>
      </c>
      <c r="AA100" s="454">
        <v>0</v>
      </c>
      <c r="AB100" s="454">
        <v>10.574372999999468</v>
      </c>
      <c r="AC100" s="454">
        <v>79</v>
      </c>
      <c r="AD100" s="454">
        <v>0</v>
      </c>
      <c r="AE100" s="454">
        <v>18.558678999999756</v>
      </c>
      <c r="AF100" s="454">
        <v>209.58823529411711</v>
      </c>
      <c r="AG100" s="454">
        <v>0</v>
      </c>
      <c r="AH100" s="454">
        <v>13.081412999999884</v>
      </c>
      <c r="AI100" s="454">
        <v>143.88235294117658</v>
      </c>
      <c r="AJ100" s="454">
        <v>0</v>
      </c>
      <c r="AK100" s="454">
        <v>21.558020999998917</v>
      </c>
      <c r="AL100" s="454">
        <v>309.23529411764684</v>
      </c>
      <c r="AM100" s="454">
        <v>0</v>
      </c>
      <c r="AN100" s="454">
        <v>17.325370999998995</v>
      </c>
      <c r="AO100" s="454">
        <v>0.47058823529550864</v>
      </c>
      <c r="AP100" s="454">
        <v>0</v>
      </c>
      <c r="AQ100" s="454">
        <v>20.727893999996013</v>
      </c>
      <c r="AR100" s="454">
        <v>1</v>
      </c>
      <c r="AS100" s="454">
        <v>0</v>
      </c>
      <c r="AT100" s="454">
        <v>27.057449999992969</v>
      </c>
      <c r="AU100" s="454">
        <v>3</v>
      </c>
      <c r="AV100" s="454">
        <v>0</v>
      </c>
      <c r="AW100" s="454">
        <v>20.213673999998719</v>
      </c>
      <c r="AX100" s="454">
        <v>2</v>
      </c>
      <c r="AY100" s="454">
        <v>0</v>
      </c>
      <c r="AZ100" s="454">
        <v>25.146059999999125</v>
      </c>
      <c r="BA100" s="483">
        <v>3</v>
      </c>
      <c r="BB100" s="482">
        <v>11.280295000000024</v>
      </c>
      <c r="BC100" s="454">
        <v>5.4219040000000405</v>
      </c>
      <c r="BD100" s="454">
        <v>14.128993000000037</v>
      </c>
      <c r="BE100" s="454">
        <v>27.62873999999988</v>
      </c>
      <c r="BF100" s="454">
        <v>9.5222300000000359</v>
      </c>
      <c r="BG100" s="454">
        <v>34.180791999999997</v>
      </c>
      <c r="BH100" s="454">
        <v>17.171649000000002</v>
      </c>
      <c r="BI100" s="454">
        <v>38.798791000000051</v>
      </c>
      <c r="BJ100" s="454">
        <v>74.127287000000024</v>
      </c>
      <c r="BK100" s="454">
        <v>27.095432000000017</v>
      </c>
      <c r="BL100" s="454">
        <v>2.0614380000006349</v>
      </c>
      <c r="BM100" s="454">
        <v>1.1065799999996671</v>
      </c>
      <c r="BN100" s="454">
        <v>2.4646050000010291</v>
      </c>
      <c r="BO100" s="454">
        <v>4.6833740000001853</v>
      </c>
      <c r="BP100" s="483">
        <v>1.850800000000163</v>
      </c>
    </row>
    <row r="101" spans="2:68">
      <c r="B101" t="s">
        <v>659</v>
      </c>
      <c r="C101" t="s">
        <v>660</v>
      </c>
      <c r="D101" t="s">
        <v>530</v>
      </c>
      <c r="E101">
        <v>10</v>
      </c>
      <c r="F101" t="s">
        <v>661</v>
      </c>
      <c r="G101" t="s">
        <v>662</v>
      </c>
      <c r="H101" t="s">
        <v>659</v>
      </c>
      <c r="I101" s="482">
        <v>0</v>
      </c>
      <c r="J101" s="454">
        <v>0</v>
      </c>
      <c r="K101" s="454">
        <v>191.20049656226092</v>
      </c>
      <c r="L101" s="454">
        <v>0</v>
      </c>
      <c r="M101" s="454">
        <v>0</v>
      </c>
      <c r="N101" s="454">
        <v>206.0549656226126</v>
      </c>
      <c r="O101" s="454">
        <v>0</v>
      </c>
      <c r="P101" s="454">
        <v>0</v>
      </c>
      <c r="Q101" s="454">
        <v>273.31810542398762</v>
      </c>
      <c r="R101" s="454">
        <v>0</v>
      </c>
      <c r="S101" s="454">
        <v>0</v>
      </c>
      <c r="T101" s="454">
        <v>206.58197097020638</v>
      </c>
      <c r="U101" s="454">
        <v>0</v>
      </c>
      <c r="V101" s="454">
        <v>0</v>
      </c>
      <c r="W101" s="454">
        <v>274.51031321619485</v>
      </c>
      <c r="X101" s="454">
        <v>0</v>
      </c>
      <c r="Y101" s="454">
        <v>0</v>
      </c>
      <c r="Z101" s="454">
        <v>194.08785332314756</v>
      </c>
      <c r="AA101" s="454">
        <v>0</v>
      </c>
      <c r="AB101" s="454">
        <v>0</v>
      </c>
      <c r="AC101" s="454">
        <v>209.51848739495745</v>
      </c>
      <c r="AD101" s="454">
        <v>0</v>
      </c>
      <c r="AE101" s="454">
        <v>0</v>
      </c>
      <c r="AF101" s="454">
        <v>249.53789152024456</v>
      </c>
      <c r="AG101" s="454">
        <v>0</v>
      </c>
      <c r="AH101" s="454">
        <v>0</v>
      </c>
      <c r="AI101" s="454">
        <v>195.09511077158095</v>
      </c>
      <c r="AJ101" s="454">
        <v>0</v>
      </c>
      <c r="AK101" s="454">
        <v>0</v>
      </c>
      <c r="AL101" s="454">
        <v>238.3886172650873</v>
      </c>
      <c r="AM101" s="454">
        <v>0</v>
      </c>
      <c r="AN101" s="454">
        <v>0</v>
      </c>
      <c r="AO101" s="454">
        <v>2177.8972116119148</v>
      </c>
      <c r="AP101" s="454">
        <v>0</v>
      </c>
      <c r="AQ101" s="454">
        <v>0</v>
      </c>
      <c r="AR101" s="454">
        <v>2351.8921695951103</v>
      </c>
      <c r="AS101" s="454">
        <v>0</v>
      </c>
      <c r="AT101" s="454">
        <v>0</v>
      </c>
      <c r="AU101" s="454">
        <v>4010.3608097784454</v>
      </c>
      <c r="AV101" s="454">
        <v>0</v>
      </c>
      <c r="AW101" s="454">
        <v>0</v>
      </c>
      <c r="AX101" s="454">
        <v>2771.0590909090897</v>
      </c>
      <c r="AY101" s="454">
        <v>0</v>
      </c>
      <c r="AZ101" s="454">
        <v>0</v>
      </c>
      <c r="BA101" s="483">
        <v>4462.44201680673</v>
      </c>
      <c r="BB101" s="482">
        <v>0</v>
      </c>
      <c r="BC101" s="454">
        <v>0</v>
      </c>
      <c r="BD101" s="454">
        <v>0</v>
      </c>
      <c r="BE101" s="454">
        <v>0</v>
      </c>
      <c r="BF101" s="454">
        <v>0</v>
      </c>
      <c r="BG101" s="454">
        <v>0</v>
      </c>
      <c r="BH101" s="454">
        <v>0</v>
      </c>
      <c r="BI101" s="454">
        <v>0</v>
      </c>
      <c r="BJ101" s="454">
        <v>0</v>
      </c>
      <c r="BK101" s="454">
        <v>0</v>
      </c>
      <c r="BL101" s="454">
        <v>0</v>
      </c>
      <c r="BM101" s="454">
        <v>0</v>
      </c>
      <c r="BN101" s="454">
        <v>0</v>
      </c>
      <c r="BO101" s="454">
        <v>0</v>
      </c>
      <c r="BP101" s="483">
        <v>0</v>
      </c>
    </row>
    <row r="102" spans="2:68">
      <c r="B102" t="s">
        <v>664</v>
      </c>
      <c r="C102" t="s">
        <v>665</v>
      </c>
      <c r="D102" t="s">
        <v>530</v>
      </c>
      <c r="E102">
        <v>11</v>
      </c>
      <c r="F102" t="s">
        <v>661</v>
      </c>
      <c r="G102" t="s">
        <v>666</v>
      </c>
      <c r="H102" t="s">
        <v>664</v>
      </c>
      <c r="I102" s="482">
        <v>0</v>
      </c>
      <c r="J102" s="454">
        <v>0</v>
      </c>
      <c r="K102" s="454">
        <v>276.42402597402565</v>
      </c>
      <c r="L102" s="454">
        <v>0</v>
      </c>
      <c r="M102" s="454">
        <v>0</v>
      </c>
      <c r="N102" s="454">
        <v>297.89025974025981</v>
      </c>
      <c r="O102" s="454">
        <v>0</v>
      </c>
      <c r="P102" s="454">
        <v>0</v>
      </c>
      <c r="Q102" s="454">
        <v>396.32987012986996</v>
      </c>
      <c r="R102" s="454">
        <v>0</v>
      </c>
      <c r="S102" s="454">
        <v>0</v>
      </c>
      <c r="T102" s="454">
        <v>299.75844155844152</v>
      </c>
      <c r="U102" s="454">
        <v>0</v>
      </c>
      <c r="V102" s="454">
        <v>0</v>
      </c>
      <c r="W102" s="454">
        <v>389.12207792207664</v>
      </c>
      <c r="X102" s="454">
        <v>0</v>
      </c>
      <c r="Y102" s="454">
        <v>0</v>
      </c>
      <c r="Z102" s="454">
        <v>279.75844155844152</v>
      </c>
      <c r="AA102" s="454">
        <v>0</v>
      </c>
      <c r="AB102" s="454">
        <v>0</v>
      </c>
      <c r="AC102" s="454">
        <v>301.47142857142808</v>
      </c>
      <c r="AD102" s="454">
        <v>0</v>
      </c>
      <c r="AE102" s="454">
        <v>0</v>
      </c>
      <c r="AF102" s="454">
        <v>348.90259740259717</v>
      </c>
      <c r="AG102" s="454">
        <v>0</v>
      </c>
      <c r="AH102" s="454">
        <v>0</v>
      </c>
      <c r="AI102" s="454">
        <v>277.04805194805249</v>
      </c>
      <c r="AJ102" s="454">
        <v>0</v>
      </c>
      <c r="AK102" s="454">
        <v>0</v>
      </c>
      <c r="AL102" s="454">
        <v>318.74155844155757</v>
      </c>
      <c r="AM102" s="454">
        <v>0</v>
      </c>
      <c r="AN102" s="454">
        <v>0</v>
      </c>
      <c r="AO102" s="454">
        <v>3207.0266233766215</v>
      </c>
      <c r="AP102" s="454">
        <v>0</v>
      </c>
      <c r="AQ102" s="454">
        <v>0</v>
      </c>
      <c r="AR102" s="454">
        <v>3464.198051948053</v>
      </c>
      <c r="AS102" s="454">
        <v>0</v>
      </c>
      <c r="AT102" s="454">
        <v>0</v>
      </c>
      <c r="AU102" s="454">
        <v>6075.796103896093</v>
      </c>
      <c r="AV102" s="454">
        <v>0</v>
      </c>
      <c r="AW102" s="454">
        <v>0</v>
      </c>
      <c r="AX102" s="454">
        <v>4190.6590909090883</v>
      </c>
      <c r="AY102" s="454">
        <v>0</v>
      </c>
      <c r="AZ102" s="454">
        <v>0</v>
      </c>
      <c r="BA102" s="483">
        <v>6793.971428571429</v>
      </c>
      <c r="BB102" s="482">
        <v>71.225335428571384</v>
      </c>
      <c r="BC102" s="454">
        <v>37.454662714285689</v>
      </c>
      <c r="BD102" s="454">
        <v>66.666012928571377</v>
      </c>
      <c r="BE102" s="454">
        <v>110.32591557142848</v>
      </c>
      <c r="BF102" s="454">
        <v>46.931150964285678</v>
      </c>
      <c r="BG102" s="454">
        <v>65.070449107142849</v>
      </c>
      <c r="BH102" s="454">
        <v>32.33796064285707</v>
      </c>
      <c r="BI102" s="454">
        <v>58.925424392857053</v>
      </c>
      <c r="BJ102" s="454">
        <v>105.68593999999996</v>
      </c>
      <c r="BK102" s="454">
        <v>38.846322071428574</v>
      </c>
      <c r="BL102" s="454">
        <v>1563.2787978214274</v>
      </c>
      <c r="BM102" s="454">
        <v>1021.5287423571426</v>
      </c>
      <c r="BN102" s="454">
        <v>1377.2477121785705</v>
      </c>
      <c r="BO102" s="454">
        <v>2091.6236742857145</v>
      </c>
      <c r="BP102" s="483">
        <v>1079.9138510714274</v>
      </c>
    </row>
    <row r="103" spans="2:68">
      <c r="B103" t="s">
        <v>668</v>
      </c>
      <c r="C103" t="s">
        <v>669</v>
      </c>
      <c r="D103" t="s">
        <v>530</v>
      </c>
      <c r="E103">
        <v>12</v>
      </c>
      <c r="F103" t="s">
        <v>661</v>
      </c>
      <c r="G103" t="s">
        <v>670</v>
      </c>
      <c r="H103" t="s">
        <v>668</v>
      </c>
      <c r="I103" s="482">
        <v>0</v>
      </c>
      <c r="J103" s="454">
        <v>0</v>
      </c>
      <c r="K103" s="454">
        <v>135.07768451061065</v>
      </c>
      <c r="L103" s="454">
        <v>0</v>
      </c>
      <c r="M103" s="454">
        <v>0</v>
      </c>
      <c r="N103" s="454">
        <v>145.57806461830796</v>
      </c>
      <c r="O103" s="454">
        <v>0</v>
      </c>
      <c r="P103" s="454">
        <v>0</v>
      </c>
      <c r="Q103" s="454">
        <v>192.31035793474712</v>
      </c>
      <c r="R103" s="454">
        <v>0</v>
      </c>
      <c r="S103" s="454">
        <v>0</v>
      </c>
      <c r="T103" s="454">
        <v>145.22185619258789</v>
      </c>
      <c r="U103" s="454">
        <v>0</v>
      </c>
      <c r="V103" s="454">
        <v>0</v>
      </c>
      <c r="W103" s="454">
        <v>199.03427304402794</v>
      </c>
      <c r="X103" s="454">
        <v>0</v>
      </c>
      <c r="Y103" s="454">
        <v>0</v>
      </c>
      <c r="Z103" s="454">
        <v>137.67063668039236</v>
      </c>
      <c r="AA103" s="454">
        <v>0</v>
      </c>
      <c r="AB103" s="454">
        <v>0</v>
      </c>
      <c r="AC103" s="454">
        <v>148.96411149825735</v>
      </c>
      <c r="AD103" s="454">
        <v>0</v>
      </c>
      <c r="AE103" s="454">
        <v>0</v>
      </c>
      <c r="AF103" s="454">
        <v>184.10259740259789</v>
      </c>
      <c r="AG103" s="454">
        <v>0</v>
      </c>
      <c r="AH103" s="454">
        <v>0</v>
      </c>
      <c r="AI103" s="454">
        <v>141.12610072854022</v>
      </c>
      <c r="AJ103" s="454">
        <v>0</v>
      </c>
      <c r="AK103" s="454">
        <v>0</v>
      </c>
      <c r="AL103" s="454">
        <v>185.4732657586319</v>
      </c>
      <c r="AM103" s="454">
        <v>0</v>
      </c>
      <c r="AN103" s="454">
        <v>0</v>
      </c>
      <c r="AO103" s="454">
        <v>1500.1778428888138</v>
      </c>
      <c r="AP103" s="454">
        <v>0</v>
      </c>
      <c r="AQ103" s="454">
        <v>0</v>
      </c>
      <c r="AR103" s="454">
        <v>1619.3980519480501</v>
      </c>
      <c r="AS103" s="454">
        <v>0</v>
      </c>
      <c r="AT103" s="454">
        <v>0</v>
      </c>
      <c r="AU103" s="454">
        <v>2650.1961038960872</v>
      </c>
      <c r="AV103" s="454">
        <v>0</v>
      </c>
      <c r="AW103" s="454">
        <v>0</v>
      </c>
      <c r="AX103" s="454">
        <v>1836.2005543237174</v>
      </c>
      <c r="AY103" s="454">
        <v>0</v>
      </c>
      <c r="AZ103" s="454">
        <v>0</v>
      </c>
      <c r="BA103" s="483">
        <v>2927.0445993031317</v>
      </c>
      <c r="BB103" s="482">
        <v>0</v>
      </c>
      <c r="BC103" s="454">
        <v>0</v>
      </c>
      <c r="BD103" s="454">
        <v>0</v>
      </c>
      <c r="BE103" s="454">
        <v>0</v>
      </c>
      <c r="BF103" s="454">
        <v>0</v>
      </c>
      <c r="BG103" s="454">
        <v>0</v>
      </c>
      <c r="BH103" s="454">
        <v>0</v>
      </c>
      <c r="BI103" s="454">
        <v>0</v>
      </c>
      <c r="BJ103" s="454">
        <v>0</v>
      </c>
      <c r="BK103" s="454">
        <v>0</v>
      </c>
      <c r="BL103" s="454">
        <v>0</v>
      </c>
      <c r="BM103" s="454">
        <v>0</v>
      </c>
      <c r="BN103" s="454">
        <v>0</v>
      </c>
      <c r="BO103" s="454">
        <v>0</v>
      </c>
      <c r="BP103" s="483">
        <v>0</v>
      </c>
    </row>
    <row r="104" spans="2:68" ht="13.5" thickBot="1">
      <c r="B104" t="s">
        <v>672</v>
      </c>
      <c r="C104" t="s">
        <v>673</v>
      </c>
      <c r="D104" t="s">
        <v>531</v>
      </c>
      <c r="E104">
        <v>10</v>
      </c>
      <c r="F104" t="s">
        <v>674</v>
      </c>
      <c r="G104" t="s">
        <v>176</v>
      </c>
      <c r="H104" t="s">
        <v>672</v>
      </c>
      <c r="I104" s="484">
        <v>0</v>
      </c>
      <c r="J104" s="461">
        <v>0</v>
      </c>
      <c r="K104" s="461">
        <v>392.35000000000014</v>
      </c>
      <c r="L104" s="461">
        <v>0</v>
      </c>
      <c r="M104" s="461">
        <v>0</v>
      </c>
      <c r="N104" s="461">
        <v>439.24117647058824</v>
      </c>
      <c r="O104" s="461">
        <v>0</v>
      </c>
      <c r="P104" s="461">
        <v>0</v>
      </c>
      <c r="Q104" s="461">
        <v>1428.5264705882355</v>
      </c>
      <c r="R104" s="461">
        <v>0</v>
      </c>
      <c r="S104" s="461">
        <v>0</v>
      </c>
      <c r="T104" s="461">
        <v>944.30294117647009</v>
      </c>
      <c r="U104" s="461">
        <v>0</v>
      </c>
      <c r="V104" s="461">
        <v>0</v>
      </c>
      <c r="W104" s="461">
        <v>2034.873529411765</v>
      </c>
      <c r="X104" s="461">
        <v>0</v>
      </c>
      <c r="Y104" s="461">
        <v>0</v>
      </c>
      <c r="Z104" s="461">
        <v>461.46176470588216</v>
      </c>
      <c r="AA104" s="461">
        <v>0</v>
      </c>
      <c r="AB104" s="461">
        <v>0</v>
      </c>
      <c r="AC104" s="461">
        <v>516.78235294117667</v>
      </c>
      <c r="AD104" s="461">
        <v>0</v>
      </c>
      <c r="AE104" s="461">
        <v>0</v>
      </c>
      <c r="AF104" s="461">
        <v>1657.7294117647061</v>
      </c>
      <c r="AG104" s="461">
        <v>0</v>
      </c>
      <c r="AH104" s="461">
        <v>0</v>
      </c>
      <c r="AI104" s="461">
        <v>1100.8441176470596</v>
      </c>
      <c r="AJ104" s="461">
        <v>0</v>
      </c>
      <c r="AK104" s="461">
        <v>0</v>
      </c>
      <c r="AL104" s="461">
        <v>2293.5470588235294</v>
      </c>
      <c r="AM104" s="461">
        <v>0</v>
      </c>
      <c r="AN104" s="461">
        <v>0</v>
      </c>
      <c r="AO104" s="461">
        <v>490.32647058823568</v>
      </c>
      <c r="AP104" s="461">
        <v>0</v>
      </c>
      <c r="AQ104" s="461">
        <v>0</v>
      </c>
      <c r="AR104" s="461">
        <v>634.60000000000218</v>
      </c>
      <c r="AS104" s="461">
        <v>0</v>
      </c>
      <c r="AT104" s="461">
        <v>0</v>
      </c>
      <c r="AU104" s="461">
        <v>5669.6176470588252</v>
      </c>
      <c r="AV104" s="461">
        <v>0</v>
      </c>
      <c r="AW104" s="461">
        <v>0</v>
      </c>
      <c r="AX104" s="461">
        <v>3332.3647058823517</v>
      </c>
      <c r="AY104" s="461">
        <v>0</v>
      </c>
      <c r="AZ104" s="461">
        <v>0</v>
      </c>
      <c r="BA104" s="485">
        <v>9489.5382352941087</v>
      </c>
      <c r="BB104" s="484">
        <v>-2.1878609999999981</v>
      </c>
      <c r="BC104" s="461">
        <v>-0.45023700000001554</v>
      </c>
      <c r="BD104" s="461">
        <v>2.8485419999999522</v>
      </c>
      <c r="BE104" s="461">
        <v>5.4018100000000686</v>
      </c>
      <c r="BF104" s="461">
        <v>1.1053539999999771</v>
      </c>
      <c r="BG104" s="461">
        <v>9.636455000000069</v>
      </c>
      <c r="BH104" s="461">
        <v>6.3290979999999877</v>
      </c>
      <c r="BI104" s="461">
        <v>16.45182299999999</v>
      </c>
      <c r="BJ104" s="461">
        <v>20.427357000000029</v>
      </c>
      <c r="BK104" s="461">
        <v>11.715237000000002</v>
      </c>
      <c r="BL104" s="461">
        <v>-148.34178000000065</v>
      </c>
      <c r="BM104" s="461">
        <v>-77.600135999999111</v>
      </c>
      <c r="BN104" s="461">
        <v>-84.957833000000392</v>
      </c>
      <c r="BO104" s="461">
        <v>-123.85993299999973</v>
      </c>
      <c r="BP104" s="485">
        <v>-85.319770999998582</v>
      </c>
    </row>
    <row r="107" spans="2:68">
      <c r="B107" s="347" t="s">
        <v>526</v>
      </c>
      <c r="C107" s="347" t="s">
        <v>513</v>
      </c>
      <c r="D107" s="347" t="s">
        <v>520</v>
      </c>
      <c r="E107" s="347" t="s">
        <v>524</v>
      </c>
      <c r="F107" s="347" t="s">
        <v>527</v>
      </c>
      <c r="G107" s="347" t="s">
        <v>174</v>
      </c>
      <c r="H107" s="347" t="s">
        <v>58</v>
      </c>
      <c r="I107" s="347" t="s">
        <v>528</v>
      </c>
      <c r="J107" s="347" t="s">
        <v>529</v>
      </c>
      <c r="K107" s="347" t="s">
        <v>530</v>
      </c>
      <c r="L107" s="347" t="s">
        <v>531</v>
      </c>
    </row>
    <row r="108" spans="2:68">
      <c r="B108" s="347" t="s">
        <v>1108</v>
      </c>
      <c r="C108" s="251">
        <v>1258.75</v>
      </c>
      <c r="D108" s="249">
        <v>1</v>
      </c>
      <c r="E108" s="250">
        <v>500</v>
      </c>
      <c r="F108" s="251">
        <v>500</v>
      </c>
      <c r="G108" s="251">
        <v>195</v>
      </c>
      <c r="H108" s="249">
        <v>1500</v>
      </c>
      <c r="I108" s="249">
        <v>1</v>
      </c>
      <c r="J108" s="249">
        <v>1</v>
      </c>
      <c r="K108" s="249">
        <v>1</v>
      </c>
      <c r="L108" s="249">
        <v>1</v>
      </c>
    </row>
    <row r="109" spans="2:68" ht="15">
      <c r="B109" s="347" t="s">
        <v>1109</v>
      </c>
      <c r="C109" s="251">
        <v>1258.75</v>
      </c>
      <c r="D109" s="249">
        <v>1</v>
      </c>
      <c r="E109" s="486">
        <v>500</v>
      </c>
      <c r="F109" s="251">
        <v>500</v>
      </c>
      <c r="G109" s="251">
        <v>195</v>
      </c>
      <c r="H109" s="249">
        <v>1500</v>
      </c>
      <c r="I109" s="249">
        <v>1</v>
      </c>
      <c r="J109" s="249">
        <v>1</v>
      </c>
      <c r="K109" s="249">
        <v>1</v>
      </c>
      <c r="L109" s="249">
        <v>1</v>
      </c>
    </row>
    <row r="110" spans="2:68">
      <c r="B110" s="347">
        <v>1000</v>
      </c>
      <c r="C110" s="251">
        <v>10152</v>
      </c>
      <c r="D110" s="249">
        <v>1</v>
      </c>
      <c r="E110" s="250">
        <v>8800</v>
      </c>
      <c r="F110" s="251">
        <v>8800</v>
      </c>
      <c r="G110" s="251">
        <v>3960</v>
      </c>
      <c r="H110" s="249">
        <v>26400</v>
      </c>
      <c r="I110" s="249">
        <v>1</v>
      </c>
      <c r="J110" s="249">
        <v>1</v>
      </c>
      <c r="K110" s="249">
        <v>1</v>
      </c>
      <c r="L110" s="249">
        <v>1</v>
      </c>
    </row>
    <row r="111" spans="2:68" ht="13.5" thickBot="1"/>
    <row r="112" spans="2:68" ht="13.5" thickBot="1">
      <c r="I112" s="465" t="s">
        <v>509</v>
      </c>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c r="AP112" s="466"/>
      <c r="AQ112" s="466"/>
      <c r="AR112" s="466"/>
      <c r="AS112" s="466"/>
      <c r="AT112" s="466"/>
      <c r="AU112" s="466"/>
      <c r="AV112" s="466"/>
      <c r="AW112" s="466"/>
      <c r="AX112" s="466"/>
      <c r="AY112" s="466"/>
      <c r="AZ112" s="466"/>
      <c r="BA112" s="467"/>
      <c r="BB112" s="468" t="s">
        <v>510</v>
      </c>
      <c r="BC112" s="469"/>
      <c r="BD112" s="469"/>
      <c r="BE112" s="469"/>
      <c r="BF112" s="469"/>
      <c r="BG112" s="469"/>
      <c r="BH112" s="469"/>
      <c r="BI112" s="469"/>
      <c r="BJ112" s="469"/>
      <c r="BK112" s="469"/>
      <c r="BL112" s="469"/>
      <c r="BM112" s="469"/>
      <c r="BN112" s="469"/>
      <c r="BO112" s="469"/>
      <c r="BP112" s="470"/>
    </row>
    <row r="113" spans="2:68" ht="47.25" thickBot="1">
      <c r="B113" s="471" t="s">
        <v>1182</v>
      </c>
      <c r="I113" s="472" t="s">
        <v>1108</v>
      </c>
      <c r="J113" s="473" t="s">
        <v>1108</v>
      </c>
      <c r="K113" s="474" t="s">
        <v>1108</v>
      </c>
      <c r="L113" s="473" t="s">
        <v>1108</v>
      </c>
      <c r="M113" s="473" t="s">
        <v>1108</v>
      </c>
      <c r="N113" s="473" t="s">
        <v>1108</v>
      </c>
      <c r="O113" s="473" t="s">
        <v>1108</v>
      </c>
      <c r="P113" s="473" t="s">
        <v>1108</v>
      </c>
      <c r="Q113" s="473" t="s">
        <v>1108</v>
      </c>
      <c r="R113" s="473" t="s">
        <v>1108</v>
      </c>
      <c r="S113" s="473" t="s">
        <v>1108</v>
      </c>
      <c r="T113" s="473" t="s">
        <v>1108</v>
      </c>
      <c r="U113" s="473" t="s">
        <v>1108</v>
      </c>
      <c r="V113" s="473" t="s">
        <v>1108</v>
      </c>
      <c r="W113" s="473" t="s">
        <v>1108</v>
      </c>
      <c r="X113" s="473" t="s">
        <v>1109</v>
      </c>
      <c r="Y113" s="473" t="s">
        <v>1109</v>
      </c>
      <c r="Z113" s="473" t="s">
        <v>1109</v>
      </c>
      <c r="AA113" s="473" t="s">
        <v>1109</v>
      </c>
      <c r="AB113" s="473" t="s">
        <v>1109</v>
      </c>
      <c r="AC113" s="473" t="s">
        <v>1109</v>
      </c>
      <c r="AD113" s="473" t="s">
        <v>1109</v>
      </c>
      <c r="AE113" s="473" t="s">
        <v>1109</v>
      </c>
      <c r="AF113" s="473" t="s">
        <v>1109</v>
      </c>
      <c r="AG113" s="473" t="s">
        <v>1109</v>
      </c>
      <c r="AH113" s="473" t="s">
        <v>1109</v>
      </c>
      <c r="AI113" s="473" t="s">
        <v>1109</v>
      </c>
      <c r="AJ113" s="473" t="s">
        <v>1109</v>
      </c>
      <c r="AK113" s="473" t="s">
        <v>1109</v>
      </c>
      <c r="AL113" s="473" t="s">
        <v>1109</v>
      </c>
      <c r="AM113" s="473">
        <v>1000</v>
      </c>
      <c r="AN113" s="473">
        <v>1000</v>
      </c>
      <c r="AO113" s="473">
        <v>1000</v>
      </c>
      <c r="AP113" s="473">
        <v>1000</v>
      </c>
      <c r="AQ113" s="473">
        <v>1000</v>
      </c>
      <c r="AR113" s="473">
        <v>1000</v>
      </c>
      <c r="AS113" s="473">
        <v>1000</v>
      </c>
      <c r="AT113" s="473">
        <v>1000</v>
      </c>
      <c r="AU113" s="473">
        <v>1000</v>
      </c>
      <c r="AV113" s="473">
        <v>1000</v>
      </c>
      <c r="AW113" s="473">
        <v>1000</v>
      </c>
      <c r="AX113" s="473">
        <v>1000</v>
      </c>
      <c r="AY113" s="473">
        <v>1000</v>
      </c>
      <c r="AZ113" s="473">
        <v>1000</v>
      </c>
      <c r="BA113" s="474">
        <v>1000</v>
      </c>
      <c r="BB113" s="472" t="s">
        <v>1108</v>
      </c>
      <c r="BC113" s="473" t="s">
        <v>1108</v>
      </c>
      <c r="BD113" s="473" t="s">
        <v>1108</v>
      </c>
      <c r="BE113" s="473" t="s">
        <v>1108</v>
      </c>
      <c r="BF113" s="473" t="s">
        <v>1108</v>
      </c>
      <c r="BG113" s="473" t="s">
        <v>1109</v>
      </c>
      <c r="BH113" s="473" t="s">
        <v>1109</v>
      </c>
      <c r="BI113" s="473" t="s">
        <v>1109</v>
      </c>
      <c r="BJ113" s="473" t="s">
        <v>1109</v>
      </c>
      <c r="BK113" s="473" t="s">
        <v>1109</v>
      </c>
      <c r="BL113" s="473">
        <v>1000</v>
      </c>
      <c r="BM113" s="473">
        <v>1000</v>
      </c>
      <c r="BN113" s="473">
        <v>1000</v>
      </c>
      <c r="BO113" s="473">
        <v>1000</v>
      </c>
      <c r="BP113" s="474">
        <v>1000</v>
      </c>
    </row>
    <row r="114" spans="2:68">
      <c r="I114" s="373" t="s">
        <v>1110</v>
      </c>
      <c r="J114" s="374" t="s">
        <v>1110</v>
      </c>
      <c r="K114" s="376" t="s">
        <v>1110</v>
      </c>
      <c r="L114" s="377" t="s">
        <v>1111</v>
      </c>
      <c r="M114" s="378" t="s">
        <v>1111</v>
      </c>
      <c r="N114" s="379" t="s">
        <v>1111</v>
      </c>
      <c r="O114" s="381" t="s">
        <v>1112</v>
      </c>
      <c r="P114" s="382" t="s">
        <v>1112</v>
      </c>
      <c r="Q114" s="383" t="s">
        <v>1112</v>
      </c>
      <c r="R114" s="385" t="s">
        <v>1113</v>
      </c>
      <c r="S114" s="386" t="s">
        <v>1113</v>
      </c>
      <c r="T114" s="387" t="s">
        <v>1113</v>
      </c>
      <c r="U114" s="389" t="s">
        <v>1114</v>
      </c>
      <c r="V114" s="390" t="s">
        <v>1114</v>
      </c>
      <c r="W114" s="391" t="s">
        <v>1114</v>
      </c>
      <c r="X114" s="373" t="s">
        <v>1110</v>
      </c>
      <c r="Y114" s="374" t="s">
        <v>1110</v>
      </c>
      <c r="Z114" s="375" t="s">
        <v>1110</v>
      </c>
      <c r="AA114" s="377" t="s">
        <v>1111</v>
      </c>
      <c r="AB114" s="378" t="s">
        <v>1111</v>
      </c>
      <c r="AC114" s="379" t="s">
        <v>1111</v>
      </c>
      <c r="AD114" s="381" t="s">
        <v>1112</v>
      </c>
      <c r="AE114" s="382" t="s">
        <v>1112</v>
      </c>
      <c r="AF114" s="383" t="s">
        <v>1112</v>
      </c>
      <c r="AG114" s="385" t="s">
        <v>1113</v>
      </c>
      <c r="AH114" s="386" t="s">
        <v>1113</v>
      </c>
      <c r="AI114" s="387" t="s">
        <v>1113</v>
      </c>
      <c r="AJ114" s="389" t="s">
        <v>1114</v>
      </c>
      <c r="AK114" s="390" t="s">
        <v>1114</v>
      </c>
      <c r="AL114" s="391" t="s">
        <v>1114</v>
      </c>
      <c r="AM114" s="373" t="s">
        <v>1110</v>
      </c>
      <c r="AN114" s="374" t="s">
        <v>1110</v>
      </c>
      <c r="AO114" s="375" t="s">
        <v>1110</v>
      </c>
      <c r="AP114" s="377" t="s">
        <v>1111</v>
      </c>
      <c r="AQ114" s="378" t="s">
        <v>1111</v>
      </c>
      <c r="AR114" s="379" t="s">
        <v>1111</v>
      </c>
      <c r="AS114" s="381" t="s">
        <v>1112</v>
      </c>
      <c r="AT114" s="382" t="s">
        <v>1112</v>
      </c>
      <c r="AU114" s="383" t="s">
        <v>1112</v>
      </c>
      <c r="AV114" s="385" t="s">
        <v>1113</v>
      </c>
      <c r="AW114" s="386" t="s">
        <v>1113</v>
      </c>
      <c r="AX114" s="387" t="s">
        <v>1113</v>
      </c>
      <c r="AY114" s="389" t="s">
        <v>1114</v>
      </c>
      <c r="AZ114" s="390" t="s">
        <v>1114</v>
      </c>
      <c r="BA114" s="392" t="s">
        <v>1114</v>
      </c>
      <c r="BB114" s="393" t="s">
        <v>1110</v>
      </c>
      <c r="BC114" s="379" t="s">
        <v>1111</v>
      </c>
      <c r="BD114" s="381" t="s">
        <v>1112</v>
      </c>
      <c r="BE114" s="395" t="s">
        <v>1113</v>
      </c>
      <c r="BF114" s="389" t="s">
        <v>1114</v>
      </c>
      <c r="BG114" s="393" t="s">
        <v>1110</v>
      </c>
      <c r="BH114" s="379" t="s">
        <v>1111</v>
      </c>
      <c r="BI114" s="381" t="s">
        <v>1112</v>
      </c>
      <c r="BJ114" s="395" t="s">
        <v>1113</v>
      </c>
      <c r="BK114" s="389" t="s">
        <v>1114</v>
      </c>
      <c r="BL114" s="393" t="s">
        <v>1110</v>
      </c>
      <c r="BM114" s="379" t="s">
        <v>1111</v>
      </c>
      <c r="BN114" s="381" t="s">
        <v>1112</v>
      </c>
      <c r="BO114" s="395" t="s">
        <v>1113</v>
      </c>
      <c r="BP114" s="475" t="s">
        <v>1114</v>
      </c>
    </row>
    <row r="115" spans="2:68" ht="13.5" thickBot="1">
      <c r="I115" s="460" t="s">
        <v>1116</v>
      </c>
      <c r="J115" s="476" t="s">
        <v>1117</v>
      </c>
      <c r="K115" s="477" t="s">
        <v>1118</v>
      </c>
      <c r="L115" s="460" t="s">
        <v>1116</v>
      </c>
      <c r="M115" s="476" t="s">
        <v>1117</v>
      </c>
      <c r="N115" s="478" t="s">
        <v>1118</v>
      </c>
      <c r="O115" s="460" t="s">
        <v>1116</v>
      </c>
      <c r="P115" s="476" t="s">
        <v>1117</v>
      </c>
      <c r="Q115" s="478" t="s">
        <v>1118</v>
      </c>
      <c r="R115" s="460" t="s">
        <v>1116</v>
      </c>
      <c r="S115" s="476" t="s">
        <v>1117</v>
      </c>
      <c r="T115" s="478" t="s">
        <v>1118</v>
      </c>
      <c r="U115" s="460" t="s">
        <v>1116</v>
      </c>
      <c r="V115" s="476" t="s">
        <v>1117</v>
      </c>
      <c r="W115" s="478" t="s">
        <v>1118</v>
      </c>
      <c r="X115" s="460" t="s">
        <v>1116</v>
      </c>
      <c r="Y115" s="476" t="s">
        <v>1117</v>
      </c>
      <c r="Z115" s="478" t="s">
        <v>1118</v>
      </c>
      <c r="AA115" s="460" t="s">
        <v>1116</v>
      </c>
      <c r="AB115" s="476" t="s">
        <v>1117</v>
      </c>
      <c r="AC115" s="478" t="s">
        <v>1118</v>
      </c>
      <c r="AD115" s="460" t="s">
        <v>1116</v>
      </c>
      <c r="AE115" s="476" t="s">
        <v>1117</v>
      </c>
      <c r="AF115" s="478" t="s">
        <v>1118</v>
      </c>
      <c r="AG115" s="460" t="s">
        <v>1116</v>
      </c>
      <c r="AH115" s="476" t="s">
        <v>1117</v>
      </c>
      <c r="AI115" s="478" t="s">
        <v>1118</v>
      </c>
      <c r="AJ115" s="460" t="s">
        <v>1116</v>
      </c>
      <c r="AK115" s="476" t="s">
        <v>1117</v>
      </c>
      <c r="AL115" s="478" t="s">
        <v>1118</v>
      </c>
      <c r="AM115" s="460" t="s">
        <v>1116</v>
      </c>
      <c r="AN115" s="476" t="s">
        <v>1117</v>
      </c>
      <c r="AO115" s="478" t="s">
        <v>1118</v>
      </c>
      <c r="AP115" s="460" t="s">
        <v>1116</v>
      </c>
      <c r="AQ115" s="476" t="s">
        <v>1117</v>
      </c>
      <c r="AR115" s="478" t="s">
        <v>1118</v>
      </c>
      <c r="AS115" s="460" t="s">
        <v>1116</v>
      </c>
      <c r="AT115" s="476" t="s">
        <v>1117</v>
      </c>
      <c r="AU115" s="478" t="s">
        <v>1118</v>
      </c>
      <c r="AV115" s="460" t="s">
        <v>1116</v>
      </c>
      <c r="AW115" s="476" t="s">
        <v>1117</v>
      </c>
      <c r="AX115" s="478" t="s">
        <v>1118</v>
      </c>
      <c r="AY115" s="460" t="s">
        <v>1116</v>
      </c>
      <c r="AZ115" s="476" t="s">
        <v>1117</v>
      </c>
      <c r="BA115" s="477" t="s">
        <v>1118</v>
      </c>
      <c r="BB115" s="479" t="s">
        <v>1118</v>
      </c>
      <c r="BC115" s="478" t="s">
        <v>1118</v>
      </c>
      <c r="BD115" s="460" t="s">
        <v>1118</v>
      </c>
      <c r="BE115" s="479" t="s">
        <v>1118</v>
      </c>
      <c r="BF115" s="460" t="s">
        <v>1118</v>
      </c>
      <c r="BG115" s="479" t="s">
        <v>1118</v>
      </c>
      <c r="BH115" s="478" t="s">
        <v>1118</v>
      </c>
      <c r="BI115" s="460" t="s">
        <v>1118</v>
      </c>
      <c r="BJ115" s="479" t="s">
        <v>1118</v>
      </c>
      <c r="BK115" s="460" t="s">
        <v>1118</v>
      </c>
      <c r="BL115" s="479" t="s">
        <v>1118</v>
      </c>
      <c r="BM115" s="478" t="s">
        <v>1118</v>
      </c>
      <c r="BN115" s="460" t="s">
        <v>1118</v>
      </c>
      <c r="BO115" s="479" t="s">
        <v>1118</v>
      </c>
      <c r="BP115" s="480" t="s">
        <v>1118</v>
      </c>
    </row>
    <row r="116" spans="2:68" ht="13.5" thickBot="1">
      <c r="I116" s="481" t="s">
        <v>1122</v>
      </c>
      <c r="J116" s="481" t="s">
        <v>1123</v>
      </c>
      <c r="K116" s="481" t="s">
        <v>1124</v>
      </c>
      <c r="L116" s="481" t="s">
        <v>1125</v>
      </c>
      <c r="M116" s="481" t="s">
        <v>1126</v>
      </c>
      <c r="N116" s="481" t="s">
        <v>1127</v>
      </c>
      <c r="O116" s="481" t="s">
        <v>1128</v>
      </c>
      <c r="P116" s="481" t="s">
        <v>1129</v>
      </c>
      <c r="Q116" s="481" t="s">
        <v>1130</v>
      </c>
      <c r="R116" s="481" t="s">
        <v>1131</v>
      </c>
      <c r="S116" s="481" t="s">
        <v>1132</v>
      </c>
      <c r="T116" s="481" t="s">
        <v>1133</v>
      </c>
      <c r="U116" s="481" t="s">
        <v>1134</v>
      </c>
      <c r="V116" s="481" t="s">
        <v>1135</v>
      </c>
      <c r="W116" s="481" t="s">
        <v>1136</v>
      </c>
      <c r="X116" s="481" t="s">
        <v>1137</v>
      </c>
      <c r="Y116" s="481" t="s">
        <v>1138</v>
      </c>
      <c r="Z116" s="481" t="s">
        <v>1139</v>
      </c>
      <c r="AA116" s="481" t="s">
        <v>1140</v>
      </c>
      <c r="AB116" s="481" t="s">
        <v>1141</v>
      </c>
      <c r="AC116" s="481" t="s">
        <v>1142</v>
      </c>
      <c r="AD116" s="481" t="s">
        <v>1143</v>
      </c>
      <c r="AE116" s="481" t="s">
        <v>1144</v>
      </c>
      <c r="AF116" s="481" t="s">
        <v>1145</v>
      </c>
      <c r="AG116" s="481" t="s">
        <v>1146</v>
      </c>
      <c r="AH116" s="481" t="s">
        <v>1147</v>
      </c>
      <c r="AI116" s="481" t="s">
        <v>1148</v>
      </c>
      <c r="AJ116" s="481" t="s">
        <v>1149</v>
      </c>
      <c r="AK116" s="481" t="s">
        <v>1150</v>
      </c>
      <c r="AL116" s="481" t="s">
        <v>1151</v>
      </c>
      <c r="AM116" s="481" t="s">
        <v>1152</v>
      </c>
      <c r="AN116" s="481" t="s">
        <v>1153</v>
      </c>
      <c r="AO116" s="481" t="s">
        <v>1154</v>
      </c>
      <c r="AP116" s="481" t="s">
        <v>1155</v>
      </c>
      <c r="AQ116" s="481" t="s">
        <v>1156</v>
      </c>
      <c r="AR116" s="481" t="s">
        <v>1157</v>
      </c>
      <c r="AS116" s="481" t="s">
        <v>1158</v>
      </c>
      <c r="AT116" s="481" t="s">
        <v>1159</v>
      </c>
      <c r="AU116" s="481" t="s">
        <v>1160</v>
      </c>
      <c r="AV116" s="481" t="s">
        <v>1161</v>
      </c>
      <c r="AW116" s="481" t="s">
        <v>1162</v>
      </c>
      <c r="AX116" s="481" t="s">
        <v>1163</v>
      </c>
      <c r="AY116" s="481" t="s">
        <v>1164</v>
      </c>
      <c r="AZ116" s="481" t="s">
        <v>1165</v>
      </c>
      <c r="BA116" s="481" t="s">
        <v>1166</v>
      </c>
      <c r="BB116" s="481" t="s">
        <v>1167</v>
      </c>
      <c r="BC116" s="481" t="s">
        <v>1168</v>
      </c>
      <c r="BD116" s="481" t="s">
        <v>1169</v>
      </c>
      <c r="BE116" s="481" t="s">
        <v>1170</v>
      </c>
      <c r="BF116" s="481" t="s">
        <v>1171</v>
      </c>
      <c r="BG116" s="481" t="s">
        <v>1172</v>
      </c>
      <c r="BH116" s="481" t="s">
        <v>1173</v>
      </c>
      <c r="BI116" s="481" t="s">
        <v>1174</v>
      </c>
      <c r="BJ116" s="481" t="s">
        <v>1175</v>
      </c>
      <c r="BK116" s="481" t="s">
        <v>1176</v>
      </c>
      <c r="BL116" s="481" t="s">
        <v>1177</v>
      </c>
      <c r="BM116" s="481" t="s">
        <v>1178</v>
      </c>
      <c r="BN116" s="481" t="s">
        <v>1179</v>
      </c>
      <c r="BO116" s="481" t="s">
        <v>1180</v>
      </c>
      <c r="BP116" s="481" t="s">
        <v>1181</v>
      </c>
    </row>
    <row r="117" spans="2:68">
      <c r="B117" t="s">
        <v>512</v>
      </c>
      <c r="C117" t="s">
        <v>512</v>
      </c>
      <c r="D117" t="s">
        <v>513</v>
      </c>
      <c r="E117">
        <v>10</v>
      </c>
      <c r="F117" t="s">
        <v>514</v>
      </c>
      <c r="G117" t="s">
        <v>515</v>
      </c>
      <c r="H117" t="s">
        <v>512</v>
      </c>
      <c r="I117" s="52">
        <v>1.3658017143992058</v>
      </c>
      <c r="J117" s="52">
        <v>1.4539681962264148</v>
      </c>
      <c r="K117" s="52">
        <v>0.47680355160932303</v>
      </c>
      <c r="L117" s="52">
        <v>1.491869739821251</v>
      </c>
      <c r="M117" s="52">
        <v>1.5889450637537237</v>
      </c>
      <c r="N117" s="52">
        <v>0.52311466791284555</v>
      </c>
      <c r="O117" s="52">
        <v>2.206154744786494</v>
      </c>
      <c r="P117" s="52">
        <v>2.33293008142999</v>
      </c>
      <c r="Q117" s="52">
        <v>0.99959109761084164</v>
      </c>
      <c r="R117" s="52">
        <v>1.7731742713008936</v>
      </c>
      <c r="S117" s="52">
        <v>1.8829438784508439</v>
      </c>
      <c r="T117" s="52">
        <v>0.7688766867223551</v>
      </c>
      <c r="U117" s="52">
        <v>2.6230202343594828</v>
      </c>
      <c r="V117" s="52">
        <v>2.7650295181727897</v>
      </c>
      <c r="W117" s="52">
        <v>1.4447572872247214</v>
      </c>
      <c r="X117" s="52">
        <v>1.3548770232373391</v>
      </c>
      <c r="Y117" s="52">
        <v>1.4247149576961271</v>
      </c>
      <c r="Z117" s="52">
        <v>0.5026461826041243</v>
      </c>
      <c r="AA117" s="52">
        <v>1.4809965036742798</v>
      </c>
      <c r="AB117" s="52">
        <v>1.557951080834161</v>
      </c>
      <c r="AC117" s="52">
        <v>0.55461183480343501</v>
      </c>
      <c r="AD117" s="52">
        <v>2.1885338637537251</v>
      </c>
      <c r="AE117" s="52">
        <v>2.3034994264150934</v>
      </c>
      <c r="AF117" s="52">
        <v>1.1845084409136049</v>
      </c>
      <c r="AG117" s="52">
        <v>1.7554337620655416</v>
      </c>
      <c r="AH117" s="52">
        <v>1.8475805124131079</v>
      </c>
      <c r="AI117" s="52">
        <v>0.87864945382323734</v>
      </c>
      <c r="AJ117" s="52">
        <v>2.6066075487586899</v>
      </c>
      <c r="AK117" s="52">
        <v>2.7431313326713007</v>
      </c>
      <c r="AL117" s="52">
        <v>1.7266896430866285</v>
      </c>
      <c r="AM117" s="52">
        <v>1.055799541666667</v>
      </c>
      <c r="AN117" s="52">
        <v>1.0621663938140271</v>
      </c>
      <c r="AO117" s="52">
        <v>0.36690539099800651</v>
      </c>
      <c r="AP117" s="52">
        <v>1.1574413817966902</v>
      </c>
      <c r="AQ117" s="52">
        <v>1.1649768323483056</v>
      </c>
      <c r="AR117" s="52">
        <v>0.40301534325314076</v>
      </c>
      <c r="AS117" s="52">
        <v>1.7464141123916477</v>
      </c>
      <c r="AT117" s="52">
        <v>1.7507145310283698</v>
      </c>
      <c r="AU117" s="52">
        <v>0.74069438650164487</v>
      </c>
      <c r="AV117" s="52">
        <v>1.3603025674743889</v>
      </c>
      <c r="AW117" s="52">
        <v>1.3645774623719462</v>
      </c>
      <c r="AX117" s="52">
        <v>0.55878876373244346</v>
      </c>
      <c r="AY117" s="52">
        <v>2.0675613069345942</v>
      </c>
      <c r="AZ117" s="52">
        <v>2.0712485108353027</v>
      </c>
      <c r="BA117" s="52">
        <v>0.988660594261345</v>
      </c>
      <c r="BB117" s="52">
        <v>1.833571400198588E-3</v>
      </c>
      <c r="BC117" s="52">
        <v>-1.1710700297914628E-2</v>
      </c>
      <c r="BD117" s="52">
        <v>2.077695412115188E-2</v>
      </c>
      <c r="BE117" s="52">
        <v>5.6186397616683349E-2</v>
      </c>
      <c r="BF117" s="52">
        <v>3.7681215491558837E-3</v>
      </c>
      <c r="BG117" s="52">
        <v>7.5977708043694575E-3</v>
      </c>
      <c r="BH117" s="52">
        <v>-7.891284210526317E-3</v>
      </c>
      <c r="BI117" s="52">
        <v>2.6639358093346562E-2</v>
      </c>
      <c r="BJ117" s="52">
        <v>5.9537044687189615E-2</v>
      </c>
      <c r="BK117" s="52">
        <v>1.2022315789473669E-2</v>
      </c>
      <c r="BL117" s="52">
        <v>-3.3723831855792002E-2</v>
      </c>
      <c r="BM117" s="52">
        <v>-4.5659040681638993E-2</v>
      </c>
      <c r="BN117" s="52">
        <v>-1.1599990937746357E-2</v>
      </c>
      <c r="BO117" s="52">
        <v>5.7234951733647517E-3</v>
      </c>
      <c r="BP117" s="52">
        <v>-2.0847033983451561E-2</v>
      </c>
    </row>
    <row r="118" spans="2:68">
      <c r="B118" t="s">
        <v>518</v>
      </c>
      <c r="C118" t="s">
        <v>519</v>
      </c>
      <c r="D118" t="s">
        <v>520</v>
      </c>
      <c r="E118">
        <v>10</v>
      </c>
      <c r="F118" t="s">
        <v>514</v>
      </c>
      <c r="G118" t="s">
        <v>515</v>
      </c>
      <c r="H118" t="s">
        <v>518</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v>0</v>
      </c>
      <c r="AL118" s="52">
        <v>0</v>
      </c>
      <c r="AM118" s="52">
        <v>0</v>
      </c>
      <c r="AN118" s="52">
        <v>0</v>
      </c>
      <c r="AO118" s="52">
        <v>0</v>
      </c>
      <c r="AP118" s="52">
        <v>0</v>
      </c>
      <c r="AQ118" s="52">
        <v>0</v>
      </c>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row>
    <row r="119" spans="2:68">
      <c r="B119" t="s">
        <v>522</v>
      </c>
      <c r="C119" t="s">
        <v>523</v>
      </c>
      <c r="D119" t="s">
        <v>524</v>
      </c>
      <c r="E119">
        <v>10</v>
      </c>
      <c r="F119" t="s">
        <v>514</v>
      </c>
      <c r="G119" t="s">
        <v>525</v>
      </c>
      <c r="H119" t="s">
        <v>522</v>
      </c>
      <c r="I119" s="52">
        <v>0.68831256400000163</v>
      </c>
      <c r="J119" s="52">
        <v>0.65729518400000053</v>
      </c>
      <c r="K119" s="52">
        <v>0.19411764705882387</v>
      </c>
      <c r="L119" s="52">
        <v>0.75854426800000152</v>
      </c>
      <c r="M119" s="52">
        <v>0.72542848799999959</v>
      </c>
      <c r="N119" s="52">
        <v>0.214</v>
      </c>
      <c r="O119" s="52">
        <v>0.99131492399999843</v>
      </c>
      <c r="P119" s="52">
        <v>0.89723700999999711</v>
      </c>
      <c r="Q119" s="52">
        <v>0.28211764705882342</v>
      </c>
      <c r="R119" s="52">
        <v>0.82845679600000044</v>
      </c>
      <c r="S119" s="52">
        <v>0.7654050619999998</v>
      </c>
      <c r="T119" s="52">
        <v>0.24211764705882341</v>
      </c>
      <c r="U119" s="52">
        <v>1.1626482320000031</v>
      </c>
      <c r="V119" s="52">
        <v>1.0396265540000023</v>
      </c>
      <c r="W119" s="52">
        <v>0.34717647058823603</v>
      </c>
      <c r="X119" s="52">
        <v>0</v>
      </c>
      <c r="Y119" s="52">
        <v>0</v>
      </c>
      <c r="Z119" s="52">
        <v>0</v>
      </c>
      <c r="AA119" s="52">
        <v>0</v>
      </c>
      <c r="AB119" s="52">
        <v>0</v>
      </c>
      <c r="AC119" s="52">
        <v>0</v>
      </c>
      <c r="AD119" s="52">
        <v>0</v>
      </c>
      <c r="AE119" s="52">
        <v>0</v>
      </c>
      <c r="AF119" s="52">
        <v>0</v>
      </c>
      <c r="AG119" s="52">
        <v>0</v>
      </c>
      <c r="AH119" s="52">
        <v>0</v>
      </c>
      <c r="AI119" s="52">
        <v>0</v>
      </c>
      <c r="AJ119" s="52">
        <v>0</v>
      </c>
      <c r="AK119" s="52">
        <v>0</v>
      </c>
      <c r="AL119" s="52">
        <v>0</v>
      </c>
      <c r="AM119" s="52">
        <v>0.51305848727272774</v>
      </c>
      <c r="AN119" s="52">
        <v>0.51886766238636395</v>
      </c>
      <c r="AO119" s="52">
        <v>0.18210561497326166</v>
      </c>
      <c r="AP119" s="52">
        <v>0.5648560109090911</v>
      </c>
      <c r="AQ119" s="52">
        <v>0.57169315056818137</v>
      </c>
      <c r="AR119" s="52">
        <v>0.19908422459893038</v>
      </c>
      <c r="AS119" s="52">
        <v>0.72508108215909073</v>
      </c>
      <c r="AT119" s="52">
        <v>0.73282319363636406</v>
      </c>
      <c r="AU119" s="52">
        <v>0.30812834224598851</v>
      </c>
      <c r="AV119" s="52">
        <v>0.57798823000000088</v>
      </c>
      <c r="AW119" s="52">
        <v>0.5839094177272719</v>
      </c>
      <c r="AX119" s="52">
        <v>0.24254679144385013</v>
      </c>
      <c r="AY119" s="52">
        <v>0.82510132204545616</v>
      </c>
      <c r="AZ119" s="52">
        <v>0.83388833647727467</v>
      </c>
      <c r="BA119" s="52">
        <v>0.37774732620320883</v>
      </c>
      <c r="BB119" s="52">
        <v>-7.9070940000000062E-2</v>
      </c>
      <c r="BC119" s="52">
        <v>-6.6221817999999988E-2</v>
      </c>
      <c r="BD119" s="52">
        <v>-7.2715950000000015E-2</v>
      </c>
      <c r="BE119" s="52">
        <v>-7.6183761999999655E-2</v>
      </c>
      <c r="BF119" s="52">
        <v>-7.0741077999999902E-2</v>
      </c>
      <c r="BG119" s="52">
        <v>0</v>
      </c>
      <c r="BH119" s="52">
        <v>0</v>
      </c>
      <c r="BI119" s="52">
        <v>0</v>
      </c>
      <c r="BJ119" s="52">
        <v>0</v>
      </c>
      <c r="BK119" s="52">
        <v>0</v>
      </c>
      <c r="BL119" s="52">
        <v>-9.6183519204545598E-2</v>
      </c>
      <c r="BM119" s="52">
        <v>-9.124519965909092E-2</v>
      </c>
      <c r="BN119" s="52">
        <v>-8.6434560681818151E-2</v>
      </c>
      <c r="BO119" s="52">
        <v>-9.2778119204545373E-2</v>
      </c>
      <c r="BP119" s="52">
        <v>-8.6150517727272807E-2</v>
      </c>
    </row>
    <row r="120" spans="2:68">
      <c r="B120" t="s">
        <v>533</v>
      </c>
      <c r="C120" t="s">
        <v>534</v>
      </c>
      <c r="D120" t="s">
        <v>524</v>
      </c>
      <c r="E120">
        <v>11</v>
      </c>
      <c r="F120" t="s">
        <v>514</v>
      </c>
      <c r="G120" t="s">
        <v>535</v>
      </c>
      <c r="H120" t="s">
        <v>533</v>
      </c>
      <c r="I120" s="52">
        <v>0.78589581800000086</v>
      </c>
      <c r="J120" s="52">
        <v>0.75104118999999991</v>
      </c>
      <c r="K120" s="52">
        <v>0.22200000000000045</v>
      </c>
      <c r="L120" s="52">
        <v>0.86711583799999969</v>
      </c>
      <c r="M120" s="52">
        <v>0.8299264939999994</v>
      </c>
      <c r="N120" s="52">
        <v>0.24588235294117658</v>
      </c>
      <c r="O120" s="52">
        <v>1.1341019379999997</v>
      </c>
      <c r="P120" s="52">
        <v>1.0271641979999986</v>
      </c>
      <c r="Q120" s="52">
        <v>0.32294117647058918</v>
      </c>
      <c r="R120" s="52">
        <v>0.94766007799999896</v>
      </c>
      <c r="S120" s="52">
        <v>0.8761301459999995</v>
      </c>
      <c r="T120" s="52">
        <v>0.27800000000000002</v>
      </c>
      <c r="U120" s="52">
        <v>1.3300744300000005</v>
      </c>
      <c r="V120" s="52">
        <v>1.1900042360000007</v>
      </c>
      <c r="W120" s="52">
        <v>0.39811764705882524</v>
      </c>
      <c r="X120" s="52">
        <v>0</v>
      </c>
      <c r="Y120" s="52">
        <v>0</v>
      </c>
      <c r="Z120" s="52">
        <v>0</v>
      </c>
      <c r="AA120" s="52">
        <v>0</v>
      </c>
      <c r="AB120" s="52">
        <v>0</v>
      </c>
      <c r="AC120" s="52">
        <v>0</v>
      </c>
      <c r="AD120" s="52">
        <v>0</v>
      </c>
      <c r="AE120" s="52">
        <v>0</v>
      </c>
      <c r="AF120" s="52">
        <v>0</v>
      </c>
      <c r="AG120" s="52">
        <v>0</v>
      </c>
      <c r="AH120" s="52">
        <v>0</v>
      </c>
      <c r="AI120" s="52">
        <v>0</v>
      </c>
      <c r="AJ120" s="52">
        <v>0</v>
      </c>
      <c r="AK120" s="52">
        <v>0</v>
      </c>
      <c r="AL120" s="52">
        <v>0</v>
      </c>
      <c r="AM120" s="52">
        <v>0.58850026420454593</v>
      </c>
      <c r="AN120" s="52">
        <v>0.59517111920454557</v>
      </c>
      <c r="AO120" s="52">
        <v>0.20903743315507986</v>
      </c>
      <c r="AP120" s="52">
        <v>0.64808651852272714</v>
      </c>
      <c r="AQ120" s="52">
        <v>0.6559450907954546</v>
      </c>
      <c r="AR120" s="52">
        <v>0.2283890374331552</v>
      </c>
      <c r="AS120" s="52">
        <v>0.83369894556818092</v>
      </c>
      <c r="AT120" s="52">
        <v>0.84261669613636436</v>
      </c>
      <c r="AU120" s="52">
        <v>0.35451203208556104</v>
      </c>
      <c r="AV120" s="52">
        <v>0.66369618250000051</v>
      </c>
      <c r="AW120" s="52">
        <v>0.67052274852272686</v>
      </c>
      <c r="AX120" s="52">
        <v>0.27866978609625676</v>
      </c>
      <c r="AY120" s="52">
        <v>0.94839145125000046</v>
      </c>
      <c r="AZ120" s="52">
        <v>0.95852337840909307</v>
      </c>
      <c r="BA120" s="52">
        <v>0.43424465240641769</v>
      </c>
      <c r="BB120" s="52">
        <v>-9.1058179999999989E-2</v>
      </c>
      <c r="BC120" s="52">
        <v>-7.6524520000000054E-2</v>
      </c>
      <c r="BD120" s="52">
        <v>-8.382202400000005E-2</v>
      </c>
      <c r="BE120" s="52">
        <v>-8.770889199999965E-2</v>
      </c>
      <c r="BF120" s="52">
        <v>-8.1516713999999976E-2</v>
      </c>
      <c r="BG120" s="52">
        <v>0</v>
      </c>
      <c r="BH120" s="52">
        <v>0</v>
      </c>
      <c r="BI120" s="52">
        <v>0</v>
      </c>
      <c r="BJ120" s="52">
        <v>0</v>
      </c>
      <c r="BK120" s="52">
        <v>0</v>
      </c>
      <c r="BL120" s="52">
        <v>-0.11137696034090926</v>
      </c>
      <c r="BM120" s="52">
        <v>-0.10572284477272723</v>
      </c>
      <c r="BN120" s="52">
        <v>-0.10039373170454548</v>
      </c>
      <c r="BO120" s="52">
        <v>-0.10780502761363633</v>
      </c>
      <c r="BP120" s="52">
        <v>-0.10028641295454546</v>
      </c>
    </row>
    <row r="121" spans="2:68">
      <c r="B121" t="s">
        <v>537</v>
      </c>
      <c r="C121" t="s">
        <v>538</v>
      </c>
      <c r="D121" t="s">
        <v>524</v>
      </c>
      <c r="E121">
        <v>12</v>
      </c>
      <c r="F121" t="s">
        <v>514</v>
      </c>
      <c r="G121" t="s">
        <v>539</v>
      </c>
      <c r="H121" t="s">
        <v>537</v>
      </c>
      <c r="I121" s="52">
        <v>0.887861436000001</v>
      </c>
      <c r="J121" s="52">
        <v>0.84912304600000066</v>
      </c>
      <c r="K121" s="52">
        <v>0.25188235294117656</v>
      </c>
      <c r="L121" s="52">
        <v>0.98082106200000085</v>
      </c>
      <c r="M121" s="52">
        <v>0.9395008499999985</v>
      </c>
      <c r="N121" s="52">
        <v>0.27776470588235269</v>
      </c>
      <c r="O121" s="52">
        <v>1.2839538439999996</v>
      </c>
      <c r="P121" s="52">
        <v>1.1637047539999985</v>
      </c>
      <c r="Q121" s="52">
        <v>0.36482352941176577</v>
      </c>
      <c r="R121" s="52">
        <v>1.0727249259999989</v>
      </c>
      <c r="S121" s="52">
        <v>0.99251332999999975</v>
      </c>
      <c r="T121" s="52">
        <v>0.31388235294117656</v>
      </c>
      <c r="U121" s="52">
        <v>1.5057873180000023</v>
      </c>
      <c r="V121" s="52">
        <v>1.3479436940000014</v>
      </c>
      <c r="W121" s="52">
        <v>0.44800000000000001</v>
      </c>
      <c r="X121" s="52">
        <v>0</v>
      </c>
      <c r="Y121" s="52">
        <v>0</v>
      </c>
      <c r="Z121" s="52">
        <v>0</v>
      </c>
      <c r="AA121" s="52">
        <v>0</v>
      </c>
      <c r="AB121" s="52">
        <v>0</v>
      </c>
      <c r="AC121" s="52">
        <v>0</v>
      </c>
      <c r="AD121" s="52">
        <v>0</v>
      </c>
      <c r="AE121" s="52">
        <v>0</v>
      </c>
      <c r="AF121" s="52">
        <v>0</v>
      </c>
      <c r="AG121" s="52">
        <v>0</v>
      </c>
      <c r="AH121" s="52">
        <v>0</v>
      </c>
      <c r="AI121" s="52">
        <v>0</v>
      </c>
      <c r="AJ121" s="52">
        <v>0</v>
      </c>
      <c r="AK121" s="52">
        <v>0</v>
      </c>
      <c r="AL121" s="52">
        <v>0</v>
      </c>
      <c r="AM121" s="52">
        <v>0.66803287272727341</v>
      </c>
      <c r="AN121" s="52">
        <v>0.67561727659090887</v>
      </c>
      <c r="AO121" s="52">
        <v>0.23737967914438493</v>
      </c>
      <c r="AP121" s="52">
        <v>0.73596306624999996</v>
      </c>
      <c r="AQ121" s="52">
        <v>0.74490352090909084</v>
      </c>
      <c r="AR121" s="52">
        <v>0.25973262032085587</v>
      </c>
      <c r="AS121" s="52">
        <v>0.94875497238636275</v>
      </c>
      <c r="AT121" s="52">
        <v>0.95891815034090877</v>
      </c>
      <c r="AU121" s="52">
        <v>0.40356283422459871</v>
      </c>
      <c r="AV121" s="52">
        <v>0.7543212980681826</v>
      </c>
      <c r="AW121" s="52">
        <v>0.76211269193181741</v>
      </c>
      <c r="AX121" s="52">
        <v>0.31711229946524078</v>
      </c>
      <c r="AY121" s="52">
        <v>1.0792125354545468</v>
      </c>
      <c r="AZ121" s="52">
        <v>1.0907815536363656</v>
      </c>
      <c r="BA121" s="52">
        <v>0.49408422459893037</v>
      </c>
      <c r="BB121" s="52">
        <v>-0.10376497399999994</v>
      </c>
      <c r="BC121" s="52">
        <v>-8.7513919999999981E-2</v>
      </c>
      <c r="BD121" s="52">
        <v>-9.5639521999999949E-2</v>
      </c>
      <c r="BE121" s="52">
        <v>-9.9980969999999614E-2</v>
      </c>
      <c r="BF121" s="52">
        <v>-9.2989193999999997E-2</v>
      </c>
      <c r="BG121" s="52">
        <v>0</v>
      </c>
      <c r="BH121" s="52">
        <v>0</v>
      </c>
      <c r="BI121" s="52">
        <v>0</v>
      </c>
      <c r="BJ121" s="52">
        <v>0</v>
      </c>
      <c r="BK121" s="52">
        <v>0</v>
      </c>
      <c r="BL121" s="52">
        <v>-0.12774042625000012</v>
      </c>
      <c r="BM121" s="52">
        <v>-0.12132501886363632</v>
      </c>
      <c r="BN121" s="52">
        <v>-0.11546866965909079</v>
      </c>
      <c r="BO121" s="52">
        <v>-0.12409443715909095</v>
      </c>
      <c r="BP121" s="52">
        <v>-0.11565669556818194</v>
      </c>
    </row>
    <row r="122" spans="2:68">
      <c r="B122" t="s">
        <v>541</v>
      </c>
      <c r="C122" t="s">
        <v>542</v>
      </c>
      <c r="D122" t="s">
        <v>524</v>
      </c>
      <c r="E122">
        <v>13</v>
      </c>
      <c r="F122" t="s">
        <v>514</v>
      </c>
      <c r="G122" t="s">
        <v>543</v>
      </c>
      <c r="H122" t="s">
        <v>541</v>
      </c>
      <c r="I122" s="52">
        <v>0.91484517000000054</v>
      </c>
      <c r="J122" s="52">
        <v>0.87512136800000007</v>
      </c>
      <c r="K122" s="52">
        <v>0.25988235294117656</v>
      </c>
      <c r="L122" s="52">
        <v>1.0109385520000014</v>
      </c>
      <c r="M122" s="52">
        <v>0.96852900399999997</v>
      </c>
      <c r="N122" s="52">
        <v>0.28670588235294098</v>
      </c>
      <c r="O122" s="52">
        <v>1.3237243679999993</v>
      </c>
      <c r="P122" s="52">
        <v>1.1999595539999972</v>
      </c>
      <c r="Q122" s="52">
        <v>0.37576470588235317</v>
      </c>
      <c r="R122" s="52">
        <v>1.1058826059999993</v>
      </c>
      <c r="S122" s="52">
        <v>1.0233793119999992</v>
      </c>
      <c r="T122" s="52">
        <v>0.32388235294117657</v>
      </c>
      <c r="U122" s="52">
        <v>1.552406508</v>
      </c>
      <c r="V122" s="52">
        <v>1.389857414000002</v>
      </c>
      <c r="W122" s="52">
        <v>0.46094117647058735</v>
      </c>
      <c r="X122" s="52">
        <v>0</v>
      </c>
      <c r="Y122" s="52">
        <v>0</v>
      </c>
      <c r="Z122" s="52">
        <v>0</v>
      </c>
      <c r="AA122" s="52">
        <v>0</v>
      </c>
      <c r="AB122" s="52">
        <v>0</v>
      </c>
      <c r="AC122" s="52">
        <v>0</v>
      </c>
      <c r="AD122" s="52">
        <v>0</v>
      </c>
      <c r="AE122" s="52">
        <v>0</v>
      </c>
      <c r="AF122" s="52">
        <v>0</v>
      </c>
      <c r="AG122" s="52">
        <v>0</v>
      </c>
      <c r="AH122" s="52">
        <v>0</v>
      </c>
      <c r="AI122" s="52">
        <v>0</v>
      </c>
      <c r="AJ122" s="52">
        <v>0</v>
      </c>
      <c r="AK122" s="52">
        <v>0</v>
      </c>
      <c r="AL122" s="52">
        <v>0</v>
      </c>
      <c r="AM122" s="52">
        <v>0.68918309431818259</v>
      </c>
      <c r="AN122" s="52">
        <v>0.69701150897727282</v>
      </c>
      <c r="AO122" s="52">
        <v>0.24495989304812818</v>
      </c>
      <c r="AP122" s="52">
        <v>0.75936315863636417</v>
      </c>
      <c r="AQ122" s="52">
        <v>0.7685927256818178</v>
      </c>
      <c r="AR122" s="52">
        <v>0.26821524064171132</v>
      </c>
      <c r="AS122" s="52">
        <v>0.97947498068181715</v>
      </c>
      <c r="AT122" s="52">
        <v>0.98997175125000059</v>
      </c>
      <c r="AU122" s="52">
        <v>0.41670454545454544</v>
      </c>
      <c r="AV122" s="52">
        <v>0.77849994102272835</v>
      </c>
      <c r="AW122" s="52">
        <v>0.78654990943181724</v>
      </c>
      <c r="AX122" s="52">
        <v>0.3273061497326204</v>
      </c>
      <c r="AY122" s="52">
        <v>1.1141797628409107</v>
      </c>
      <c r="AZ122" s="52">
        <v>1.1261341705681827</v>
      </c>
      <c r="BA122" s="52">
        <v>0.51000668449197872</v>
      </c>
      <c r="BB122" s="52">
        <v>-0.10715663399999995</v>
      </c>
      <c r="BC122" s="52">
        <v>-9.0470410000000015E-2</v>
      </c>
      <c r="BD122" s="52">
        <v>-9.8802852000000024E-2</v>
      </c>
      <c r="BE122" s="52">
        <v>-0.10326143199999979</v>
      </c>
      <c r="BF122" s="52">
        <v>-9.6063951999999966E-2</v>
      </c>
      <c r="BG122" s="52">
        <v>0</v>
      </c>
      <c r="BH122" s="52">
        <v>0</v>
      </c>
      <c r="BI122" s="52">
        <v>0</v>
      </c>
      <c r="BJ122" s="52">
        <v>0</v>
      </c>
      <c r="BK122" s="52">
        <v>0</v>
      </c>
      <c r="BL122" s="52">
        <v>-0.13215924363636367</v>
      </c>
      <c r="BM122" s="52">
        <v>-0.12553015852272728</v>
      </c>
      <c r="BN122" s="52">
        <v>-0.11955117068181814</v>
      </c>
      <c r="BO122" s="52">
        <v>-0.12850793329545426</v>
      </c>
      <c r="BP122" s="52">
        <v>-0.11982068340909088</v>
      </c>
    </row>
    <row r="123" spans="2:68">
      <c r="B123" t="s">
        <v>545</v>
      </c>
      <c r="C123" t="s">
        <v>546</v>
      </c>
      <c r="D123" t="s">
        <v>524</v>
      </c>
      <c r="E123">
        <v>14</v>
      </c>
      <c r="F123" t="s">
        <v>525</v>
      </c>
      <c r="G123" t="s">
        <v>535</v>
      </c>
      <c r="H123" t="s">
        <v>545</v>
      </c>
      <c r="I123" s="52">
        <v>9.7583253999999217E-2</v>
      </c>
      <c r="J123" s="52">
        <v>9.3746005999999396E-2</v>
      </c>
      <c r="K123" s="52">
        <v>2.7882352941176577E-2</v>
      </c>
      <c r="L123" s="52">
        <v>0.10857156999999824</v>
      </c>
      <c r="M123" s="52">
        <v>0.10449800599999981</v>
      </c>
      <c r="N123" s="52">
        <v>3.1882352941176577E-2</v>
      </c>
      <c r="O123" s="52">
        <v>0.14278701400000135</v>
      </c>
      <c r="P123" s="52">
        <v>0.12992718800000147</v>
      </c>
      <c r="Q123" s="52">
        <v>4.0823529411765778E-2</v>
      </c>
      <c r="R123" s="52">
        <v>0.11920328199999858</v>
      </c>
      <c r="S123" s="52">
        <v>0.1107250839999997</v>
      </c>
      <c r="T123" s="52">
        <v>3.588235294117658E-2</v>
      </c>
      <c r="U123" s="52">
        <v>0.16742619799999739</v>
      </c>
      <c r="V123" s="52">
        <v>0.15037768199999846</v>
      </c>
      <c r="W123" s="52">
        <v>5.0941176470589197E-2</v>
      </c>
      <c r="X123" s="52">
        <v>0</v>
      </c>
      <c r="Y123" s="52">
        <v>0</v>
      </c>
      <c r="Z123" s="52">
        <v>0</v>
      </c>
      <c r="AA123" s="52">
        <v>0</v>
      </c>
      <c r="AB123" s="52">
        <v>0</v>
      </c>
      <c r="AC123" s="52">
        <v>0</v>
      </c>
      <c r="AD123" s="52">
        <v>0</v>
      </c>
      <c r="AE123" s="52">
        <v>0</v>
      </c>
      <c r="AF123" s="52">
        <v>0</v>
      </c>
      <c r="AG123" s="52">
        <v>0</v>
      </c>
      <c r="AH123" s="52">
        <v>0</v>
      </c>
      <c r="AI123" s="52">
        <v>0</v>
      </c>
      <c r="AJ123" s="52">
        <v>0</v>
      </c>
      <c r="AK123" s="52">
        <v>0</v>
      </c>
      <c r="AL123" s="52">
        <v>0</v>
      </c>
      <c r="AM123" s="52">
        <v>7.5441776931818166E-2</v>
      </c>
      <c r="AN123" s="52">
        <v>7.630345681818157E-2</v>
      </c>
      <c r="AO123" s="52">
        <v>2.6931818181818182E-2</v>
      </c>
      <c r="AP123" s="52">
        <v>8.3230507613636123E-2</v>
      </c>
      <c r="AQ123" s="52">
        <v>8.4251940227273239E-2</v>
      </c>
      <c r="AR123" s="52">
        <v>2.9304812834224817E-2</v>
      </c>
      <c r="AS123" s="52">
        <v>0.1086178634090902</v>
      </c>
      <c r="AT123" s="52">
        <v>0.10979350250000028</v>
      </c>
      <c r="AU123" s="52">
        <v>4.6383689839572487E-2</v>
      </c>
      <c r="AV123" s="52">
        <v>8.5707952499999671E-2</v>
      </c>
      <c r="AW123" s="52">
        <v>8.6613330795454954E-2</v>
      </c>
      <c r="AX123" s="52">
        <v>3.6122994652406634E-2</v>
      </c>
      <c r="AY123" s="52">
        <v>0.12329012920454427</v>
      </c>
      <c r="AZ123" s="52">
        <v>0.12463504193181837</v>
      </c>
      <c r="BA123" s="52">
        <v>5.6497326203208846E-2</v>
      </c>
      <c r="BB123" s="52">
        <v>-1.1987239999999929E-2</v>
      </c>
      <c r="BC123" s="52">
        <v>-1.0302702000000068E-2</v>
      </c>
      <c r="BD123" s="52">
        <v>-1.1106074000000035E-2</v>
      </c>
      <c r="BE123" s="52">
        <v>-1.1525129999999989E-2</v>
      </c>
      <c r="BF123" s="52">
        <v>-1.0775636000000076E-2</v>
      </c>
      <c r="BG123" s="52">
        <v>0</v>
      </c>
      <c r="BH123" s="52">
        <v>0</v>
      </c>
      <c r="BI123" s="52">
        <v>0</v>
      </c>
      <c r="BJ123" s="52">
        <v>0</v>
      </c>
      <c r="BK123" s="52">
        <v>0</v>
      </c>
      <c r="BL123" s="52">
        <v>-1.5193441136363658E-2</v>
      </c>
      <c r="BM123" s="52">
        <v>-1.4477645113636299E-2</v>
      </c>
      <c r="BN123" s="52">
        <v>-1.3959171022727333E-2</v>
      </c>
      <c r="BO123" s="52">
        <v>-1.5026908409090951E-2</v>
      </c>
      <c r="BP123" s="52">
        <v>-1.4135895227272655E-2</v>
      </c>
    </row>
    <row r="124" spans="2:68">
      <c r="B124" t="s">
        <v>549</v>
      </c>
      <c r="C124" t="s">
        <v>550</v>
      </c>
      <c r="D124" t="s">
        <v>524</v>
      </c>
      <c r="E124">
        <v>15</v>
      </c>
      <c r="F124" t="s">
        <v>525</v>
      </c>
      <c r="G124" t="s">
        <v>539</v>
      </c>
      <c r="H124" t="s">
        <v>549</v>
      </c>
      <c r="I124" s="52">
        <v>0.19954887199999941</v>
      </c>
      <c r="J124" s="52">
        <v>0.1918278620000001</v>
      </c>
      <c r="K124" s="52">
        <v>5.7764705882352697E-2</v>
      </c>
      <c r="L124" s="52">
        <v>0.22227679399999942</v>
      </c>
      <c r="M124" s="52">
        <v>0.21407236199999896</v>
      </c>
      <c r="N124" s="52">
        <v>6.3764705882352696E-2</v>
      </c>
      <c r="O124" s="52">
        <v>0.29263892000000125</v>
      </c>
      <c r="P124" s="52">
        <v>0.26646774400000139</v>
      </c>
      <c r="Q124" s="52">
        <v>8.270588235294235E-2</v>
      </c>
      <c r="R124" s="52">
        <v>0.24426812999999856</v>
      </c>
      <c r="S124" s="52">
        <v>0.22710826799999995</v>
      </c>
      <c r="T124" s="52">
        <v>7.1764705882353161E-2</v>
      </c>
      <c r="U124" s="52">
        <v>0.3431390859999992</v>
      </c>
      <c r="V124" s="52">
        <v>0.30831713999999921</v>
      </c>
      <c r="W124" s="52">
        <v>0.10082352941176395</v>
      </c>
      <c r="X124" s="52">
        <v>0</v>
      </c>
      <c r="Y124" s="52">
        <v>0</v>
      </c>
      <c r="Z124" s="52">
        <v>0</v>
      </c>
      <c r="AA124" s="52">
        <v>0</v>
      </c>
      <c r="AB124" s="52">
        <v>0</v>
      </c>
      <c r="AC124" s="52">
        <v>0</v>
      </c>
      <c r="AD124" s="52">
        <v>0</v>
      </c>
      <c r="AE124" s="52">
        <v>0</v>
      </c>
      <c r="AF124" s="52">
        <v>0</v>
      </c>
      <c r="AG124" s="52">
        <v>0</v>
      </c>
      <c r="AH124" s="52">
        <v>0</v>
      </c>
      <c r="AI124" s="52">
        <v>0</v>
      </c>
      <c r="AJ124" s="52">
        <v>0</v>
      </c>
      <c r="AK124" s="52">
        <v>0</v>
      </c>
      <c r="AL124" s="52">
        <v>0</v>
      </c>
      <c r="AM124" s="52">
        <v>0.15497438545454564</v>
      </c>
      <c r="AN124" s="52">
        <v>0.15674961420454483</v>
      </c>
      <c r="AO124" s="52">
        <v>5.5274064171123259E-2</v>
      </c>
      <c r="AP124" s="52">
        <v>0.17110705534090895</v>
      </c>
      <c r="AQ124" s="52">
        <v>0.17321037034090958</v>
      </c>
      <c r="AR124" s="52">
        <v>6.0648395721925472E-2</v>
      </c>
      <c r="AS124" s="52">
        <v>0.22367389022727199</v>
      </c>
      <c r="AT124" s="52">
        <v>0.22609495670454469</v>
      </c>
      <c r="AU124" s="52">
        <v>9.5434491978610161E-2</v>
      </c>
      <c r="AV124" s="52">
        <v>0.17633306806818175</v>
      </c>
      <c r="AW124" s="52">
        <v>0.17820327420454554</v>
      </c>
      <c r="AX124" s="52">
        <v>7.456550802139067E-2</v>
      </c>
      <c r="AY124" s="52">
        <v>0.25411121340909054</v>
      </c>
      <c r="AZ124" s="52">
        <v>0.25689321715909086</v>
      </c>
      <c r="BA124" s="52">
        <v>0.11633689839572153</v>
      </c>
      <c r="BB124" s="52">
        <v>-2.4694033999999875E-2</v>
      </c>
      <c r="BC124" s="52">
        <v>-2.1292102E-2</v>
      </c>
      <c r="BD124" s="52">
        <v>-2.2923571999999923E-2</v>
      </c>
      <c r="BE124" s="52">
        <v>-2.3797207999999955E-2</v>
      </c>
      <c r="BF124" s="52">
        <v>-2.2248116000000095E-2</v>
      </c>
      <c r="BG124" s="52">
        <v>0</v>
      </c>
      <c r="BH124" s="52">
        <v>0</v>
      </c>
      <c r="BI124" s="52">
        <v>0</v>
      </c>
      <c r="BJ124" s="52">
        <v>0</v>
      </c>
      <c r="BK124" s="52">
        <v>0</v>
      </c>
      <c r="BL124" s="52">
        <v>-3.1556907045454531E-2</v>
      </c>
      <c r="BM124" s="52">
        <v>-3.0079819204545402E-2</v>
      </c>
      <c r="BN124" s="52">
        <v>-2.9034108977272644E-2</v>
      </c>
      <c r="BO124" s="52">
        <v>-3.1316317954545578E-2</v>
      </c>
      <c r="BP124" s="52">
        <v>-2.9506177840909129E-2</v>
      </c>
    </row>
    <row r="125" spans="2:68">
      <c r="B125" t="s">
        <v>552</v>
      </c>
      <c r="C125" t="s">
        <v>553</v>
      </c>
      <c r="D125" t="s">
        <v>524</v>
      </c>
      <c r="E125">
        <v>16</v>
      </c>
      <c r="F125" t="s">
        <v>525</v>
      </c>
      <c r="G125" t="s">
        <v>543</v>
      </c>
      <c r="H125" t="s">
        <v>552</v>
      </c>
      <c r="I125" s="52">
        <v>0.22653260599999886</v>
      </c>
      <c r="J125" s="52">
        <v>0.21782618399999956</v>
      </c>
      <c r="K125" s="52">
        <v>6.5764705882352698E-2</v>
      </c>
      <c r="L125" s="52">
        <v>0.25239428399999997</v>
      </c>
      <c r="M125" s="52">
        <v>0.24310051600000043</v>
      </c>
      <c r="N125" s="52">
        <v>7.2705882352940995E-2</v>
      </c>
      <c r="O125" s="52">
        <v>0.33240944400000083</v>
      </c>
      <c r="P125" s="52">
        <v>0.3027225440000002</v>
      </c>
      <c r="Q125" s="52">
        <v>9.3647058823529736E-2</v>
      </c>
      <c r="R125" s="52">
        <v>0.27742580999999883</v>
      </c>
      <c r="S125" s="52">
        <v>0.25797424999999929</v>
      </c>
      <c r="T125" s="52">
        <v>8.1764705882353156E-2</v>
      </c>
      <c r="U125" s="52">
        <v>0.38975827599999685</v>
      </c>
      <c r="V125" s="52">
        <v>0.35023085999999964</v>
      </c>
      <c r="W125" s="52">
        <v>0.11376470588235134</v>
      </c>
      <c r="X125" s="52">
        <v>0</v>
      </c>
      <c r="Y125" s="52">
        <v>0</v>
      </c>
      <c r="Z125" s="52">
        <v>0</v>
      </c>
      <c r="AA125" s="52">
        <v>0</v>
      </c>
      <c r="AB125" s="52">
        <v>0</v>
      </c>
      <c r="AC125" s="52">
        <v>0</v>
      </c>
      <c r="AD125" s="52">
        <v>0</v>
      </c>
      <c r="AE125" s="52">
        <v>0</v>
      </c>
      <c r="AF125" s="52">
        <v>0</v>
      </c>
      <c r="AG125" s="52">
        <v>0</v>
      </c>
      <c r="AH125" s="52">
        <v>0</v>
      </c>
      <c r="AI125" s="52">
        <v>0</v>
      </c>
      <c r="AJ125" s="52">
        <v>0</v>
      </c>
      <c r="AK125" s="52">
        <v>0</v>
      </c>
      <c r="AL125" s="52">
        <v>0</v>
      </c>
      <c r="AM125" s="52">
        <v>0.1761246070454548</v>
      </c>
      <c r="AN125" s="52">
        <v>0.17814384659090882</v>
      </c>
      <c r="AO125" s="52">
        <v>6.2854278074866501E-2</v>
      </c>
      <c r="AP125" s="52">
        <v>0.19450714772727307</v>
      </c>
      <c r="AQ125" s="52">
        <v>0.19689957511363651</v>
      </c>
      <c r="AR125" s="52">
        <v>6.9131016042780921E-2</v>
      </c>
      <c r="AS125" s="52">
        <v>0.25439389852272637</v>
      </c>
      <c r="AT125" s="52">
        <v>0.25714855761363653</v>
      </c>
      <c r="AU125" s="52">
        <v>0.10857620320855693</v>
      </c>
      <c r="AV125" s="52">
        <v>0.20051171102272747</v>
      </c>
      <c r="AW125" s="52">
        <v>0.20264049170454532</v>
      </c>
      <c r="AX125" s="52">
        <v>8.4759358288770278E-2</v>
      </c>
      <c r="AY125" s="52">
        <v>0.28907844079545447</v>
      </c>
      <c r="AZ125" s="52">
        <v>0.29224583409090799</v>
      </c>
      <c r="BA125" s="52">
        <v>0.13225935828876986</v>
      </c>
      <c r="BB125" s="52">
        <v>-2.8085693999999876E-2</v>
      </c>
      <c r="BC125" s="52">
        <v>-2.4248592000000031E-2</v>
      </c>
      <c r="BD125" s="52">
        <v>-2.6086902000000009E-2</v>
      </c>
      <c r="BE125" s="52">
        <v>-2.7077670000000126E-2</v>
      </c>
      <c r="BF125" s="52">
        <v>-2.5322874000000072E-2</v>
      </c>
      <c r="BG125" s="52">
        <v>0</v>
      </c>
      <c r="BH125" s="52">
        <v>0</v>
      </c>
      <c r="BI125" s="52">
        <v>0</v>
      </c>
      <c r="BJ125" s="52">
        <v>0</v>
      </c>
      <c r="BK125" s="52">
        <v>0</v>
      </c>
      <c r="BL125" s="52">
        <v>-3.5975724431818061E-2</v>
      </c>
      <c r="BM125" s="52">
        <v>-3.4284958863636347E-2</v>
      </c>
      <c r="BN125" s="52">
        <v>-3.3116609999999998E-2</v>
      </c>
      <c r="BO125" s="52">
        <v>-3.5729814090908883E-2</v>
      </c>
      <c r="BP125" s="52">
        <v>-3.3670165681818076E-2</v>
      </c>
    </row>
    <row r="126" spans="2:68">
      <c r="B126" t="s">
        <v>555</v>
      </c>
      <c r="C126" t="s">
        <v>556</v>
      </c>
      <c r="D126" t="s">
        <v>524</v>
      </c>
      <c r="E126">
        <v>17</v>
      </c>
      <c r="F126" t="s">
        <v>515</v>
      </c>
      <c r="G126" t="s">
        <v>539</v>
      </c>
      <c r="H126" t="s">
        <v>555</v>
      </c>
      <c r="I126" s="52">
        <v>2.0790405960000009</v>
      </c>
      <c r="J126" s="52">
        <v>1.9723595179999993</v>
      </c>
      <c r="K126" s="52">
        <v>0.5843529411764703</v>
      </c>
      <c r="L126" s="52">
        <v>2.2839725460000007</v>
      </c>
      <c r="M126" s="52">
        <v>2.168274856</v>
      </c>
      <c r="N126" s="52">
        <v>0.64117647058823513</v>
      </c>
      <c r="O126" s="52">
        <v>2.9645855359999986</v>
      </c>
      <c r="P126" s="52">
        <v>2.6681357260000005</v>
      </c>
      <c r="Q126" s="52">
        <v>0.84329411764705942</v>
      </c>
      <c r="R126" s="52">
        <v>2.4688093519999983</v>
      </c>
      <c r="S126" s="52">
        <v>2.2662146279999997</v>
      </c>
      <c r="T126" s="52">
        <v>0.71952941176470542</v>
      </c>
      <c r="U126" s="52">
        <v>3.4577416300000006</v>
      </c>
      <c r="V126" s="52">
        <v>3.0754721500000013</v>
      </c>
      <c r="W126" s="52">
        <v>1.0377647058823531</v>
      </c>
      <c r="X126" s="52">
        <v>0</v>
      </c>
      <c r="Y126" s="52">
        <v>0</v>
      </c>
      <c r="Z126" s="52">
        <v>0</v>
      </c>
      <c r="AA126" s="52">
        <v>0</v>
      </c>
      <c r="AB126" s="52">
        <v>0</v>
      </c>
      <c r="AC126" s="52">
        <v>0</v>
      </c>
      <c r="AD126" s="52">
        <v>0</v>
      </c>
      <c r="AE126" s="52">
        <v>0</v>
      </c>
      <c r="AF126" s="52">
        <v>0</v>
      </c>
      <c r="AG126" s="52">
        <v>0</v>
      </c>
      <c r="AH126" s="52">
        <v>0</v>
      </c>
      <c r="AI126" s="52">
        <v>0</v>
      </c>
      <c r="AJ126" s="52">
        <v>0</v>
      </c>
      <c r="AK126" s="52">
        <v>0</v>
      </c>
      <c r="AL126" s="52">
        <v>0</v>
      </c>
      <c r="AM126" s="52">
        <v>1.4800305135227279</v>
      </c>
      <c r="AN126" s="52">
        <v>1.4965573981818183</v>
      </c>
      <c r="AO126" s="52">
        <v>0.5256216577540106</v>
      </c>
      <c r="AP126" s="52">
        <v>1.6345512119318184</v>
      </c>
      <c r="AQ126" s="52">
        <v>1.6539106255681824</v>
      </c>
      <c r="AR126" s="52">
        <v>0.57275401069518761</v>
      </c>
      <c r="AS126" s="52">
        <v>2.0581651067045459</v>
      </c>
      <c r="AT126" s="52">
        <v>2.0799041048863627</v>
      </c>
      <c r="AU126" s="52">
        <v>0.87822192513368957</v>
      </c>
      <c r="AV126" s="52">
        <v>1.6560994621590908</v>
      </c>
      <c r="AW126" s="52">
        <v>1.6726735256818177</v>
      </c>
      <c r="AX126" s="52">
        <v>0.69229278074866341</v>
      </c>
      <c r="AY126" s="52">
        <v>2.3492368390909095</v>
      </c>
      <c r="AZ126" s="52">
        <v>2.3738420532954563</v>
      </c>
      <c r="BA126" s="52">
        <v>1.0798328877005339</v>
      </c>
      <c r="BB126" s="52">
        <v>-0.22241528599999993</v>
      </c>
      <c r="BC126" s="52">
        <v>-0.182285532</v>
      </c>
      <c r="BD126" s="52">
        <v>-0.20165398400000004</v>
      </c>
      <c r="BE126" s="52">
        <v>-0.2152496639999997</v>
      </c>
      <c r="BF126" s="52">
        <v>-0.19383016000000008</v>
      </c>
      <c r="BG126" s="52">
        <v>0</v>
      </c>
      <c r="BH126" s="52">
        <v>0</v>
      </c>
      <c r="BI126" s="52">
        <v>0</v>
      </c>
      <c r="BJ126" s="52">
        <v>0</v>
      </c>
      <c r="BK126" s="52">
        <v>0</v>
      </c>
      <c r="BL126" s="52">
        <v>-0.25834041250000012</v>
      </c>
      <c r="BM126" s="52">
        <v>-0.24237379056818173</v>
      </c>
      <c r="BN126" s="52">
        <v>-0.22738325829545436</v>
      </c>
      <c r="BO126" s="52">
        <v>-0.24362661488636356</v>
      </c>
      <c r="BP126" s="52">
        <v>-0.22471181988636357</v>
      </c>
    </row>
    <row r="127" spans="2:68">
      <c r="B127" t="s">
        <v>557</v>
      </c>
      <c r="C127" t="s">
        <v>558</v>
      </c>
      <c r="D127" t="s">
        <v>524</v>
      </c>
      <c r="E127">
        <v>18</v>
      </c>
      <c r="F127" t="s">
        <v>514</v>
      </c>
      <c r="G127" t="s">
        <v>525</v>
      </c>
      <c r="H127" t="s">
        <v>557</v>
      </c>
      <c r="I127" s="52">
        <v>0.68831256400000163</v>
      </c>
      <c r="J127" s="52">
        <v>0.65729518400000053</v>
      </c>
      <c r="K127" s="52">
        <v>0.19411764705882387</v>
      </c>
      <c r="L127" s="52">
        <v>0.75854426800000152</v>
      </c>
      <c r="M127" s="52">
        <v>0.72542848799999959</v>
      </c>
      <c r="N127" s="52">
        <v>0.214</v>
      </c>
      <c r="O127" s="52">
        <v>0.99131492399999843</v>
      </c>
      <c r="P127" s="52">
        <v>0.89723700999999711</v>
      </c>
      <c r="Q127" s="52">
        <v>0.28211764705882342</v>
      </c>
      <c r="R127" s="52">
        <v>0.82845679600000044</v>
      </c>
      <c r="S127" s="52">
        <v>0.7654050619999998</v>
      </c>
      <c r="T127" s="52">
        <v>0.24211764705882341</v>
      </c>
      <c r="U127" s="52">
        <v>1.1626482320000031</v>
      </c>
      <c r="V127" s="52">
        <v>1.0396265540000023</v>
      </c>
      <c r="W127" s="52">
        <v>0.34717647058823603</v>
      </c>
      <c r="X127" s="52">
        <v>0</v>
      </c>
      <c r="Y127" s="52">
        <v>0</v>
      </c>
      <c r="Z127" s="52">
        <v>0</v>
      </c>
      <c r="AA127" s="52">
        <v>0</v>
      </c>
      <c r="AB127" s="52">
        <v>0</v>
      </c>
      <c r="AC127" s="52">
        <v>0</v>
      </c>
      <c r="AD127" s="52">
        <v>0</v>
      </c>
      <c r="AE127" s="52">
        <v>0</v>
      </c>
      <c r="AF127" s="52">
        <v>0</v>
      </c>
      <c r="AG127" s="52">
        <v>0</v>
      </c>
      <c r="AH127" s="52">
        <v>0</v>
      </c>
      <c r="AI127" s="52">
        <v>0</v>
      </c>
      <c r="AJ127" s="52">
        <v>0</v>
      </c>
      <c r="AK127" s="52">
        <v>0</v>
      </c>
      <c r="AL127" s="52">
        <v>0</v>
      </c>
      <c r="AM127" s="52">
        <v>0.51305848727272774</v>
      </c>
      <c r="AN127" s="52">
        <v>0.51886766238636395</v>
      </c>
      <c r="AO127" s="52">
        <v>0.18210561497326166</v>
      </c>
      <c r="AP127" s="52">
        <v>0.5648560109090911</v>
      </c>
      <c r="AQ127" s="52">
        <v>0.57169315056818137</v>
      </c>
      <c r="AR127" s="52">
        <v>0.19908422459893038</v>
      </c>
      <c r="AS127" s="52">
        <v>0.72508108215909073</v>
      </c>
      <c r="AT127" s="52">
        <v>0.73282319363636406</v>
      </c>
      <c r="AU127" s="52">
        <v>0.30812834224598851</v>
      </c>
      <c r="AV127" s="52">
        <v>0.57798823000000088</v>
      </c>
      <c r="AW127" s="52">
        <v>0.5839094177272719</v>
      </c>
      <c r="AX127" s="52">
        <v>0.24254679144385013</v>
      </c>
      <c r="AY127" s="52">
        <v>0.82510132204545616</v>
      </c>
      <c r="AZ127" s="52">
        <v>0.83388833647727467</v>
      </c>
      <c r="BA127" s="52">
        <v>0.37774732620320883</v>
      </c>
      <c r="BB127" s="52">
        <v>-7.9070940000000062E-2</v>
      </c>
      <c r="BC127" s="52">
        <v>-6.6221817999999988E-2</v>
      </c>
      <c r="BD127" s="52">
        <v>-7.2715950000000015E-2</v>
      </c>
      <c r="BE127" s="52">
        <v>-7.6183761999999655E-2</v>
      </c>
      <c r="BF127" s="52">
        <v>-7.0741077999999902E-2</v>
      </c>
      <c r="BG127" s="52">
        <v>0</v>
      </c>
      <c r="BH127" s="52">
        <v>0</v>
      </c>
      <c r="BI127" s="52">
        <v>0</v>
      </c>
      <c r="BJ127" s="52">
        <v>0</v>
      </c>
      <c r="BK127" s="52">
        <v>0</v>
      </c>
      <c r="BL127" s="52">
        <v>-9.6183519204545598E-2</v>
      </c>
      <c r="BM127" s="52">
        <v>-9.124519965909092E-2</v>
      </c>
      <c r="BN127" s="52">
        <v>-8.6434560681818151E-2</v>
      </c>
      <c r="BO127" s="52">
        <v>-9.2778119204545373E-2</v>
      </c>
      <c r="BP127" s="52">
        <v>-8.6150517727272807E-2</v>
      </c>
    </row>
    <row r="128" spans="2:68">
      <c r="B128" t="s">
        <v>560</v>
      </c>
      <c r="C128" t="s">
        <v>561</v>
      </c>
      <c r="D128" t="s">
        <v>527</v>
      </c>
      <c r="E128">
        <v>10</v>
      </c>
      <c r="F128" t="s">
        <v>514</v>
      </c>
      <c r="G128" t="s">
        <v>525</v>
      </c>
      <c r="H128" t="s">
        <v>560</v>
      </c>
      <c r="I128" s="52">
        <v>0.42107871200000047</v>
      </c>
      <c r="J128" s="52">
        <v>0.44772103600000085</v>
      </c>
      <c r="K128" s="52">
        <v>0.14541176470588243</v>
      </c>
      <c r="L128" s="52">
        <v>0.4942407199999998</v>
      </c>
      <c r="M128" s="52">
        <v>0.52519775200000007</v>
      </c>
      <c r="N128" s="52">
        <v>0.17235294117647071</v>
      </c>
      <c r="O128" s="52">
        <v>0.43225058200000055</v>
      </c>
      <c r="P128" s="52">
        <v>0.46427105800000207</v>
      </c>
      <c r="Q128" s="52">
        <v>0.1694117647058829</v>
      </c>
      <c r="R128" s="52">
        <v>0.37998284199999943</v>
      </c>
      <c r="S128" s="52">
        <v>0.40750446600000034</v>
      </c>
      <c r="T128" s="52">
        <v>0.1484705882352946</v>
      </c>
      <c r="U128" s="52">
        <v>0.36273824600000082</v>
      </c>
      <c r="V128" s="52">
        <v>0.39740339799999858</v>
      </c>
      <c r="W128" s="52">
        <v>0.14647058823529369</v>
      </c>
      <c r="X128" s="52">
        <v>0.47189020399999937</v>
      </c>
      <c r="Y128" s="52">
        <v>0.48680043200000001</v>
      </c>
      <c r="Z128" s="52">
        <v>0.13741176470588198</v>
      </c>
      <c r="AA128" s="52">
        <v>0.5759913199999992</v>
      </c>
      <c r="AB128" s="52">
        <v>0.5941012020000016</v>
      </c>
      <c r="AC128" s="52">
        <v>0.16929411764705857</v>
      </c>
      <c r="AD128" s="52">
        <v>0.52703668200000175</v>
      </c>
      <c r="AE128" s="52">
        <v>0.54519502400000053</v>
      </c>
      <c r="AF128" s="52">
        <v>0.12035294117647209</v>
      </c>
      <c r="AG128" s="52">
        <v>0.42298970399999963</v>
      </c>
      <c r="AH128" s="52">
        <v>0.4401647560000001</v>
      </c>
      <c r="AI128" s="52">
        <v>0.10741176470588198</v>
      </c>
      <c r="AJ128" s="52">
        <v>0.42489039200000117</v>
      </c>
      <c r="AK128" s="52">
        <v>0.44465037799999846</v>
      </c>
      <c r="AL128" s="52">
        <v>4.7411764705884707E-2</v>
      </c>
      <c r="AM128" s="52">
        <v>0.44134673454545503</v>
      </c>
      <c r="AN128" s="52">
        <v>0.44631620454545473</v>
      </c>
      <c r="AO128" s="52">
        <v>0.15308823529411753</v>
      </c>
      <c r="AP128" s="52">
        <v>0.51645329636363635</v>
      </c>
      <c r="AQ128" s="52">
        <v>0.52239339363636317</v>
      </c>
      <c r="AR128" s="52">
        <v>0.17956550802139068</v>
      </c>
      <c r="AS128" s="52">
        <v>0.50105055079545391</v>
      </c>
      <c r="AT128" s="52">
        <v>0.5071301117045468</v>
      </c>
      <c r="AU128" s="52">
        <v>0.2019385026737969</v>
      </c>
      <c r="AV128" s="52">
        <v>0.41727066306818167</v>
      </c>
      <c r="AW128" s="52">
        <v>0.42209758943181774</v>
      </c>
      <c r="AX128" s="52">
        <v>0.16844919786096232</v>
      </c>
      <c r="AY128" s="52">
        <v>0.44517464522727429</v>
      </c>
      <c r="AZ128" s="52">
        <v>0.45177937181818129</v>
      </c>
      <c r="BA128" s="52">
        <v>0.18885695187165766</v>
      </c>
      <c r="BB128" s="52">
        <v>9.2858310000000069E-2</v>
      </c>
      <c r="BC128" s="52">
        <v>6.5870178000000015E-2</v>
      </c>
      <c r="BD128" s="52">
        <v>0.10902916600000004</v>
      </c>
      <c r="BE128" s="52">
        <v>0.1666415539999998</v>
      </c>
      <c r="BF128" s="52">
        <v>9.1887921999999997E-2</v>
      </c>
      <c r="BG128" s="52">
        <v>7.631816800000002E-2</v>
      </c>
      <c r="BH128" s="52">
        <v>5.6654765999999995E-2</v>
      </c>
      <c r="BI128" s="52">
        <v>8.7695089999999934E-2</v>
      </c>
      <c r="BJ128" s="52">
        <v>0.12358935599999996</v>
      </c>
      <c r="BK128" s="52">
        <v>8.0755687999999964E-2</v>
      </c>
      <c r="BL128" s="52">
        <v>6.8980482727272793E-2</v>
      </c>
      <c r="BM128" s="52">
        <v>4.0806423522727238E-2</v>
      </c>
      <c r="BN128" s="52">
        <v>9.0770505909090804E-2</v>
      </c>
      <c r="BO128" s="52">
        <v>0.14439698113636332</v>
      </c>
      <c r="BP128" s="52">
        <v>7.8887078863636315E-2</v>
      </c>
    </row>
    <row r="129" spans="2:68">
      <c r="B129" t="s">
        <v>563</v>
      </c>
      <c r="C129" t="s">
        <v>564</v>
      </c>
      <c r="D129" t="s">
        <v>527</v>
      </c>
      <c r="E129">
        <v>11</v>
      </c>
      <c r="F129" t="s">
        <v>514</v>
      </c>
      <c r="G129" t="s">
        <v>543</v>
      </c>
      <c r="H129" t="s">
        <v>563</v>
      </c>
      <c r="I129" s="52">
        <v>0.57417628200000037</v>
      </c>
      <c r="J129" s="52">
        <v>0.61055013399999913</v>
      </c>
      <c r="K129" s="52">
        <v>0.19717647058823559</v>
      </c>
      <c r="L129" s="52">
        <v>0.67475004399999849</v>
      </c>
      <c r="M129" s="52">
        <v>0.71706395200000039</v>
      </c>
      <c r="N129" s="52">
        <v>0.23505882352941171</v>
      </c>
      <c r="O129" s="52">
        <v>0.59068163800000184</v>
      </c>
      <c r="P129" s="52">
        <v>0.63443767400000073</v>
      </c>
      <c r="Q129" s="52">
        <v>0.23223529411764776</v>
      </c>
      <c r="R129" s="52">
        <v>0.51871880199999942</v>
      </c>
      <c r="S129" s="52">
        <v>0.55628205999999958</v>
      </c>
      <c r="T129" s="52">
        <v>0.20329411764705857</v>
      </c>
      <c r="U129" s="52">
        <v>0.49608587400000032</v>
      </c>
      <c r="V129" s="52">
        <v>0.5434325439999993</v>
      </c>
      <c r="W129" s="52">
        <v>0.2023529411764721</v>
      </c>
      <c r="X129" s="52">
        <v>0.64434527600000002</v>
      </c>
      <c r="Y129" s="52">
        <v>0.66472577000000088</v>
      </c>
      <c r="Z129" s="52">
        <v>0.18811764705882342</v>
      </c>
      <c r="AA129" s="52">
        <v>0.78644865199999914</v>
      </c>
      <c r="AB129" s="52">
        <v>0.81126367800000121</v>
      </c>
      <c r="AC129" s="52">
        <v>0.23200000000000001</v>
      </c>
      <c r="AD129" s="52">
        <v>0.72058089400000247</v>
      </c>
      <c r="AE129" s="52">
        <v>0.74506199399999973</v>
      </c>
      <c r="AF129" s="52">
        <v>0.16411764705882523</v>
      </c>
      <c r="AG129" s="52">
        <v>0.5772572139999993</v>
      </c>
      <c r="AH129" s="52">
        <v>0.60041244200000077</v>
      </c>
      <c r="AI129" s="52">
        <v>0.14823529411764685</v>
      </c>
      <c r="AJ129" s="52">
        <v>0.58103317600000082</v>
      </c>
      <c r="AK129" s="52">
        <v>0.60742735399999948</v>
      </c>
      <c r="AL129" s="52">
        <v>6.9176470588237865E-2</v>
      </c>
      <c r="AM129" s="52">
        <v>0.60008363818181842</v>
      </c>
      <c r="AN129" s="52">
        <v>0.6068721940909092</v>
      </c>
      <c r="AO129" s="52">
        <v>0.2084157754010692</v>
      </c>
      <c r="AP129" s="52">
        <v>0.70234067579545389</v>
      </c>
      <c r="AQ129" s="52">
        <v>0.71049378806818164</v>
      </c>
      <c r="AR129" s="52">
        <v>0.24468582887700532</v>
      </c>
      <c r="AS129" s="52">
        <v>0.68372118954545424</v>
      </c>
      <c r="AT129" s="52">
        <v>0.6920492440909104</v>
      </c>
      <c r="AU129" s="52">
        <v>0.27552807486630959</v>
      </c>
      <c r="AV129" s="52">
        <v>0.56651945159090911</v>
      </c>
      <c r="AW129" s="52">
        <v>0.57313953545454588</v>
      </c>
      <c r="AX129" s="52">
        <v>0.22913101604278091</v>
      </c>
      <c r="AY129" s="52">
        <v>0.60732209488636391</v>
      </c>
      <c r="AZ129" s="52">
        <v>0.61638654897727319</v>
      </c>
      <c r="BA129" s="52">
        <v>0.25747326203208515</v>
      </c>
      <c r="BB129" s="52">
        <v>0.12750928799999997</v>
      </c>
      <c r="BC129" s="52">
        <v>9.0062391999999936E-2</v>
      </c>
      <c r="BD129" s="52">
        <v>0.14967813599999999</v>
      </c>
      <c r="BE129" s="52">
        <v>0.2286961940000001</v>
      </c>
      <c r="BF129" s="52">
        <v>0.12613150399999995</v>
      </c>
      <c r="BG129" s="52">
        <v>0.10487365</v>
      </c>
      <c r="BH129" s="52">
        <v>7.7486401999999996E-2</v>
      </c>
      <c r="BI129" s="52">
        <v>0.12054451599999993</v>
      </c>
      <c r="BJ129" s="52">
        <v>0.1708755699999997</v>
      </c>
      <c r="BK129" s="52">
        <v>0.11126180799999998</v>
      </c>
      <c r="BL129" s="52">
        <v>9.4460533863636384E-2</v>
      </c>
      <c r="BM129" s="52">
        <v>5.541113056818197E-2</v>
      </c>
      <c r="BN129" s="52">
        <v>0.12437680590909085</v>
      </c>
      <c r="BO129" s="52">
        <v>0.19822771977272705</v>
      </c>
      <c r="BP129" s="52">
        <v>0.10787696386363636</v>
      </c>
    </row>
    <row r="130" spans="2:68">
      <c r="B130" t="s">
        <v>566</v>
      </c>
      <c r="C130" t="s">
        <v>567</v>
      </c>
      <c r="D130" t="s">
        <v>527</v>
      </c>
      <c r="E130">
        <v>12</v>
      </c>
      <c r="F130" t="s">
        <v>514</v>
      </c>
      <c r="G130" t="s">
        <v>568</v>
      </c>
      <c r="H130" t="s">
        <v>566</v>
      </c>
      <c r="I130" s="52">
        <v>0.6097395379999998</v>
      </c>
      <c r="J130" s="52">
        <v>0.64835737399999926</v>
      </c>
      <c r="K130" s="52">
        <v>0.21011764705882341</v>
      </c>
      <c r="L130" s="52">
        <v>0.71671862200000036</v>
      </c>
      <c r="M130" s="52">
        <v>0.76167903000000114</v>
      </c>
      <c r="N130" s="52">
        <v>0.24905882352941125</v>
      </c>
      <c r="O130" s="52">
        <v>0.62758201800000102</v>
      </c>
      <c r="P130" s="52">
        <v>0.67407284000000067</v>
      </c>
      <c r="Q130" s="52">
        <v>0.24623529411764775</v>
      </c>
      <c r="R130" s="52">
        <v>0.55095193599999948</v>
      </c>
      <c r="S130" s="52">
        <v>0.59087064800000011</v>
      </c>
      <c r="T130" s="52">
        <v>0.21529411764705855</v>
      </c>
      <c r="U130" s="52">
        <v>0.52713899600000147</v>
      </c>
      <c r="V130" s="52">
        <v>0.57742946999999911</v>
      </c>
      <c r="W130" s="52">
        <v>0.21435294117647208</v>
      </c>
      <c r="X130" s="52">
        <v>0.68449286799999931</v>
      </c>
      <c r="Y130" s="52">
        <v>0.70615372000000021</v>
      </c>
      <c r="Z130" s="52">
        <v>0.20011764705882343</v>
      </c>
      <c r="AA130" s="52">
        <v>0.83539812999999963</v>
      </c>
      <c r="AB130" s="52">
        <v>0.86178318399999987</v>
      </c>
      <c r="AC130" s="52">
        <v>0.24694117647058828</v>
      </c>
      <c r="AD130" s="52">
        <v>0.76568203600000195</v>
      </c>
      <c r="AE130" s="52">
        <v>0.79161853999999954</v>
      </c>
      <c r="AF130" s="52">
        <v>0.17505882352941263</v>
      </c>
      <c r="AG130" s="52">
        <v>0.61312978399999885</v>
      </c>
      <c r="AH130" s="52">
        <v>0.63766025799999992</v>
      </c>
      <c r="AI130" s="52">
        <v>0.15717647058823514</v>
      </c>
      <c r="AJ130" s="52">
        <v>0.61739369799999988</v>
      </c>
      <c r="AK130" s="52">
        <v>0.64529428600000027</v>
      </c>
      <c r="AL130" s="52">
        <v>7.4117647058825245E-2</v>
      </c>
      <c r="AM130" s="52">
        <v>0.63677872022727322</v>
      </c>
      <c r="AN130" s="52">
        <v>0.6439913160227273</v>
      </c>
      <c r="AO130" s="52">
        <v>0.22119652406417095</v>
      </c>
      <c r="AP130" s="52">
        <v>0.74538172329545394</v>
      </c>
      <c r="AQ130" s="52">
        <v>0.75405255204545441</v>
      </c>
      <c r="AR130" s="52">
        <v>0.25956550802139028</v>
      </c>
      <c r="AS130" s="52">
        <v>0.72611579920454461</v>
      </c>
      <c r="AT130" s="52">
        <v>0.73496685136363749</v>
      </c>
      <c r="AU130" s="52">
        <v>0.29262700534759295</v>
      </c>
      <c r="AV130" s="52">
        <v>0.60103514624999987</v>
      </c>
      <c r="AW130" s="52">
        <v>0.60807247284090904</v>
      </c>
      <c r="AX130" s="52">
        <v>0.24322192513369001</v>
      </c>
      <c r="AY130" s="52">
        <v>0.64504496272727418</v>
      </c>
      <c r="AZ130" s="52">
        <v>0.65468450545454537</v>
      </c>
      <c r="BA130" s="52">
        <v>0.27338235294117608</v>
      </c>
      <c r="BB130" s="52">
        <v>0.13565576599999984</v>
      </c>
      <c r="BC130" s="52">
        <v>9.5722807999999993E-2</v>
      </c>
      <c r="BD130" s="52">
        <v>0.15922855200000002</v>
      </c>
      <c r="BE130" s="52">
        <v>0.24326198199999999</v>
      </c>
      <c r="BF130" s="52">
        <v>0.13419467399999996</v>
      </c>
      <c r="BG130" s="52">
        <v>0.11156754799999999</v>
      </c>
      <c r="BH130" s="52">
        <v>8.2379695999999961E-2</v>
      </c>
      <c r="BI130" s="52">
        <v>0.12827290199999994</v>
      </c>
      <c r="BJ130" s="52">
        <v>0.18203224999999976</v>
      </c>
      <c r="BK130" s="52">
        <v>0.11843374400000005</v>
      </c>
      <c r="BL130" s="52">
        <v>0.10041116022727278</v>
      </c>
      <c r="BM130" s="52">
        <v>5.8776509431818343E-2</v>
      </c>
      <c r="BN130" s="52">
        <v>0.13225150227272728</v>
      </c>
      <c r="BO130" s="52">
        <v>0.21085586624999988</v>
      </c>
      <c r="BP130" s="52">
        <v>0.11464747624999994</v>
      </c>
    </row>
    <row r="131" spans="2:68">
      <c r="B131" t="s">
        <v>570</v>
      </c>
      <c r="C131" t="s">
        <v>571</v>
      </c>
      <c r="D131" t="s">
        <v>527</v>
      </c>
      <c r="E131">
        <v>13</v>
      </c>
      <c r="F131" t="s">
        <v>539</v>
      </c>
      <c r="G131" t="s">
        <v>543</v>
      </c>
      <c r="H131" t="s">
        <v>570</v>
      </c>
      <c r="I131" s="52">
        <v>4.2196946000000027E-2</v>
      </c>
      <c r="J131" s="52">
        <v>4.4875019999999495E-2</v>
      </c>
      <c r="K131" s="52">
        <v>1.2941176470588289E-2</v>
      </c>
      <c r="L131" s="52">
        <v>4.9792111999999181E-2</v>
      </c>
      <c r="M131" s="52">
        <v>5.2910108000000039E-2</v>
      </c>
      <c r="N131" s="52">
        <v>1.7882352941176578E-2</v>
      </c>
      <c r="O131" s="52">
        <v>4.3728599999998549E-2</v>
      </c>
      <c r="P131" s="52">
        <v>4.6967433999998323E-2</v>
      </c>
      <c r="Q131" s="52">
        <v>1.7882352941176578E-2</v>
      </c>
      <c r="R131" s="52">
        <v>3.8217787999999926E-2</v>
      </c>
      <c r="S131" s="52">
        <v>4.0990803999999118E-2</v>
      </c>
      <c r="T131" s="52">
        <v>1.4941176470587379E-2</v>
      </c>
      <c r="U131" s="52">
        <v>3.6801639999997859E-2</v>
      </c>
      <c r="V131" s="52">
        <v>4.0301203999999417E-2</v>
      </c>
      <c r="W131" s="52">
        <v>1.6E-2</v>
      </c>
      <c r="X131" s="52">
        <v>4.757730199999969E-2</v>
      </c>
      <c r="Y131" s="52">
        <v>4.9090688000000229E-2</v>
      </c>
      <c r="Z131" s="52">
        <v>1.3882352941176578E-2</v>
      </c>
      <c r="AA131" s="52">
        <v>5.8048705999999582E-2</v>
      </c>
      <c r="AB131" s="52">
        <v>5.9904962000000526E-2</v>
      </c>
      <c r="AC131" s="52">
        <v>1.6941176470588289E-2</v>
      </c>
      <c r="AD131" s="52">
        <v>5.3427576000001864E-2</v>
      </c>
      <c r="AE131" s="52">
        <v>5.515938399999868E-2</v>
      </c>
      <c r="AF131" s="52">
        <v>1.0941176470587378E-2</v>
      </c>
      <c r="AG131" s="52">
        <v>4.2542181999999228E-2</v>
      </c>
      <c r="AH131" s="52">
        <v>4.4179212000000918E-2</v>
      </c>
      <c r="AI131" s="52">
        <v>1.0941176470588289E-2</v>
      </c>
      <c r="AJ131" s="52">
        <v>4.3102534000001469E-2</v>
      </c>
      <c r="AK131" s="52">
        <v>4.4905109999999693E-2</v>
      </c>
      <c r="AL131" s="52">
        <v>4.9411764705891981E-3</v>
      </c>
      <c r="AM131" s="52">
        <v>4.3638400340909024E-2</v>
      </c>
      <c r="AN131" s="52">
        <v>4.4140315909091274E-2</v>
      </c>
      <c r="AO131" s="52">
        <v>1.5220588235294021E-2</v>
      </c>
      <c r="AP131" s="52">
        <v>5.1107592499999806E-2</v>
      </c>
      <c r="AQ131" s="52">
        <v>5.1720895681818632E-2</v>
      </c>
      <c r="AR131" s="52">
        <v>1.7593582887700656E-2</v>
      </c>
      <c r="AS131" s="52">
        <v>5.0317969886364153E-2</v>
      </c>
      <c r="AT131" s="52">
        <v>5.0939060681819019E-2</v>
      </c>
      <c r="AU131" s="52">
        <v>2.0320855614972971E-2</v>
      </c>
      <c r="AV131" s="52">
        <v>4.1029569204544959E-2</v>
      </c>
      <c r="AW131" s="52">
        <v>4.1524613636364102E-2</v>
      </c>
      <c r="AX131" s="52">
        <v>1.6697860962566747E-2</v>
      </c>
      <c r="AY131" s="52">
        <v>4.4740615340908167E-2</v>
      </c>
      <c r="AZ131" s="52">
        <v>4.542110170454676E-2</v>
      </c>
      <c r="BA131" s="52">
        <v>1.8910427807487314E-2</v>
      </c>
      <c r="BB131" s="52">
        <v>9.6134720000000014E-3</v>
      </c>
      <c r="BC131" s="52">
        <v>6.6856439999999108E-3</v>
      </c>
      <c r="BD131" s="52">
        <v>1.1277657999999973E-2</v>
      </c>
      <c r="BE131" s="52">
        <v>1.7215228000000023E-2</v>
      </c>
      <c r="BF131" s="52">
        <v>9.4981900000000227E-3</v>
      </c>
      <c r="BG131" s="52">
        <v>7.9165860000000518E-3</v>
      </c>
      <c r="BH131" s="52">
        <v>5.7755120000000486E-3</v>
      </c>
      <c r="BI131" s="52">
        <v>9.1175020000000585E-3</v>
      </c>
      <c r="BJ131" s="52">
        <v>1.3169824000000063E-2</v>
      </c>
      <c r="BK131" s="52">
        <v>8.4622859999999491E-3</v>
      </c>
      <c r="BL131" s="52">
        <v>7.0414082954545678E-3</v>
      </c>
      <c r="BM131" s="52">
        <v>4.0038663636365029E-3</v>
      </c>
      <c r="BN131" s="52">
        <v>9.3040931818181467E-3</v>
      </c>
      <c r="BO131" s="52">
        <v>1.491722113636363E-2</v>
      </c>
      <c r="BP131" s="52">
        <v>8.0124685227273892E-3</v>
      </c>
    </row>
    <row r="132" spans="2:68">
      <c r="B132" t="s">
        <v>573</v>
      </c>
      <c r="C132" t="s">
        <v>574</v>
      </c>
      <c r="D132" t="s">
        <v>527</v>
      </c>
      <c r="E132">
        <v>14</v>
      </c>
      <c r="F132" t="s">
        <v>539</v>
      </c>
      <c r="G132" t="s">
        <v>568</v>
      </c>
      <c r="H132" t="s">
        <v>573</v>
      </c>
      <c r="I132" s="52">
        <v>7.7760201999999487E-2</v>
      </c>
      <c r="J132" s="52">
        <v>8.2682259999999591E-2</v>
      </c>
      <c r="K132" s="52">
        <v>2.5882352941176124E-2</v>
      </c>
      <c r="L132" s="52">
        <v>9.1760690000000977E-2</v>
      </c>
      <c r="M132" s="52">
        <v>9.7525186000000763E-2</v>
      </c>
      <c r="N132" s="52">
        <v>3.1882352941176126E-2</v>
      </c>
      <c r="O132" s="52">
        <v>8.0628979999997685E-2</v>
      </c>
      <c r="P132" s="52">
        <v>8.660259999999835E-2</v>
      </c>
      <c r="Q132" s="52">
        <v>3.1882352941176577E-2</v>
      </c>
      <c r="R132" s="52">
        <v>7.0450921999999985E-2</v>
      </c>
      <c r="S132" s="52">
        <v>7.5579391999999648E-2</v>
      </c>
      <c r="T132" s="52">
        <v>2.6941176470587379E-2</v>
      </c>
      <c r="U132" s="52">
        <v>6.7854761999999028E-2</v>
      </c>
      <c r="V132" s="52">
        <v>7.4298129999999213E-2</v>
      </c>
      <c r="W132" s="52">
        <v>2.8000000000000001E-2</v>
      </c>
      <c r="X132" s="52">
        <v>8.772489399999904E-2</v>
      </c>
      <c r="Y132" s="52">
        <v>9.0518637999999554E-2</v>
      </c>
      <c r="Z132" s="52">
        <v>2.5882352941176578E-2</v>
      </c>
      <c r="AA132" s="52">
        <v>0.10699818400000004</v>
      </c>
      <c r="AB132" s="52">
        <v>0.11042446799999925</v>
      </c>
      <c r="AC132" s="52">
        <v>3.1882352941176577E-2</v>
      </c>
      <c r="AD132" s="52">
        <v>9.8528718000001389E-2</v>
      </c>
      <c r="AE132" s="52">
        <v>0.10171592999999848</v>
      </c>
      <c r="AF132" s="52">
        <v>2.1882352941174757E-2</v>
      </c>
      <c r="AG132" s="52">
        <v>7.8414751999998769E-2</v>
      </c>
      <c r="AH132" s="52">
        <v>8.1427028000000068E-2</v>
      </c>
      <c r="AI132" s="52">
        <v>1.9882352941176577E-2</v>
      </c>
      <c r="AJ132" s="52">
        <v>7.9463056000000504E-2</v>
      </c>
      <c r="AK132" s="52">
        <v>8.2772042000000517E-2</v>
      </c>
      <c r="AL132" s="52">
        <v>9.8823529411765781E-3</v>
      </c>
      <c r="AM132" s="52">
        <v>8.0333482386363772E-2</v>
      </c>
      <c r="AN132" s="52">
        <v>8.1259437840909332E-2</v>
      </c>
      <c r="AO132" s="52">
        <v>2.8001336898395783E-2</v>
      </c>
      <c r="AP132" s="52">
        <v>9.4148639999999756E-2</v>
      </c>
      <c r="AQ132" s="52">
        <v>9.5279659659091437E-2</v>
      </c>
      <c r="AR132" s="52">
        <v>3.2473262032085587E-2</v>
      </c>
      <c r="AS132" s="52">
        <v>9.271257954545449E-2</v>
      </c>
      <c r="AT132" s="52">
        <v>9.3856667954546127E-2</v>
      </c>
      <c r="AU132" s="52">
        <v>3.7419786096256347E-2</v>
      </c>
      <c r="AV132" s="52">
        <v>7.5545263863635803E-2</v>
      </c>
      <c r="AW132" s="52">
        <v>7.6457551022727291E-2</v>
      </c>
      <c r="AX132" s="52">
        <v>3.0788770053475838E-2</v>
      </c>
      <c r="AY132" s="52">
        <v>8.2463483181818453E-2</v>
      </c>
      <c r="AZ132" s="52">
        <v>8.3719058181818989E-2</v>
      </c>
      <c r="BA132" s="52">
        <v>3.4819518716578221E-2</v>
      </c>
      <c r="BB132" s="52">
        <v>1.7759949999999889E-2</v>
      </c>
      <c r="BC132" s="52">
        <v>1.2346059999999966E-2</v>
      </c>
      <c r="BD132" s="52">
        <v>2.0828074000000016E-2</v>
      </c>
      <c r="BE132" s="52">
        <v>3.1781015999999912E-2</v>
      </c>
      <c r="BF132" s="52">
        <v>1.7561360000000036E-2</v>
      </c>
      <c r="BG132" s="52">
        <v>1.4610484000000042E-2</v>
      </c>
      <c r="BH132" s="52">
        <v>1.0668806000000019E-2</v>
      </c>
      <c r="BI132" s="52">
        <v>1.6845888000000059E-2</v>
      </c>
      <c r="BJ132" s="52">
        <v>2.4326504000000113E-2</v>
      </c>
      <c r="BK132" s="52">
        <v>1.5634222000000024E-2</v>
      </c>
      <c r="BL132" s="52">
        <v>1.2992034659090967E-2</v>
      </c>
      <c r="BM132" s="52">
        <v>7.369245227272875E-3</v>
      </c>
      <c r="BN132" s="52">
        <v>1.7178789545454574E-2</v>
      </c>
      <c r="BO132" s="52">
        <v>2.7545367613636452E-2</v>
      </c>
      <c r="BP132" s="52">
        <v>1.4782980909090962E-2</v>
      </c>
    </row>
    <row r="133" spans="2:68">
      <c r="B133" t="s">
        <v>576</v>
      </c>
      <c r="C133" t="s">
        <v>577</v>
      </c>
      <c r="D133" t="s">
        <v>527</v>
      </c>
      <c r="E133">
        <v>15</v>
      </c>
      <c r="F133" t="s">
        <v>525</v>
      </c>
      <c r="G133" t="s">
        <v>539</v>
      </c>
      <c r="H133" t="s">
        <v>576</v>
      </c>
      <c r="I133" s="52">
        <v>0.11090062399999988</v>
      </c>
      <c r="J133" s="52">
        <v>0.11795407799999884</v>
      </c>
      <c r="K133" s="52">
        <v>3.8823529411764868E-2</v>
      </c>
      <c r="L133" s="52">
        <v>0.13071721199999956</v>
      </c>
      <c r="M133" s="52">
        <v>0.13895609200000036</v>
      </c>
      <c r="N133" s="52">
        <v>4.4823529411764415E-2</v>
      </c>
      <c r="O133" s="52">
        <v>0.11470245600000271</v>
      </c>
      <c r="P133" s="52">
        <v>0.1231991820000003</v>
      </c>
      <c r="Q133" s="52">
        <v>4.494117647058829E-2</v>
      </c>
      <c r="R133" s="52">
        <v>0.10051817200000004</v>
      </c>
      <c r="S133" s="52">
        <v>0.1077867900000001</v>
      </c>
      <c r="T133" s="52">
        <v>3.9882352941176577E-2</v>
      </c>
      <c r="U133" s="52">
        <v>9.6545988000001665E-2</v>
      </c>
      <c r="V133" s="52">
        <v>0.10572794200000135</v>
      </c>
      <c r="W133" s="52">
        <v>3.9882352941178395E-2</v>
      </c>
      <c r="X133" s="52">
        <v>0.12487777000000097</v>
      </c>
      <c r="Y133" s="52">
        <v>0.12883465000000069</v>
      </c>
      <c r="Z133" s="52">
        <v>3.6823529411764866E-2</v>
      </c>
      <c r="AA133" s="52">
        <v>0.15240862600000038</v>
      </c>
      <c r="AB133" s="52">
        <v>0.15725751399999899</v>
      </c>
      <c r="AC133" s="52">
        <v>4.5764705882353159E-2</v>
      </c>
      <c r="AD133" s="52">
        <v>0.14011663599999882</v>
      </c>
      <c r="AE133" s="52">
        <v>0.14470758600000044</v>
      </c>
      <c r="AF133" s="52">
        <v>3.2823529411765778E-2</v>
      </c>
      <c r="AG133" s="52">
        <v>0.11172532800000044</v>
      </c>
      <c r="AH133" s="52">
        <v>0.1160684739999997</v>
      </c>
      <c r="AI133" s="52">
        <v>2.9882352941176579E-2</v>
      </c>
      <c r="AJ133" s="52">
        <v>0.11304024999999819</v>
      </c>
      <c r="AK133" s="52">
        <v>0.11787186600000132</v>
      </c>
      <c r="AL133" s="52">
        <v>1.6823529411763957E-2</v>
      </c>
      <c r="AM133" s="52">
        <v>0.1150985032954544</v>
      </c>
      <c r="AN133" s="52">
        <v>0.1164156736363632</v>
      </c>
      <c r="AO133" s="52">
        <v>4.0106951871657658E-2</v>
      </c>
      <c r="AP133" s="52">
        <v>0.1347797869318178</v>
      </c>
      <c r="AQ133" s="52">
        <v>0.13637949874999983</v>
      </c>
      <c r="AR133" s="52">
        <v>4.7526737967913998E-2</v>
      </c>
      <c r="AS133" s="52">
        <v>0.1323526688636362</v>
      </c>
      <c r="AT133" s="52">
        <v>0.13398007170454465</v>
      </c>
      <c r="AU133" s="52">
        <v>5.3268716577539718E-2</v>
      </c>
      <c r="AV133" s="52">
        <v>0.10821921931818244</v>
      </c>
      <c r="AW133" s="52">
        <v>0.10951733238636403</v>
      </c>
      <c r="AX133" s="52">
        <v>4.398395721925185E-2</v>
      </c>
      <c r="AY133" s="52">
        <v>0.11740683431818152</v>
      </c>
      <c r="AZ133" s="52">
        <v>0.11918607545454506</v>
      </c>
      <c r="BA133" s="52">
        <v>4.9705882352940205E-2</v>
      </c>
      <c r="BB133" s="52">
        <v>2.5037505999999893E-2</v>
      </c>
      <c r="BC133" s="52">
        <v>1.7506570000000009E-2</v>
      </c>
      <c r="BD133" s="52">
        <v>2.937131199999999E-2</v>
      </c>
      <c r="BE133" s="52">
        <v>4.4839412000000266E-2</v>
      </c>
      <c r="BF133" s="52">
        <v>2.4745391999999925E-2</v>
      </c>
      <c r="BG133" s="52">
        <v>2.0638895999999931E-2</v>
      </c>
      <c r="BH133" s="52">
        <v>1.5056123999999954E-2</v>
      </c>
      <c r="BI133" s="52">
        <v>2.3731923999999936E-2</v>
      </c>
      <c r="BJ133" s="52">
        <v>3.4116389999999684E-2</v>
      </c>
      <c r="BK133" s="52">
        <v>2.2043834000000061E-2</v>
      </c>
      <c r="BL133" s="52">
        <v>1.8438642840909035E-2</v>
      </c>
      <c r="BM133" s="52">
        <v>1.0600840681818227E-2</v>
      </c>
      <c r="BN133" s="52">
        <v>2.4302206818181897E-2</v>
      </c>
      <c r="BO133" s="52">
        <v>3.8913517500000126E-2</v>
      </c>
      <c r="BP133" s="52">
        <v>2.0977416477272651E-2</v>
      </c>
    </row>
    <row r="134" spans="2:68">
      <c r="B134" t="s">
        <v>579</v>
      </c>
      <c r="C134" t="s">
        <v>580</v>
      </c>
      <c r="D134" t="s">
        <v>527</v>
      </c>
      <c r="E134">
        <v>16</v>
      </c>
      <c r="F134" t="s">
        <v>525</v>
      </c>
      <c r="G134" t="s">
        <v>543</v>
      </c>
      <c r="H134" t="s">
        <v>579</v>
      </c>
      <c r="I134" s="52">
        <v>0.15309756999999991</v>
      </c>
      <c r="J134" s="52">
        <v>0.16282909799999834</v>
      </c>
      <c r="K134" s="52">
        <v>5.1764705882353157E-2</v>
      </c>
      <c r="L134" s="52">
        <v>0.18050932399999875</v>
      </c>
      <c r="M134" s="52">
        <v>0.1918662000000004</v>
      </c>
      <c r="N134" s="52">
        <v>6.2705882352940986E-2</v>
      </c>
      <c r="O134" s="52">
        <v>0.15843105600000126</v>
      </c>
      <c r="P134" s="52">
        <v>0.1701666159999986</v>
      </c>
      <c r="Q134" s="52">
        <v>6.2823529411764861E-2</v>
      </c>
      <c r="R134" s="52">
        <v>0.13873595999999996</v>
      </c>
      <c r="S134" s="52">
        <v>0.14877759399999924</v>
      </c>
      <c r="T134" s="52">
        <v>5.4823529411763959E-2</v>
      </c>
      <c r="U134" s="52">
        <v>0.13334762799999952</v>
      </c>
      <c r="V134" s="52">
        <v>0.14602914600000078</v>
      </c>
      <c r="W134" s="52">
        <v>5.5882352941178395E-2</v>
      </c>
      <c r="X134" s="52">
        <v>0.17245507200000065</v>
      </c>
      <c r="Y134" s="52">
        <v>0.17792533800000093</v>
      </c>
      <c r="Z134" s="52">
        <v>5.0705882352941441E-2</v>
      </c>
      <c r="AA134" s="52">
        <v>0.21045733199999994</v>
      </c>
      <c r="AB134" s="52">
        <v>0.21716247599999952</v>
      </c>
      <c r="AC134" s="52">
        <v>6.2705882352941444E-2</v>
      </c>
      <c r="AD134" s="52">
        <v>0.19354421200000069</v>
      </c>
      <c r="AE134" s="52">
        <v>0.19986696999999912</v>
      </c>
      <c r="AF134" s="52">
        <v>4.3764705882353157E-2</v>
      </c>
      <c r="AG134" s="52">
        <v>0.15426750999999966</v>
      </c>
      <c r="AH134" s="52">
        <v>0.16024768600000061</v>
      </c>
      <c r="AI134" s="52">
        <v>4.0823529411764869E-2</v>
      </c>
      <c r="AJ134" s="52">
        <v>0.15614278399999967</v>
      </c>
      <c r="AK134" s="52">
        <v>0.16277697600000102</v>
      </c>
      <c r="AL134" s="52">
        <v>2.1764705882353155E-2</v>
      </c>
      <c r="AM134" s="52">
        <v>0.15873690363636342</v>
      </c>
      <c r="AN134" s="52">
        <v>0.16055598954545447</v>
      </c>
      <c r="AO134" s="52">
        <v>5.5327540106951678E-2</v>
      </c>
      <c r="AP134" s="52">
        <v>0.1858873794318176</v>
      </c>
      <c r="AQ134" s="52">
        <v>0.18810039443181847</v>
      </c>
      <c r="AR134" s="52">
        <v>6.5120320855614658E-2</v>
      </c>
      <c r="AS134" s="52">
        <v>0.18267063875000034</v>
      </c>
      <c r="AT134" s="52">
        <v>0.18491913238636368</v>
      </c>
      <c r="AU134" s="52">
        <v>7.3589572192512692E-2</v>
      </c>
      <c r="AV134" s="52">
        <v>0.14924878852272741</v>
      </c>
      <c r="AW134" s="52">
        <v>0.15104194602272814</v>
      </c>
      <c r="AX134" s="52">
        <v>6.0681818181818593E-2</v>
      </c>
      <c r="AY134" s="52">
        <v>0.1621474496590897</v>
      </c>
      <c r="AZ134" s="52">
        <v>0.16460717715909182</v>
      </c>
      <c r="BA134" s="52">
        <v>6.8616310160427518E-2</v>
      </c>
      <c r="BB134" s="52">
        <v>3.4650977999999895E-2</v>
      </c>
      <c r="BC134" s="52">
        <v>2.419221399999992E-2</v>
      </c>
      <c r="BD134" s="52">
        <v>4.0648969999999965E-2</v>
      </c>
      <c r="BE134" s="52">
        <v>6.2054640000000293E-2</v>
      </c>
      <c r="BF134" s="52">
        <v>3.4243581999999946E-2</v>
      </c>
      <c r="BG134" s="52">
        <v>2.8555481999999983E-2</v>
      </c>
      <c r="BH134" s="52">
        <v>2.0831636000000004E-2</v>
      </c>
      <c r="BI134" s="52">
        <v>3.2849425999999994E-2</v>
      </c>
      <c r="BJ134" s="52">
        <v>4.7286213999999743E-2</v>
      </c>
      <c r="BK134" s="52">
        <v>3.0506120000000012E-2</v>
      </c>
      <c r="BL134" s="52">
        <v>2.5480051136363605E-2</v>
      </c>
      <c r="BM134" s="52">
        <v>1.460470704545473E-2</v>
      </c>
      <c r="BN134" s="52">
        <v>3.360630000000004E-2</v>
      </c>
      <c r="BO134" s="52">
        <v>5.3830738636363756E-2</v>
      </c>
      <c r="BP134" s="52">
        <v>2.8989885000000042E-2</v>
      </c>
    </row>
    <row r="135" spans="2:68">
      <c r="B135" t="s">
        <v>582</v>
      </c>
      <c r="C135" t="s">
        <v>583</v>
      </c>
      <c r="D135" t="s">
        <v>527</v>
      </c>
      <c r="E135">
        <v>17</v>
      </c>
      <c r="F135" t="s">
        <v>525</v>
      </c>
      <c r="G135" t="s">
        <v>568</v>
      </c>
      <c r="H135" t="s">
        <v>582</v>
      </c>
      <c r="I135" s="52">
        <v>0.18866082599999937</v>
      </c>
      <c r="J135" s="52">
        <v>0.20063633799999844</v>
      </c>
      <c r="K135" s="52">
        <v>6.4705882352940988E-2</v>
      </c>
      <c r="L135" s="52">
        <v>0.22247790200000053</v>
      </c>
      <c r="M135" s="52">
        <v>0.2364812780000011</v>
      </c>
      <c r="N135" s="52">
        <v>7.6705882352940541E-2</v>
      </c>
      <c r="O135" s="52">
        <v>0.19533143600000039</v>
      </c>
      <c r="P135" s="52">
        <v>0.20980178199999863</v>
      </c>
      <c r="Q135" s="52">
        <v>7.682352941176486E-2</v>
      </c>
      <c r="R135" s="52">
        <v>0.17096909400000004</v>
      </c>
      <c r="S135" s="52">
        <v>0.18336618199999977</v>
      </c>
      <c r="T135" s="52">
        <v>6.6823529411763963E-2</v>
      </c>
      <c r="U135" s="52">
        <v>0.16440075000000071</v>
      </c>
      <c r="V135" s="52">
        <v>0.18002607200000056</v>
      </c>
      <c r="W135" s="52">
        <v>6.7882352941178392E-2</v>
      </c>
      <c r="X135" s="52">
        <v>0.212602664</v>
      </c>
      <c r="Y135" s="52">
        <v>0.21935328800000026</v>
      </c>
      <c r="Z135" s="52">
        <v>6.2705882352941444E-2</v>
      </c>
      <c r="AA135" s="52">
        <v>0.25940681000000043</v>
      </c>
      <c r="AB135" s="52">
        <v>0.26768198199999826</v>
      </c>
      <c r="AC135" s="52">
        <v>7.7647058823529735E-2</v>
      </c>
      <c r="AD135" s="52">
        <v>0.23864535400000023</v>
      </c>
      <c r="AE135" s="52">
        <v>0.24642351599999893</v>
      </c>
      <c r="AF135" s="52">
        <v>5.4705882352940535E-2</v>
      </c>
      <c r="AG135" s="52">
        <v>0.19014007999999921</v>
      </c>
      <c r="AH135" s="52">
        <v>0.19749550199999977</v>
      </c>
      <c r="AI135" s="52">
        <v>4.9764705882353155E-2</v>
      </c>
      <c r="AJ135" s="52">
        <v>0.19250330599999871</v>
      </c>
      <c r="AK135" s="52">
        <v>0.20064390800000184</v>
      </c>
      <c r="AL135" s="52">
        <v>2.6705882352940535E-2</v>
      </c>
      <c r="AM135" s="52">
        <v>0.19543198568181816</v>
      </c>
      <c r="AN135" s="52">
        <v>0.19767511147727254</v>
      </c>
      <c r="AO135" s="52">
        <v>6.8108288770053441E-2</v>
      </c>
      <c r="AP135" s="52">
        <v>0.22892842693181759</v>
      </c>
      <c r="AQ135" s="52">
        <v>0.23165915840909126</v>
      </c>
      <c r="AR135" s="52">
        <v>7.9999999999999585E-2</v>
      </c>
      <c r="AS135" s="52">
        <v>0.22506524840909067</v>
      </c>
      <c r="AT135" s="52">
        <v>0.22783673965909076</v>
      </c>
      <c r="AU135" s="52">
        <v>9.0688502673796065E-2</v>
      </c>
      <c r="AV135" s="52">
        <v>0.18376448318181826</v>
      </c>
      <c r="AW135" s="52">
        <v>0.18597488340909132</v>
      </c>
      <c r="AX135" s="52">
        <v>7.4772727272727685E-2</v>
      </c>
      <c r="AY135" s="52">
        <v>0.19987031749999998</v>
      </c>
      <c r="AZ135" s="52">
        <v>0.20290513363636406</v>
      </c>
      <c r="BA135" s="52">
        <v>8.4525401069518419E-2</v>
      </c>
      <c r="BB135" s="52">
        <v>4.2797455999999783E-2</v>
      </c>
      <c r="BC135" s="52">
        <v>2.9852629999999977E-2</v>
      </c>
      <c r="BD135" s="52">
        <v>5.0199386000000006E-2</v>
      </c>
      <c r="BE135" s="52">
        <v>7.6620428000000171E-2</v>
      </c>
      <c r="BF135" s="52">
        <v>4.2306751999999961E-2</v>
      </c>
      <c r="BG135" s="52">
        <v>3.5249379999999976E-2</v>
      </c>
      <c r="BH135" s="52">
        <v>2.5724929999999972E-2</v>
      </c>
      <c r="BI135" s="52">
        <v>4.0577811999999998E-2</v>
      </c>
      <c r="BJ135" s="52">
        <v>5.8442893999999794E-2</v>
      </c>
      <c r="BK135" s="52">
        <v>3.7678056000000085E-2</v>
      </c>
      <c r="BL135" s="52">
        <v>3.1430677500000004E-2</v>
      </c>
      <c r="BM135" s="52">
        <v>1.7970085909091101E-2</v>
      </c>
      <c r="BN135" s="52">
        <v>4.1480996363636467E-2</v>
      </c>
      <c r="BO135" s="52">
        <v>6.6458885113636582E-2</v>
      </c>
      <c r="BP135" s="52">
        <v>3.5760397386363614E-2</v>
      </c>
    </row>
    <row r="136" spans="2:68">
      <c r="B136" t="s">
        <v>585</v>
      </c>
      <c r="C136" t="s">
        <v>586</v>
      </c>
      <c r="D136" t="s">
        <v>527</v>
      </c>
      <c r="E136">
        <v>18</v>
      </c>
      <c r="F136" t="s">
        <v>543</v>
      </c>
      <c r="G136" t="s">
        <v>568</v>
      </c>
      <c r="H136" t="s">
        <v>585</v>
      </c>
      <c r="I136" s="52">
        <v>3.5563255999999453E-2</v>
      </c>
      <c r="J136" s="52">
        <v>3.7807240000000089E-2</v>
      </c>
      <c r="K136" s="52">
        <v>1.2941176470587835E-2</v>
      </c>
      <c r="L136" s="52">
        <v>4.1968578000001797E-2</v>
      </c>
      <c r="M136" s="52">
        <v>4.4615078000000724E-2</v>
      </c>
      <c r="N136" s="52">
        <v>1.3999999999999546E-2</v>
      </c>
      <c r="O136" s="52">
        <v>3.6900379999999129E-2</v>
      </c>
      <c r="P136" s="52">
        <v>3.9635166000000027E-2</v>
      </c>
      <c r="Q136" s="52">
        <v>1.4E-2</v>
      </c>
      <c r="R136" s="52">
        <v>3.2233134000000066E-2</v>
      </c>
      <c r="S136" s="52">
        <v>3.4588588000000524E-2</v>
      </c>
      <c r="T136" s="52">
        <v>1.2E-2</v>
      </c>
      <c r="U136" s="52">
        <v>3.1053122000001168E-2</v>
      </c>
      <c r="V136" s="52">
        <v>3.3996925999999802E-2</v>
      </c>
      <c r="W136" s="52">
        <v>1.2E-2</v>
      </c>
      <c r="X136" s="52">
        <v>4.0147591999999351E-2</v>
      </c>
      <c r="Y136" s="52">
        <v>4.1427949999999325E-2</v>
      </c>
      <c r="Z136" s="52">
        <v>1.2E-2</v>
      </c>
      <c r="AA136" s="52">
        <v>4.8949478000000456E-2</v>
      </c>
      <c r="AB136" s="52">
        <v>5.0519505999998729E-2</v>
      </c>
      <c r="AC136" s="52">
        <v>1.4941176470588289E-2</v>
      </c>
      <c r="AD136" s="52">
        <v>4.5101141999999525E-2</v>
      </c>
      <c r="AE136" s="52">
        <v>4.6556545999999796E-2</v>
      </c>
      <c r="AF136" s="52">
        <v>1.0941176470587378E-2</v>
      </c>
      <c r="AG136" s="52">
        <v>3.5872569999999541E-2</v>
      </c>
      <c r="AH136" s="52">
        <v>3.724781599999915E-2</v>
      </c>
      <c r="AI136" s="52">
        <v>8.9411764705882892E-3</v>
      </c>
      <c r="AJ136" s="52">
        <v>3.6360521999999035E-2</v>
      </c>
      <c r="AK136" s="52">
        <v>3.7866932000000818E-2</v>
      </c>
      <c r="AL136" s="52">
        <v>4.9411764705873792E-3</v>
      </c>
      <c r="AM136" s="52">
        <v>3.6695082045454748E-2</v>
      </c>
      <c r="AN136" s="52">
        <v>3.7119121931818051E-2</v>
      </c>
      <c r="AO136" s="52">
        <v>1.2780748663101762E-2</v>
      </c>
      <c r="AP136" s="52">
        <v>4.3041047499999957E-2</v>
      </c>
      <c r="AQ136" s="52">
        <v>4.3558763977272812E-2</v>
      </c>
      <c r="AR136" s="52">
        <v>1.4879679144384929E-2</v>
      </c>
      <c r="AS136" s="52">
        <v>4.2394609659090331E-2</v>
      </c>
      <c r="AT136" s="52">
        <v>4.2917607272727101E-2</v>
      </c>
      <c r="AU136" s="52">
        <v>1.7098930481283373E-2</v>
      </c>
      <c r="AV136" s="52">
        <v>3.4515694659090844E-2</v>
      </c>
      <c r="AW136" s="52">
        <v>3.4932937386363182E-2</v>
      </c>
      <c r="AX136" s="52">
        <v>1.4090909090909091E-2</v>
      </c>
      <c r="AY136" s="52">
        <v>3.7722867840910279E-2</v>
      </c>
      <c r="AZ136" s="52">
        <v>3.8297956477272237E-2</v>
      </c>
      <c r="BA136" s="52">
        <v>1.5909090909090907E-2</v>
      </c>
      <c r="BB136" s="52">
        <v>8.1464779999998876E-3</v>
      </c>
      <c r="BC136" s="52">
        <v>5.6604160000000544E-3</v>
      </c>
      <c r="BD136" s="52">
        <v>9.5504160000000407E-3</v>
      </c>
      <c r="BE136" s="52">
        <v>1.4565787999999883E-2</v>
      </c>
      <c r="BF136" s="52">
        <v>8.0631700000000136E-3</v>
      </c>
      <c r="BG136" s="52">
        <v>6.6938979999999898E-3</v>
      </c>
      <c r="BH136" s="52">
        <v>4.8932939999999691E-3</v>
      </c>
      <c r="BI136" s="52">
        <v>7.7283860000000003E-3</v>
      </c>
      <c r="BJ136" s="52">
        <v>1.1156680000000051E-2</v>
      </c>
      <c r="BK136" s="52">
        <v>7.1719360000000731E-3</v>
      </c>
      <c r="BL136" s="52">
        <v>5.9506263636363984E-3</v>
      </c>
      <c r="BM136" s="52">
        <v>3.3653788636363721E-3</v>
      </c>
      <c r="BN136" s="52">
        <v>7.874696363636427E-3</v>
      </c>
      <c r="BO136" s="52">
        <v>1.2628146477272822E-2</v>
      </c>
      <c r="BP136" s="52">
        <v>6.7705123863635724E-3</v>
      </c>
    </row>
    <row r="137" spans="2:68">
      <c r="B137" t="s">
        <v>587</v>
      </c>
      <c r="C137" t="s">
        <v>588</v>
      </c>
      <c r="D137" t="s">
        <v>174</v>
      </c>
      <c r="E137">
        <v>10</v>
      </c>
      <c r="F137" t="s">
        <v>589</v>
      </c>
      <c r="G137" t="s">
        <v>590</v>
      </c>
      <c r="H137" t="s">
        <v>587</v>
      </c>
      <c r="I137" s="52">
        <v>-6.0644549846153843</v>
      </c>
      <c r="J137" s="52">
        <v>-6.4576160153846169</v>
      </c>
      <c r="K137" s="52">
        <v>-2.2144796380090495</v>
      </c>
      <c r="L137" s="52">
        <v>-6.682582805128205</v>
      </c>
      <c r="M137" s="52">
        <v>-7.1189064666666688</v>
      </c>
      <c r="N137" s="52">
        <v>-2.441930618401206</v>
      </c>
      <c r="O137" s="52">
        <v>-10.404783292307696</v>
      </c>
      <c r="P137" s="52">
        <v>-10.991041871794868</v>
      </c>
      <c r="Q137" s="52">
        <v>-4.6992458521870297</v>
      </c>
      <c r="R137" s="52">
        <v>-7.820034415384618</v>
      </c>
      <c r="S137" s="52">
        <v>-8.2953219589743608</v>
      </c>
      <c r="T137" s="52">
        <v>-3.4205128205128204</v>
      </c>
      <c r="U137" s="52">
        <v>-12.886241948717949</v>
      </c>
      <c r="V137" s="52">
        <v>-13.561273092307696</v>
      </c>
      <c r="W137" s="52">
        <v>-6.729411764705886</v>
      </c>
      <c r="X137" s="52">
        <v>-5.9311655487179493</v>
      </c>
      <c r="Y137" s="52">
        <v>-6.2423779282051282</v>
      </c>
      <c r="Z137" s="52">
        <v>-2.3122171945701351</v>
      </c>
      <c r="AA137" s="52">
        <v>-6.5186960923076933</v>
      </c>
      <c r="AB137" s="52">
        <v>-6.8639451743589728</v>
      </c>
      <c r="AC137" s="52">
        <v>-2.5574660633484152</v>
      </c>
      <c r="AD137" s="52">
        <v>-10.161674317948712</v>
      </c>
      <c r="AE137" s="52">
        <v>-10.703682830769234</v>
      </c>
      <c r="AF137" s="52">
        <v>-5.3257918552036196</v>
      </c>
      <c r="AG137" s="52">
        <v>-7.6236961999999968</v>
      </c>
      <c r="AH137" s="52">
        <v>-8.0314194820512803</v>
      </c>
      <c r="AI137" s="52">
        <v>-3.8132730015082976</v>
      </c>
      <c r="AJ137" s="52">
        <v>-12.613408194871795</v>
      </c>
      <c r="AK137" s="52">
        <v>-13.280262723076932</v>
      </c>
      <c r="AL137" s="52">
        <v>-7.9843137254901917</v>
      </c>
      <c r="AM137" s="52">
        <v>-6.6682291833333327</v>
      </c>
      <c r="AN137" s="52">
        <v>-6.7310610181818173</v>
      </c>
      <c r="AO137" s="52">
        <v>-2.4015151515151514</v>
      </c>
      <c r="AP137" s="52">
        <v>-7.3576214106060602</v>
      </c>
      <c r="AQ137" s="52">
        <v>-7.4317145108585869</v>
      </c>
      <c r="AR137" s="52">
        <v>-2.6497920380273317</v>
      </c>
      <c r="AS137" s="52">
        <v>-11.528581011111109</v>
      </c>
      <c r="AT137" s="52">
        <v>-11.576222689898987</v>
      </c>
      <c r="AU137" s="52">
        <v>-4.9421122994652409</v>
      </c>
      <c r="AV137" s="52">
        <v>-8.4954474578282806</v>
      </c>
      <c r="AW137" s="52">
        <v>-8.5448680477272738</v>
      </c>
      <c r="AX137" s="52">
        <v>-3.6345513963161014</v>
      </c>
      <c r="AY137" s="52">
        <v>-14.116451507828282</v>
      </c>
      <c r="AZ137" s="52">
        <v>-14.159402824999999</v>
      </c>
      <c r="BA137" s="52">
        <v>-6.6779114676173501</v>
      </c>
      <c r="BB137" s="52">
        <v>-1.1575142564102565</v>
      </c>
      <c r="BC137" s="52">
        <v>-0.77637143076923054</v>
      </c>
      <c r="BD137" s="52">
        <v>-1.2578606923076925</v>
      </c>
      <c r="BE137" s="52">
        <v>-1.8593856358974359</v>
      </c>
      <c r="BF137" s="52">
        <v>-0.98771521025641029</v>
      </c>
      <c r="BG137" s="52">
        <v>-1.2380727538461536</v>
      </c>
      <c r="BH137" s="52">
        <v>-0.80877836410256421</v>
      </c>
      <c r="BI137" s="52">
        <v>-1.3230060820512821</v>
      </c>
      <c r="BJ137" s="52">
        <v>-2.0051479230769229</v>
      </c>
      <c r="BK137" s="52">
        <v>-1.0513950923076922</v>
      </c>
      <c r="BL137" s="52">
        <v>-0.97187633787878791</v>
      </c>
      <c r="BM137" s="52">
        <v>-0.67863786464646469</v>
      </c>
      <c r="BN137" s="52">
        <v>-1.1607647032828281</v>
      </c>
      <c r="BO137" s="52">
        <v>-1.714889581818182</v>
      </c>
      <c r="BP137" s="52">
        <v>-0.90406397904040392</v>
      </c>
    </row>
    <row r="138" spans="2:68">
      <c r="B138" t="s">
        <v>591</v>
      </c>
      <c r="C138" t="s">
        <v>592</v>
      </c>
      <c r="D138" t="s">
        <v>174</v>
      </c>
      <c r="E138">
        <v>11</v>
      </c>
      <c r="F138" t="s">
        <v>589</v>
      </c>
      <c r="G138" t="s">
        <v>593</v>
      </c>
      <c r="H138" t="s">
        <v>591</v>
      </c>
      <c r="I138" s="52">
        <v>-4.9451046461538475</v>
      </c>
      <c r="J138" s="52">
        <v>-5.2661593846153876</v>
      </c>
      <c r="K138" s="52">
        <v>-1.8211161387631971</v>
      </c>
      <c r="L138" s="52">
        <v>-5.45415427692308</v>
      </c>
      <c r="M138" s="52">
        <v>-5.8105088153846154</v>
      </c>
      <c r="N138" s="52">
        <v>-2.0051282051282038</v>
      </c>
      <c r="O138" s="52">
        <v>-8.5664007384615388</v>
      </c>
      <c r="P138" s="52">
        <v>-9.0474315538461525</v>
      </c>
      <c r="Q138" s="52">
        <v>-3.8853695324283555</v>
      </c>
      <c r="R138" s="52">
        <v>-6.359201610256414</v>
      </c>
      <c r="S138" s="52">
        <v>-6.7449046307692324</v>
      </c>
      <c r="T138" s="52">
        <v>-2.798793363499247</v>
      </c>
      <c r="U138" s="52">
        <v>-10.675872943589741</v>
      </c>
      <c r="V138" s="52">
        <v>-11.232490774358974</v>
      </c>
      <c r="W138" s="52">
        <v>-5.5707390648567108</v>
      </c>
      <c r="X138" s="52">
        <v>-4.8184420358974354</v>
      </c>
      <c r="Y138" s="52">
        <v>-5.0721342564102558</v>
      </c>
      <c r="Z138" s="52">
        <v>-1.8932126696832572</v>
      </c>
      <c r="AA138" s="52">
        <v>-5.2977723076923073</v>
      </c>
      <c r="AB138" s="52">
        <v>-5.5793958410256401</v>
      </c>
      <c r="AC138" s="52">
        <v>-2.0950226244343888</v>
      </c>
      <c r="AD138" s="52">
        <v>-8.3291881743589702</v>
      </c>
      <c r="AE138" s="52">
        <v>-8.7747395282051333</v>
      </c>
      <c r="AF138" s="52">
        <v>-4.3882352941176457</v>
      </c>
      <c r="AG138" s="52">
        <v>-6.1806853794871781</v>
      </c>
      <c r="AH138" s="52">
        <v>-6.5124678974358972</v>
      </c>
      <c r="AI138" s="52">
        <v>-3.1064856711915545</v>
      </c>
      <c r="AJ138" s="52">
        <v>-10.416533605128205</v>
      </c>
      <c r="AK138" s="52">
        <v>-10.968191784615387</v>
      </c>
      <c r="AL138" s="52">
        <v>-6.6072398190045183</v>
      </c>
      <c r="AM138" s="52">
        <v>-5.4915117542929286</v>
      </c>
      <c r="AN138" s="52">
        <v>-5.5467701338383835</v>
      </c>
      <c r="AO138" s="52">
        <v>-1.989988116458705</v>
      </c>
      <c r="AP138" s="52">
        <v>-6.067389486616162</v>
      </c>
      <c r="AQ138" s="52">
        <v>-6.1323850828282831</v>
      </c>
      <c r="AR138" s="52">
        <v>-2.1976381461675576</v>
      </c>
      <c r="AS138" s="52">
        <v>-9.5659638517676768</v>
      </c>
      <c r="AT138" s="52">
        <v>-9.6086461343434326</v>
      </c>
      <c r="AU138" s="52">
        <v>-4.1080659536541893</v>
      </c>
      <c r="AV138" s="52">
        <v>-6.9885653616161614</v>
      </c>
      <c r="AW138" s="52">
        <v>-7.0329397729797982</v>
      </c>
      <c r="AX138" s="52">
        <v>-3.0082590612002376</v>
      </c>
      <c r="AY138" s="52">
        <v>-11.789192292424243</v>
      </c>
      <c r="AZ138" s="52">
        <v>-11.827776278535351</v>
      </c>
      <c r="BA138" s="52">
        <v>-5.5633838383838388</v>
      </c>
      <c r="BB138" s="52">
        <v>-1.1325979076923076</v>
      </c>
      <c r="BC138" s="52">
        <v>-0.7702983384615385</v>
      </c>
      <c r="BD138" s="52">
        <v>-1.2143476153846156</v>
      </c>
      <c r="BE138" s="52">
        <v>-1.7732504358974357</v>
      </c>
      <c r="BF138" s="52">
        <v>-0.96527120000000011</v>
      </c>
      <c r="BG138" s="52">
        <v>-1.2067206256410257</v>
      </c>
      <c r="BH138" s="52">
        <v>-0.79846082051282052</v>
      </c>
      <c r="BI138" s="52">
        <v>-1.2726620564102564</v>
      </c>
      <c r="BJ138" s="52">
        <v>-1.9121461743589745</v>
      </c>
      <c r="BK138" s="52">
        <v>-1.020418117948718</v>
      </c>
      <c r="BL138" s="52">
        <v>-0.97960499646464672</v>
      </c>
      <c r="BM138" s="52">
        <v>-0.70560494292929277</v>
      </c>
      <c r="BN138" s="52">
        <v>-1.141914272979798</v>
      </c>
      <c r="BO138" s="52">
        <v>-1.6646517055555559</v>
      </c>
      <c r="BP138" s="52">
        <v>-0.90108847297979766</v>
      </c>
    </row>
    <row r="139" spans="2:68">
      <c r="B139" t="s">
        <v>594</v>
      </c>
      <c r="C139" t="s">
        <v>595</v>
      </c>
      <c r="D139" t="s">
        <v>174</v>
      </c>
      <c r="E139">
        <v>12</v>
      </c>
      <c r="F139" t="s">
        <v>589</v>
      </c>
      <c r="G139" t="s">
        <v>596</v>
      </c>
      <c r="H139" t="s">
        <v>594</v>
      </c>
      <c r="I139" s="52">
        <v>0</v>
      </c>
      <c r="J139" s="52">
        <v>0</v>
      </c>
      <c r="K139" s="52">
        <v>0</v>
      </c>
      <c r="L139" s="52">
        <v>0</v>
      </c>
      <c r="M139" s="52">
        <v>0</v>
      </c>
      <c r="N139" s="52">
        <v>0</v>
      </c>
      <c r="O139" s="52">
        <v>0</v>
      </c>
      <c r="P139" s="52">
        <v>0</v>
      </c>
      <c r="Q139" s="52">
        <v>0</v>
      </c>
      <c r="R139" s="52">
        <v>0</v>
      </c>
      <c r="S139" s="52">
        <v>0</v>
      </c>
      <c r="T139" s="52">
        <v>0</v>
      </c>
      <c r="U139" s="52">
        <v>0</v>
      </c>
      <c r="V139" s="52">
        <v>0</v>
      </c>
      <c r="W139" s="52">
        <v>0</v>
      </c>
      <c r="X139" s="52">
        <v>0</v>
      </c>
      <c r="Y139" s="52">
        <v>0</v>
      </c>
      <c r="Z139" s="52">
        <v>0</v>
      </c>
      <c r="AA139" s="52">
        <v>0</v>
      </c>
      <c r="AB139" s="52">
        <v>0</v>
      </c>
      <c r="AC139" s="52">
        <v>0</v>
      </c>
      <c r="AD139" s="52">
        <v>0</v>
      </c>
      <c r="AE139" s="52">
        <v>0</v>
      </c>
      <c r="AF139" s="52">
        <v>0</v>
      </c>
      <c r="AG139" s="52">
        <v>0</v>
      </c>
      <c r="AH139" s="52">
        <v>0</v>
      </c>
      <c r="AI139" s="52">
        <v>0</v>
      </c>
      <c r="AJ139" s="52">
        <v>0</v>
      </c>
      <c r="AK139" s="52">
        <v>0</v>
      </c>
      <c r="AL139" s="52">
        <v>0</v>
      </c>
      <c r="AM139" s="52">
        <v>0</v>
      </c>
      <c r="AN139" s="52">
        <v>0</v>
      </c>
      <c r="AO139" s="52">
        <v>0</v>
      </c>
      <c r="AP139" s="52">
        <v>0</v>
      </c>
      <c r="AQ139" s="52">
        <v>0</v>
      </c>
      <c r="AR139" s="52">
        <v>0</v>
      </c>
      <c r="AS139" s="52">
        <v>0</v>
      </c>
      <c r="AT139" s="52">
        <v>0</v>
      </c>
      <c r="AU139" s="52">
        <v>0</v>
      </c>
      <c r="AV139" s="52">
        <v>0</v>
      </c>
      <c r="AW139" s="52">
        <v>0</v>
      </c>
      <c r="AX139" s="52">
        <v>0</v>
      </c>
      <c r="AY139" s="52">
        <v>0</v>
      </c>
      <c r="AZ139" s="52">
        <v>0</v>
      </c>
      <c r="BA139" s="52">
        <v>0</v>
      </c>
      <c r="BB139" s="52">
        <v>0</v>
      </c>
      <c r="BC139" s="52">
        <v>0</v>
      </c>
      <c r="BD139" s="52">
        <v>0</v>
      </c>
      <c r="BE139" s="52">
        <v>0</v>
      </c>
      <c r="BF139" s="52">
        <v>0</v>
      </c>
      <c r="BG139" s="52">
        <v>0</v>
      </c>
      <c r="BH139" s="52">
        <v>0</v>
      </c>
      <c r="BI139" s="52">
        <v>0</v>
      </c>
      <c r="BJ139" s="52">
        <v>0</v>
      </c>
      <c r="BK139" s="52">
        <v>0</v>
      </c>
      <c r="BL139" s="52">
        <v>0</v>
      </c>
      <c r="BM139" s="52">
        <v>0</v>
      </c>
      <c r="BN139" s="52">
        <v>0</v>
      </c>
      <c r="BO139" s="52">
        <v>0</v>
      </c>
      <c r="BP139" s="52">
        <v>0</v>
      </c>
    </row>
    <row r="140" spans="2:68">
      <c r="B140" t="s">
        <v>597</v>
      </c>
      <c r="C140" t="s">
        <v>598</v>
      </c>
      <c r="D140" t="s">
        <v>174</v>
      </c>
      <c r="E140">
        <v>13</v>
      </c>
      <c r="F140" t="s">
        <v>589</v>
      </c>
      <c r="G140" t="s">
        <v>599</v>
      </c>
      <c r="H140" t="s">
        <v>597</v>
      </c>
      <c r="I140" s="52">
        <v>-2.8652840461538478</v>
      </c>
      <c r="J140" s="52">
        <v>-3.0522018102564124</v>
      </c>
      <c r="K140" s="52">
        <v>-1.0754147812971344</v>
      </c>
      <c r="L140" s="52">
        <v>-3.1600932051282049</v>
      </c>
      <c r="M140" s="52">
        <v>-3.3679356717948696</v>
      </c>
      <c r="N140" s="52">
        <v>-1.185218702865761</v>
      </c>
      <c r="O140" s="52">
        <v>-5.0950914769230788</v>
      </c>
      <c r="P140" s="52">
        <v>-5.3785932666666643</v>
      </c>
      <c r="Q140" s="52">
        <v>-2.3550527903469094</v>
      </c>
      <c r="R140" s="52">
        <v>-3.6371992410256402</v>
      </c>
      <c r="S140" s="52">
        <v>-3.8561336205128192</v>
      </c>
      <c r="T140" s="52">
        <v>-1.644947209653093</v>
      </c>
      <c r="U140" s="52">
        <v>-6.4803513846153811</v>
      </c>
      <c r="V140" s="52">
        <v>-6.8137419282051273</v>
      </c>
      <c r="W140" s="52">
        <v>-3.426244343891407</v>
      </c>
      <c r="X140" s="52">
        <v>-2.7490762564102575</v>
      </c>
      <c r="Y140" s="52">
        <v>-2.8955624358974372</v>
      </c>
      <c r="Z140" s="52">
        <v>-1.1088989441930608</v>
      </c>
      <c r="AA140" s="52">
        <v>-3.0244450615384593</v>
      </c>
      <c r="AB140" s="52">
        <v>-3.1873655025641034</v>
      </c>
      <c r="AC140" s="52">
        <v>-1.228959276018099</v>
      </c>
      <c r="AD140" s="52">
        <v>-4.8813038512820546</v>
      </c>
      <c r="AE140" s="52">
        <v>-5.1450569692307679</v>
      </c>
      <c r="AF140" s="52">
        <v>-2.636199095022624</v>
      </c>
      <c r="AG140" s="52">
        <v>-3.4913317794871781</v>
      </c>
      <c r="AH140" s="52">
        <v>-3.6812789692307679</v>
      </c>
      <c r="AI140" s="52">
        <v>-1.8081447963800925</v>
      </c>
      <c r="AJ140" s="52">
        <v>-6.2575178205128257</v>
      </c>
      <c r="AK140" s="52">
        <v>-6.5908482358974423</v>
      </c>
      <c r="AL140" s="52">
        <v>-4.025037707390644</v>
      </c>
      <c r="AM140" s="52">
        <v>-3.3157211959595956</v>
      </c>
      <c r="AN140" s="52">
        <v>-3.3545984982323231</v>
      </c>
      <c r="AO140" s="52">
        <v>-1.2184046345811048</v>
      </c>
      <c r="AP140" s="52">
        <v>-3.6720899108585852</v>
      </c>
      <c r="AQ140" s="52">
        <v>-3.7167253952020198</v>
      </c>
      <c r="AR140" s="52">
        <v>-1.3481877599524652</v>
      </c>
      <c r="AS140" s="52">
        <v>-5.874966294949493</v>
      </c>
      <c r="AT140" s="52">
        <v>-5.9068500856060613</v>
      </c>
      <c r="AU140" s="52">
        <v>-2.5430629827688644</v>
      </c>
      <c r="AV140" s="52">
        <v>-4.1997074717171703</v>
      </c>
      <c r="AW140" s="52">
        <v>-4.2326336623737371</v>
      </c>
      <c r="AX140" s="52">
        <v>-1.834893048128343</v>
      </c>
      <c r="AY140" s="52">
        <v>-7.3603780929292943</v>
      </c>
      <c r="AZ140" s="52">
        <v>-7.3887157093434315</v>
      </c>
      <c r="BA140" s="52">
        <v>-3.4721628045157447</v>
      </c>
      <c r="BB140" s="52">
        <v>-1.0296032410256406</v>
      </c>
      <c r="BC140" s="52">
        <v>-0.71662717948717936</v>
      </c>
      <c r="BD140" s="52">
        <v>-1.0729553692307692</v>
      </c>
      <c r="BE140" s="52">
        <v>-1.5307124871794877</v>
      </c>
      <c r="BF140" s="52">
        <v>-0.87486614871794877</v>
      </c>
      <c r="BG140" s="52">
        <v>-1.0886719589743588</v>
      </c>
      <c r="BH140" s="52">
        <v>-0.73561643076923067</v>
      </c>
      <c r="BI140" s="52">
        <v>-1.1163233333333336</v>
      </c>
      <c r="BJ140" s="52">
        <v>-1.6498881641025638</v>
      </c>
      <c r="BK140" s="52">
        <v>-0.91170742051282039</v>
      </c>
      <c r="BL140" s="52">
        <v>-0.94715739696969725</v>
      </c>
      <c r="BM140" s="52">
        <v>-0.72038770101010119</v>
      </c>
      <c r="BN140" s="52">
        <v>-1.0530021446969695</v>
      </c>
      <c r="BO140" s="52">
        <v>-1.4974073133838388</v>
      </c>
      <c r="BP140" s="52">
        <v>-0.85424815707070689</v>
      </c>
    </row>
    <row r="141" spans="2:68">
      <c r="B141" t="s">
        <v>600</v>
      </c>
      <c r="C141" t="s">
        <v>601</v>
      </c>
      <c r="D141" t="s">
        <v>174</v>
      </c>
      <c r="E141">
        <v>14</v>
      </c>
      <c r="F141" t="s">
        <v>589</v>
      </c>
      <c r="G141" t="s">
        <v>602</v>
      </c>
      <c r="H141" t="s">
        <v>600</v>
      </c>
      <c r="I141" s="52">
        <v>-1.5763068307692312</v>
      </c>
      <c r="J141" s="52">
        <v>-1.6801802871794886</v>
      </c>
      <c r="K141" s="52">
        <v>-0.61568627450980362</v>
      </c>
      <c r="L141" s="52">
        <v>-1.7431778256410255</v>
      </c>
      <c r="M141" s="52">
        <v>-1.860384543589743</v>
      </c>
      <c r="N141" s="52">
        <v>-0.67963800904977245</v>
      </c>
      <c r="O141" s="52">
        <v>-2.962045066666668</v>
      </c>
      <c r="P141" s="52">
        <v>-3.1238154102564106</v>
      </c>
      <c r="Q141" s="52">
        <v>-1.4365007541478148</v>
      </c>
      <c r="R141" s="52">
        <v>-1.9315821641025674</v>
      </c>
      <c r="S141" s="52">
        <v>-2.046018082051281</v>
      </c>
      <c r="T141" s="52">
        <v>-0.93423831070889807</v>
      </c>
      <c r="U141" s="52">
        <v>-3.9379733333333253</v>
      </c>
      <c r="V141" s="52">
        <v>-4.1355831435897414</v>
      </c>
      <c r="W141" s="52">
        <v>-2.1788838612368031</v>
      </c>
      <c r="X141" s="52">
        <v>-1.4567532205128209</v>
      </c>
      <c r="Y141" s="52">
        <v>-1.5366246256410261</v>
      </c>
      <c r="Z141" s="52">
        <v>-0.62352941176470544</v>
      </c>
      <c r="AA141" s="52">
        <v>-1.6027253641025638</v>
      </c>
      <c r="AB141" s="52">
        <v>-1.691776312820513</v>
      </c>
      <c r="AC141" s="52">
        <v>-0.68989441930618389</v>
      </c>
      <c r="AD141" s="52">
        <v>-2.7426323179487158</v>
      </c>
      <c r="AE141" s="52">
        <v>-2.894089605128209</v>
      </c>
      <c r="AF141" s="52">
        <v>-1.5990950226244329</v>
      </c>
      <c r="AG141" s="52">
        <v>-1.7934024153846109</v>
      </c>
      <c r="AH141" s="52">
        <v>-1.8942610769230761</v>
      </c>
      <c r="AI141" s="52">
        <v>-1.019909502262444</v>
      </c>
      <c r="AJ141" s="52">
        <v>-3.7219193743589782</v>
      </c>
      <c r="AK141" s="52">
        <v>-3.9224905641025636</v>
      </c>
      <c r="AL141" s="52">
        <v>-2.5429864253393624</v>
      </c>
      <c r="AM141" s="52">
        <v>-2.0701884765151517</v>
      </c>
      <c r="AN141" s="52">
        <v>-2.0983077090909088</v>
      </c>
      <c r="AO141" s="52">
        <v>-0.77210338680926927</v>
      </c>
      <c r="AP141" s="52">
        <v>-2.3035777921717169</v>
      </c>
      <c r="AQ141" s="52">
        <v>-2.3351255083333338</v>
      </c>
      <c r="AR141" s="52">
        <v>-0.85748663101604239</v>
      </c>
      <c r="AS141" s="52">
        <v>-3.7190414005050503</v>
      </c>
      <c r="AT141" s="52">
        <v>-3.7430776525252534</v>
      </c>
      <c r="AU141" s="52">
        <v>-1.6389928698752234</v>
      </c>
      <c r="AV141" s="52">
        <v>-2.5588781532828273</v>
      </c>
      <c r="AW141" s="52">
        <v>-2.5831367053030303</v>
      </c>
      <c r="AX141" s="52">
        <v>-1.1473113487819364</v>
      </c>
      <c r="AY141" s="52">
        <v>-4.7538383787878802</v>
      </c>
      <c r="AZ141" s="52">
        <v>-4.7743756696969673</v>
      </c>
      <c r="BA141" s="52">
        <v>-2.2839720736779561</v>
      </c>
      <c r="BB141" s="52">
        <v>-1.0748078153846155</v>
      </c>
      <c r="BC141" s="52">
        <v>-0.76925540512820512</v>
      </c>
      <c r="BD141" s="52">
        <v>-1.0965744410256411</v>
      </c>
      <c r="BE141" s="52">
        <v>-1.5257273794871802</v>
      </c>
      <c r="BF141" s="52">
        <v>-0.91274476923076919</v>
      </c>
      <c r="BG141" s="52">
        <v>-1.1286385897435898</v>
      </c>
      <c r="BH141" s="52">
        <v>-0.78307599999999999</v>
      </c>
      <c r="BI141" s="52">
        <v>-1.1329251743589743</v>
      </c>
      <c r="BJ141" s="52">
        <v>-1.6398998871794868</v>
      </c>
      <c r="BK141" s="52">
        <v>-0.94309332307692295</v>
      </c>
      <c r="BL141" s="52">
        <v>-1.0491733229797979</v>
      </c>
      <c r="BM141" s="52">
        <v>-0.83670650656565682</v>
      </c>
      <c r="BN141" s="52">
        <v>-1.1203431845959597</v>
      </c>
      <c r="BO141" s="52">
        <v>-1.5590115479797984</v>
      </c>
      <c r="BP141" s="52">
        <v>-0.93433659823232307</v>
      </c>
    </row>
    <row r="142" spans="2:68">
      <c r="B142" t="s">
        <v>603</v>
      </c>
      <c r="C142" t="s">
        <v>604</v>
      </c>
      <c r="D142" t="s">
        <v>174</v>
      </c>
      <c r="E142">
        <v>15</v>
      </c>
      <c r="F142" t="s">
        <v>605</v>
      </c>
      <c r="G142" t="s">
        <v>590</v>
      </c>
      <c r="H142" t="s">
        <v>603</v>
      </c>
      <c r="I142" s="52">
        <v>0.59884128205128195</v>
      </c>
      <c r="J142" s="52">
        <v>0.64542087179487195</v>
      </c>
      <c r="K142" s="52">
        <v>0.25580693815987987</v>
      </c>
      <c r="L142" s="52">
        <v>0.70293983076923416</v>
      </c>
      <c r="M142" s="52">
        <v>0.75728843589743355</v>
      </c>
      <c r="N142" s="52">
        <v>0.29683257918552092</v>
      </c>
      <c r="O142" s="52">
        <v>1.4241506769230723</v>
      </c>
      <c r="P142" s="52">
        <v>1.4995473128205141</v>
      </c>
      <c r="Q142" s="52">
        <v>0.93996983408747981</v>
      </c>
      <c r="R142" s="52">
        <v>0.57183885128205214</v>
      </c>
      <c r="S142" s="52">
        <v>0.61019581025640757</v>
      </c>
      <c r="T142" s="52">
        <v>0.47601809954751212</v>
      </c>
      <c r="U142" s="52">
        <v>2.1785447179487116</v>
      </c>
      <c r="V142" s="52">
        <v>2.283174194871791</v>
      </c>
      <c r="W142" s="52">
        <v>1.7861236802413258</v>
      </c>
      <c r="X142" s="52">
        <v>0.41832408205128346</v>
      </c>
      <c r="Y142" s="52">
        <v>0.44388165128205004</v>
      </c>
      <c r="Z142" s="52">
        <v>0.22775263951734465</v>
      </c>
      <c r="AA142" s="52">
        <v>0.50508768205128063</v>
      </c>
      <c r="AB142" s="52">
        <v>0.53530009743589735</v>
      </c>
      <c r="AC142" s="52">
        <v>0.27420814479638023</v>
      </c>
      <c r="AD142" s="52">
        <v>1.1548229846153846</v>
      </c>
      <c r="AE142" s="52">
        <v>1.2205209948717917</v>
      </c>
      <c r="AF142" s="52">
        <v>1.1239819004524878</v>
      </c>
      <c r="AG142" s="52">
        <v>0.39345391794871926</v>
      </c>
      <c r="AH142" s="52">
        <v>0.41905011282051419</v>
      </c>
      <c r="AI142" s="52">
        <v>0.57164404223227772</v>
      </c>
      <c r="AJ142" s="52">
        <v>1.9021627538461567</v>
      </c>
      <c r="AK142" s="52">
        <v>2.005306482051282</v>
      </c>
      <c r="AL142" s="52">
        <v>2.1746606334841672</v>
      </c>
      <c r="AM142" s="52">
        <v>1.3446592760101008</v>
      </c>
      <c r="AN142" s="52">
        <v>1.3498008101010102</v>
      </c>
      <c r="AO142" s="52">
        <v>0.54702911467617432</v>
      </c>
      <c r="AP142" s="52">
        <v>1.5483782588383852</v>
      </c>
      <c r="AQ142" s="52">
        <v>1.5538927977272716</v>
      </c>
      <c r="AR142" s="52">
        <v>0.6195038621509209</v>
      </c>
      <c r="AS142" s="52">
        <v>2.3302125244949519</v>
      </c>
      <c r="AT142" s="52">
        <v>2.3277665015151521</v>
      </c>
      <c r="AU142" s="52">
        <v>1.2784907902554954</v>
      </c>
      <c r="AV142" s="52">
        <v>1.4997784297979788</v>
      </c>
      <c r="AW142" s="52">
        <v>1.4967600106060626</v>
      </c>
      <c r="AX142" s="52">
        <v>0.82505941770647551</v>
      </c>
      <c r="AY142" s="52">
        <v>3.099128660858586</v>
      </c>
      <c r="AZ142" s="52">
        <v>3.0974202227272722</v>
      </c>
      <c r="BA142" s="52">
        <v>2.0021538918597743</v>
      </c>
      <c r="BB142" s="52">
        <v>1.6157545743589743</v>
      </c>
      <c r="BC142" s="52">
        <v>1.2826763948717952</v>
      </c>
      <c r="BD142" s="52">
        <v>1.6959990871794868</v>
      </c>
      <c r="BE142" s="52">
        <v>2.2798354153846154</v>
      </c>
      <c r="BF142" s="52">
        <v>1.4423841025641027</v>
      </c>
      <c r="BG142" s="52">
        <v>1.6830943692307698</v>
      </c>
      <c r="BH142" s="52">
        <v>1.3255793846153843</v>
      </c>
      <c r="BI142" s="52">
        <v>1.7756612512820509</v>
      </c>
      <c r="BJ142" s="52">
        <v>2.3219566564102561</v>
      </c>
      <c r="BK142" s="52">
        <v>1.5095904512820513</v>
      </c>
      <c r="BL142" s="52">
        <v>1.6793616810606058</v>
      </c>
      <c r="BM142" s="52">
        <v>1.4337153270202019</v>
      </c>
      <c r="BN142" s="52">
        <v>1.7834242696969693</v>
      </c>
      <c r="BO142" s="52">
        <v>2.343466582070707</v>
      </c>
      <c r="BP142" s="52">
        <v>1.57094728510101</v>
      </c>
    </row>
    <row r="143" spans="2:68">
      <c r="B143" t="s">
        <v>606</v>
      </c>
      <c r="C143" t="s">
        <v>607</v>
      </c>
      <c r="D143" t="s">
        <v>174</v>
      </c>
      <c r="E143">
        <v>16</v>
      </c>
      <c r="F143" t="s">
        <v>605</v>
      </c>
      <c r="G143" t="s">
        <v>593</v>
      </c>
      <c r="H143" t="s">
        <v>606</v>
      </c>
      <c r="I143" s="52">
        <v>1.7181916205128194</v>
      </c>
      <c r="J143" s="52">
        <v>1.8368775025641018</v>
      </c>
      <c r="K143" s="52">
        <v>0.64917043740573233</v>
      </c>
      <c r="L143" s="52">
        <v>1.9313683589743587</v>
      </c>
      <c r="M143" s="52">
        <v>2.0656860871794867</v>
      </c>
      <c r="N143" s="52">
        <v>0.73363499245852282</v>
      </c>
      <c r="O143" s="52">
        <v>3.2625332307692307</v>
      </c>
      <c r="P143" s="52">
        <v>3.4431576307692291</v>
      </c>
      <c r="Q143" s="52">
        <v>1.7538461538461538</v>
      </c>
      <c r="R143" s="52">
        <v>2.0326716564102565</v>
      </c>
      <c r="S143" s="52">
        <v>2.160613138461537</v>
      </c>
      <c r="T143" s="52">
        <v>1.0977375565610856</v>
      </c>
      <c r="U143" s="52">
        <v>4.3889137230769197</v>
      </c>
      <c r="V143" s="52">
        <v>4.6119565128205116</v>
      </c>
      <c r="W143" s="52">
        <v>2.9447963800905015</v>
      </c>
      <c r="X143" s="52">
        <v>1.5310475948717981</v>
      </c>
      <c r="Y143" s="52">
        <v>1.6141253230769228</v>
      </c>
      <c r="Z143" s="52">
        <v>0.64675716440422271</v>
      </c>
      <c r="AA143" s="52">
        <v>1.7260114666666666</v>
      </c>
      <c r="AB143" s="52">
        <v>1.8198494307692294</v>
      </c>
      <c r="AC143" s="52">
        <v>0.73665158371040651</v>
      </c>
      <c r="AD143" s="52">
        <v>2.9873091282051272</v>
      </c>
      <c r="AE143" s="52">
        <v>3.1494642974358915</v>
      </c>
      <c r="AF143" s="52">
        <v>2.0615384615384613</v>
      </c>
      <c r="AG143" s="52">
        <v>1.836464738461538</v>
      </c>
      <c r="AH143" s="52">
        <v>1.9380016974358976</v>
      </c>
      <c r="AI143" s="52">
        <v>1.2784313725490206</v>
      </c>
      <c r="AJ143" s="52">
        <v>4.0990373435897478</v>
      </c>
      <c r="AK143" s="52">
        <v>4.3173774205128259</v>
      </c>
      <c r="AL143" s="52">
        <v>3.5517345399698406</v>
      </c>
      <c r="AM143" s="52">
        <v>2.5213767050505047</v>
      </c>
      <c r="AN143" s="52">
        <v>2.5340916944444438</v>
      </c>
      <c r="AO143" s="52">
        <v>0.95855614973262082</v>
      </c>
      <c r="AP143" s="52">
        <v>2.8386101828282833</v>
      </c>
      <c r="AQ143" s="52">
        <v>2.8532222257575754</v>
      </c>
      <c r="AR143" s="52">
        <v>1.0716577540106953</v>
      </c>
      <c r="AS143" s="52">
        <v>4.2928296838383853</v>
      </c>
      <c r="AT143" s="52">
        <v>4.2953430570707072</v>
      </c>
      <c r="AU143" s="52">
        <v>2.1125371360665466</v>
      </c>
      <c r="AV143" s="52">
        <v>3.0066605260100987</v>
      </c>
      <c r="AW143" s="52">
        <v>3.0086882853535375</v>
      </c>
      <c r="AX143" s="52">
        <v>1.4513517528223396</v>
      </c>
      <c r="AY143" s="52">
        <v>5.4263878762626252</v>
      </c>
      <c r="AZ143" s="52">
        <v>5.4290467691919204</v>
      </c>
      <c r="BA143" s="52">
        <v>3.1166815210932861</v>
      </c>
      <c r="BB143" s="52">
        <v>1.6406709230769232</v>
      </c>
      <c r="BC143" s="52">
        <v>1.2887494871794871</v>
      </c>
      <c r="BD143" s="52">
        <v>1.7395121641025637</v>
      </c>
      <c r="BE143" s="52">
        <v>2.3659706153846156</v>
      </c>
      <c r="BF143" s="52">
        <v>1.4648281128205127</v>
      </c>
      <c r="BG143" s="52">
        <v>1.7144464974358977</v>
      </c>
      <c r="BH143" s="52">
        <v>1.3358969282051281</v>
      </c>
      <c r="BI143" s="52">
        <v>1.8260052769230768</v>
      </c>
      <c r="BJ143" s="52">
        <v>2.4149584051282043</v>
      </c>
      <c r="BK143" s="52">
        <v>1.5405674256410256</v>
      </c>
      <c r="BL143" s="52">
        <v>1.6716330224747469</v>
      </c>
      <c r="BM143" s="52">
        <v>1.4067482487373737</v>
      </c>
      <c r="BN143" s="52">
        <v>1.8022746999999995</v>
      </c>
      <c r="BO143" s="52">
        <v>2.3937044583333331</v>
      </c>
      <c r="BP143" s="52">
        <v>1.5739227911616163</v>
      </c>
    </row>
    <row r="144" spans="2:68">
      <c r="B144" t="s">
        <v>608</v>
      </c>
      <c r="C144" t="s">
        <v>609</v>
      </c>
      <c r="D144" t="s">
        <v>174</v>
      </c>
      <c r="E144">
        <v>17</v>
      </c>
      <c r="F144" t="s">
        <v>605</v>
      </c>
      <c r="G144" t="s">
        <v>596</v>
      </c>
      <c r="H144" t="s">
        <v>608</v>
      </c>
      <c r="I144" s="52">
        <v>6.6632962666666664</v>
      </c>
      <c r="J144" s="52">
        <v>7.1030368871794893</v>
      </c>
      <c r="K144" s="52">
        <v>2.4702865761689292</v>
      </c>
      <c r="L144" s="52">
        <v>7.3855226358974386</v>
      </c>
      <c r="M144" s="52">
        <v>7.8761949025641025</v>
      </c>
      <c r="N144" s="52">
        <v>2.7387631975867266</v>
      </c>
      <c r="O144" s="52">
        <v>11.82893396923077</v>
      </c>
      <c r="P144" s="52">
        <v>12.490589184615382</v>
      </c>
      <c r="Q144" s="52">
        <v>5.6392156862745093</v>
      </c>
      <c r="R144" s="52">
        <v>8.3918732666666696</v>
      </c>
      <c r="S144" s="52">
        <v>8.9055177692307694</v>
      </c>
      <c r="T144" s="52">
        <v>3.8965309200603326</v>
      </c>
      <c r="U144" s="52">
        <v>15.064786666666661</v>
      </c>
      <c r="V144" s="52">
        <v>15.844447287179486</v>
      </c>
      <c r="W144" s="52">
        <v>8.5155354449472114</v>
      </c>
      <c r="X144" s="52">
        <v>6.3494896307692335</v>
      </c>
      <c r="Y144" s="52">
        <v>6.686259579487178</v>
      </c>
      <c r="Z144" s="52">
        <v>2.5399698340874797</v>
      </c>
      <c r="AA144" s="52">
        <v>7.0237837743589742</v>
      </c>
      <c r="AB144" s="52">
        <v>7.3992452717948698</v>
      </c>
      <c r="AC144" s="52">
        <v>2.8316742081447956</v>
      </c>
      <c r="AD144" s="52">
        <v>11.316497302564098</v>
      </c>
      <c r="AE144" s="52">
        <v>11.924203825641024</v>
      </c>
      <c r="AF144" s="52">
        <v>6.4497737556561079</v>
      </c>
      <c r="AG144" s="52">
        <v>8.0171501179487166</v>
      </c>
      <c r="AH144" s="52">
        <v>8.4504695948717945</v>
      </c>
      <c r="AI144" s="52">
        <v>4.3849170437405753</v>
      </c>
      <c r="AJ144" s="52">
        <v>14.515570948717953</v>
      </c>
      <c r="AK144" s="52">
        <v>15.285569205128214</v>
      </c>
      <c r="AL144" s="52">
        <v>10.158974358974358</v>
      </c>
      <c r="AM144" s="52">
        <v>8.0128884593434329</v>
      </c>
      <c r="AN144" s="52">
        <v>8.0808618282828277</v>
      </c>
      <c r="AO144" s="52">
        <v>2.9485442661913259</v>
      </c>
      <c r="AP144" s="52">
        <v>8.9059996694444443</v>
      </c>
      <c r="AQ144" s="52">
        <v>8.985607308585859</v>
      </c>
      <c r="AR144" s="52">
        <v>3.2692959001782529</v>
      </c>
      <c r="AS144" s="52">
        <v>13.858793535606061</v>
      </c>
      <c r="AT144" s="52">
        <v>13.903989191414139</v>
      </c>
      <c r="AU144" s="52">
        <v>6.2206030897207363</v>
      </c>
      <c r="AV144" s="52">
        <v>9.9952258876262601</v>
      </c>
      <c r="AW144" s="52">
        <v>10.041628058333336</v>
      </c>
      <c r="AX144" s="52">
        <v>4.459610814022577</v>
      </c>
      <c r="AY144" s="52">
        <v>17.21558016868687</v>
      </c>
      <c r="AZ144" s="52">
        <v>17.256823047727273</v>
      </c>
      <c r="BA144" s="52">
        <v>8.6800653594771244</v>
      </c>
      <c r="BB144" s="52">
        <v>2.7732688307692306</v>
      </c>
      <c r="BC144" s="52">
        <v>2.0590478256410254</v>
      </c>
      <c r="BD144" s="52">
        <v>2.9538597794871797</v>
      </c>
      <c r="BE144" s="52">
        <v>4.1392210512820515</v>
      </c>
      <c r="BF144" s="52">
        <v>2.4300993128205128</v>
      </c>
      <c r="BG144" s="52">
        <v>2.9211671230769234</v>
      </c>
      <c r="BH144" s="52">
        <v>2.1343577487179486</v>
      </c>
      <c r="BI144" s="52">
        <v>3.0986673333333328</v>
      </c>
      <c r="BJ144" s="52">
        <v>4.3271045794871785</v>
      </c>
      <c r="BK144" s="52">
        <v>2.5609855435897435</v>
      </c>
      <c r="BL144" s="52">
        <v>2.6512380189393938</v>
      </c>
      <c r="BM144" s="52">
        <v>2.1123531916666667</v>
      </c>
      <c r="BN144" s="52">
        <v>2.9441889729797972</v>
      </c>
      <c r="BO144" s="52">
        <v>4.058356163888889</v>
      </c>
      <c r="BP144" s="52">
        <v>2.4750112641414139</v>
      </c>
    </row>
    <row r="145" spans="2:68">
      <c r="B145" t="s">
        <v>610</v>
      </c>
      <c r="C145" t="s">
        <v>611</v>
      </c>
      <c r="D145" t="s">
        <v>174</v>
      </c>
      <c r="E145">
        <v>18</v>
      </c>
      <c r="F145" t="s">
        <v>605</v>
      </c>
      <c r="G145" t="s">
        <v>599</v>
      </c>
      <c r="H145" t="s">
        <v>610</v>
      </c>
      <c r="I145" s="52">
        <v>3.7980122205128191</v>
      </c>
      <c r="J145" s="52">
        <v>4.050835076923077</v>
      </c>
      <c r="K145" s="52">
        <v>1.3948717948717948</v>
      </c>
      <c r="L145" s="52">
        <v>4.2254294307692337</v>
      </c>
      <c r="M145" s="52">
        <v>4.5082592307692329</v>
      </c>
      <c r="N145" s="52">
        <v>1.5535444947209656</v>
      </c>
      <c r="O145" s="52">
        <v>6.7338424923076907</v>
      </c>
      <c r="P145" s="52">
        <v>7.1119959179487173</v>
      </c>
      <c r="Q145" s="52">
        <v>3.2841628959275999</v>
      </c>
      <c r="R145" s="52">
        <v>4.7546740256410303</v>
      </c>
      <c r="S145" s="52">
        <v>5.0493841487179498</v>
      </c>
      <c r="T145" s="52">
        <v>2.2515837104072394</v>
      </c>
      <c r="U145" s="52">
        <v>8.5844352820512793</v>
      </c>
      <c r="V145" s="52">
        <v>9.0307053589743589</v>
      </c>
      <c r="W145" s="52">
        <v>5.0892911010558048</v>
      </c>
      <c r="X145" s="52">
        <v>3.6004133743589755</v>
      </c>
      <c r="Y145" s="52">
        <v>3.7906971435897412</v>
      </c>
      <c r="Z145" s="52">
        <v>1.4310708898944191</v>
      </c>
      <c r="AA145" s="52">
        <v>3.9993387128205145</v>
      </c>
      <c r="AB145" s="52">
        <v>4.2118797692307659</v>
      </c>
      <c r="AC145" s="52">
        <v>1.6027149321266967</v>
      </c>
      <c r="AD145" s="52">
        <v>6.4351934512820428</v>
      </c>
      <c r="AE145" s="52">
        <v>6.7791468564102573</v>
      </c>
      <c r="AF145" s="52">
        <v>3.8135746606334835</v>
      </c>
      <c r="AG145" s="52">
        <v>4.5258183384615389</v>
      </c>
      <c r="AH145" s="52">
        <v>4.769190625641027</v>
      </c>
      <c r="AI145" s="52">
        <v>2.5767722473604828</v>
      </c>
      <c r="AJ145" s="52">
        <v>8.2580531282051268</v>
      </c>
      <c r="AK145" s="52">
        <v>8.6947209692307723</v>
      </c>
      <c r="AL145" s="52">
        <v>6.1339366515837144</v>
      </c>
      <c r="AM145" s="52">
        <v>4.6971672633838377</v>
      </c>
      <c r="AN145" s="52">
        <v>4.7262633300505046</v>
      </c>
      <c r="AO145" s="52">
        <v>1.7301396316102211</v>
      </c>
      <c r="AP145" s="52">
        <v>5.2339097585858605</v>
      </c>
      <c r="AQ145" s="52">
        <v>5.2688819133838383</v>
      </c>
      <c r="AR145" s="52">
        <v>1.9211081402257877</v>
      </c>
      <c r="AS145" s="52">
        <v>7.9838272406565691</v>
      </c>
      <c r="AT145" s="52">
        <v>7.9971391058080785</v>
      </c>
      <c r="AU145" s="52">
        <v>3.6775401069518718</v>
      </c>
      <c r="AV145" s="52">
        <v>5.7955184159090898</v>
      </c>
      <c r="AW145" s="52">
        <v>5.8089943959595987</v>
      </c>
      <c r="AX145" s="52">
        <v>2.6247177658942342</v>
      </c>
      <c r="AY145" s="52">
        <v>9.8552020757575747</v>
      </c>
      <c r="AZ145" s="52">
        <v>9.8681073383838402</v>
      </c>
      <c r="BA145" s="52">
        <v>5.2079025549613798</v>
      </c>
      <c r="BB145" s="52">
        <v>1.74366558974359</v>
      </c>
      <c r="BC145" s="52">
        <v>1.3424206461538464</v>
      </c>
      <c r="BD145" s="52">
        <v>1.8809044102564101</v>
      </c>
      <c r="BE145" s="52">
        <v>2.6085085641025638</v>
      </c>
      <c r="BF145" s="52">
        <v>1.5552331641025641</v>
      </c>
      <c r="BG145" s="52">
        <v>1.8324951641025646</v>
      </c>
      <c r="BH145" s="52">
        <v>1.3987413179487178</v>
      </c>
      <c r="BI145" s="52">
        <v>1.9823439999999997</v>
      </c>
      <c r="BJ145" s="52">
        <v>2.6772164153846152</v>
      </c>
      <c r="BK145" s="52">
        <v>1.6492781230769231</v>
      </c>
      <c r="BL145" s="52">
        <v>1.7040806219696965</v>
      </c>
      <c r="BM145" s="52">
        <v>1.3919654906565653</v>
      </c>
      <c r="BN145" s="52">
        <v>1.8911868282828279</v>
      </c>
      <c r="BO145" s="52">
        <v>2.5609488505050502</v>
      </c>
      <c r="BP145" s="52">
        <v>1.6207631070707071</v>
      </c>
    </row>
    <row r="146" spans="2:68">
      <c r="B146" t="s">
        <v>613</v>
      </c>
      <c r="C146" t="s">
        <v>614</v>
      </c>
      <c r="D146" t="s">
        <v>174</v>
      </c>
      <c r="E146">
        <v>19</v>
      </c>
      <c r="F146" t="s">
        <v>590</v>
      </c>
      <c r="G146" t="s">
        <v>615</v>
      </c>
      <c r="H146" t="s">
        <v>613</v>
      </c>
      <c r="I146" s="52">
        <v>2.7453646051282052</v>
      </c>
      <c r="J146" s="52">
        <v>2.9223238717948754</v>
      </c>
      <c r="K146" s="52">
        <v>0.97828054298642531</v>
      </c>
      <c r="L146" s="52">
        <v>3.0218738461538428</v>
      </c>
      <c r="M146" s="52">
        <v>3.2180977589743587</v>
      </c>
      <c r="N146" s="52">
        <v>1.0754147812971344</v>
      </c>
      <c r="O146" s="52">
        <v>4.5510225589743643</v>
      </c>
      <c r="P146" s="52">
        <v>4.8104782358974312</v>
      </c>
      <c r="Q146" s="52">
        <v>2.0141779788838625</v>
      </c>
      <c r="R146" s="52">
        <v>3.5870347897435915</v>
      </c>
      <c r="S146" s="52">
        <v>3.8068698358974404</v>
      </c>
      <c r="T146" s="52">
        <v>1.5248868778280549</v>
      </c>
      <c r="U146" s="52">
        <v>5.490553225641027</v>
      </c>
      <c r="V146" s="52">
        <v>5.7833365948717983</v>
      </c>
      <c r="W146" s="52">
        <v>2.8419306184012103</v>
      </c>
      <c r="X146" s="52">
        <v>2.729939502564104</v>
      </c>
      <c r="Y146" s="52">
        <v>2.8712538923076911</v>
      </c>
      <c r="Z146" s="52">
        <v>1.0322775263951733</v>
      </c>
      <c r="AA146" s="52">
        <v>2.9968822410256437</v>
      </c>
      <c r="AB146" s="52">
        <v>3.153255641025638</v>
      </c>
      <c r="AC146" s="52">
        <v>1.1393665158371034</v>
      </c>
      <c r="AD146" s="52">
        <v>4.5260930358974294</v>
      </c>
      <c r="AE146" s="52">
        <v>4.7645965897435909</v>
      </c>
      <c r="AF146" s="52">
        <v>2.3131221719457011</v>
      </c>
      <c r="AG146" s="52">
        <v>3.5432155384615376</v>
      </c>
      <c r="AH146" s="52">
        <v>3.7299402769230743</v>
      </c>
      <c r="AI146" s="52">
        <v>1.7260935143288103</v>
      </c>
      <c r="AJ146" s="52">
        <v>5.4479864820512791</v>
      </c>
      <c r="AK146" s="52">
        <v>5.7338645692307741</v>
      </c>
      <c r="AL146" s="52">
        <v>3.4030165912518826</v>
      </c>
      <c r="AM146" s="52">
        <v>2.8873033333333331</v>
      </c>
      <c r="AN146" s="52">
        <v>2.9074821833333333</v>
      </c>
      <c r="AO146" s="52">
        <v>1.0177807486631016</v>
      </c>
      <c r="AP146" s="52">
        <v>3.170998084090908</v>
      </c>
      <c r="AQ146" s="52">
        <v>3.1957008580808086</v>
      </c>
      <c r="AR146" s="52">
        <v>1.1177807486631013</v>
      </c>
      <c r="AS146" s="52">
        <v>4.8583048250000003</v>
      </c>
      <c r="AT146" s="52">
        <v>4.8714567739898964</v>
      </c>
      <c r="AU146" s="52">
        <v>2.0612745098039205</v>
      </c>
      <c r="AV146" s="52">
        <v>3.6936270871212105</v>
      </c>
      <c r="AW146" s="52">
        <v>3.7073395944444441</v>
      </c>
      <c r="AX146" s="52">
        <v>1.5465834818775994</v>
      </c>
      <c r="AY146" s="52">
        <v>5.7954730315656553</v>
      </c>
      <c r="AZ146" s="52">
        <v>5.8075662060606064</v>
      </c>
      <c r="BA146" s="52">
        <v>2.7575906120023768</v>
      </c>
      <c r="BB146" s="52">
        <v>0.11055497435897439</v>
      </c>
      <c r="BC146" s="52">
        <v>5.2179128205128003E-2</v>
      </c>
      <c r="BD146" s="52">
        <v>0.15909588717948758</v>
      </c>
      <c r="BE146" s="52">
        <v>0.2822512153846149</v>
      </c>
      <c r="BF146" s="52">
        <v>9.7515220512820508E-2</v>
      </c>
      <c r="BG146" s="52">
        <v>0.12883875384615329</v>
      </c>
      <c r="BH146" s="52">
        <v>6.3540605128205183E-2</v>
      </c>
      <c r="BI146" s="52">
        <v>0.17785881025641012</v>
      </c>
      <c r="BJ146" s="52">
        <v>0.30454451794871834</v>
      </c>
      <c r="BK146" s="52">
        <v>0.12068937435897431</v>
      </c>
      <c r="BL146" s="52">
        <v>2.4498948484848609E-2</v>
      </c>
      <c r="BM146" s="52">
        <v>-3.2422462626262666E-2</v>
      </c>
      <c r="BN146" s="52">
        <v>9.4569854797979733E-2</v>
      </c>
      <c r="BO146" s="52">
        <v>0.18929998055555555</v>
      </c>
      <c r="BP146" s="52">
        <v>4.5740797727272693E-2</v>
      </c>
    </row>
    <row r="147" spans="2:68">
      <c r="B147" t="s">
        <v>617</v>
      </c>
      <c r="C147" t="s">
        <v>618</v>
      </c>
      <c r="D147" t="s">
        <v>174</v>
      </c>
      <c r="E147">
        <v>20</v>
      </c>
      <c r="F147" t="s">
        <v>619</v>
      </c>
      <c r="G147" t="s">
        <v>615</v>
      </c>
      <c r="H147" t="s">
        <v>617</v>
      </c>
      <c r="I147" s="52">
        <v>19.847052687179488</v>
      </c>
      <c r="J147" s="52">
        <v>21.137952364102571</v>
      </c>
      <c r="K147" s="52">
        <v>6.9490196078431383</v>
      </c>
      <c r="L147" s="52">
        <v>21.726267117948712</v>
      </c>
      <c r="M147" s="52">
        <v>23.148757410256412</v>
      </c>
      <c r="N147" s="52">
        <v>7.6422322775263956</v>
      </c>
      <c r="O147" s="52">
        <v>32.474114251282053</v>
      </c>
      <c r="P147" s="52">
        <v>34.340989276923082</v>
      </c>
      <c r="Q147" s="52">
        <v>16.273001508295629</v>
      </c>
      <c r="R147" s="52">
        <v>25.646100323076922</v>
      </c>
      <c r="S147" s="52">
        <v>27.235929794871794</v>
      </c>
      <c r="T147" s="52">
        <v>12.098944193061842</v>
      </c>
      <c r="U147" s="52">
        <v>39.043351958974363</v>
      </c>
      <c r="V147" s="52">
        <v>41.146599092307689</v>
      </c>
      <c r="W147" s="52">
        <v>23.861236802413277</v>
      </c>
      <c r="X147" s="52">
        <v>19.583692523076923</v>
      </c>
      <c r="Y147" s="52">
        <v>20.597667861538454</v>
      </c>
      <c r="Z147" s="52">
        <v>7.4033182503770734</v>
      </c>
      <c r="AA147" s="52">
        <v>21.417973148717945</v>
      </c>
      <c r="AB147" s="52">
        <v>22.53569203076923</v>
      </c>
      <c r="AC147" s="52">
        <v>8.2328808446455515</v>
      </c>
      <c r="AD147" s="52">
        <v>32.041693548717944</v>
      </c>
      <c r="AE147" s="52">
        <v>33.73107825128205</v>
      </c>
      <c r="AF147" s="52">
        <v>19.675716440422324</v>
      </c>
      <c r="AG147" s="52">
        <v>25.270915215384615</v>
      </c>
      <c r="AH147" s="52">
        <v>26.603402138461544</v>
      </c>
      <c r="AI147" s="52">
        <v>14.205429864253393</v>
      </c>
      <c r="AJ147" s="52">
        <v>38.644376112820517</v>
      </c>
      <c r="AK147" s="52">
        <v>40.672944112820517</v>
      </c>
      <c r="AL147" s="52">
        <v>28.396078431372548</v>
      </c>
      <c r="AM147" s="52">
        <v>21.900324006313131</v>
      </c>
      <c r="AN147" s="52">
        <v>21.979497435606064</v>
      </c>
      <c r="AO147" s="52">
        <v>7.5653743315508013</v>
      </c>
      <c r="AP147" s="52">
        <v>23.948621199747471</v>
      </c>
      <c r="AQ147" s="52">
        <v>24.038444298989901</v>
      </c>
      <c r="AR147" s="52">
        <v>8.311081402257873</v>
      </c>
      <c r="AS147" s="52">
        <v>35.128556395959599</v>
      </c>
      <c r="AT147" s="52">
        <v>35.182676953282829</v>
      </c>
      <c r="AU147" s="52">
        <v>16.783838383838383</v>
      </c>
      <c r="AV147" s="52">
        <v>27.725950438383837</v>
      </c>
      <c r="AW147" s="52">
        <v>27.783726341414141</v>
      </c>
      <c r="AX147" s="52">
        <v>12.492498514557338</v>
      </c>
      <c r="AY147" s="52">
        <v>41.896955923737373</v>
      </c>
      <c r="AZ147" s="52">
        <v>41.945180912626256</v>
      </c>
      <c r="BA147" s="52">
        <v>23.802139037433157</v>
      </c>
      <c r="BB147" s="52">
        <v>1.2564861846153847</v>
      </c>
      <c r="BC147" s="52">
        <v>0.7589133025641025</v>
      </c>
      <c r="BD147" s="52">
        <v>1.5751306051282055</v>
      </c>
      <c r="BE147" s="52">
        <v>2.4321769948717948</v>
      </c>
      <c r="BF147" s="52">
        <v>1.188017548717949</v>
      </c>
      <c r="BG147" s="52">
        <v>1.3384860666666665</v>
      </c>
      <c r="BH147" s="52">
        <v>0.82139731794871806</v>
      </c>
      <c r="BI147" s="52">
        <v>1.6743272512820508</v>
      </c>
      <c r="BJ147" s="52">
        <v>2.428315851282052</v>
      </c>
      <c r="BK147" s="52">
        <v>1.3063296717948716</v>
      </c>
      <c r="BL147" s="52">
        <v>0.970004243939394</v>
      </c>
      <c r="BM147" s="52">
        <v>0.55130229747474735</v>
      </c>
      <c r="BN147" s="52">
        <v>1.3568464487373737</v>
      </c>
      <c r="BO147" s="52">
        <v>2.0567408648989893</v>
      </c>
      <c r="BP147" s="52">
        <v>1.0843997563131311</v>
      </c>
    </row>
    <row r="148" spans="2:68">
      <c r="B148" t="s">
        <v>621</v>
      </c>
      <c r="C148" t="s">
        <v>622</v>
      </c>
      <c r="D148" t="s">
        <v>174</v>
      </c>
      <c r="E148">
        <v>21</v>
      </c>
      <c r="F148" t="s">
        <v>623</v>
      </c>
      <c r="G148" t="s">
        <v>615</v>
      </c>
      <c r="H148" t="s">
        <v>621</v>
      </c>
      <c r="I148" s="52">
        <v>11.448749646153844</v>
      </c>
      <c r="J148" s="52">
        <v>12.195929451282055</v>
      </c>
      <c r="K148" s="52">
        <v>4.0642533936651573</v>
      </c>
      <c r="L148" s="52">
        <v>12.564428394871795</v>
      </c>
      <c r="M148" s="52">
        <v>13.391494533333333</v>
      </c>
      <c r="N148" s="52">
        <v>4.4811463046757165</v>
      </c>
      <c r="O148" s="52">
        <v>19.140715492307695</v>
      </c>
      <c r="P148" s="52">
        <v>20.23353818461538</v>
      </c>
      <c r="Q148" s="52">
        <v>9.2467571644042224</v>
      </c>
      <c r="R148" s="52">
        <v>14.715521466666667</v>
      </c>
      <c r="S148" s="52">
        <v>15.625869902564101</v>
      </c>
      <c r="T148" s="52">
        <v>6.8174962292609358</v>
      </c>
      <c r="U148" s="52">
        <v>23.38075615384615</v>
      </c>
      <c r="V148" s="52">
        <v>24.626526348717949</v>
      </c>
      <c r="W148" s="52">
        <v>13.874208144796382</v>
      </c>
      <c r="X148" s="52">
        <v>11.191317246153845</v>
      </c>
      <c r="Y148" s="52">
        <v>11.773958866666666</v>
      </c>
      <c r="Z148" s="52">
        <v>4.2654600301659116</v>
      </c>
      <c r="AA148" s="52">
        <v>12.275070866666665</v>
      </c>
      <c r="AB148" s="52">
        <v>12.918934364102563</v>
      </c>
      <c r="AC148" s="52">
        <v>4.7312217194570128</v>
      </c>
      <c r="AD148" s="52">
        <v>18.78250992820513</v>
      </c>
      <c r="AE148" s="52">
        <v>19.776495887179493</v>
      </c>
      <c r="AF148" s="52">
        <v>11.130618401206634</v>
      </c>
      <c r="AG148" s="52">
        <v>14.388666523076921</v>
      </c>
      <c r="AH148" s="52">
        <v>15.151049153846156</v>
      </c>
      <c r="AI148" s="52">
        <v>7.8778280542986421</v>
      </c>
      <c r="AJ148" s="52">
        <v>22.997321517948716</v>
      </c>
      <c r="AK148" s="52">
        <v>24.207038948717951</v>
      </c>
      <c r="AL148" s="52">
        <v>16.604826546003022</v>
      </c>
      <c r="AM148" s="52">
        <v>12.86991006868687</v>
      </c>
      <c r="AN148" s="52">
        <v>12.928228503030303</v>
      </c>
      <c r="AO148" s="52">
        <v>4.5542335115864541</v>
      </c>
      <c r="AP148" s="52">
        <v>14.129153216919192</v>
      </c>
      <c r="AQ148" s="52">
        <v>14.194881705555556</v>
      </c>
      <c r="AR148" s="52">
        <v>4.9898692810457499</v>
      </c>
      <c r="AS148" s="52">
        <v>21.105659394696968</v>
      </c>
      <c r="AT148" s="52">
        <v>21.141551506313128</v>
      </c>
      <c r="AU148" s="52">
        <v>9.6478758169934622</v>
      </c>
      <c r="AV148" s="52">
        <v>16.233667795707071</v>
      </c>
      <c r="AW148" s="52">
        <v>16.270949027525255</v>
      </c>
      <c r="AX148" s="52">
        <v>7.1846256684491987</v>
      </c>
      <c r="AY148" s="52">
        <v>25.434691641666664</v>
      </c>
      <c r="AZ148" s="52">
        <v>25.466540073737374</v>
      </c>
      <c r="BA148" s="52">
        <v>13.853877005347593</v>
      </c>
      <c r="BB148" s="52">
        <v>1.6846194666666663</v>
      </c>
      <c r="BC148" s="52">
        <v>1.1917315846153846</v>
      </c>
      <c r="BD148" s="52">
        <v>1.9256821333333334</v>
      </c>
      <c r="BE148" s="52">
        <v>2.7863331999999992</v>
      </c>
      <c r="BF148" s="52">
        <v>1.5365332512820513</v>
      </c>
      <c r="BG148" s="52">
        <v>1.775227851282051</v>
      </c>
      <c r="BH148" s="52">
        <v>1.2546033692307692</v>
      </c>
      <c r="BI148" s="52">
        <v>2.0319734307692303</v>
      </c>
      <c r="BJ148" s="52">
        <v>2.8125067948717959</v>
      </c>
      <c r="BK148" s="52">
        <v>1.6491259384615382</v>
      </c>
      <c r="BL148" s="52">
        <v>1.495896962626263</v>
      </c>
      <c r="BM148" s="52">
        <v>1.0984221709595963</v>
      </c>
      <c r="BN148" s="52">
        <v>1.7952981020202019</v>
      </c>
      <c r="BO148" s="52">
        <v>2.552031256313132</v>
      </c>
      <c r="BP148" s="52">
        <v>1.4982798141414142</v>
      </c>
    </row>
    <row r="149" spans="2:68">
      <c r="B149" t="s">
        <v>625</v>
      </c>
      <c r="C149" t="s">
        <v>626</v>
      </c>
      <c r="D149" t="s">
        <v>174</v>
      </c>
      <c r="E149">
        <v>22</v>
      </c>
      <c r="F149" t="s">
        <v>619</v>
      </c>
      <c r="G149" t="s">
        <v>593</v>
      </c>
      <c r="H149" t="s">
        <v>625</v>
      </c>
      <c r="I149" s="52">
        <v>18.221038420512819</v>
      </c>
      <c r="J149" s="52">
        <v>19.407085123076925</v>
      </c>
      <c r="K149" s="52">
        <v>6.3641025641025655</v>
      </c>
      <c r="L149" s="52">
        <v>19.932821799999996</v>
      </c>
      <c r="M149" s="52">
        <v>21.239057302564106</v>
      </c>
      <c r="N149" s="52">
        <v>7.0036199095022624</v>
      </c>
      <c r="O149" s="52">
        <v>29.761474246153853</v>
      </c>
      <c r="P149" s="52">
        <v>31.474121358974365</v>
      </c>
      <c r="Q149" s="52">
        <v>15.072699849170441</v>
      </c>
      <c r="R149" s="52">
        <v>23.519898338461537</v>
      </c>
      <c r="S149" s="52">
        <v>24.979477287179481</v>
      </c>
      <c r="T149" s="52">
        <v>11.19577677224736</v>
      </c>
      <c r="U149" s="52">
        <v>35.76316773846154</v>
      </c>
      <c r="V149" s="52">
        <v>37.692044815384612</v>
      </c>
      <c r="W149" s="52">
        <v>22.177978883861243</v>
      </c>
      <c r="X149" s="52">
        <v>17.966476533333335</v>
      </c>
      <c r="Y149" s="52">
        <v>18.896657641025637</v>
      </c>
      <c r="Z149" s="52">
        <v>6.7900452488687781</v>
      </c>
      <c r="AA149" s="52">
        <v>19.642014692307686</v>
      </c>
      <c r="AB149" s="52">
        <v>20.666985723076923</v>
      </c>
      <c r="AC149" s="52">
        <v>7.5559577677224743</v>
      </c>
      <c r="AD149" s="52">
        <v>29.34808665641026</v>
      </c>
      <c r="AE149" s="52">
        <v>30.89542496410256</v>
      </c>
      <c r="AF149" s="52">
        <v>18.300150829562597</v>
      </c>
      <c r="AG149" s="52">
        <v>23.170710497435898</v>
      </c>
      <c r="AH149" s="52">
        <v>24.392413446153849</v>
      </c>
      <c r="AI149" s="52">
        <v>13.186123680241327</v>
      </c>
      <c r="AJ149" s="52">
        <v>35.393264220512833</v>
      </c>
      <c r="AK149" s="52">
        <v>37.25115048205128</v>
      </c>
      <c r="AL149" s="52">
        <v>26.370135746606337</v>
      </c>
      <c r="AM149" s="52">
        <v>20.189738102020204</v>
      </c>
      <c r="AN149" s="52">
        <v>20.256306136616161</v>
      </c>
      <c r="AO149" s="52">
        <v>6.9591206179441469</v>
      </c>
      <c r="AP149" s="52">
        <v>22.067855039646464</v>
      </c>
      <c r="AQ149" s="52">
        <v>22.142072868939398</v>
      </c>
      <c r="AR149" s="52">
        <v>7.6454545454545446</v>
      </c>
      <c r="AS149" s="52">
        <v>32.232868730303032</v>
      </c>
      <c r="AT149" s="52">
        <v>32.278796734848491</v>
      </c>
      <c r="AU149" s="52">
        <v>15.556610219845515</v>
      </c>
      <c r="AV149" s="52">
        <v>25.539205447474746</v>
      </c>
      <c r="AW149" s="52">
        <v>25.588315021717175</v>
      </c>
      <c r="AX149" s="52">
        <v>11.572207367795603</v>
      </c>
      <c r="AY149" s="52">
        <v>38.428742107575758</v>
      </c>
      <c r="AZ149" s="52">
        <v>38.469241253030297</v>
      </c>
      <c r="BA149" s="52">
        <v>22.15907605466429</v>
      </c>
      <c r="BB149" s="52">
        <v>1.1708475589743592</v>
      </c>
      <c r="BC149" s="52">
        <v>0.71280726666666661</v>
      </c>
      <c r="BD149" s="52">
        <v>1.4595477948717948</v>
      </c>
      <c r="BE149" s="52">
        <v>2.23606097948718</v>
      </c>
      <c r="BF149" s="52">
        <v>1.1129463384615386</v>
      </c>
      <c r="BG149" s="52">
        <v>1.2409994410256413</v>
      </c>
      <c r="BH149" s="52">
        <v>0.76817425641025661</v>
      </c>
      <c r="BI149" s="52">
        <v>1.5468124666666665</v>
      </c>
      <c r="BJ149" s="52">
        <v>2.2167730820512821</v>
      </c>
      <c r="BK149" s="52">
        <v>1.2166172717948716</v>
      </c>
      <c r="BL149" s="52">
        <v>0.93777663686868662</v>
      </c>
      <c r="BM149" s="52">
        <v>0.55675768181818197</v>
      </c>
      <c r="BN149" s="52">
        <v>1.281127024242424</v>
      </c>
      <c r="BO149" s="52">
        <v>1.9176787606060601</v>
      </c>
      <c r="BP149" s="52">
        <v>1.0416344646464646</v>
      </c>
    </row>
    <row r="150" spans="2:68">
      <c r="B150" t="s">
        <v>628</v>
      </c>
      <c r="C150" t="s">
        <v>629</v>
      </c>
      <c r="D150" t="s">
        <v>174</v>
      </c>
      <c r="E150">
        <v>23</v>
      </c>
      <c r="F150" t="s">
        <v>623</v>
      </c>
      <c r="G150" t="s">
        <v>593</v>
      </c>
      <c r="H150" t="s">
        <v>628</v>
      </c>
      <c r="I150" s="52">
        <v>9.8227353794871775</v>
      </c>
      <c r="J150" s="52">
        <v>10.465062210256409</v>
      </c>
      <c r="K150" s="52">
        <v>3.4793363499245844</v>
      </c>
      <c r="L150" s="52">
        <v>10.770983076923077</v>
      </c>
      <c r="M150" s="52">
        <v>11.481794425641027</v>
      </c>
      <c r="N150" s="52">
        <v>3.8425339366515834</v>
      </c>
      <c r="O150" s="52">
        <v>16.428075487179488</v>
      </c>
      <c r="P150" s="52">
        <v>17.366670266666663</v>
      </c>
      <c r="Q150" s="52">
        <v>8.0464555052790345</v>
      </c>
      <c r="R150" s="52">
        <v>12.58931948205128</v>
      </c>
      <c r="S150" s="52">
        <v>13.369417394871791</v>
      </c>
      <c r="T150" s="52">
        <v>5.914328808446454</v>
      </c>
      <c r="U150" s="52">
        <v>20.100571933333327</v>
      </c>
      <c r="V150" s="52">
        <v>21.171972071794873</v>
      </c>
      <c r="W150" s="52">
        <v>12.190950226244347</v>
      </c>
      <c r="X150" s="52">
        <v>9.5741012564102554</v>
      </c>
      <c r="Y150" s="52">
        <v>10.072948646153847</v>
      </c>
      <c r="Z150" s="52">
        <v>3.6521870286576159</v>
      </c>
      <c r="AA150" s="52">
        <v>10.499112410256409</v>
      </c>
      <c r="AB150" s="52">
        <v>11.050228056410257</v>
      </c>
      <c r="AC150" s="52">
        <v>4.0542986425339365</v>
      </c>
      <c r="AD150" s="52">
        <v>16.088903035897442</v>
      </c>
      <c r="AE150" s="52">
        <v>16.9408426</v>
      </c>
      <c r="AF150" s="52">
        <v>9.7550527903469071</v>
      </c>
      <c r="AG150" s="52">
        <v>12.288461805128202</v>
      </c>
      <c r="AH150" s="52">
        <v>12.940060461538465</v>
      </c>
      <c r="AI150" s="52">
        <v>6.858521870286574</v>
      </c>
      <c r="AJ150" s="52">
        <v>19.746209625641029</v>
      </c>
      <c r="AK150" s="52">
        <v>20.785245317948721</v>
      </c>
      <c r="AL150" s="52">
        <v>14.578883861236813</v>
      </c>
      <c r="AM150" s="52">
        <v>11.15932416439394</v>
      </c>
      <c r="AN150" s="52">
        <v>11.205037204040403</v>
      </c>
      <c r="AO150" s="52">
        <v>3.9479797979797979</v>
      </c>
      <c r="AP150" s="52">
        <v>12.248387056818181</v>
      </c>
      <c r="AQ150" s="52">
        <v>12.29851027550505</v>
      </c>
      <c r="AR150" s="52">
        <v>4.3242424242424233</v>
      </c>
      <c r="AS150" s="52">
        <v>18.209971729040401</v>
      </c>
      <c r="AT150" s="52">
        <v>18.237671287878786</v>
      </c>
      <c r="AU150" s="52">
        <v>8.4206476530005929</v>
      </c>
      <c r="AV150" s="52">
        <v>14.046922804797978</v>
      </c>
      <c r="AW150" s="52">
        <v>14.075537707828286</v>
      </c>
      <c r="AX150" s="52">
        <v>6.2643345216874629</v>
      </c>
      <c r="AY150" s="52">
        <v>21.966477825505049</v>
      </c>
      <c r="AZ150" s="52">
        <v>21.990600414141415</v>
      </c>
      <c r="BA150" s="52">
        <v>12.210814022578727</v>
      </c>
      <c r="BB150" s="52">
        <v>1.5989808410256408</v>
      </c>
      <c r="BC150" s="52">
        <v>1.1456255487179485</v>
      </c>
      <c r="BD150" s="52">
        <v>1.8100993230769227</v>
      </c>
      <c r="BE150" s="52">
        <v>2.5902171846153847</v>
      </c>
      <c r="BF150" s="52">
        <v>1.4614620410256409</v>
      </c>
      <c r="BG150" s="52">
        <v>1.6777412256410256</v>
      </c>
      <c r="BH150" s="52">
        <v>1.2013803076923077</v>
      </c>
      <c r="BI150" s="52">
        <v>1.904458646153846</v>
      </c>
      <c r="BJ150" s="52">
        <v>2.6009640256410256</v>
      </c>
      <c r="BK150" s="52">
        <v>1.5594135384615382</v>
      </c>
      <c r="BL150" s="52">
        <v>1.4636693555555556</v>
      </c>
      <c r="BM150" s="52">
        <v>1.1038775553030307</v>
      </c>
      <c r="BN150" s="52">
        <v>1.7195786775252522</v>
      </c>
      <c r="BO150" s="52">
        <v>2.4129691520202021</v>
      </c>
      <c r="BP150" s="52">
        <v>1.4555145224747477</v>
      </c>
    </row>
    <row r="151" spans="2:68">
      <c r="B151" t="s">
        <v>631</v>
      </c>
      <c r="C151" t="s">
        <v>632</v>
      </c>
      <c r="D151" t="s">
        <v>174</v>
      </c>
      <c r="E151">
        <v>24</v>
      </c>
      <c r="F151" t="s">
        <v>590</v>
      </c>
      <c r="G151" t="s">
        <v>593</v>
      </c>
      <c r="H151" t="s">
        <v>631</v>
      </c>
      <c r="I151" s="52">
        <v>1.1193503384615373</v>
      </c>
      <c r="J151" s="52">
        <v>1.19145663076923</v>
      </c>
      <c r="K151" s="52">
        <v>0.3933634992458524</v>
      </c>
      <c r="L151" s="52">
        <v>1.2284285282051244</v>
      </c>
      <c r="M151" s="52">
        <v>1.3083976512820532</v>
      </c>
      <c r="N151" s="52">
        <v>0.43680241327300184</v>
      </c>
      <c r="O151" s="52">
        <v>1.8383825538461585</v>
      </c>
      <c r="P151" s="52">
        <v>1.943610317948715</v>
      </c>
      <c r="Q151" s="52">
        <v>0.81387631975867403</v>
      </c>
      <c r="R151" s="52">
        <v>1.4608328051282045</v>
      </c>
      <c r="S151" s="52">
        <v>1.5504173282051292</v>
      </c>
      <c r="T151" s="52">
        <v>0.62171945701357356</v>
      </c>
      <c r="U151" s="52">
        <v>2.2103690051282077</v>
      </c>
      <c r="V151" s="52">
        <v>2.3287823179487206</v>
      </c>
      <c r="W151" s="52">
        <v>1.1586726998491754</v>
      </c>
      <c r="X151" s="52">
        <v>1.1127235128205146</v>
      </c>
      <c r="Y151" s="52">
        <v>1.1702436717948728</v>
      </c>
      <c r="Z151" s="52">
        <v>0.41900452488687806</v>
      </c>
      <c r="AA151" s="52">
        <v>1.220923784615386</v>
      </c>
      <c r="AB151" s="52">
        <v>1.2845493333333322</v>
      </c>
      <c r="AC151" s="52">
        <v>0.46244343891402634</v>
      </c>
      <c r="AD151" s="52">
        <v>1.8324861435897428</v>
      </c>
      <c r="AE151" s="52">
        <v>1.9289433025640998</v>
      </c>
      <c r="AF151" s="52">
        <v>0.93755656108597363</v>
      </c>
      <c r="AG151" s="52">
        <v>1.4430108205128187</v>
      </c>
      <c r="AH151" s="52">
        <v>1.5189515846153834</v>
      </c>
      <c r="AI151" s="52">
        <v>0.7067873303167429</v>
      </c>
      <c r="AJ151" s="52">
        <v>2.1968745897435906</v>
      </c>
      <c r="AK151" s="52">
        <v>2.3120709384615439</v>
      </c>
      <c r="AL151" s="52">
        <v>1.3770739064856734</v>
      </c>
      <c r="AM151" s="52">
        <v>1.1767174290404037</v>
      </c>
      <c r="AN151" s="52">
        <v>1.1842908843434337</v>
      </c>
      <c r="AO151" s="52">
        <v>0.41152703505644644</v>
      </c>
      <c r="AP151" s="52">
        <v>1.2902319239898978</v>
      </c>
      <c r="AQ151" s="52">
        <v>1.299329428030304</v>
      </c>
      <c r="AR151" s="52">
        <v>0.45215389185977434</v>
      </c>
      <c r="AS151" s="52">
        <v>1.9626171593434338</v>
      </c>
      <c r="AT151" s="52">
        <v>1.9675765555555553</v>
      </c>
      <c r="AU151" s="52">
        <v>0.83404634581105108</v>
      </c>
      <c r="AV151" s="52">
        <v>1.5068820962121199</v>
      </c>
      <c r="AW151" s="52">
        <v>1.5119282747474749</v>
      </c>
      <c r="AX151" s="52">
        <v>0.62629233511586402</v>
      </c>
      <c r="AY151" s="52">
        <v>2.3272592154040392</v>
      </c>
      <c r="AZ151" s="52">
        <v>2.3316265464646482</v>
      </c>
      <c r="BA151" s="52">
        <v>1.1145276292335118</v>
      </c>
      <c r="BB151" s="52">
        <v>2.4916348717948868E-2</v>
      </c>
      <c r="BC151" s="52">
        <v>6.0730923076920797E-3</v>
      </c>
      <c r="BD151" s="52">
        <v>4.3513076923076932E-2</v>
      </c>
      <c r="BE151" s="52">
        <v>8.6135200000000203E-2</v>
      </c>
      <c r="BF151" s="52">
        <v>2.2444010256410178E-2</v>
      </c>
      <c r="BG151" s="52">
        <v>3.1352128205128046E-2</v>
      </c>
      <c r="BH151" s="52">
        <v>1.031754358974374E-2</v>
      </c>
      <c r="BI151" s="52">
        <v>5.0344025641025747E-2</v>
      </c>
      <c r="BJ151" s="52">
        <v>9.3001748717948335E-2</v>
      </c>
      <c r="BK151" s="52">
        <v>3.0976974358974275E-2</v>
      </c>
      <c r="BL151" s="52">
        <v>-7.7286585858588538E-3</v>
      </c>
      <c r="BM151" s="52">
        <v>-2.6967078282828107E-2</v>
      </c>
      <c r="BN151" s="52">
        <v>1.8850430303030068E-2</v>
      </c>
      <c r="BO151" s="52">
        <v>5.0237876262626095E-2</v>
      </c>
      <c r="BP151" s="52">
        <v>2.9755060606062628E-3</v>
      </c>
    </row>
    <row r="152" spans="2:68">
      <c r="B152" t="s">
        <v>633</v>
      </c>
      <c r="C152" t="s">
        <v>634</v>
      </c>
      <c r="D152" t="s">
        <v>58</v>
      </c>
      <c r="E152">
        <v>10</v>
      </c>
      <c r="F152" t="s">
        <v>635</v>
      </c>
      <c r="G152" t="s">
        <v>177</v>
      </c>
      <c r="H152" t="s">
        <v>633</v>
      </c>
      <c r="I152" s="52">
        <v>0</v>
      </c>
      <c r="J152" s="52">
        <v>0</v>
      </c>
      <c r="K152" s="52">
        <v>0</v>
      </c>
      <c r="L152" s="52">
        <v>0</v>
      </c>
      <c r="M152" s="52">
        <v>0</v>
      </c>
      <c r="N152" s="52">
        <v>0</v>
      </c>
      <c r="O152" s="52">
        <v>0</v>
      </c>
      <c r="P152" s="52">
        <v>0</v>
      </c>
      <c r="Q152" s="52">
        <v>0</v>
      </c>
      <c r="R152" s="52">
        <v>0</v>
      </c>
      <c r="S152" s="52">
        <v>0</v>
      </c>
      <c r="T152" s="52">
        <v>0</v>
      </c>
      <c r="U152" s="52">
        <v>0</v>
      </c>
      <c r="V152" s="52">
        <v>0</v>
      </c>
      <c r="W152" s="52">
        <v>0</v>
      </c>
      <c r="X152" s="52">
        <v>0</v>
      </c>
      <c r="Y152" s="52">
        <v>0</v>
      </c>
      <c r="Z152" s="52">
        <v>0</v>
      </c>
      <c r="AA152" s="52">
        <v>0</v>
      </c>
      <c r="AB152" s="52">
        <v>0</v>
      </c>
      <c r="AC152" s="52">
        <v>0</v>
      </c>
      <c r="AD152" s="52">
        <v>0</v>
      </c>
      <c r="AE152" s="52">
        <v>0</v>
      </c>
      <c r="AF152" s="52">
        <v>0</v>
      </c>
      <c r="AG152" s="52">
        <v>0</v>
      </c>
      <c r="AH152" s="52">
        <v>0</v>
      </c>
      <c r="AI152" s="52">
        <v>0</v>
      </c>
      <c r="AJ152" s="52">
        <v>0</v>
      </c>
      <c r="AK152" s="52">
        <v>0</v>
      </c>
      <c r="AL152" s="52">
        <v>0</v>
      </c>
      <c r="AM152" s="52">
        <v>0</v>
      </c>
      <c r="AN152" s="52">
        <v>0</v>
      </c>
      <c r="AO152" s="52">
        <v>0</v>
      </c>
      <c r="AP152" s="52">
        <v>0</v>
      </c>
      <c r="AQ152" s="52">
        <v>0</v>
      </c>
      <c r="AR152" s="52">
        <v>0</v>
      </c>
      <c r="AS152" s="52">
        <v>0</v>
      </c>
      <c r="AT152" s="52">
        <v>0</v>
      </c>
      <c r="AU152" s="52">
        <v>0</v>
      </c>
      <c r="AV152" s="52">
        <v>0</v>
      </c>
      <c r="AW152" s="52">
        <v>0</v>
      </c>
      <c r="AX152" s="52">
        <v>0</v>
      </c>
      <c r="AY152" s="52">
        <v>0</v>
      </c>
      <c r="AZ152" s="52">
        <v>0</v>
      </c>
      <c r="BA152" s="52">
        <v>0</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0</v>
      </c>
    </row>
    <row r="153" spans="2:68">
      <c r="B153" t="s">
        <v>637</v>
      </c>
      <c r="C153" t="s">
        <v>638</v>
      </c>
      <c r="D153" t="s">
        <v>58</v>
      </c>
      <c r="E153">
        <v>11</v>
      </c>
      <c r="F153" t="s">
        <v>635</v>
      </c>
      <c r="G153" t="s">
        <v>639</v>
      </c>
      <c r="H153" t="s">
        <v>637</v>
      </c>
      <c r="I153" s="52">
        <v>0</v>
      </c>
      <c r="J153" s="52">
        <v>0</v>
      </c>
      <c r="K153" s="52">
        <v>0</v>
      </c>
      <c r="L153" s="52">
        <v>0</v>
      </c>
      <c r="M153" s="52">
        <v>0</v>
      </c>
      <c r="N153" s="52">
        <v>0</v>
      </c>
      <c r="O153" s="52">
        <v>0</v>
      </c>
      <c r="P153" s="52">
        <v>0</v>
      </c>
      <c r="Q153" s="52">
        <v>0</v>
      </c>
      <c r="R153" s="52">
        <v>0</v>
      </c>
      <c r="S153" s="52">
        <v>0</v>
      </c>
      <c r="T153" s="52">
        <v>0</v>
      </c>
      <c r="U153" s="52">
        <v>0</v>
      </c>
      <c r="V153" s="52">
        <v>0</v>
      </c>
      <c r="W153" s="52">
        <v>0</v>
      </c>
      <c r="X153" s="52">
        <v>0</v>
      </c>
      <c r="Y153" s="52">
        <v>0</v>
      </c>
      <c r="Z153" s="52">
        <v>0</v>
      </c>
      <c r="AA153" s="52">
        <v>0</v>
      </c>
      <c r="AB153" s="52">
        <v>0</v>
      </c>
      <c r="AC153" s="52">
        <v>0</v>
      </c>
      <c r="AD153" s="52">
        <v>0</v>
      </c>
      <c r="AE153" s="52">
        <v>0</v>
      </c>
      <c r="AF153" s="52">
        <v>0</v>
      </c>
      <c r="AG153" s="52">
        <v>0</v>
      </c>
      <c r="AH153" s="52">
        <v>0</v>
      </c>
      <c r="AI153" s="52">
        <v>0</v>
      </c>
      <c r="AJ153" s="52">
        <v>0</v>
      </c>
      <c r="AK153" s="52">
        <v>0</v>
      </c>
      <c r="AL153" s="52">
        <v>0</v>
      </c>
      <c r="AM153" s="52">
        <v>0</v>
      </c>
      <c r="AN153" s="52">
        <v>0</v>
      </c>
      <c r="AO153" s="52">
        <v>0</v>
      </c>
      <c r="AP153" s="52">
        <v>0</v>
      </c>
      <c r="AQ153" s="52">
        <v>0</v>
      </c>
      <c r="AR153" s="52">
        <v>0</v>
      </c>
      <c r="AS153" s="52">
        <v>0</v>
      </c>
      <c r="AT153" s="52">
        <v>0</v>
      </c>
      <c r="AU153" s="52">
        <v>0</v>
      </c>
      <c r="AV153" s="52">
        <v>0</v>
      </c>
      <c r="AW153" s="52">
        <v>0</v>
      </c>
      <c r="AX153" s="52">
        <v>0</v>
      </c>
      <c r="AY153" s="52">
        <v>0</v>
      </c>
      <c r="AZ153" s="52">
        <v>0</v>
      </c>
      <c r="BA153" s="52">
        <v>0</v>
      </c>
      <c r="BB153" s="52">
        <v>0</v>
      </c>
      <c r="BC153" s="52">
        <v>0</v>
      </c>
      <c r="BD153" s="52">
        <v>0</v>
      </c>
      <c r="BE153" s="52">
        <v>0</v>
      </c>
      <c r="BF153" s="52">
        <v>0</v>
      </c>
      <c r="BG153" s="52">
        <v>0</v>
      </c>
      <c r="BH153" s="52">
        <v>0</v>
      </c>
      <c r="BI153" s="52">
        <v>0</v>
      </c>
      <c r="BJ153" s="52">
        <v>0</v>
      </c>
      <c r="BK153" s="52">
        <v>0</v>
      </c>
      <c r="BL153" s="52">
        <v>0</v>
      </c>
      <c r="BM153" s="52">
        <v>0</v>
      </c>
      <c r="BN153" s="52">
        <v>0</v>
      </c>
      <c r="BO153" s="52">
        <v>0</v>
      </c>
      <c r="BP153" s="52">
        <v>0</v>
      </c>
    </row>
    <row r="154" spans="2:68">
      <c r="B154" t="s">
        <v>641</v>
      </c>
      <c r="C154" t="s">
        <v>642</v>
      </c>
      <c r="D154" t="s">
        <v>58</v>
      </c>
      <c r="E154">
        <v>12</v>
      </c>
      <c r="F154" t="s">
        <v>177</v>
      </c>
      <c r="G154" t="s">
        <v>639</v>
      </c>
      <c r="H154" t="s">
        <v>641</v>
      </c>
      <c r="I154" s="52">
        <v>0</v>
      </c>
      <c r="J154" s="52">
        <v>0</v>
      </c>
      <c r="K154" s="52">
        <v>0</v>
      </c>
      <c r="L154" s="52">
        <v>0</v>
      </c>
      <c r="M154" s="52">
        <v>0</v>
      </c>
      <c r="N154" s="52">
        <v>0</v>
      </c>
      <c r="O154" s="52">
        <v>0</v>
      </c>
      <c r="P154" s="52">
        <v>0</v>
      </c>
      <c r="Q154" s="52">
        <v>0</v>
      </c>
      <c r="R154" s="52">
        <v>0</v>
      </c>
      <c r="S154" s="52">
        <v>0</v>
      </c>
      <c r="T154" s="52">
        <v>0</v>
      </c>
      <c r="U154" s="52">
        <v>0</v>
      </c>
      <c r="V154" s="52">
        <v>0</v>
      </c>
      <c r="W154" s="52">
        <v>0</v>
      </c>
      <c r="X154" s="52">
        <v>0</v>
      </c>
      <c r="Y154" s="52">
        <v>0</v>
      </c>
      <c r="Z154" s="52">
        <v>0</v>
      </c>
      <c r="AA154" s="52">
        <v>0</v>
      </c>
      <c r="AB154" s="52">
        <v>0</v>
      </c>
      <c r="AC154" s="52">
        <v>0</v>
      </c>
      <c r="AD154" s="52">
        <v>0</v>
      </c>
      <c r="AE154" s="52">
        <v>0</v>
      </c>
      <c r="AF154" s="52">
        <v>0</v>
      </c>
      <c r="AG154" s="52">
        <v>0</v>
      </c>
      <c r="AH154" s="52">
        <v>0</v>
      </c>
      <c r="AI154" s="52">
        <v>0</v>
      </c>
      <c r="AJ154" s="52">
        <v>0</v>
      </c>
      <c r="AK154" s="52">
        <v>0</v>
      </c>
      <c r="AL154" s="52">
        <v>0</v>
      </c>
      <c r="AM154" s="52">
        <v>0</v>
      </c>
      <c r="AN154" s="52">
        <v>0</v>
      </c>
      <c r="AO154" s="52">
        <v>0</v>
      </c>
      <c r="AP154" s="52">
        <v>0</v>
      </c>
      <c r="AQ154" s="52">
        <v>0</v>
      </c>
      <c r="AR154" s="52">
        <v>0</v>
      </c>
      <c r="AS154" s="52">
        <v>0</v>
      </c>
      <c r="AT154" s="52">
        <v>0</v>
      </c>
      <c r="AU154" s="52">
        <v>0</v>
      </c>
      <c r="AV154" s="52">
        <v>0</v>
      </c>
      <c r="AW154" s="52">
        <v>0</v>
      </c>
      <c r="AX154" s="52">
        <v>0</v>
      </c>
      <c r="AY154" s="52">
        <v>0</v>
      </c>
      <c r="AZ154" s="52">
        <v>0</v>
      </c>
      <c r="BA154" s="52">
        <v>0</v>
      </c>
      <c r="BB154" s="52">
        <v>0</v>
      </c>
      <c r="BC154" s="52">
        <v>0</v>
      </c>
      <c r="BD154" s="52">
        <v>0</v>
      </c>
      <c r="BE154" s="52">
        <v>0</v>
      </c>
      <c r="BF154" s="52">
        <v>0</v>
      </c>
      <c r="BG154" s="52">
        <v>0</v>
      </c>
      <c r="BH154" s="52">
        <v>0</v>
      </c>
      <c r="BI154" s="52">
        <v>0</v>
      </c>
      <c r="BJ154" s="52">
        <v>0</v>
      </c>
      <c r="BK154" s="52">
        <v>0</v>
      </c>
      <c r="BL154" s="52">
        <v>0</v>
      </c>
      <c r="BM154" s="52">
        <v>0</v>
      </c>
      <c r="BN154" s="52">
        <v>0</v>
      </c>
      <c r="BO154" s="52">
        <v>0</v>
      </c>
      <c r="BP154" s="52">
        <v>0</v>
      </c>
    </row>
    <row r="155" spans="2:68">
      <c r="B155" t="s">
        <v>644</v>
      </c>
      <c r="C155" t="s">
        <v>645</v>
      </c>
      <c r="D155" t="s">
        <v>528</v>
      </c>
      <c r="E155">
        <v>10</v>
      </c>
      <c r="F155" t="s">
        <v>646</v>
      </c>
      <c r="G155" t="s">
        <v>647</v>
      </c>
      <c r="H155" t="s">
        <v>644</v>
      </c>
      <c r="I155" s="52">
        <v>0</v>
      </c>
      <c r="J155" s="52">
        <v>336.96818599999915</v>
      </c>
      <c r="K155" s="52">
        <v>90.000000000000227</v>
      </c>
      <c r="L155" s="52">
        <v>0</v>
      </c>
      <c r="M155" s="52">
        <v>368.53079700000035</v>
      </c>
      <c r="N155" s="52">
        <v>98.470588235294144</v>
      </c>
      <c r="O155" s="52">
        <v>0</v>
      </c>
      <c r="P155" s="52">
        <v>578.5160649999998</v>
      </c>
      <c r="Q155" s="52">
        <v>124.4705882352946</v>
      </c>
      <c r="R155" s="52">
        <v>0</v>
      </c>
      <c r="S155" s="52">
        <v>446.94870699999956</v>
      </c>
      <c r="T155" s="52">
        <v>111.05882352941171</v>
      </c>
      <c r="U155" s="52">
        <v>0</v>
      </c>
      <c r="V155" s="52">
        <v>652.69113499999912</v>
      </c>
      <c r="W155" s="52">
        <v>124.29411764705947</v>
      </c>
      <c r="X155" s="52">
        <v>0</v>
      </c>
      <c r="Y155" s="52">
        <v>-4598.3255669999999</v>
      </c>
      <c r="Z155" s="52">
        <v>192.76470588235293</v>
      </c>
      <c r="AA155" s="52">
        <v>0</v>
      </c>
      <c r="AB155" s="52">
        <v>-5018.3332879999998</v>
      </c>
      <c r="AC155" s="52">
        <v>211.7647058823527</v>
      </c>
      <c r="AD155" s="52">
        <v>0</v>
      </c>
      <c r="AE155" s="52">
        <v>-9535.5001520000005</v>
      </c>
      <c r="AF155" s="52">
        <v>641.23529411764684</v>
      </c>
      <c r="AG155" s="52">
        <v>0</v>
      </c>
      <c r="AH155" s="52">
        <v>-6745.1643119999999</v>
      </c>
      <c r="AI155" s="52">
        <v>431.05882352941171</v>
      </c>
      <c r="AJ155" s="52">
        <v>0</v>
      </c>
      <c r="AK155" s="52">
        <v>-11944.385966</v>
      </c>
      <c r="AL155" s="52">
        <v>1019.5294117647063</v>
      </c>
      <c r="AM155" s="52">
        <v>0</v>
      </c>
      <c r="AN155" s="52">
        <v>1326.9034119999997</v>
      </c>
      <c r="AO155" s="52">
        <v>1157.4117647058811</v>
      </c>
      <c r="AP155" s="52">
        <v>0</v>
      </c>
      <c r="AQ155" s="52">
        <v>1517.451608000003</v>
      </c>
      <c r="AR155" s="52">
        <v>1256.5882352941189</v>
      </c>
      <c r="AS155" s="52">
        <v>0</v>
      </c>
      <c r="AT155" s="52">
        <v>2679.0915870000026</v>
      </c>
      <c r="AU155" s="52">
        <v>4888.1764705882306</v>
      </c>
      <c r="AV155" s="52">
        <v>0</v>
      </c>
      <c r="AW155" s="52">
        <v>1957.5357520000034</v>
      </c>
      <c r="AX155" s="52">
        <v>3018.4117647058811</v>
      </c>
      <c r="AY155" s="52">
        <v>0</v>
      </c>
      <c r="AZ155" s="52">
        <v>3101.2402280000097</v>
      </c>
      <c r="BA155" s="52">
        <v>7878.8235294117621</v>
      </c>
      <c r="BB155" s="52">
        <v>95.781518000000005</v>
      </c>
      <c r="BC155" s="52">
        <v>47.612265999999977</v>
      </c>
      <c r="BD155" s="52">
        <v>105.55811699999992</v>
      </c>
      <c r="BE155" s="52">
        <v>191.00442300000009</v>
      </c>
      <c r="BF155" s="52">
        <v>72.698369999999954</v>
      </c>
      <c r="BG155" s="52">
        <v>60.500154000000066</v>
      </c>
      <c r="BH155" s="52">
        <v>30.31996700000002</v>
      </c>
      <c r="BI155" s="52">
        <v>64.754912999999988</v>
      </c>
      <c r="BJ155" s="52">
        <v>116.31965999999989</v>
      </c>
      <c r="BK155" s="52">
        <v>43.598832999999956</v>
      </c>
      <c r="BL155" s="52">
        <v>439.58443699999953</v>
      </c>
      <c r="BM155" s="52">
        <v>205.77732500000093</v>
      </c>
      <c r="BN155" s="52">
        <v>522.21116900000015</v>
      </c>
      <c r="BO155" s="52">
        <v>1096.4423720000013</v>
      </c>
      <c r="BP155" s="52">
        <v>358.98830199999975</v>
      </c>
    </row>
    <row r="156" spans="2:68">
      <c r="B156" t="s">
        <v>649</v>
      </c>
      <c r="C156" t="s">
        <v>650</v>
      </c>
      <c r="D156" t="s">
        <v>529</v>
      </c>
      <c r="E156">
        <v>10</v>
      </c>
      <c r="F156" t="s">
        <v>514</v>
      </c>
      <c r="G156" t="s">
        <v>651</v>
      </c>
      <c r="H156" t="s">
        <v>649</v>
      </c>
      <c r="I156" s="52">
        <v>0</v>
      </c>
      <c r="J156" s="52">
        <v>144.77203599999939</v>
      </c>
      <c r="K156" s="52">
        <v>102.41176470588243</v>
      </c>
      <c r="L156" s="52">
        <v>0</v>
      </c>
      <c r="M156" s="52">
        <v>158.14188300000023</v>
      </c>
      <c r="N156" s="52">
        <v>113.88235294117658</v>
      </c>
      <c r="O156" s="52">
        <v>0</v>
      </c>
      <c r="P156" s="52">
        <v>291.45680200000061</v>
      </c>
      <c r="Q156" s="52">
        <v>297.29411764705947</v>
      </c>
      <c r="R156" s="52">
        <v>0</v>
      </c>
      <c r="S156" s="52">
        <v>212.8300449999997</v>
      </c>
      <c r="T156" s="52">
        <v>213.70588235294099</v>
      </c>
      <c r="U156" s="52">
        <v>0</v>
      </c>
      <c r="V156" s="52">
        <v>357.0504949999995</v>
      </c>
      <c r="W156" s="52">
        <v>454.05882352941262</v>
      </c>
      <c r="X156" s="52">
        <v>0</v>
      </c>
      <c r="Y156" s="52">
        <v>22.414585000000443</v>
      </c>
      <c r="Z156" s="52">
        <v>172.05882352941171</v>
      </c>
      <c r="AA156" s="52">
        <v>0</v>
      </c>
      <c r="AB156" s="52">
        <v>25.082193000000188</v>
      </c>
      <c r="AC156" s="52">
        <v>198.11764705882388</v>
      </c>
      <c r="AD156" s="52">
        <v>0</v>
      </c>
      <c r="AE156" s="52">
        <v>43.871869999999035</v>
      </c>
      <c r="AF156" s="52">
        <v>542.05882352941262</v>
      </c>
      <c r="AG156" s="52">
        <v>0</v>
      </c>
      <c r="AH156" s="52">
        <v>30.911607000000004</v>
      </c>
      <c r="AI156" s="52">
        <v>371.17647058823513</v>
      </c>
      <c r="AJ156" s="52">
        <v>0</v>
      </c>
      <c r="AK156" s="52">
        <v>50.822645000000193</v>
      </c>
      <c r="AL156" s="52">
        <v>800.70588235294235</v>
      </c>
      <c r="AM156" s="52">
        <v>0</v>
      </c>
      <c r="AN156" s="52">
        <v>51.065242999997281</v>
      </c>
      <c r="AO156" s="52">
        <v>2.999999999998181</v>
      </c>
      <c r="AP156" s="52">
        <v>0</v>
      </c>
      <c r="AQ156" s="52">
        <v>61.104090000000724</v>
      </c>
      <c r="AR156" s="52">
        <v>4</v>
      </c>
      <c r="AS156" s="52">
        <v>0</v>
      </c>
      <c r="AT156" s="52">
        <v>79.69704400000046</v>
      </c>
      <c r="AU156" s="52">
        <v>8.4705882352864137</v>
      </c>
      <c r="AV156" s="52">
        <v>0</v>
      </c>
      <c r="AW156" s="52">
        <v>59.550602000002982</v>
      </c>
      <c r="AX156" s="52">
        <v>5.4705882352936896</v>
      </c>
      <c r="AY156" s="52">
        <v>0</v>
      </c>
      <c r="AZ156" s="52">
        <v>74.065329000004567</v>
      </c>
      <c r="BA156" s="52">
        <v>9.4705882352936896</v>
      </c>
      <c r="BB156" s="52">
        <v>27.916817000000037</v>
      </c>
      <c r="BC156" s="52">
        <v>13.404381999999998</v>
      </c>
      <c r="BD156" s="52">
        <v>35.227363999999966</v>
      </c>
      <c r="BE156" s="52">
        <v>69.282607000000098</v>
      </c>
      <c r="BF156" s="52">
        <v>23.642741999999998</v>
      </c>
      <c r="BG156" s="52">
        <v>86.271335000000022</v>
      </c>
      <c r="BH156" s="52">
        <v>43.997633000000008</v>
      </c>
      <c r="BI156" s="52">
        <v>100.01526899999999</v>
      </c>
      <c r="BJ156" s="52">
        <v>179.62289399999986</v>
      </c>
      <c r="BK156" s="52">
        <v>70.885328999999956</v>
      </c>
      <c r="BL156" s="52">
        <v>6.1021970000001602</v>
      </c>
      <c r="BM156" s="52">
        <v>3.2769960000005085</v>
      </c>
      <c r="BN156" s="52">
        <v>7.304283999999825</v>
      </c>
      <c r="BO156" s="52">
        <v>13.879252999999153</v>
      </c>
      <c r="BP156" s="52">
        <v>5.4831450000001496</v>
      </c>
    </row>
    <row r="157" spans="2:68">
      <c r="B157" t="s">
        <v>653</v>
      </c>
      <c r="C157" t="s">
        <v>654</v>
      </c>
      <c r="D157" t="s">
        <v>529</v>
      </c>
      <c r="E157">
        <v>11</v>
      </c>
      <c r="F157" t="s">
        <v>514</v>
      </c>
      <c r="G157" t="s">
        <v>515</v>
      </c>
      <c r="H157" t="s">
        <v>653</v>
      </c>
      <c r="I157" s="52">
        <v>0</v>
      </c>
      <c r="J157" s="52">
        <v>203.63635299999987</v>
      </c>
      <c r="K157" s="52">
        <v>144.88235294117635</v>
      </c>
      <c r="L157" s="52">
        <v>0</v>
      </c>
      <c r="M157" s="52">
        <v>222.43412200000057</v>
      </c>
      <c r="N157" s="52">
        <v>160.35294117647072</v>
      </c>
      <c r="O157" s="52">
        <v>0</v>
      </c>
      <c r="P157" s="52">
        <v>411.42399000000114</v>
      </c>
      <c r="Q157" s="52">
        <v>422.94117647058829</v>
      </c>
      <c r="R157" s="52">
        <v>0</v>
      </c>
      <c r="S157" s="52">
        <v>300.09646100000009</v>
      </c>
      <c r="T157" s="52">
        <v>301.7647058823527</v>
      </c>
      <c r="U157" s="52">
        <v>0</v>
      </c>
      <c r="V157" s="52">
        <v>504.74117300000034</v>
      </c>
      <c r="W157" s="52">
        <v>646.94117647058829</v>
      </c>
      <c r="X157" s="52">
        <v>0</v>
      </c>
      <c r="Y157" s="52">
        <v>31.869279000000461</v>
      </c>
      <c r="Z157" s="52">
        <v>241.58823529411757</v>
      </c>
      <c r="AA157" s="52">
        <v>0</v>
      </c>
      <c r="AB157" s="52">
        <v>35.656565999999657</v>
      </c>
      <c r="AC157" s="52">
        <v>277.11764705882388</v>
      </c>
      <c r="AD157" s="52">
        <v>0</v>
      </c>
      <c r="AE157" s="52">
        <v>62.430548999998791</v>
      </c>
      <c r="AF157" s="52">
        <v>751.64705882352973</v>
      </c>
      <c r="AG157" s="52">
        <v>0</v>
      </c>
      <c r="AH157" s="52">
        <v>43.993019999999888</v>
      </c>
      <c r="AI157" s="52">
        <v>515.05882352941171</v>
      </c>
      <c r="AJ157" s="52">
        <v>0</v>
      </c>
      <c r="AK157" s="52">
        <v>72.38066599999911</v>
      </c>
      <c r="AL157" s="52">
        <v>1109.9411764705892</v>
      </c>
      <c r="AM157" s="52">
        <v>0</v>
      </c>
      <c r="AN157" s="52">
        <v>68.390613999996276</v>
      </c>
      <c r="AO157" s="52">
        <v>3.4705882352936896</v>
      </c>
      <c r="AP157" s="52">
        <v>0</v>
      </c>
      <c r="AQ157" s="52">
        <v>81.831983999996737</v>
      </c>
      <c r="AR157" s="52">
        <v>5</v>
      </c>
      <c r="AS157" s="52">
        <v>0</v>
      </c>
      <c r="AT157" s="52">
        <v>106.75449399999343</v>
      </c>
      <c r="AU157" s="52">
        <v>11.470588235286414</v>
      </c>
      <c r="AV157" s="52">
        <v>0</v>
      </c>
      <c r="AW157" s="52">
        <v>79.764276000001701</v>
      </c>
      <c r="AX157" s="52">
        <v>7.4705882352936896</v>
      </c>
      <c r="AY157" s="52">
        <v>0</v>
      </c>
      <c r="AZ157" s="52">
        <v>99.211389000003692</v>
      </c>
      <c r="BA157" s="52">
        <v>12.47058823529369</v>
      </c>
      <c r="BB157" s="52">
        <v>39.197112000000061</v>
      </c>
      <c r="BC157" s="52">
        <v>18.826286000000039</v>
      </c>
      <c r="BD157" s="52">
        <v>49.356357000000003</v>
      </c>
      <c r="BE157" s="52">
        <v>96.911346999999978</v>
      </c>
      <c r="BF157" s="52">
        <v>33.164972000000034</v>
      </c>
      <c r="BG157" s="52">
        <v>120.45212700000002</v>
      </c>
      <c r="BH157" s="52">
        <v>61.16928200000001</v>
      </c>
      <c r="BI157" s="52">
        <v>138.81406000000004</v>
      </c>
      <c r="BJ157" s="52">
        <v>253.75018099999988</v>
      </c>
      <c r="BK157" s="52">
        <v>97.980760999999973</v>
      </c>
      <c r="BL157" s="52">
        <v>8.1636350000007951</v>
      </c>
      <c r="BM157" s="52">
        <v>4.3835760000001756</v>
      </c>
      <c r="BN157" s="52">
        <v>9.7688890000008541</v>
      </c>
      <c r="BO157" s="52">
        <v>18.562626999999338</v>
      </c>
      <c r="BP157" s="52">
        <v>7.3339450000003126</v>
      </c>
    </row>
    <row r="158" spans="2:68">
      <c r="B158" t="s">
        <v>656</v>
      </c>
      <c r="C158" t="s">
        <v>657</v>
      </c>
      <c r="D158" t="s">
        <v>529</v>
      </c>
      <c r="E158">
        <v>12</v>
      </c>
      <c r="F158" t="s">
        <v>651</v>
      </c>
      <c r="G158" t="s">
        <v>515</v>
      </c>
      <c r="H158" t="s">
        <v>656</v>
      </c>
      <c r="I158" s="52">
        <v>0</v>
      </c>
      <c r="J158" s="52">
        <v>58.864317000000483</v>
      </c>
      <c r="K158" s="52">
        <v>42.470588235293917</v>
      </c>
      <c r="L158" s="52">
        <v>0</v>
      </c>
      <c r="M158" s="52">
        <v>64.292239000000336</v>
      </c>
      <c r="N158" s="52">
        <v>46.470588235294144</v>
      </c>
      <c r="O158" s="52">
        <v>0</v>
      </c>
      <c r="P158" s="52">
        <v>119.96718800000053</v>
      </c>
      <c r="Q158" s="52">
        <v>125.64705882352882</v>
      </c>
      <c r="R158" s="52">
        <v>0</v>
      </c>
      <c r="S158" s="52">
        <v>87.26641600000039</v>
      </c>
      <c r="T158" s="52">
        <v>88.058823529411711</v>
      </c>
      <c r="U158" s="52">
        <v>0</v>
      </c>
      <c r="V158" s="52">
        <v>147.69067800000084</v>
      </c>
      <c r="W158" s="52">
        <v>192.88235294117567</v>
      </c>
      <c r="X158" s="52">
        <v>0</v>
      </c>
      <c r="Y158" s="52">
        <v>9.4546940000000177</v>
      </c>
      <c r="Z158" s="52">
        <v>69.529411764705856</v>
      </c>
      <c r="AA158" s="52">
        <v>0</v>
      </c>
      <c r="AB158" s="52">
        <v>10.574372999999468</v>
      </c>
      <c r="AC158" s="52">
        <v>79</v>
      </c>
      <c r="AD158" s="52">
        <v>0</v>
      </c>
      <c r="AE158" s="52">
        <v>18.558678999999756</v>
      </c>
      <c r="AF158" s="52">
        <v>209.58823529411711</v>
      </c>
      <c r="AG158" s="52">
        <v>0</v>
      </c>
      <c r="AH158" s="52">
        <v>13.081412999999884</v>
      </c>
      <c r="AI158" s="52">
        <v>143.88235294117658</v>
      </c>
      <c r="AJ158" s="52">
        <v>0</v>
      </c>
      <c r="AK158" s="52">
        <v>21.558020999998917</v>
      </c>
      <c r="AL158" s="52">
        <v>309.23529411764684</v>
      </c>
      <c r="AM158" s="52">
        <v>0</v>
      </c>
      <c r="AN158" s="52">
        <v>17.325370999998995</v>
      </c>
      <c r="AO158" s="52">
        <v>0.47058823529550864</v>
      </c>
      <c r="AP158" s="52">
        <v>0</v>
      </c>
      <c r="AQ158" s="52">
        <v>20.727893999996013</v>
      </c>
      <c r="AR158" s="52">
        <v>1</v>
      </c>
      <c r="AS158" s="52">
        <v>0</v>
      </c>
      <c r="AT158" s="52">
        <v>27.057449999992969</v>
      </c>
      <c r="AU158" s="52">
        <v>3</v>
      </c>
      <c r="AV158" s="52">
        <v>0</v>
      </c>
      <c r="AW158" s="52">
        <v>20.213673999998719</v>
      </c>
      <c r="AX158" s="52">
        <v>2</v>
      </c>
      <c r="AY158" s="52">
        <v>0</v>
      </c>
      <c r="AZ158" s="52">
        <v>25.146059999999125</v>
      </c>
      <c r="BA158" s="52">
        <v>3</v>
      </c>
      <c r="BB158" s="52">
        <v>11.280295000000024</v>
      </c>
      <c r="BC158" s="52">
        <v>5.4219040000000405</v>
      </c>
      <c r="BD158" s="52">
        <v>14.128993000000037</v>
      </c>
      <c r="BE158" s="52">
        <v>27.62873999999988</v>
      </c>
      <c r="BF158" s="52">
        <v>9.5222300000000359</v>
      </c>
      <c r="BG158" s="52">
        <v>34.180791999999997</v>
      </c>
      <c r="BH158" s="52">
        <v>17.171649000000002</v>
      </c>
      <c r="BI158" s="52">
        <v>38.798791000000051</v>
      </c>
      <c r="BJ158" s="52">
        <v>74.127287000000024</v>
      </c>
      <c r="BK158" s="52">
        <v>27.095432000000017</v>
      </c>
      <c r="BL158" s="52">
        <v>2.0614380000006349</v>
      </c>
      <c r="BM158" s="52">
        <v>1.1065799999996671</v>
      </c>
      <c r="BN158" s="52">
        <v>2.4646050000010291</v>
      </c>
      <c r="BO158" s="52">
        <v>4.6833740000001853</v>
      </c>
      <c r="BP158" s="52">
        <v>1.850800000000163</v>
      </c>
    </row>
    <row r="159" spans="2:68">
      <c r="B159" t="s">
        <v>659</v>
      </c>
      <c r="C159" t="s">
        <v>660</v>
      </c>
      <c r="D159" t="s">
        <v>530</v>
      </c>
      <c r="E159">
        <v>10</v>
      </c>
      <c r="F159" t="s">
        <v>661</v>
      </c>
      <c r="G159" t="s">
        <v>662</v>
      </c>
      <c r="H159" t="s">
        <v>659</v>
      </c>
      <c r="I159" s="52">
        <v>0</v>
      </c>
      <c r="J159" s="52">
        <v>0</v>
      </c>
      <c r="K159" s="52">
        <v>191.20049656226092</v>
      </c>
      <c r="L159" s="52">
        <v>0</v>
      </c>
      <c r="M159" s="52">
        <v>0</v>
      </c>
      <c r="N159" s="52">
        <v>206.0549656226126</v>
      </c>
      <c r="O159" s="52">
        <v>0</v>
      </c>
      <c r="P159" s="52">
        <v>0</v>
      </c>
      <c r="Q159" s="52">
        <v>273.31810542398762</v>
      </c>
      <c r="R159" s="52">
        <v>0</v>
      </c>
      <c r="S159" s="52">
        <v>0</v>
      </c>
      <c r="T159" s="52">
        <v>206.58197097020638</v>
      </c>
      <c r="U159" s="52">
        <v>0</v>
      </c>
      <c r="V159" s="52">
        <v>0</v>
      </c>
      <c r="W159" s="52">
        <v>274.51031321619485</v>
      </c>
      <c r="X159" s="52">
        <v>0</v>
      </c>
      <c r="Y159" s="52">
        <v>0</v>
      </c>
      <c r="Z159" s="52">
        <v>194.08785332314756</v>
      </c>
      <c r="AA159" s="52">
        <v>0</v>
      </c>
      <c r="AB159" s="52">
        <v>0</v>
      </c>
      <c r="AC159" s="52">
        <v>209.51848739495745</v>
      </c>
      <c r="AD159" s="52">
        <v>0</v>
      </c>
      <c r="AE159" s="52">
        <v>0</v>
      </c>
      <c r="AF159" s="52">
        <v>249.53789152024456</v>
      </c>
      <c r="AG159" s="52">
        <v>0</v>
      </c>
      <c r="AH159" s="52">
        <v>0</v>
      </c>
      <c r="AI159" s="52">
        <v>195.09511077158095</v>
      </c>
      <c r="AJ159" s="52">
        <v>0</v>
      </c>
      <c r="AK159" s="52">
        <v>0</v>
      </c>
      <c r="AL159" s="52">
        <v>238.3886172650873</v>
      </c>
      <c r="AM159" s="52">
        <v>0</v>
      </c>
      <c r="AN159" s="52">
        <v>0</v>
      </c>
      <c r="AO159" s="52">
        <v>2177.8972116119148</v>
      </c>
      <c r="AP159" s="52">
        <v>0</v>
      </c>
      <c r="AQ159" s="52">
        <v>0</v>
      </c>
      <c r="AR159" s="52">
        <v>2351.8921695951103</v>
      </c>
      <c r="AS159" s="52">
        <v>0</v>
      </c>
      <c r="AT159" s="52">
        <v>0</v>
      </c>
      <c r="AU159" s="52">
        <v>4010.3608097784454</v>
      </c>
      <c r="AV159" s="52">
        <v>0</v>
      </c>
      <c r="AW159" s="52">
        <v>0</v>
      </c>
      <c r="AX159" s="52">
        <v>2771.0590909090897</v>
      </c>
      <c r="AY159" s="52">
        <v>0</v>
      </c>
      <c r="AZ159" s="52">
        <v>0</v>
      </c>
      <c r="BA159" s="52">
        <v>4462.44201680673</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row>
    <row r="160" spans="2:68">
      <c r="B160" t="s">
        <v>664</v>
      </c>
      <c r="C160" t="s">
        <v>665</v>
      </c>
      <c r="D160" t="s">
        <v>530</v>
      </c>
      <c r="E160">
        <v>11</v>
      </c>
      <c r="F160" t="s">
        <v>661</v>
      </c>
      <c r="G160" t="s">
        <v>666</v>
      </c>
      <c r="H160" t="s">
        <v>664</v>
      </c>
      <c r="I160" s="52">
        <v>0</v>
      </c>
      <c r="J160" s="52">
        <v>0</v>
      </c>
      <c r="K160" s="52">
        <v>276.42402597402565</v>
      </c>
      <c r="L160" s="52">
        <v>0</v>
      </c>
      <c r="M160" s="52">
        <v>0</v>
      </c>
      <c r="N160" s="52">
        <v>297.89025974025981</v>
      </c>
      <c r="O160" s="52">
        <v>0</v>
      </c>
      <c r="P160" s="52">
        <v>0</v>
      </c>
      <c r="Q160" s="52">
        <v>396.32987012986996</v>
      </c>
      <c r="R160" s="52">
        <v>0</v>
      </c>
      <c r="S160" s="52">
        <v>0</v>
      </c>
      <c r="T160" s="52">
        <v>299.75844155844152</v>
      </c>
      <c r="U160" s="52">
        <v>0</v>
      </c>
      <c r="V160" s="52">
        <v>0</v>
      </c>
      <c r="W160" s="52">
        <v>389.12207792207664</v>
      </c>
      <c r="X160" s="52">
        <v>0</v>
      </c>
      <c r="Y160" s="52">
        <v>0</v>
      </c>
      <c r="Z160" s="52">
        <v>279.75844155844152</v>
      </c>
      <c r="AA160" s="52">
        <v>0</v>
      </c>
      <c r="AB160" s="52">
        <v>0</v>
      </c>
      <c r="AC160" s="52">
        <v>301.47142857142808</v>
      </c>
      <c r="AD160" s="52">
        <v>0</v>
      </c>
      <c r="AE160" s="52">
        <v>0</v>
      </c>
      <c r="AF160" s="52">
        <v>348.90259740259717</v>
      </c>
      <c r="AG160" s="52">
        <v>0</v>
      </c>
      <c r="AH160" s="52">
        <v>0</v>
      </c>
      <c r="AI160" s="52">
        <v>277.04805194805249</v>
      </c>
      <c r="AJ160" s="52">
        <v>0</v>
      </c>
      <c r="AK160" s="52">
        <v>0</v>
      </c>
      <c r="AL160" s="52">
        <v>318.74155844155757</v>
      </c>
      <c r="AM160" s="52">
        <v>0</v>
      </c>
      <c r="AN160" s="52">
        <v>0</v>
      </c>
      <c r="AO160" s="52">
        <v>3207.0266233766215</v>
      </c>
      <c r="AP160" s="52">
        <v>0</v>
      </c>
      <c r="AQ160" s="52">
        <v>0</v>
      </c>
      <c r="AR160" s="52">
        <v>3464.198051948053</v>
      </c>
      <c r="AS160" s="52">
        <v>0</v>
      </c>
      <c r="AT160" s="52">
        <v>0</v>
      </c>
      <c r="AU160" s="52">
        <v>6075.796103896093</v>
      </c>
      <c r="AV160" s="52">
        <v>0</v>
      </c>
      <c r="AW160" s="52">
        <v>0</v>
      </c>
      <c r="AX160" s="52">
        <v>4190.6590909090883</v>
      </c>
      <c r="AY160" s="52">
        <v>0</v>
      </c>
      <c r="AZ160" s="52">
        <v>0</v>
      </c>
      <c r="BA160" s="52">
        <v>6793.971428571429</v>
      </c>
      <c r="BB160" s="52">
        <v>71.225335428571384</v>
      </c>
      <c r="BC160" s="52">
        <v>37.454662714285689</v>
      </c>
      <c r="BD160" s="52">
        <v>66.666012928571377</v>
      </c>
      <c r="BE160" s="52">
        <v>110.32591557142848</v>
      </c>
      <c r="BF160" s="52">
        <v>46.931150964285678</v>
      </c>
      <c r="BG160" s="52">
        <v>65.070449107142849</v>
      </c>
      <c r="BH160" s="52">
        <v>32.33796064285707</v>
      </c>
      <c r="BI160" s="52">
        <v>58.925424392857053</v>
      </c>
      <c r="BJ160" s="52">
        <v>105.68593999999996</v>
      </c>
      <c r="BK160" s="52">
        <v>38.846322071428574</v>
      </c>
      <c r="BL160" s="52">
        <v>1563.2787978214274</v>
      </c>
      <c r="BM160" s="52">
        <v>1021.5287423571426</v>
      </c>
      <c r="BN160" s="52">
        <v>1377.2477121785705</v>
      </c>
      <c r="BO160" s="52">
        <v>2091.6236742857145</v>
      </c>
      <c r="BP160" s="52">
        <v>1079.9138510714274</v>
      </c>
    </row>
    <row r="161" spans="1:68">
      <c r="B161" t="s">
        <v>668</v>
      </c>
      <c r="C161" t="s">
        <v>669</v>
      </c>
      <c r="D161" t="s">
        <v>530</v>
      </c>
      <c r="E161">
        <v>12</v>
      </c>
      <c r="F161" t="s">
        <v>661</v>
      </c>
      <c r="G161" t="s">
        <v>670</v>
      </c>
      <c r="H161" t="s">
        <v>668</v>
      </c>
      <c r="I161" s="52">
        <v>0</v>
      </c>
      <c r="J161" s="52">
        <v>0</v>
      </c>
      <c r="K161" s="52">
        <v>135.07768451061065</v>
      </c>
      <c r="L161" s="52">
        <v>0</v>
      </c>
      <c r="M161" s="52">
        <v>0</v>
      </c>
      <c r="N161" s="52">
        <v>145.57806461830796</v>
      </c>
      <c r="O161" s="52">
        <v>0</v>
      </c>
      <c r="P161" s="52">
        <v>0</v>
      </c>
      <c r="Q161" s="52">
        <v>192.31035793474712</v>
      </c>
      <c r="R161" s="52">
        <v>0</v>
      </c>
      <c r="S161" s="52">
        <v>0</v>
      </c>
      <c r="T161" s="52">
        <v>145.22185619258789</v>
      </c>
      <c r="U161" s="52">
        <v>0</v>
      </c>
      <c r="V161" s="52">
        <v>0</v>
      </c>
      <c r="W161" s="52">
        <v>199.03427304402794</v>
      </c>
      <c r="X161" s="52">
        <v>0</v>
      </c>
      <c r="Y161" s="52">
        <v>0</v>
      </c>
      <c r="Z161" s="52">
        <v>137.67063668039236</v>
      </c>
      <c r="AA161" s="52">
        <v>0</v>
      </c>
      <c r="AB161" s="52">
        <v>0</v>
      </c>
      <c r="AC161" s="52">
        <v>148.96411149825735</v>
      </c>
      <c r="AD161" s="52">
        <v>0</v>
      </c>
      <c r="AE161" s="52">
        <v>0</v>
      </c>
      <c r="AF161" s="52">
        <v>184.10259740259789</v>
      </c>
      <c r="AG161" s="52">
        <v>0</v>
      </c>
      <c r="AH161" s="52">
        <v>0</v>
      </c>
      <c r="AI161" s="52">
        <v>141.12610072854022</v>
      </c>
      <c r="AJ161" s="52">
        <v>0</v>
      </c>
      <c r="AK161" s="52">
        <v>0</v>
      </c>
      <c r="AL161" s="52">
        <v>185.4732657586319</v>
      </c>
      <c r="AM161" s="52">
        <v>0</v>
      </c>
      <c r="AN161" s="52">
        <v>0</v>
      </c>
      <c r="AO161" s="52">
        <v>1500.1778428888138</v>
      </c>
      <c r="AP161" s="52">
        <v>0</v>
      </c>
      <c r="AQ161" s="52">
        <v>0</v>
      </c>
      <c r="AR161" s="52">
        <v>1619.3980519480501</v>
      </c>
      <c r="AS161" s="52">
        <v>0</v>
      </c>
      <c r="AT161" s="52">
        <v>0</v>
      </c>
      <c r="AU161" s="52">
        <v>2650.1961038960872</v>
      </c>
      <c r="AV161" s="52">
        <v>0</v>
      </c>
      <c r="AW161" s="52">
        <v>0</v>
      </c>
      <c r="AX161" s="52">
        <v>1836.2005543237174</v>
      </c>
      <c r="AY161" s="52">
        <v>0</v>
      </c>
      <c r="AZ161" s="52">
        <v>0</v>
      </c>
      <c r="BA161" s="52">
        <v>2927.0445993031317</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row>
    <row r="162" spans="1:68">
      <c r="B162" t="s">
        <v>672</v>
      </c>
      <c r="C162" t="s">
        <v>673</v>
      </c>
      <c r="D162" t="s">
        <v>531</v>
      </c>
      <c r="E162">
        <v>10</v>
      </c>
      <c r="F162" t="s">
        <v>674</v>
      </c>
      <c r="G162" t="s">
        <v>176</v>
      </c>
      <c r="H162" t="s">
        <v>672</v>
      </c>
      <c r="I162" s="52">
        <v>0</v>
      </c>
      <c r="J162" s="52">
        <v>0</v>
      </c>
      <c r="K162" s="52">
        <v>392.35000000000014</v>
      </c>
      <c r="L162" s="52">
        <v>0</v>
      </c>
      <c r="M162" s="52">
        <v>0</v>
      </c>
      <c r="N162" s="52">
        <v>439.24117647058824</v>
      </c>
      <c r="O162" s="52">
        <v>0</v>
      </c>
      <c r="P162" s="52">
        <v>0</v>
      </c>
      <c r="Q162" s="52">
        <v>1428.5264705882355</v>
      </c>
      <c r="R162" s="52">
        <v>0</v>
      </c>
      <c r="S162" s="52">
        <v>0</v>
      </c>
      <c r="T162" s="52">
        <v>944.30294117647009</v>
      </c>
      <c r="U162" s="52">
        <v>0</v>
      </c>
      <c r="V162" s="52">
        <v>0</v>
      </c>
      <c r="W162" s="52">
        <v>2034.873529411765</v>
      </c>
      <c r="X162" s="52">
        <v>0</v>
      </c>
      <c r="Y162" s="52">
        <v>0</v>
      </c>
      <c r="Z162" s="52">
        <v>461.46176470588216</v>
      </c>
      <c r="AA162" s="52">
        <v>0</v>
      </c>
      <c r="AB162" s="52">
        <v>0</v>
      </c>
      <c r="AC162" s="52">
        <v>516.78235294117667</v>
      </c>
      <c r="AD162" s="52">
        <v>0</v>
      </c>
      <c r="AE162" s="52">
        <v>0</v>
      </c>
      <c r="AF162" s="52">
        <v>1657.7294117647061</v>
      </c>
      <c r="AG162" s="52">
        <v>0</v>
      </c>
      <c r="AH162" s="52">
        <v>0</v>
      </c>
      <c r="AI162" s="52">
        <v>1100.8441176470596</v>
      </c>
      <c r="AJ162" s="52">
        <v>0</v>
      </c>
      <c r="AK162" s="52">
        <v>0</v>
      </c>
      <c r="AL162" s="52">
        <v>2293.5470588235294</v>
      </c>
      <c r="AM162" s="52">
        <v>0</v>
      </c>
      <c r="AN162" s="52">
        <v>0</v>
      </c>
      <c r="AO162" s="52">
        <v>490.32647058823568</v>
      </c>
      <c r="AP162" s="52">
        <v>0</v>
      </c>
      <c r="AQ162" s="52">
        <v>0</v>
      </c>
      <c r="AR162" s="52">
        <v>634.60000000000218</v>
      </c>
      <c r="AS162" s="52">
        <v>0</v>
      </c>
      <c r="AT162" s="52">
        <v>0</v>
      </c>
      <c r="AU162" s="52">
        <v>5669.6176470588252</v>
      </c>
      <c r="AV162" s="52">
        <v>0</v>
      </c>
      <c r="AW162" s="52">
        <v>0</v>
      </c>
      <c r="AX162" s="52">
        <v>3332.3647058823517</v>
      </c>
      <c r="AY162" s="52">
        <v>0</v>
      </c>
      <c r="AZ162" s="52">
        <v>0</v>
      </c>
      <c r="BA162" s="52">
        <v>9489.5382352941087</v>
      </c>
      <c r="BB162" s="52">
        <v>-2.1878609999999981</v>
      </c>
      <c r="BC162" s="52">
        <v>-0.45023700000001554</v>
      </c>
      <c r="BD162" s="52">
        <v>2.8485419999999522</v>
      </c>
      <c r="BE162" s="52">
        <v>5.4018100000000686</v>
      </c>
      <c r="BF162" s="52">
        <v>1.1053539999999771</v>
      </c>
      <c r="BG162" s="52">
        <v>9.636455000000069</v>
      </c>
      <c r="BH162" s="52">
        <v>6.3290979999999877</v>
      </c>
      <c r="BI162" s="52">
        <v>16.45182299999999</v>
      </c>
      <c r="BJ162" s="52">
        <v>20.427357000000029</v>
      </c>
      <c r="BK162" s="52">
        <v>11.715237000000002</v>
      </c>
      <c r="BL162" s="52">
        <v>-148.34178000000065</v>
      </c>
      <c r="BM162" s="52">
        <v>-77.600135999999111</v>
      </c>
      <c r="BN162" s="52">
        <v>-84.957833000000392</v>
      </c>
      <c r="BO162" s="52">
        <v>-123.85993299999973</v>
      </c>
      <c r="BP162" s="52">
        <v>-85.319770999998582</v>
      </c>
    </row>
    <row r="169" spans="1:68" ht="46.5">
      <c r="B169" s="471" t="s">
        <v>1182</v>
      </c>
    </row>
    <row r="170" spans="1:68" ht="47.25" thickBot="1">
      <c r="B170" s="471" t="s">
        <v>1183</v>
      </c>
      <c r="X170" s="476"/>
      <c r="Y170" s="476"/>
      <c r="Z170" s="476"/>
      <c r="AA170" s="476"/>
      <c r="AB170" s="476"/>
    </row>
    <row r="171" spans="1:68" ht="13.5" thickBot="1">
      <c r="I171" s="465" t="s">
        <v>509</v>
      </c>
      <c r="J171" s="466"/>
      <c r="K171" s="466"/>
      <c r="L171" s="466"/>
      <c r="M171" s="466"/>
      <c r="N171" s="466"/>
      <c r="O171" s="466"/>
      <c r="P171" s="466"/>
      <c r="Q171" s="466"/>
      <c r="R171" s="466"/>
      <c r="S171" s="466"/>
      <c r="T171" s="466"/>
      <c r="U171" s="466"/>
      <c r="V171" s="466"/>
      <c r="W171" s="466"/>
      <c r="X171" s="487" t="s">
        <v>510</v>
      </c>
      <c r="Y171" s="488"/>
      <c r="Z171" s="488"/>
      <c r="AA171" s="488"/>
      <c r="AB171" s="489"/>
    </row>
    <row r="172" spans="1:68">
      <c r="I172" s="373" t="s">
        <v>1110</v>
      </c>
      <c r="J172" s="374" t="s">
        <v>1110</v>
      </c>
      <c r="K172" s="376" t="s">
        <v>1110</v>
      </c>
      <c r="L172" s="377" t="s">
        <v>1111</v>
      </c>
      <c r="M172" s="378" t="s">
        <v>1111</v>
      </c>
      <c r="N172" s="379" t="s">
        <v>1111</v>
      </c>
      <c r="O172" s="381" t="s">
        <v>1112</v>
      </c>
      <c r="P172" s="382" t="s">
        <v>1112</v>
      </c>
      <c r="Q172" s="383" t="s">
        <v>1112</v>
      </c>
      <c r="R172" s="385" t="s">
        <v>1113</v>
      </c>
      <c r="S172" s="386" t="s">
        <v>1113</v>
      </c>
      <c r="T172" s="387" t="s">
        <v>1113</v>
      </c>
      <c r="U172" s="389" t="s">
        <v>1114</v>
      </c>
      <c r="V172" s="390" t="s">
        <v>1114</v>
      </c>
      <c r="W172" s="390" t="s">
        <v>1114</v>
      </c>
      <c r="X172" s="373" t="s">
        <v>1110</v>
      </c>
      <c r="Y172" s="377" t="s">
        <v>1111</v>
      </c>
      <c r="Z172" s="490" t="s">
        <v>1112</v>
      </c>
      <c r="AA172" s="388" t="s">
        <v>1113</v>
      </c>
      <c r="AB172" s="392" t="s">
        <v>1114</v>
      </c>
    </row>
    <row r="173" spans="1:68" ht="13.5" thickBot="1">
      <c r="I173" s="460" t="s">
        <v>1116</v>
      </c>
      <c r="J173" s="476" t="s">
        <v>1117</v>
      </c>
      <c r="K173" s="477" t="s">
        <v>1118</v>
      </c>
      <c r="L173" s="460" t="s">
        <v>1116</v>
      </c>
      <c r="M173" s="476" t="s">
        <v>1117</v>
      </c>
      <c r="N173" s="478" t="s">
        <v>1118</v>
      </c>
      <c r="O173" s="460" t="s">
        <v>1116</v>
      </c>
      <c r="P173" s="476" t="s">
        <v>1117</v>
      </c>
      <c r="Q173" s="478" t="s">
        <v>1118</v>
      </c>
      <c r="R173" s="460" t="s">
        <v>1116</v>
      </c>
      <c r="S173" s="476" t="s">
        <v>1117</v>
      </c>
      <c r="T173" s="478" t="s">
        <v>1118</v>
      </c>
      <c r="U173" s="460" t="s">
        <v>1116</v>
      </c>
      <c r="V173" s="476" t="s">
        <v>1117</v>
      </c>
      <c r="W173" s="476" t="s">
        <v>1118</v>
      </c>
      <c r="X173" s="491" t="s">
        <v>1184</v>
      </c>
      <c r="Y173" s="491" t="s">
        <v>1184</v>
      </c>
      <c r="Z173" s="492" t="s">
        <v>1184</v>
      </c>
      <c r="AA173" s="493" t="s">
        <v>1184</v>
      </c>
      <c r="AB173" s="493" t="s">
        <v>1184</v>
      </c>
    </row>
    <row r="174" spans="1:68" ht="13.5" thickBot="1">
      <c r="I174" s="494" t="s">
        <v>1185</v>
      </c>
      <c r="J174" s="494" t="s">
        <v>1186</v>
      </c>
      <c r="K174" s="494" t="s">
        <v>1187</v>
      </c>
      <c r="L174" s="494" t="s">
        <v>1188</v>
      </c>
      <c r="M174" s="494" t="s">
        <v>1189</v>
      </c>
      <c r="N174" s="494" t="s">
        <v>1190</v>
      </c>
      <c r="O174" s="494" t="s">
        <v>1191</v>
      </c>
      <c r="P174" s="494" t="s">
        <v>1192</v>
      </c>
      <c r="Q174" s="494" t="s">
        <v>1193</v>
      </c>
      <c r="R174" s="494" t="s">
        <v>1194</v>
      </c>
      <c r="S174" s="494" t="s">
        <v>1195</v>
      </c>
      <c r="T174" s="494" t="s">
        <v>1196</v>
      </c>
      <c r="U174" s="494" t="s">
        <v>1197</v>
      </c>
      <c r="V174" s="494" t="s">
        <v>1198</v>
      </c>
      <c r="W174" s="494" t="s">
        <v>1199</v>
      </c>
      <c r="X174" s="481"/>
      <c r="Y174" s="495"/>
      <c r="Z174" s="495"/>
      <c r="AA174" s="495"/>
      <c r="AB174" s="496"/>
    </row>
    <row r="175" spans="1:68">
      <c r="A175">
        <v>2</v>
      </c>
      <c r="B175" t="s">
        <v>512</v>
      </c>
      <c r="C175" t="s">
        <v>512</v>
      </c>
      <c r="D175" t="s">
        <v>513</v>
      </c>
      <c r="E175">
        <v>10</v>
      </c>
      <c r="F175" t="s">
        <v>514</v>
      </c>
      <c r="G175" t="s">
        <v>515</v>
      </c>
      <c r="H175" t="s">
        <v>512</v>
      </c>
      <c r="I175" s="52">
        <v>1.1471614898121485</v>
      </c>
      <c r="J175" s="52">
        <v>1.1753189487582003</v>
      </c>
      <c r="K175" s="52">
        <v>0.40375123383062161</v>
      </c>
      <c r="L175" s="52">
        <v>1.2561389037820128</v>
      </c>
      <c r="M175" s="52">
        <v>1.2875182043319966</v>
      </c>
      <c r="N175" s="52">
        <v>0.44376971568464063</v>
      </c>
      <c r="O175" s="52">
        <v>1.8816931699551862</v>
      </c>
      <c r="P175" s="52">
        <v>1.9209645978966212</v>
      </c>
      <c r="Q175" s="52">
        <v>0.84610100132981836</v>
      </c>
      <c r="R175" s="52">
        <v>1.4815030022370372</v>
      </c>
      <c r="S175" s="52">
        <v>1.5147828822899552</v>
      </c>
      <c r="T175" s="52">
        <v>0.63828105569454929</v>
      </c>
      <c r="U175" s="52">
        <v>2.2317370823219416</v>
      </c>
      <c r="V175" s="52">
        <v>2.2760980852113253</v>
      </c>
      <c r="W175" s="52">
        <v>1.1677794555296441</v>
      </c>
      <c r="X175">
        <v>-2.2191980968369194E-2</v>
      </c>
      <c r="Y175">
        <v>-3.4901626153413433E-2</v>
      </c>
      <c r="Z175">
        <v>-1.0075468242476838E-3</v>
      </c>
      <c r="AA175">
        <v>2.1364962966936268E-2</v>
      </c>
      <c r="AB175">
        <v>-1.2224358187621659E-2</v>
      </c>
    </row>
    <row r="176" spans="1:68" ht="15">
      <c r="A176">
        <v>3</v>
      </c>
      <c r="B176" t="s">
        <v>518</v>
      </c>
      <c r="C176" t="s">
        <v>519</v>
      </c>
      <c r="D176" t="s">
        <v>520</v>
      </c>
      <c r="E176">
        <v>10</v>
      </c>
      <c r="F176" t="s">
        <v>514</v>
      </c>
      <c r="G176" t="s">
        <v>515</v>
      </c>
      <c r="H176" t="s">
        <v>518</v>
      </c>
      <c r="I176" s="497">
        <v>0</v>
      </c>
      <c r="J176" s="497">
        <v>0</v>
      </c>
      <c r="K176" s="497">
        <v>0</v>
      </c>
      <c r="L176" s="497">
        <v>0</v>
      </c>
      <c r="M176" s="497">
        <v>0</v>
      </c>
      <c r="N176" s="497">
        <v>0</v>
      </c>
      <c r="O176" s="497">
        <v>0</v>
      </c>
      <c r="P176" s="497">
        <v>0</v>
      </c>
      <c r="Q176" s="497">
        <v>0</v>
      </c>
      <c r="R176" s="497">
        <v>0</v>
      </c>
      <c r="S176" s="497">
        <v>0</v>
      </c>
      <c r="T176" s="497">
        <v>0</v>
      </c>
      <c r="U176" s="497">
        <v>0</v>
      </c>
      <c r="V176" s="497">
        <v>0</v>
      </c>
      <c r="W176" s="497">
        <v>0</v>
      </c>
      <c r="X176" s="498">
        <v>0</v>
      </c>
      <c r="Y176" s="498">
        <v>0</v>
      </c>
      <c r="Z176" s="498">
        <v>0</v>
      </c>
      <c r="AA176" s="498">
        <v>0</v>
      </c>
      <c r="AB176" s="498">
        <v>0</v>
      </c>
    </row>
    <row r="177" spans="1:28" ht="15">
      <c r="A177">
        <v>4</v>
      </c>
      <c r="B177" t="s">
        <v>522</v>
      </c>
      <c r="C177" t="s">
        <v>523</v>
      </c>
      <c r="D177" t="s">
        <v>524</v>
      </c>
      <c r="E177">
        <v>10</v>
      </c>
      <c r="F177" t="s">
        <v>514</v>
      </c>
      <c r="G177" t="s">
        <v>525</v>
      </c>
      <c r="H177" t="s">
        <v>522</v>
      </c>
      <c r="I177" s="499">
        <v>0.54398567728342306</v>
      </c>
      <c r="J177" s="499">
        <v>0.54329604855347624</v>
      </c>
      <c r="K177" s="499">
        <v>0.18422538534130203</v>
      </c>
      <c r="L177" s="499">
        <v>0.59903629157219296</v>
      </c>
      <c r="M177" s="499">
        <v>0.59882291599732573</v>
      </c>
      <c r="N177" s="499">
        <v>0.20171642025794267</v>
      </c>
      <c r="O177" s="499">
        <v>0.772063524836898</v>
      </c>
      <c r="P177" s="499">
        <v>0.7618373965240639</v>
      </c>
      <c r="Q177" s="499">
        <v>0.30353821956590055</v>
      </c>
      <c r="R177" s="499">
        <v>0.62218856517647136</v>
      </c>
      <c r="S177" s="499">
        <v>0.61593806083422387</v>
      </c>
      <c r="T177" s="499">
        <v>0.24247106008178659</v>
      </c>
      <c r="U177" s="499">
        <v>0.88466842380214095</v>
      </c>
      <c r="V177" s="499">
        <v>0.87019508074599128</v>
      </c>
      <c r="W177" s="499">
        <v>0.37235246932997834</v>
      </c>
      <c r="X177" s="500">
        <v>-9.3163652286096382E-2</v>
      </c>
      <c r="Y177" s="500">
        <v>-8.6829308778074876E-2</v>
      </c>
      <c r="Z177" s="500">
        <v>-8.4013629385026711E-2</v>
      </c>
      <c r="AA177" s="500">
        <v>-8.9849703227272593E-2</v>
      </c>
      <c r="AB177" s="500">
        <v>-8.3431204834224643E-2</v>
      </c>
    </row>
    <row r="178" spans="1:28" ht="15">
      <c r="A178">
        <v>5</v>
      </c>
      <c r="B178" t="s">
        <v>533</v>
      </c>
      <c r="C178" t="s">
        <v>534</v>
      </c>
      <c r="D178" t="s">
        <v>524</v>
      </c>
      <c r="E178">
        <v>11</v>
      </c>
      <c r="F178" t="s">
        <v>514</v>
      </c>
      <c r="G178" t="s">
        <v>535</v>
      </c>
      <c r="H178" t="s">
        <v>533</v>
      </c>
      <c r="I178" s="499">
        <v>0.6233347736978615</v>
      </c>
      <c r="J178" s="499">
        <v>0.62267760228609637</v>
      </c>
      <c r="K178" s="499">
        <v>0.21132494495124229</v>
      </c>
      <c r="L178" s="499">
        <v>0.68673875137165763</v>
      </c>
      <c r="M178" s="499">
        <v>0.68664769136096249</v>
      </c>
      <c r="N178" s="499">
        <v>0.23147609311104131</v>
      </c>
      <c r="O178" s="499">
        <v>0.88671123835026666</v>
      </c>
      <c r="P178" s="499">
        <v>0.87518390234759391</v>
      </c>
      <c r="Q178" s="499">
        <v>0.34894070462409538</v>
      </c>
      <c r="R178" s="499">
        <v>0.71380745817647084</v>
      </c>
      <c r="S178" s="499">
        <v>0.706806406901069</v>
      </c>
      <c r="T178" s="499">
        <v>0.27855158854985851</v>
      </c>
      <c r="U178" s="499">
        <v>1.0157472710294122</v>
      </c>
      <c r="V178" s="499">
        <v>0.99937294151337086</v>
      </c>
      <c r="W178" s="499">
        <v>0.42786929852154842</v>
      </c>
      <c r="X178" s="500">
        <v>-0.10779129322192527</v>
      </c>
      <c r="Y178" s="500">
        <v>-0.10057019922459889</v>
      </c>
      <c r="Z178" s="500">
        <v>-9.746931269786098E-2</v>
      </c>
      <c r="AA178" s="500">
        <v>-0.10425865074064163</v>
      </c>
      <c r="AB178" s="500">
        <v>-9.6974113139037435E-2</v>
      </c>
    </row>
    <row r="179" spans="1:28" ht="15">
      <c r="A179">
        <v>6</v>
      </c>
      <c r="B179" t="s">
        <v>537</v>
      </c>
      <c r="C179" t="s">
        <v>538</v>
      </c>
      <c r="D179" t="s">
        <v>524</v>
      </c>
      <c r="E179">
        <v>12</v>
      </c>
      <c r="F179" t="s">
        <v>514</v>
      </c>
      <c r="G179" t="s">
        <v>539</v>
      </c>
      <c r="H179" t="s">
        <v>537</v>
      </c>
      <c r="I179" s="499">
        <v>0.70682614859893123</v>
      </c>
      <c r="J179" s="499">
        <v>0.70623594178074856</v>
      </c>
      <c r="K179" s="499">
        <v>0.23993897452028934</v>
      </c>
      <c r="L179" s="499">
        <v>0.77917330079411784</v>
      </c>
      <c r="M179" s="499">
        <v>0.77924422604278032</v>
      </c>
      <c r="N179" s="499">
        <v>0.26291475306700235</v>
      </c>
      <c r="O179" s="499">
        <v>1.0079077144358279</v>
      </c>
      <c r="P179" s="499">
        <v>0.99505696275133637</v>
      </c>
      <c r="Q179" s="499">
        <v>0.39672648631645174</v>
      </c>
      <c r="R179" s="499">
        <v>0.81051017358556199</v>
      </c>
      <c r="S179" s="499">
        <v>0.8027716280614966</v>
      </c>
      <c r="T179" s="499">
        <v>0.31654230890217061</v>
      </c>
      <c r="U179" s="499">
        <v>1.1544904382566858</v>
      </c>
      <c r="V179" s="499">
        <v>1.1361631078181835</v>
      </c>
      <c r="W179" s="499">
        <v>0.48595171437558971</v>
      </c>
      <c r="X179" s="500">
        <v>-0.12350946408823538</v>
      </c>
      <c r="Y179" s="500">
        <v>-0.11535835435828873</v>
      </c>
      <c r="Z179" s="500">
        <v>-0.11196940830748653</v>
      </c>
      <c r="AA179" s="500">
        <v>-0.11983911942513364</v>
      </c>
      <c r="AB179" s="500">
        <v>-0.11165654823262042</v>
      </c>
    </row>
    <row r="180" spans="1:28" ht="15">
      <c r="A180">
        <v>7</v>
      </c>
      <c r="B180" t="s">
        <v>541</v>
      </c>
      <c r="C180" t="s">
        <v>542</v>
      </c>
      <c r="D180" t="s">
        <v>524</v>
      </c>
      <c r="E180">
        <v>13</v>
      </c>
      <c r="F180" t="s">
        <v>514</v>
      </c>
      <c r="G180" t="s">
        <v>543</v>
      </c>
      <c r="H180" t="s">
        <v>541</v>
      </c>
      <c r="I180" s="499">
        <v>0.72900581355615046</v>
      </c>
      <c r="J180" s="499">
        <v>0.72844266056951879</v>
      </c>
      <c r="K180" s="499">
        <v>0.247593268323372</v>
      </c>
      <c r="L180" s="499">
        <v>0.80375881628877077</v>
      </c>
      <c r="M180" s="499">
        <v>0.80387559832620292</v>
      </c>
      <c r="N180" s="499">
        <v>0.27147829506134008</v>
      </c>
      <c r="O180" s="499">
        <v>1.0402248725614964</v>
      </c>
      <c r="P180" s="499">
        <v>1.0270284223235293</v>
      </c>
      <c r="Q180" s="499">
        <v>0.40947986788298207</v>
      </c>
      <c r="R180" s="499">
        <v>0.83627335248930557</v>
      </c>
      <c r="S180" s="499">
        <v>0.82834333341443755</v>
      </c>
      <c r="T180" s="499">
        <v>0.3267019502988362</v>
      </c>
      <c r="U180" s="499">
        <v>1.1915138943395736</v>
      </c>
      <c r="V180" s="499">
        <v>1.1726735664679153</v>
      </c>
      <c r="W180" s="499">
        <v>0.50134806542938026</v>
      </c>
      <c r="X180" s="500">
        <v>-0.12774701840641711</v>
      </c>
      <c r="Y180" s="500">
        <v>-0.11934314407754011</v>
      </c>
      <c r="Z180" s="500">
        <v>-0.11588970267914435</v>
      </c>
      <c r="AA180" s="500">
        <v>-0.12405266836096229</v>
      </c>
      <c r="AB180" s="500">
        <v>-0.11562831904278073</v>
      </c>
    </row>
    <row r="181" spans="1:28" ht="15">
      <c r="A181">
        <v>8</v>
      </c>
      <c r="B181" t="s">
        <v>545</v>
      </c>
      <c r="C181" t="s">
        <v>546</v>
      </c>
      <c r="D181" t="s">
        <v>524</v>
      </c>
      <c r="E181">
        <v>14</v>
      </c>
      <c r="F181" t="s">
        <v>525</v>
      </c>
      <c r="G181" t="s">
        <v>535</v>
      </c>
      <c r="H181" t="s">
        <v>545</v>
      </c>
      <c r="I181" s="499">
        <v>7.9349096414438353E-2</v>
      </c>
      <c r="J181" s="499">
        <v>7.9381553732620014E-2</v>
      </c>
      <c r="K181" s="499">
        <v>2.7099559609940253E-2</v>
      </c>
      <c r="L181" s="499">
        <v>8.7702459799464727E-2</v>
      </c>
      <c r="M181" s="499">
        <v>8.7824775363636753E-2</v>
      </c>
      <c r="N181" s="499">
        <v>2.9759672853098655E-2</v>
      </c>
      <c r="O181" s="499">
        <v>0.11464771351336864</v>
      </c>
      <c r="P181" s="499">
        <v>0.1133465058235299</v>
      </c>
      <c r="Q181" s="499">
        <v>4.540248505819483E-2</v>
      </c>
      <c r="R181" s="499">
        <v>9.1618892999999466E-2</v>
      </c>
      <c r="S181" s="499">
        <v>9.0868346066845213E-2</v>
      </c>
      <c r="T181" s="499">
        <v>3.6080528468071915E-2</v>
      </c>
      <c r="U181" s="499">
        <v>0.13107884722727128</v>
      </c>
      <c r="V181" s="499">
        <v>0.12917786076737955</v>
      </c>
      <c r="W181" s="499">
        <v>5.5516829191570083E-2</v>
      </c>
      <c r="X181" s="500">
        <v>-1.4627640935828884E-2</v>
      </c>
      <c r="Y181" s="500">
        <v>-1.3740890446524021E-2</v>
      </c>
      <c r="Z181" s="500">
        <v>-1.3455683312834281E-2</v>
      </c>
      <c r="AA181" s="500">
        <v>-1.4408947513369016E-2</v>
      </c>
      <c r="AB181" s="500">
        <v>-1.3542908304812787E-2</v>
      </c>
    </row>
    <row r="182" spans="1:28" ht="15">
      <c r="A182">
        <v>9</v>
      </c>
      <c r="B182" t="s">
        <v>549</v>
      </c>
      <c r="C182" t="s">
        <v>550</v>
      </c>
      <c r="D182" t="s">
        <v>524</v>
      </c>
      <c r="E182">
        <v>15</v>
      </c>
      <c r="F182" t="s">
        <v>525</v>
      </c>
      <c r="G182" t="s">
        <v>539</v>
      </c>
      <c r="H182" t="s">
        <v>549</v>
      </c>
      <c r="I182" s="499">
        <v>0.16284047131550808</v>
      </c>
      <c r="J182" s="499">
        <v>0.1629398932272722</v>
      </c>
      <c r="K182" s="499">
        <v>5.5713589178987277E-2</v>
      </c>
      <c r="L182" s="499">
        <v>0.18013700922192491</v>
      </c>
      <c r="M182" s="499">
        <v>0.18042131004545475</v>
      </c>
      <c r="N182" s="499">
        <v>6.1198332809059688E-2</v>
      </c>
      <c r="O182" s="499">
        <v>0.23584418959893008</v>
      </c>
      <c r="P182" s="499">
        <v>0.23321956622727233</v>
      </c>
      <c r="Q182" s="499">
        <v>9.3188266750551127E-2</v>
      </c>
      <c r="R182" s="499">
        <v>0.18832160840909057</v>
      </c>
      <c r="S182" s="499">
        <v>0.18683356722727279</v>
      </c>
      <c r="T182" s="499">
        <v>7.4071248820384045E-2</v>
      </c>
      <c r="U182" s="499">
        <v>0.26982201445454501</v>
      </c>
      <c r="V182" s="499">
        <v>0.26596802707219236</v>
      </c>
      <c r="W182" s="499">
        <v>0.11359924504561136</v>
      </c>
      <c r="X182" s="500">
        <v>-3.0345811802139005E-2</v>
      </c>
      <c r="Y182" s="500">
        <v>-2.8529045580213859E-2</v>
      </c>
      <c r="Z182" s="500">
        <v>-2.795577892245981E-2</v>
      </c>
      <c r="AA182" s="500">
        <v>-2.9989416197861055E-2</v>
      </c>
      <c r="AB182" s="500">
        <v>-2.8225343398395768E-2</v>
      </c>
    </row>
    <row r="183" spans="1:28" ht="15">
      <c r="A183">
        <v>10</v>
      </c>
      <c r="B183" t="s">
        <v>552</v>
      </c>
      <c r="C183" t="s">
        <v>553</v>
      </c>
      <c r="D183" t="s">
        <v>524</v>
      </c>
      <c r="E183">
        <v>16</v>
      </c>
      <c r="F183" t="s">
        <v>525</v>
      </c>
      <c r="G183" t="s">
        <v>543</v>
      </c>
      <c r="H183" t="s">
        <v>552</v>
      </c>
      <c r="I183" s="499">
        <v>0.18502013627272729</v>
      </c>
      <c r="J183" s="499">
        <v>0.18514661201604249</v>
      </c>
      <c r="K183" s="499">
        <v>6.3367882982069954E-2</v>
      </c>
      <c r="L183" s="499">
        <v>0.20472252471657781</v>
      </c>
      <c r="M183" s="499">
        <v>0.20505268232887719</v>
      </c>
      <c r="N183" s="499">
        <v>6.9761874803397406E-2</v>
      </c>
      <c r="O183" s="499">
        <v>0.26816134772459832</v>
      </c>
      <c r="P183" s="499">
        <v>0.26519102579946541</v>
      </c>
      <c r="Q183" s="499">
        <v>0.10594164831708154</v>
      </c>
      <c r="R183" s="499">
        <v>0.21408478731283417</v>
      </c>
      <c r="S183" s="499">
        <v>0.21240527258021366</v>
      </c>
      <c r="T183" s="499">
        <v>8.4230890217049603E-2</v>
      </c>
      <c r="U183" s="499">
        <v>0.30684547053743255</v>
      </c>
      <c r="V183" s="499">
        <v>0.30247848572192415</v>
      </c>
      <c r="W183" s="499">
        <v>0.12899559609940189</v>
      </c>
      <c r="X183" s="500">
        <v>-3.458336612032073E-2</v>
      </c>
      <c r="Y183" s="500">
        <v>-3.2513835299465235E-2</v>
      </c>
      <c r="Z183" s="500">
        <v>-3.1876073294117645E-2</v>
      </c>
      <c r="AA183" s="500">
        <v>-3.4202965133689686E-2</v>
      </c>
      <c r="AB183" s="500">
        <v>-3.2197114208556074E-2</v>
      </c>
    </row>
    <row r="184" spans="1:28" ht="15">
      <c r="A184">
        <v>11</v>
      </c>
      <c r="B184" t="s">
        <v>555</v>
      </c>
      <c r="C184" t="s">
        <v>556</v>
      </c>
      <c r="D184" t="s">
        <v>524</v>
      </c>
      <c r="E184">
        <v>17</v>
      </c>
      <c r="F184" t="s">
        <v>515</v>
      </c>
      <c r="G184" t="s">
        <v>539</v>
      </c>
      <c r="H184" t="s">
        <v>555</v>
      </c>
      <c r="I184" s="499">
        <v>1.5857381751363642</v>
      </c>
      <c r="J184" s="499">
        <v>1.5805224781497327</v>
      </c>
      <c r="K184" s="499">
        <v>0.53598600188738588</v>
      </c>
      <c r="L184" s="499">
        <v>1.74915497676738</v>
      </c>
      <c r="M184" s="499">
        <v>1.7446807838796796</v>
      </c>
      <c r="N184" s="499">
        <v>0.58482856244101955</v>
      </c>
      <c r="O184" s="499">
        <v>2.2181216530508023</v>
      </c>
      <c r="P184" s="499">
        <v>2.1837096850828868</v>
      </c>
      <c r="Q184" s="499">
        <v>0.87205819440075483</v>
      </c>
      <c r="R184" s="499">
        <v>1.7995188544839567</v>
      </c>
      <c r="S184" s="499">
        <v>1.7774160731497322</v>
      </c>
      <c r="T184" s="499">
        <v>0.69709924504561194</v>
      </c>
      <c r="U184" s="499">
        <v>2.5448553316042783</v>
      </c>
      <c r="V184" s="499">
        <v>2.4976591291844934</v>
      </c>
      <c r="W184" s="499">
        <v>1.0724090909090902</v>
      </c>
      <c r="X184" s="500">
        <v>-0.2520006842941177</v>
      </c>
      <c r="Y184" s="500">
        <v>-0.23176998023262024</v>
      </c>
      <c r="Z184" s="500">
        <v>-0.22284279812566829</v>
      </c>
      <c r="AA184" s="500">
        <v>-0.23861891767112287</v>
      </c>
      <c r="AB184" s="500">
        <v>-0.21926211520053471</v>
      </c>
    </row>
    <row r="185" spans="1:28" ht="15">
      <c r="A185">
        <v>12</v>
      </c>
      <c r="B185" t="s">
        <v>557</v>
      </c>
      <c r="C185" t="s">
        <v>558</v>
      </c>
      <c r="D185" t="s">
        <v>524</v>
      </c>
      <c r="E185">
        <v>18</v>
      </c>
      <c r="F185" t="s">
        <v>514</v>
      </c>
      <c r="G185" t="s">
        <v>525</v>
      </c>
      <c r="H185" t="s">
        <v>557</v>
      </c>
      <c r="I185" s="499">
        <v>0.54398567728342306</v>
      </c>
      <c r="J185" s="499">
        <v>0.54329604855347624</v>
      </c>
      <c r="K185" s="499">
        <v>0.18422538534130203</v>
      </c>
      <c r="L185" s="499">
        <v>0.59903629157219296</v>
      </c>
      <c r="M185" s="499">
        <v>0.59882291599732573</v>
      </c>
      <c r="N185" s="499">
        <v>0.20171642025794267</v>
      </c>
      <c r="O185" s="499">
        <v>0.772063524836898</v>
      </c>
      <c r="P185" s="499">
        <v>0.7618373965240639</v>
      </c>
      <c r="Q185" s="499">
        <v>0.30353821956590055</v>
      </c>
      <c r="R185" s="499">
        <v>0.62218856517647136</v>
      </c>
      <c r="S185" s="499">
        <v>0.61593806083422387</v>
      </c>
      <c r="T185" s="499">
        <v>0.24247106008178659</v>
      </c>
      <c r="U185" s="499">
        <v>0.88466842380214095</v>
      </c>
      <c r="V185" s="499">
        <v>0.87019508074599128</v>
      </c>
      <c r="W185" s="499">
        <v>0.37235246932997834</v>
      </c>
      <c r="X185" s="500">
        <v>-9.3163652286096382E-2</v>
      </c>
      <c r="Y185" s="500">
        <v>-8.6829308778074876E-2</v>
      </c>
      <c r="Z185" s="500">
        <v>-8.4013629385026711E-2</v>
      </c>
      <c r="AA185" s="500">
        <v>-8.9849703227272593E-2</v>
      </c>
      <c r="AB185" s="500">
        <v>-8.3431204834224643E-2</v>
      </c>
    </row>
    <row r="186" spans="1:28">
      <c r="A186">
        <v>13</v>
      </c>
      <c r="B186" t="s">
        <v>560</v>
      </c>
      <c r="C186" t="s">
        <v>561</v>
      </c>
      <c r="D186" t="s">
        <v>527</v>
      </c>
      <c r="E186">
        <v>10</v>
      </c>
      <c r="F186" t="s">
        <v>514</v>
      </c>
      <c r="G186" t="s">
        <v>525</v>
      </c>
      <c r="H186" t="s">
        <v>560</v>
      </c>
      <c r="I186" s="52">
        <v>0.44288805158181849</v>
      </c>
      <c r="J186" s="52">
        <v>0.45259956338181839</v>
      </c>
      <c r="K186" s="52">
        <v>0.14958529411764693</v>
      </c>
      <c r="L186" s="52">
        <v>0.52205211345454527</v>
      </c>
      <c r="M186" s="52">
        <v>0.53357021864545451</v>
      </c>
      <c r="N186" s="52">
        <v>0.17694291443850285</v>
      </c>
      <c r="O186" s="52">
        <v>0.49462847515681807</v>
      </c>
      <c r="P186" s="52">
        <v>0.50641099049318317</v>
      </c>
      <c r="Q186" s="52">
        <v>0.18482165775401105</v>
      </c>
      <c r="R186" s="52">
        <v>0.41253534604772701</v>
      </c>
      <c r="S186" s="52">
        <v>0.42261869590227247</v>
      </c>
      <c r="T186" s="52">
        <v>0.15629679144385011</v>
      </c>
      <c r="U186" s="52">
        <v>0.42976654735909225</v>
      </c>
      <c r="V186" s="52">
        <v>0.44255362667272646</v>
      </c>
      <c r="W186" s="52">
        <v>0.16128221925133709</v>
      </c>
      <c r="X186">
        <v>7.3662809609090968E-2</v>
      </c>
      <c r="Y186">
        <v>4.6943238065909061E-2</v>
      </c>
      <c r="Z186">
        <v>9.3047992536363561E-2</v>
      </c>
      <c r="AA186">
        <v>0.14461252329545426</v>
      </c>
      <c r="AB186">
        <v>8.1117496704545405E-2</v>
      </c>
    </row>
    <row r="187" spans="1:28">
      <c r="A187">
        <v>14</v>
      </c>
      <c r="B187" t="s">
        <v>563</v>
      </c>
      <c r="C187" t="s">
        <v>564</v>
      </c>
      <c r="D187" t="s">
        <v>527</v>
      </c>
      <c r="E187">
        <v>11</v>
      </c>
      <c r="F187" t="s">
        <v>514</v>
      </c>
      <c r="G187" t="s">
        <v>543</v>
      </c>
      <c r="H187" t="s">
        <v>563</v>
      </c>
      <c r="I187" s="52">
        <v>0.60283678042727296</v>
      </c>
      <c r="J187" s="52">
        <v>0.6161019214636364</v>
      </c>
      <c r="K187" s="52">
        <v>0.20368516042780727</v>
      </c>
      <c r="L187" s="52">
        <v>0.71081827745681725</v>
      </c>
      <c r="M187" s="52">
        <v>0.72659479614772726</v>
      </c>
      <c r="N187" s="52">
        <v>0.24133890374331549</v>
      </c>
      <c r="O187" s="52">
        <v>0.67529421248181853</v>
      </c>
      <c r="P187" s="52">
        <v>0.69135942106363735</v>
      </c>
      <c r="Q187" s="52">
        <v>0.25232259358288767</v>
      </c>
      <c r="R187" s="52">
        <v>0.56096001851363608</v>
      </c>
      <c r="S187" s="52">
        <v>0.5747018501181822</v>
      </c>
      <c r="T187" s="52">
        <v>0.21312112299465244</v>
      </c>
      <c r="U187" s="52">
        <v>0.58669332392045492</v>
      </c>
      <c r="V187" s="52">
        <v>0.60409956898409101</v>
      </c>
      <c r="W187" s="52">
        <v>0.22096069518716607</v>
      </c>
      <c r="X187">
        <v>0.10097981440454545</v>
      </c>
      <c r="Y187">
        <v>6.3920110497727362E-2</v>
      </c>
      <c r="Z187">
        <v>0.12759716193636356</v>
      </c>
      <c r="AA187">
        <v>0.1986951684409089</v>
      </c>
      <c r="AB187">
        <v>0.11112287150454543</v>
      </c>
    </row>
    <row r="188" spans="1:28">
      <c r="A188">
        <v>15</v>
      </c>
      <c r="B188" t="s">
        <v>566</v>
      </c>
      <c r="C188" t="s">
        <v>567</v>
      </c>
      <c r="D188" t="s">
        <v>527</v>
      </c>
      <c r="E188">
        <v>12</v>
      </c>
      <c r="F188" t="s">
        <v>514</v>
      </c>
      <c r="G188" t="s">
        <v>568</v>
      </c>
      <c r="H188" t="s">
        <v>566</v>
      </c>
      <c r="I188" s="52">
        <v>0.63987996505909117</v>
      </c>
      <c r="J188" s="52">
        <v>0.65397058531590901</v>
      </c>
      <c r="K188" s="52">
        <v>0.21637286096256667</v>
      </c>
      <c r="L188" s="52">
        <v>0.75458471910681779</v>
      </c>
      <c r="M188" s="52">
        <v>0.77135611853181829</v>
      </c>
      <c r="N188" s="52">
        <v>0.25609585561497311</v>
      </c>
      <c r="O188" s="52">
        <v>0.71727066754318169</v>
      </c>
      <c r="P188" s="52">
        <v>0.73433050295454616</v>
      </c>
      <c r="Q188" s="52">
        <v>0.2680330213903741</v>
      </c>
      <c r="R188" s="52">
        <v>0.59533686037499955</v>
      </c>
      <c r="S188" s="52">
        <v>0.60993036688863633</v>
      </c>
      <c r="T188" s="52">
        <v>0.22612593582887702</v>
      </c>
      <c r="U188" s="52">
        <v>0.6232113780090921</v>
      </c>
      <c r="V188" s="52">
        <v>0.64168771721818163</v>
      </c>
      <c r="W188" s="52">
        <v>0.23463823529411784</v>
      </c>
      <c r="X188">
        <v>0.10737130925909091</v>
      </c>
      <c r="Y188">
        <v>6.7858932202272834E-2</v>
      </c>
      <c r="Z188">
        <v>0.13570126969090909</v>
      </c>
      <c r="AA188">
        <v>0.21139324117499986</v>
      </c>
      <c r="AB188">
        <v>0.11814749607499996</v>
      </c>
    </row>
    <row r="189" spans="1:28">
      <c r="A189">
        <v>16</v>
      </c>
      <c r="B189" t="s">
        <v>570</v>
      </c>
      <c r="C189" t="s">
        <v>571</v>
      </c>
      <c r="D189" t="s">
        <v>527</v>
      </c>
      <c r="E189">
        <v>13</v>
      </c>
      <c r="F189" t="s">
        <v>539</v>
      </c>
      <c r="G189" t="s">
        <v>543</v>
      </c>
      <c r="H189" t="s">
        <v>570</v>
      </c>
      <c r="I189" s="52">
        <v>4.4013017438636268E-2</v>
      </c>
      <c r="J189" s="52">
        <v>4.4993077336363846E-2</v>
      </c>
      <c r="K189" s="52">
        <v>1.4677941176470543E-2</v>
      </c>
      <c r="L189" s="52">
        <v>5.1951437449999679E-2</v>
      </c>
      <c r="M189" s="52">
        <v>5.3126887477273121E-2</v>
      </c>
      <c r="N189" s="52">
        <v>1.7539037433155189E-2</v>
      </c>
      <c r="O189" s="52">
        <v>4.9796005320454965E-2</v>
      </c>
      <c r="P189" s="52">
        <v>5.0976365177272859E-2</v>
      </c>
      <c r="Q189" s="52">
        <v>1.8548128342245673E-2</v>
      </c>
      <c r="R189" s="52">
        <v>4.0834693943181344E-2</v>
      </c>
      <c r="S189" s="52">
        <v>4.1842731945454875E-2</v>
      </c>
      <c r="T189" s="52">
        <v>1.557085561497307E-2</v>
      </c>
      <c r="U189" s="52">
        <v>4.3304056838635613E-2</v>
      </c>
      <c r="V189" s="52">
        <v>4.4575718293182603E-2</v>
      </c>
      <c r="W189" s="52">
        <v>1.6378475935829497E-2</v>
      </c>
      <c r="X189">
        <v>7.5584945068182044E-3</v>
      </c>
      <c r="Y189">
        <v>4.6718798545455457E-3</v>
      </c>
      <c r="Z189">
        <v>9.5721392272727062E-3</v>
      </c>
      <c r="AA189">
        <v>1.4999812595454553E-2</v>
      </c>
      <c r="AB189">
        <v>8.3027993659091671E-3</v>
      </c>
    </row>
    <row r="190" spans="1:28">
      <c r="A190">
        <v>17</v>
      </c>
      <c r="B190" t="s">
        <v>573</v>
      </c>
      <c r="C190" t="s">
        <v>574</v>
      </c>
      <c r="D190" t="s">
        <v>527</v>
      </c>
      <c r="E190">
        <v>14</v>
      </c>
      <c r="F190" t="s">
        <v>539</v>
      </c>
      <c r="G190" t="s">
        <v>568</v>
      </c>
      <c r="H190" t="s">
        <v>573</v>
      </c>
      <c r="I190" s="52">
        <v>8.1056202070454414E-2</v>
      </c>
      <c r="J190" s="52">
        <v>8.2861741188636401E-2</v>
      </c>
      <c r="K190" s="52">
        <v>2.7365641711229953E-2</v>
      </c>
      <c r="L190" s="52">
        <v>9.5717879099999986E-2</v>
      </c>
      <c r="M190" s="52">
        <v>9.7888209861364012E-2</v>
      </c>
      <c r="N190" s="52">
        <v>3.2295989304812811E-2</v>
      </c>
      <c r="O190" s="52">
        <v>9.1772460381817994E-2</v>
      </c>
      <c r="P190" s="52">
        <v>9.3947447068181811E-2</v>
      </c>
      <c r="Q190" s="52">
        <v>3.4258556149732139E-2</v>
      </c>
      <c r="R190" s="52">
        <v>7.5211535804544871E-2</v>
      </c>
      <c r="S190" s="52">
        <v>7.7071248715909063E-2</v>
      </c>
      <c r="T190" s="52">
        <v>2.8575668449197678E-2</v>
      </c>
      <c r="U190" s="52">
        <v>7.9822110927272844E-2</v>
      </c>
      <c r="V190" s="52">
        <v>8.2163866527273241E-2</v>
      </c>
      <c r="W190" s="52">
        <v>3.0056016042781238E-2</v>
      </c>
      <c r="X190">
        <v>1.3949989361363664E-2</v>
      </c>
      <c r="Y190">
        <v>8.6107015590910097E-3</v>
      </c>
      <c r="Z190">
        <v>1.7676246981818213E-2</v>
      </c>
      <c r="AA190">
        <v>2.7697885329545521E-2</v>
      </c>
      <c r="AB190">
        <v>1.5327423936363683E-2</v>
      </c>
    </row>
    <row r="191" spans="1:28">
      <c r="A191">
        <v>18</v>
      </c>
      <c r="B191" t="s">
        <v>576</v>
      </c>
      <c r="C191" t="s">
        <v>577</v>
      </c>
      <c r="D191" t="s">
        <v>527</v>
      </c>
      <c r="E191">
        <v>15</v>
      </c>
      <c r="F191" t="s">
        <v>525</v>
      </c>
      <c r="G191" t="s">
        <v>539</v>
      </c>
      <c r="H191" t="s">
        <v>576</v>
      </c>
      <c r="I191" s="52">
        <v>0.11593571140681819</v>
      </c>
      <c r="J191" s="52">
        <v>0.11850928074545417</v>
      </c>
      <c r="K191" s="52">
        <v>3.942192513368982E-2</v>
      </c>
      <c r="L191" s="52">
        <v>0.13681472655227245</v>
      </c>
      <c r="M191" s="52">
        <v>0.13989769002499977</v>
      </c>
      <c r="N191" s="52">
        <v>4.6856951871657435E-2</v>
      </c>
      <c r="O191" s="52">
        <v>0.13086973200454555</v>
      </c>
      <c r="P191" s="52">
        <v>0.13397206539318135</v>
      </c>
      <c r="Q191" s="52">
        <v>4.895280748663091E-2</v>
      </c>
      <c r="R191" s="52">
        <v>0.10758997852272778</v>
      </c>
      <c r="S191" s="52">
        <v>0.1102404222704548</v>
      </c>
      <c r="T191" s="52">
        <v>4.1253475935829266E-2</v>
      </c>
      <c r="U191" s="52">
        <v>0.11362271972272704</v>
      </c>
      <c r="V191" s="52">
        <v>0.11697022401818194</v>
      </c>
      <c r="W191" s="52">
        <v>4.3299999999999492E-2</v>
      </c>
      <c r="X191">
        <v>1.9758510288636295E-2</v>
      </c>
      <c r="Y191">
        <v>1.2304992577272753E-2</v>
      </c>
      <c r="Z191">
        <v>2.4977030172727316E-2</v>
      </c>
      <c r="AA191">
        <v>3.9082832550000078E-2</v>
      </c>
      <c r="AB191">
        <v>2.1702575434090852E-2</v>
      </c>
    </row>
    <row r="192" spans="1:28">
      <c r="A192">
        <v>19</v>
      </c>
      <c r="B192" t="s">
        <v>579</v>
      </c>
      <c r="C192" t="s">
        <v>580</v>
      </c>
      <c r="D192" t="s">
        <v>527</v>
      </c>
      <c r="E192">
        <v>16</v>
      </c>
      <c r="F192" t="s">
        <v>525</v>
      </c>
      <c r="G192" t="s">
        <v>543</v>
      </c>
      <c r="H192" t="s">
        <v>579</v>
      </c>
      <c r="I192" s="52">
        <v>0.15994872884545447</v>
      </c>
      <c r="J192" s="52">
        <v>0.16350235808181801</v>
      </c>
      <c r="K192" s="52">
        <v>5.4099866310160366E-2</v>
      </c>
      <c r="L192" s="52">
        <v>0.18876616400227214</v>
      </c>
      <c r="M192" s="52">
        <v>0.19302457750227289</v>
      </c>
      <c r="N192" s="52">
        <v>6.439598930481262E-2</v>
      </c>
      <c r="O192" s="52">
        <v>0.18066573732500052</v>
      </c>
      <c r="P192" s="52">
        <v>0.18494843057045424</v>
      </c>
      <c r="Q192" s="52">
        <v>6.750093582887659E-2</v>
      </c>
      <c r="R192" s="52">
        <v>0.14842467246590912</v>
      </c>
      <c r="S192" s="52">
        <v>0.15208315421590968</v>
      </c>
      <c r="T192" s="52">
        <v>5.682433155080234E-2</v>
      </c>
      <c r="U192" s="52">
        <v>0.15692677656136267</v>
      </c>
      <c r="V192" s="52">
        <v>0.16154594231136454</v>
      </c>
      <c r="W192" s="52">
        <v>5.9678475935828992E-2</v>
      </c>
      <c r="X192">
        <v>2.7317004795454503E-2</v>
      </c>
      <c r="Y192">
        <v>1.69768724318183E-2</v>
      </c>
      <c r="Z192">
        <v>3.4549169400000024E-2</v>
      </c>
      <c r="AA192">
        <v>5.4082645145454626E-2</v>
      </c>
      <c r="AB192">
        <v>3.0005374800000019E-2</v>
      </c>
    </row>
    <row r="193" spans="1:28">
      <c r="A193">
        <v>20</v>
      </c>
      <c r="B193" t="s">
        <v>582</v>
      </c>
      <c r="C193" t="s">
        <v>583</v>
      </c>
      <c r="D193" t="s">
        <v>527</v>
      </c>
      <c r="E193">
        <v>17</v>
      </c>
      <c r="F193" t="s">
        <v>525</v>
      </c>
      <c r="G193" t="s">
        <v>568</v>
      </c>
      <c r="H193" t="s">
        <v>582</v>
      </c>
      <c r="I193" s="52">
        <v>0.1969919134772726</v>
      </c>
      <c r="J193" s="52">
        <v>0.20137102193409057</v>
      </c>
      <c r="K193" s="52">
        <v>6.6787566844919766E-2</v>
      </c>
      <c r="L193" s="52">
        <v>0.23253260565227246</v>
      </c>
      <c r="M193" s="52">
        <v>0.23778589988636378</v>
      </c>
      <c r="N193" s="52">
        <v>7.9152941176470246E-2</v>
      </c>
      <c r="O193" s="52">
        <v>0.22264219238636354</v>
      </c>
      <c r="P193" s="52">
        <v>0.22791951246136316</v>
      </c>
      <c r="Q193" s="52">
        <v>8.3211363636363056E-2</v>
      </c>
      <c r="R193" s="52">
        <v>0.18280151432727265</v>
      </c>
      <c r="S193" s="52">
        <v>0.18731167098636384</v>
      </c>
      <c r="T193" s="52">
        <v>6.9829144385026937E-2</v>
      </c>
      <c r="U193" s="52">
        <v>0.19344483064999987</v>
      </c>
      <c r="V193" s="52">
        <v>0.19913409054545519</v>
      </c>
      <c r="W193" s="52">
        <v>7.3356016042780733E-2</v>
      </c>
      <c r="X193">
        <v>3.370849964999996E-2</v>
      </c>
      <c r="Y193">
        <v>2.0915694136363763E-2</v>
      </c>
      <c r="Z193">
        <v>4.2653277154545526E-2</v>
      </c>
      <c r="AA193">
        <v>6.6780717879545592E-2</v>
      </c>
      <c r="AB193">
        <v>3.7029999370454536E-2</v>
      </c>
    </row>
    <row r="194" spans="1:28">
      <c r="A194">
        <v>21</v>
      </c>
      <c r="B194" t="s">
        <v>585</v>
      </c>
      <c r="C194" t="s">
        <v>586</v>
      </c>
      <c r="D194" t="s">
        <v>527</v>
      </c>
      <c r="E194">
        <v>18</v>
      </c>
      <c r="F194" t="s">
        <v>543</v>
      </c>
      <c r="G194" t="s">
        <v>568</v>
      </c>
      <c r="H194" t="s">
        <v>585</v>
      </c>
      <c r="I194" s="52">
        <v>3.7043184631818146E-2</v>
      </c>
      <c r="J194" s="52">
        <v>3.7868663852272548E-2</v>
      </c>
      <c r="K194" s="52">
        <v>1.2687700534759408E-2</v>
      </c>
      <c r="L194" s="52">
        <v>4.3766441650000307E-2</v>
      </c>
      <c r="M194" s="52">
        <v>4.4761322384090883E-2</v>
      </c>
      <c r="N194" s="52">
        <v>1.4756951871657625E-2</v>
      </c>
      <c r="O194" s="52">
        <v>4.1976455061363029E-2</v>
      </c>
      <c r="P194" s="52">
        <v>4.2971081890908938E-2</v>
      </c>
      <c r="Q194" s="52">
        <v>1.5710427807486466E-2</v>
      </c>
      <c r="R194" s="52">
        <v>3.4376841861363527E-2</v>
      </c>
      <c r="S194" s="52">
        <v>3.5228516770454174E-2</v>
      </c>
      <c r="T194" s="52">
        <v>1.3004812834224607E-2</v>
      </c>
      <c r="U194" s="52">
        <v>3.6518054088637224E-2</v>
      </c>
      <c r="V194" s="52">
        <v>3.7588148234090658E-2</v>
      </c>
      <c r="W194" s="52">
        <v>1.3677540106951741E-2</v>
      </c>
      <c r="X194">
        <v>6.3914948545454606E-3</v>
      </c>
      <c r="Y194">
        <v>3.938821704545464E-3</v>
      </c>
      <c r="Z194">
        <v>8.1041077545455052E-3</v>
      </c>
      <c r="AA194">
        <v>1.2698072734090963E-2</v>
      </c>
      <c r="AB194">
        <v>7.0246245704545128E-3</v>
      </c>
    </row>
    <row r="195" spans="1:28">
      <c r="A195">
        <v>22</v>
      </c>
      <c r="B195" t="s">
        <v>587</v>
      </c>
      <c r="C195" t="s">
        <v>588</v>
      </c>
      <c r="D195" t="s">
        <v>174</v>
      </c>
      <c r="E195">
        <v>10</v>
      </c>
      <c r="F195" t="s">
        <v>589</v>
      </c>
      <c r="G195" t="s">
        <v>590</v>
      </c>
      <c r="H195" t="s">
        <v>587</v>
      </c>
      <c r="I195" s="52">
        <v>-6.4671035083333326</v>
      </c>
      <c r="J195" s="52">
        <v>-6.6167418042657342</v>
      </c>
      <c r="K195" s="52">
        <v>-2.3600651309474836</v>
      </c>
      <c r="L195" s="52">
        <v>-7.1305268220396263</v>
      </c>
      <c r="M195" s="52">
        <v>-7.2996279037548568</v>
      </c>
      <c r="N195" s="52">
        <v>-2.6047639288815754</v>
      </c>
      <c r="O195" s="52">
        <v>-11.154975349316237</v>
      </c>
      <c r="P195" s="52">
        <v>-11.357564588313906</v>
      </c>
      <c r="Q195" s="52">
        <v>-4.9632342657342656</v>
      </c>
      <c r="R195" s="52">
        <v>-8.2633728127874875</v>
      </c>
      <c r="S195" s="52">
        <v>-8.4304188495629369</v>
      </c>
      <c r="T195" s="52">
        <v>-3.6292538507244383</v>
      </c>
      <c r="U195" s="52">
        <v>-13.706463577018258</v>
      </c>
      <c r="V195" s="52">
        <v>-13.937812349807693</v>
      </c>
      <c r="W195" s="52">
        <v>-6.8815968508615564</v>
      </c>
      <c r="X195">
        <v>-1.039651488053613</v>
      </c>
      <c r="Y195">
        <v>-0.71281897448329445</v>
      </c>
      <c r="Z195">
        <v>-1.1996653084518258</v>
      </c>
      <c r="AA195">
        <v>-1.7801027411188812</v>
      </c>
      <c r="AB195">
        <v>-0.93871133071289803</v>
      </c>
    </row>
    <row r="196" spans="1:28">
      <c r="A196">
        <v>23</v>
      </c>
      <c r="B196" t="s">
        <v>591</v>
      </c>
      <c r="C196" t="s">
        <v>592</v>
      </c>
      <c r="D196" t="s">
        <v>174</v>
      </c>
      <c r="E196">
        <v>11</v>
      </c>
      <c r="F196" t="s">
        <v>589</v>
      </c>
      <c r="G196" t="s">
        <v>593</v>
      </c>
      <c r="H196" t="s">
        <v>591</v>
      </c>
      <c r="I196" s="52">
        <v>-5.3085902303127419</v>
      </c>
      <c r="J196" s="52">
        <v>-5.433483139840714</v>
      </c>
      <c r="K196" s="52">
        <v>-1.9501410027880615</v>
      </c>
      <c r="L196" s="52">
        <v>-5.8599616283236209</v>
      </c>
      <c r="M196" s="52">
        <v>-6.0011552564413364</v>
      </c>
      <c r="N196" s="52">
        <v>-2.1533693267516791</v>
      </c>
      <c r="O196" s="52">
        <v>-9.2305130331604488</v>
      </c>
      <c r="P196" s="52">
        <v>-9.3993779563480953</v>
      </c>
      <c r="Q196" s="52">
        <v>-4.1166868915398318</v>
      </c>
      <c r="R196" s="52">
        <v>-6.7729788015928509</v>
      </c>
      <c r="S196" s="52">
        <v>-6.9116637203166285</v>
      </c>
      <c r="T196" s="52">
        <v>-2.9915731980437861</v>
      </c>
      <c r="U196" s="52">
        <v>-11.416295587004662</v>
      </c>
      <c r="V196" s="52">
        <v>-11.609545778820898</v>
      </c>
      <c r="W196" s="52">
        <v>-5.7210655194478708</v>
      </c>
      <c r="X196">
        <v>-1.0366212775252526</v>
      </c>
      <c r="Y196">
        <v>-0.72923733389665868</v>
      </c>
      <c r="Z196">
        <v>-1.1723914418550894</v>
      </c>
      <c r="AA196">
        <v>-1.7180656854273506</v>
      </c>
      <c r="AB196">
        <v>-0.92861532877816599</v>
      </c>
    </row>
    <row r="197" spans="1:28">
      <c r="A197">
        <v>24</v>
      </c>
      <c r="B197" t="s">
        <v>594</v>
      </c>
      <c r="C197" t="s">
        <v>595</v>
      </c>
      <c r="D197" t="s">
        <v>174</v>
      </c>
      <c r="E197">
        <v>12</v>
      </c>
      <c r="F197" t="s">
        <v>589</v>
      </c>
      <c r="G197" t="s">
        <v>596</v>
      </c>
      <c r="H197" t="s">
        <v>594</v>
      </c>
      <c r="I197" s="52">
        <v>0</v>
      </c>
      <c r="J197" s="52">
        <v>0</v>
      </c>
      <c r="K197" s="52">
        <v>0</v>
      </c>
      <c r="L197" s="52">
        <v>0</v>
      </c>
      <c r="M197" s="52">
        <v>0</v>
      </c>
      <c r="N197" s="52">
        <v>0</v>
      </c>
      <c r="O197" s="52">
        <v>0</v>
      </c>
      <c r="P197" s="52">
        <v>0</v>
      </c>
      <c r="Q197" s="52">
        <v>0</v>
      </c>
      <c r="R197" s="52">
        <v>0</v>
      </c>
      <c r="S197" s="52">
        <v>0</v>
      </c>
      <c r="T197" s="52">
        <v>0</v>
      </c>
      <c r="U197" s="52">
        <v>0</v>
      </c>
      <c r="V197" s="52">
        <v>0</v>
      </c>
      <c r="W197" s="52">
        <v>0</v>
      </c>
      <c r="X197">
        <v>0</v>
      </c>
      <c r="Y197">
        <v>0</v>
      </c>
      <c r="Z197">
        <v>0</v>
      </c>
      <c r="AA197">
        <v>0</v>
      </c>
      <c r="AB197">
        <v>0</v>
      </c>
    </row>
    <row r="198" spans="1:28">
      <c r="A198">
        <v>25</v>
      </c>
      <c r="B198" t="s">
        <v>597</v>
      </c>
      <c r="C198" t="s">
        <v>598</v>
      </c>
      <c r="D198" t="s">
        <v>174</v>
      </c>
      <c r="E198">
        <v>13</v>
      </c>
      <c r="F198" t="s">
        <v>589</v>
      </c>
      <c r="G198" t="s">
        <v>599</v>
      </c>
      <c r="H198" t="s">
        <v>597</v>
      </c>
      <c r="I198" s="52">
        <v>-3.1631588825563322</v>
      </c>
      <c r="J198" s="52">
        <v>-3.2403835856857031</v>
      </c>
      <c r="K198" s="52">
        <v>-1.1805303030303027</v>
      </c>
      <c r="L198" s="52">
        <v>-3.4981436776010089</v>
      </c>
      <c r="M198" s="52">
        <v>-3.5850029527952598</v>
      </c>
      <c r="N198" s="52">
        <v>-1.3058581287993047</v>
      </c>
      <c r="O198" s="52">
        <v>-5.6089357056954148</v>
      </c>
      <c r="P198" s="52">
        <v>-5.7133425953088572</v>
      </c>
      <c r="Q198" s="52">
        <v>-2.5288318707436348</v>
      </c>
      <c r="R198" s="52">
        <v>-4.0090748832789416</v>
      </c>
      <c r="S198" s="52">
        <v>-4.0934554521231536</v>
      </c>
      <c r="T198" s="52">
        <v>-1.8023889345948179</v>
      </c>
      <c r="U198" s="52">
        <v>-7.0629450458197365</v>
      </c>
      <c r="V198" s="52">
        <v>-7.1827895211557866</v>
      </c>
      <c r="W198" s="52">
        <v>-3.5482062708533286</v>
      </c>
      <c r="X198">
        <v>-0.98075145787878792</v>
      </c>
      <c r="Y198">
        <v>-0.72210793224553238</v>
      </c>
      <c r="Z198">
        <v>-1.0654933066724941</v>
      </c>
      <c r="AA198">
        <v>-1.5252752170609947</v>
      </c>
      <c r="AB198">
        <v>-0.86595974533411024</v>
      </c>
    </row>
    <row r="199" spans="1:28">
      <c r="A199">
        <v>26</v>
      </c>
      <c r="B199" t="s">
        <v>600</v>
      </c>
      <c r="C199" t="s">
        <v>601</v>
      </c>
      <c r="D199" t="s">
        <v>174</v>
      </c>
      <c r="E199">
        <v>14</v>
      </c>
      <c r="F199" t="s">
        <v>589</v>
      </c>
      <c r="G199" t="s">
        <v>602</v>
      </c>
      <c r="H199" t="s">
        <v>600</v>
      </c>
      <c r="I199" s="52">
        <v>-1.9040909412529139</v>
      </c>
      <c r="J199" s="52">
        <v>-1.9513361332867132</v>
      </c>
      <c r="K199" s="52">
        <v>-0.72635472370766485</v>
      </c>
      <c r="L199" s="52">
        <v>-2.1143899329817399</v>
      </c>
      <c r="M199" s="52">
        <v>-2.1674119842948718</v>
      </c>
      <c r="N199" s="52">
        <v>-0.80567050596462297</v>
      </c>
      <c r="O199" s="52">
        <v>-3.4590305880458425</v>
      </c>
      <c r="P199" s="52">
        <v>-3.52284010907537</v>
      </c>
      <c r="Q199" s="52">
        <v>-1.6026343754284935</v>
      </c>
      <c r="R199" s="52">
        <v>-2.3499623942210555</v>
      </c>
      <c r="S199" s="52">
        <v>-2.3992375675582744</v>
      </c>
      <c r="T199" s="52">
        <v>-1.0962401160930568</v>
      </c>
      <c r="U199" s="52">
        <v>-4.4766707713053613</v>
      </c>
      <c r="V199" s="52">
        <v>-4.5507740249417221</v>
      </c>
      <c r="W199" s="52">
        <v>-2.3070609945609939</v>
      </c>
      <c r="X199">
        <v>-1.0649382868550892</v>
      </c>
      <c r="Y199">
        <v>-0.81854426536519054</v>
      </c>
      <c r="Z199">
        <v>-1.1186651715248641</v>
      </c>
      <c r="AA199">
        <v>-1.5661521735858588</v>
      </c>
      <c r="AB199">
        <v>-0.93241133260877984</v>
      </c>
    </row>
    <row r="200" spans="1:28">
      <c r="A200">
        <v>27</v>
      </c>
      <c r="B200" t="s">
        <v>603</v>
      </c>
      <c r="C200" t="s">
        <v>604</v>
      </c>
      <c r="D200" t="s">
        <v>174</v>
      </c>
      <c r="E200">
        <v>15</v>
      </c>
      <c r="F200" t="s">
        <v>605</v>
      </c>
      <c r="G200" t="s">
        <v>590</v>
      </c>
      <c r="H200" t="s">
        <v>603</v>
      </c>
      <c r="I200" s="52">
        <v>1.0938362978224554</v>
      </c>
      <c r="J200" s="52">
        <v>1.1082559455322454</v>
      </c>
      <c r="K200" s="52">
        <v>0.45545431692490568</v>
      </c>
      <c r="L200" s="52">
        <v>1.2650689081099469</v>
      </c>
      <c r="M200" s="52">
        <v>1.2816132384090897</v>
      </c>
      <c r="N200" s="52">
        <v>0.51930881210292978</v>
      </c>
      <c r="O200" s="52">
        <v>2.0179948163772345</v>
      </c>
      <c r="P200" s="52">
        <v>2.0374467972144523</v>
      </c>
      <c r="Q200" s="52">
        <v>1.2045363133598417</v>
      </c>
      <c r="R200" s="52">
        <v>1.1946388162432009</v>
      </c>
      <c r="S200" s="52">
        <v>1.202118895885782</v>
      </c>
      <c r="T200" s="52">
        <v>0.7346909136615013</v>
      </c>
      <c r="U200" s="52">
        <v>2.7814961833702405</v>
      </c>
      <c r="V200" s="52">
        <v>2.8114662574475511</v>
      </c>
      <c r="W200" s="52">
        <v>1.9956253713606658</v>
      </c>
      <c r="X200">
        <v>1.6703805182808855</v>
      </c>
      <c r="Y200">
        <v>1.3948390958372183</v>
      </c>
      <c r="Z200">
        <v>1.7691460395571093</v>
      </c>
      <c r="AA200">
        <v>2.3306954182187258</v>
      </c>
      <c r="AB200">
        <v>1.54245928264763</v>
      </c>
    </row>
    <row r="201" spans="1:28">
      <c r="A201">
        <v>28</v>
      </c>
      <c r="B201" t="s">
        <v>606</v>
      </c>
      <c r="C201" t="s">
        <v>607</v>
      </c>
      <c r="D201" t="s">
        <v>174</v>
      </c>
      <c r="E201">
        <v>16</v>
      </c>
      <c r="F201" t="s">
        <v>605</v>
      </c>
      <c r="G201" t="s">
        <v>593</v>
      </c>
      <c r="H201" t="s">
        <v>606</v>
      </c>
      <c r="I201" s="52">
        <v>2.2523495758430458</v>
      </c>
      <c r="J201" s="52">
        <v>2.2915146099572645</v>
      </c>
      <c r="K201" s="52">
        <v>0.86537844508432782</v>
      </c>
      <c r="L201" s="52">
        <v>2.5356341018259521</v>
      </c>
      <c r="M201" s="52">
        <v>2.5800858857226099</v>
      </c>
      <c r="N201" s="52">
        <v>0.97070341423282613</v>
      </c>
      <c r="O201" s="52">
        <v>3.9424571325330229</v>
      </c>
      <c r="P201" s="52">
        <v>3.9956334291802627</v>
      </c>
      <c r="Q201" s="52">
        <v>2.0510836875542746</v>
      </c>
      <c r="R201" s="52">
        <v>2.6850328274378383</v>
      </c>
      <c r="S201" s="52">
        <v>2.7208740251320913</v>
      </c>
      <c r="T201" s="52">
        <v>1.3723715663421536</v>
      </c>
      <c r="U201" s="52">
        <v>5.0716641733838372</v>
      </c>
      <c r="V201" s="52">
        <v>5.1397328284343446</v>
      </c>
      <c r="W201" s="52">
        <v>3.1561567027743518</v>
      </c>
      <c r="X201">
        <v>1.6734107288092459</v>
      </c>
      <c r="Y201">
        <v>1.3784207364238537</v>
      </c>
      <c r="Z201">
        <v>1.7964199061538457</v>
      </c>
      <c r="AA201">
        <v>2.392732473910256</v>
      </c>
      <c r="AB201">
        <v>1.552555284582362</v>
      </c>
    </row>
    <row r="202" spans="1:28">
      <c r="A202">
        <v>29</v>
      </c>
      <c r="B202" t="s">
        <v>608</v>
      </c>
      <c r="C202" t="s">
        <v>609</v>
      </c>
      <c r="D202" t="s">
        <v>174</v>
      </c>
      <c r="E202">
        <v>17</v>
      </c>
      <c r="F202" t="s">
        <v>605</v>
      </c>
      <c r="G202" t="s">
        <v>596</v>
      </c>
      <c r="H202" t="s">
        <v>608</v>
      </c>
      <c r="I202" s="52">
        <v>7.5609398061557869</v>
      </c>
      <c r="J202" s="52">
        <v>7.7249977497979785</v>
      </c>
      <c r="K202" s="52">
        <v>2.8155194478723895</v>
      </c>
      <c r="L202" s="52">
        <v>8.3955957301495729</v>
      </c>
      <c r="M202" s="52">
        <v>8.5812411421639467</v>
      </c>
      <c r="N202" s="52">
        <v>3.1240727409845048</v>
      </c>
      <c r="O202" s="52">
        <v>13.172970165693473</v>
      </c>
      <c r="P202" s="52">
        <v>13.395011385528356</v>
      </c>
      <c r="Q202" s="52">
        <v>6.1677705790941078</v>
      </c>
      <c r="R202" s="52">
        <v>9.4580116290306897</v>
      </c>
      <c r="S202" s="52">
        <v>9.6325377454487189</v>
      </c>
      <c r="T202" s="52">
        <v>4.3639447643859395</v>
      </c>
      <c r="U202" s="52">
        <v>16.487959760388499</v>
      </c>
      <c r="V202" s="52">
        <v>16.749278607255246</v>
      </c>
      <c r="W202" s="52">
        <v>8.8772222222222226</v>
      </c>
      <c r="X202">
        <v>2.7100320063344987</v>
      </c>
      <c r="Y202">
        <v>2.1076580703205128</v>
      </c>
      <c r="Z202">
        <v>2.9688113480089346</v>
      </c>
      <c r="AA202">
        <v>4.1107981593376071</v>
      </c>
      <c r="AB202">
        <v>2.4811706133605282</v>
      </c>
    </row>
    <row r="203" spans="1:28">
      <c r="A203">
        <v>30</v>
      </c>
      <c r="B203" t="s">
        <v>610</v>
      </c>
      <c r="C203" t="s">
        <v>611</v>
      </c>
      <c r="D203" t="s">
        <v>174</v>
      </c>
      <c r="E203">
        <v>18</v>
      </c>
      <c r="F203" t="s">
        <v>605</v>
      </c>
      <c r="G203" t="s">
        <v>599</v>
      </c>
      <c r="H203" t="s">
        <v>610</v>
      </c>
      <c r="I203" s="52">
        <v>4.3977809235994556</v>
      </c>
      <c r="J203" s="52">
        <v>4.4846141641122763</v>
      </c>
      <c r="K203" s="52">
        <v>1.6349891448420868</v>
      </c>
      <c r="L203" s="52">
        <v>4.8974520525485641</v>
      </c>
      <c r="M203" s="52">
        <v>4.996238189368686</v>
      </c>
      <c r="N203" s="52">
        <v>1.8182146121852005</v>
      </c>
      <c r="O203" s="52">
        <v>7.5640344599980578</v>
      </c>
      <c r="P203" s="52">
        <v>7.6816687902195007</v>
      </c>
      <c r="Q203" s="52">
        <v>3.6389387083504725</v>
      </c>
      <c r="R203" s="52">
        <v>5.4489367457517481</v>
      </c>
      <c r="S203" s="52">
        <v>5.5390822933255652</v>
      </c>
      <c r="T203" s="52">
        <v>2.5615558297911223</v>
      </c>
      <c r="U203" s="52">
        <v>9.4250147145687624</v>
      </c>
      <c r="V203" s="52">
        <v>9.5664890860994571</v>
      </c>
      <c r="W203" s="52">
        <v>5.3290159513688931</v>
      </c>
      <c r="X203">
        <v>1.7292805484557106</v>
      </c>
      <c r="Y203">
        <v>1.3855501380749802</v>
      </c>
      <c r="Z203">
        <v>1.9033180413364408</v>
      </c>
      <c r="AA203">
        <v>2.5855229422766115</v>
      </c>
      <c r="AB203">
        <v>1.6152108680264179</v>
      </c>
    </row>
    <row r="204" spans="1:28">
      <c r="A204">
        <v>31</v>
      </c>
      <c r="B204" t="s">
        <v>613</v>
      </c>
      <c r="C204" t="s">
        <v>614</v>
      </c>
      <c r="D204" t="s">
        <v>174</v>
      </c>
      <c r="E204">
        <v>19</v>
      </c>
      <c r="F204" t="s">
        <v>590</v>
      </c>
      <c r="G204" t="s">
        <v>615</v>
      </c>
      <c r="H204" t="s">
        <v>613</v>
      </c>
      <c r="I204" s="52">
        <v>2.8424079494871792</v>
      </c>
      <c r="J204" s="52">
        <v>2.9042741929487179</v>
      </c>
      <c r="K204" s="52">
        <v>1.0140302344714109</v>
      </c>
      <c r="L204" s="52">
        <v>3.1225120719405584</v>
      </c>
      <c r="M204" s="52">
        <v>3.1926936106565655</v>
      </c>
      <c r="N204" s="52">
        <v>1.1146637186343065</v>
      </c>
      <c r="O204" s="52">
        <v>4.7623807167307692</v>
      </c>
      <c r="P204" s="52">
        <v>4.84628096563908</v>
      </c>
      <c r="Q204" s="52">
        <v>2.0919871794871785</v>
      </c>
      <c r="R204" s="52">
        <v>3.6550765102156166</v>
      </c>
      <c r="S204" s="52">
        <v>3.7256592330341878</v>
      </c>
      <c r="T204" s="52">
        <v>1.5702554961378492</v>
      </c>
      <c r="U204" s="52">
        <v>5.6976120782498043</v>
      </c>
      <c r="V204" s="52">
        <v>5.7928765188578097</v>
      </c>
      <c r="W204" s="52">
        <v>2.8670555098496275</v>
      </c>
      <c r="X204">
        <v>5.3058323170163173E-2</v>
      </c>
      <c r="Y204">
        <v>-5.3377638383838855E-3</v>
      </c>
      <c r="Z204">
        <v>0.11674210297397046</v>
      </c>
      <c r="AA204">
        <v>0.22052934638888888</v>
      </c>
      <c r="AB204">
        <v>6.4749247639860105E-2</v>
      </c>
    </row>
    <row r="205" spans="1:28">
      <c r="A205">
        <v>32</v>
      </c>
      <c r="B205" t="s">
        <v>617</v>
      </c>
      <c r="C205" t="s">
        <v>618</v>
      </c>
      <c r="D205" t="s">
        <v>174</v>
      </c>
      <c r="E205">
        <v>20</v>
      </c>
      <c r="F205" t="s">
        <v>619</v>
      </c>
      <c r="G205" t="s">
        <v>615</v>
      </c>
      <c r="H205" t="s">
        <v>617</v>
      </c>
      <c r="I205" s="52">
        <v>21.244838585957652</v>
      </c>
      <c r="J205" s="52">
        <v>21.645991238770396</v>
      </c>
      <c r="K205" s="52">
        <v>7.4486127108185922</v>
      </c>
      <c r="L205" s="52">
        <v>23.235670879823225</v>
      </c>
      <c r="M205" s="52">
        <v>23.679578425446774</v>
      </c>
      <c r="N205" s="52">
        <v>8.1990239499063016</v>
      </c>
      <c r="O205" s="52">
        <v>34.267360647171714</v>
      </c>
      <c r="P205" s="52">
        <v>34.838683996528744</v>
      </c>
      <c r="Q205" s="52">
        <v>17.14099456099456</v>
      </c>
      <c r="R205" s="52">
        <v>27.045717637637914</v>
      </c>
      <c r="S205" s="52">
        <v>27.524508228989898</v>
      </c>
      <c r="T205" s="52">
        <v>12.690405068787422</v>
      </c>
      <c r="U205" s="52">
        <v>40.981028357385391</v>
      </c>
      <c r="V205" s="52">
        <v>41.634558119607604</v>
      </c>
      <c r="W205" s="52">
        <v>24.500094611271084</v>
      </c>
      <c r="X205">
        <v>1.0682488084498836</v>
      </c>
      <c r="Y205">
        <v>0.62295820130924617</v>
      </c>
      <c r="Z205">
        <v>1.4372111925777</v>
      </c>
      <c r="AA205">
        <v>2.1687925323523696</v>
      </c>
      <c r="AB205">
        <v>1.1332319124961148</v>
      </c>
    </row>
    <row r="206" spans="1:28">
      <c r="A206">
        <v>33</v>
      </c>
      <c r="B206" t="s">
        <v>621</v>
      </c>
      <c r="C206" t="s">
        <v>622</v>
      </c>
      <c r="D206" t="s">
        <v>174</v>
      </c>
      <c r="E206">
        <v>21</v>
      </c>
      <c r="F206" t="s">
        <v>623</v>
      </c>
      <c r="G206" t="s">
        <v>615</v>
      </c>
      <c r="H206" t="s">
        <v>621</v>
      </c>
      <c r="I206" s="52">
        <v>12.404947081926961</v>
      </c>
      <c r="J206" s="52">
        <v>12.645243199813521</v>
      </c>
      <c r="K206" s="52">
        <v>4.4374204716851784</v>
      </c>
      <c r="L206" s="52">
        <v>13.616332141074203</v>
      </c>
      <c r="M206" s="52">
        <v>13.882981528504272</v>
      </c>
      <c r="N206" s="52">
        <v>4.8747637003519344</v>
      </c>
      <c r="O206" s="52">
        <v>20.462445389364799</v>
      </c>
      <c r="P206" s="52">
        <v>20.800591165188418</v>
      </c>
      <c r="Q206" s="52">
        <v>9.8101194067370514</v>
      </c>
      <c r="R206" s="52">
        <v>15.729195655456486</v>
      </c>
      <c r="S206" s="52">
        <v>16.006202177729214</v>
      </c>
      <c r="T206" s="52">
        <v>7.2335366104483754</v>
      </c>
      <c r="U206" s="52">
        <v>24.760995799935891</v>
      </c>
      <c r="V206" s="52">
        <v>25.151612846231544</v>
      </c>
      <c r="W206" s="52">
        <v>14.269569107363225</v>
      </c>
      <c r="X206">
        <v>1.5661049715306916</v>
      </c>
      <c r="Y206">
        <v>1.1358457627486405</v>
      </c>
      <c r="Z206">
        <v>1.8503570060295258</v>
      </c>
      <c r="AA206">
        <v>2.6262478786499615</v>
      </c>
      <c r="AB206">
        <v>1.5266447483605283</v>
      </c>
    </row>
    <row r="207" spans="1:28">
      <c r="A207">
        <v>34</v>
      </c>
      <c r="B207" t="s">
        <v>625</v>
      </c>
      <c r="C207" t="s">
        <v>626</v>
      </c>
      <c r="D207" t="s">
        <v>174</v>
      </c>
      <c r="E207">
        <v>22</v>
      </c>
      <c r="F207" t="s">
        <v>619</v>
      </c>
      <c r="G207" t="s">
        <v>593</v>
      </c>
      <c r="H207" t="s">
        <v>625</v>
      </c>
      <c r="I207" s="52">
        <v>19.560943914491066</v>
      </c>
      <c r="J207" s="52">
        <v>19.924975710246695</v>
      </c>
      <c r="K207" s="52">
        <v>6.8445066045066039</v>
      </c>
      <c r="L207" s="52">
        <v>21.383724001598676</v>
      </c>
      <c r="M207" s="52">
        <v>21.785357462103732</v>
      </c>
      <c r="N207" s="52">
        <v>7.5357548334018913</v>
      </c>
      <c r="O207" s="52">
        <v>31.429442246596736</v>
      </c>
      <c r="P207" s="52">
        <v>31.950589662855482</v>
      </c>
      <c r="Q207" s="52">
        <v>15.895554755701816</v>
      </c>
      <c r="R207" s="52">
        <v>24.881035138616937</v>
      </c>
      <c r="S207" s="52">
        <v>25.317604125202021</v>
      </c>
      <c r="T207" s="52">
        <v>11.757830225330224</v>
      </c>
      <c r="U207" s="52">
        <v>37.57358426914918</v>
      </c>
      <c r="V207" s="52">
        <v>38.169948171736593</v>
      </c>
      <c r="W207" s="52">
        <v>22.793570432835139</v>
      </c>
      <c r="X207">
        <v>1.0182206958080806</v>
      </c>
      <c r="Y207">
        <v>0.61187760573426586</v>
      </c>
      <c r="Z207">
        <v>1.3477429562004659</v>
      </c>
      <c r="AA207">
        <v>2.0103002416550115</v>
      </c>
      <c r="AB207">
        <v>1.0785786667909867</v>
      </c>
    </row>
    <row r="208" spans="1:28">
      <c r="A208">
        <v>35</v>
      </c>
      <c r="B208" t="s">
        <v>628</v>
      </c>
      <c r="C208" t="s">
        <v>629</v>
      </c>
      <c r="D208" t="s">
        <v>174</v>
      </c>
      <c r="E208">
        <v>23</v>
      </c>
      <c r="F208" t="s">
        <v>623</v>
      </c>
      <c r="G208" t="s">
        <v>593</v>
      </c>
      <c r="H208" t="s">
        <v>628</v>
      </c>
      <c r="I208" s="52">
        <v>10.721052410460372</v>
      </c>
      <c r="J208" s="52">
        <v>10.92422767128982</v>
      </c>
      <c r="K208" s="52">
        <v>3.8333143653731883</v>
      </c>
      <c r="L208" s="52">
        <v>11.76438526284965</v>
      </c>
      <c r="M208" s="52">
        <v>11.988760565161227</v>
      </c>
      <c r="N208" s="52">
        <v>4.2114945838475242</v>
      </c>
      <c r="O208" s="52">
        <v>17.624526988789817</v>
      </c>
      <c r="P208" s="52">
        <v>17.912496831515149</v>
      </c>
      <c r="Q208" s="52">
        <v>8.5646796014443058</v>
      </c>
      <c r="R208" s="52">
        <v>13.564513156435506</v>
      </c>
      <c r="S208" s="52">
        <v>13.799298073941337</v>
      </c>
      <c r="T208" s="52">
        <v>6.3009617669911773</v>
      </c>
      <c r="U208" s="52">
        <v>21.353551711699687</v>
      </c>
      <c r="V208" s="52">
        <v>21.687002898360529</v>
      </c>
      <c r="W208" s="52">
        <v>12.563044928927281</v>
      </c>
      <c r="X208">
        <v>1.5160768588888889</v>
      </c>
      <c r="Y208">
        <v>1.1247651671736598</v>
      </c>
      <c r="Z208">
        <v>1.7608887696522917</v>
      </c>
      <c r="AA208">
        <v>2.467755587952603</v>
      </c>
      <c r="AB208">
        <v>1.4719915026554</v>
      </c>
    </row>
    <row r="209" spans="1:28">
      <c r="A209">
        <v>36</v>
      </c>
      <c r="B209" t="s">
        <v>631</v>
      </c>
      <c r="C209" t="s">
        <v>632</v>
      </c>
      <c r="D209" t="s">
        <v>174</v>
      </c>
      <c r="E209">
        <v>24</v>
      </c>
      <c r="F209" t="s">
        <v>590</v>
      </c>
      <c r="G209" t="s">
        <v>593</v>
      </c>
      <c r="H209" t="s">
        <v>631</v>
      </c>
      <c r="I209" s="52">
        <v>1.1585132780205902</v>
      </c>
      <c r="J209" s="52">
        <v>1.1832586644250189</v>
      </c>
      <c r="K209" s="52">
        <v>0.40992412815942203</v>
      </c>
      <c r="L209" s="52">
        <v>1.270565193716005</v>
      </c>
      <c r="M209" s="52">
        <v>1.2984726473135204</v>
      </c>
      <c r="N209" s="52">
        <v>0.45139460212989624</v>
      </c>
      <c r="O209" s="52">
        <v>1.9244623161557888</v>
      </c>
      <c r="P209" s="52">
        <v>1.9581866319658108</v>
      </c>
      <c r="Q209" s="52">
        <v>0.84654737419443293</v>
      </c>
      <c r="R209" s="52">
        <v>1.4903940111946372</v>
      </c>
      <c r="S209" s="52">
        <v>1.5187551292463093</v>
      </c>
      <c r="T209" s="52">
        <v>0.63768065268065222</v>
      </c>
      <c r="U209" s="52">
        <v>2.2901679900135967</v>
      </c>
      <c r="V209" s="52">
        <v>2.3282665709867931</v>
      </c>
      <c r="W209" s="52">
        <v>1.1605313314136856</v>
      </c>
      <c r="X209">
        <v>3.0302105283603392E-3</v>
      </c>
      <c r="Y209">
        <v>-1.6418359413364302E-2</v>
      </c>
      <c r="Z209">
        <v>2.7273866596736446E-2</v>
      </c>
      <c r="AA209">
        <v>6.2037055691530542E-2</v>
      </c>
      <c r="AB209">
        <v>1.0096001934732052E-2</v>
      </c>
    </row>
    <row r="210" spans="1:28">
      <c r="A210">
        <v>37</v>
      </c>
      <c r="B210" t="s">
        <v>633</v>
      </c>
      <c r="C210" t="s">
        <v>634</v>
      </c>
      <c r="D210" t="s">
        <v>58</v>
      </c>
      <c r="E210">
        <v>10</v>
      </c>
      <c r="F210" t="s">
        <v>635</v>
      </c>
      <c r="G210" t="s">
        <v>177</v>
      </c>
      <c r="H210" t="s">
        <v>633</v>
      </c>
      <c r="I210" s="52">
        <v>0</v>
      </c>
      <c r="J210" s="52">
        <v>0</v>
      </c>
      <c r="K210" s="52">
        <v>0</v>
      </c>
      <c r="L210" s="52">
        <v>0</v>
      </c>
      <c r="M210" s="52">
        <v>0</v>
      </c>
      <c r="N210" s="52">
        <v>0</v>
      </c>
      <c r="O210" s="52">
        <v>0</v>
      </c>
      <c r="P210" s="52">
        <v>0</v>
      </c>
      <c r="Q210" s="52">
        <v>0</v>
      </c>
      <c r="R210" s="52">
        <v>0</v>
      </c>
      <c r="S210" s="52">
        <v>0</v>
      </c>
      <c r="T210" s="52">
        <v>0</v>
      </c>
      <c r="U210" s="52">
        <v>0</v>
      </c>
      <c r="V210" s="52">
        <v>0</v>
      </c>
      <c r="W210" s="52">
        <v>0</v>
      </c>
      <c r="X210">
        <v>0</v>
      </c>
      <c r="Y210">
        <v>0</v>
      </c>
      <c r="Z210">
        <v>0</v>
      </c>
      <c r="AA210">
        <v>0</v>
      </c>
      <c r="AB210">
        <v>0</v>
      </c>
    </row>
    <row r="211" spans="1:28">
      <c r="A211">
        <v>38</v>
      </c>
      <c r="B211" t="s">
        <v>637</v>
      </c>
      <c r="C211" t="s">
        <v>638</v>
      </c>
      <c r="D211" t="s">
        <v>58</v>
      </c>
      <c r="E211">
        <v>11</v>
      </c>
      <c r="F211" t="s">
        <v>635</v>
      </c>
      <c r="G211" t="s">
        <v>639</v>
      </c>
      <c r="H211" t="s">
        <v>637</v>
      </c>
      <c r="I211" s="52">
        <v>0</v>
      </c>
      <c r="J211" s="52">
        <v>0</v>
      </c>
      <c r="K211" s="52">
        <v>0</v>
      </c>
      <c r="L211" s="52">
        <v>0</v>
      </c>
      <c r="M211" s="52">
        <v>0</v>
      </c>
      <c r="N211" s="52">
        <v>0</v>
      </c>
      <c r="O211" s="52">
        <v>0</v>
      </c>
      <c r="P211" s="52">
        <v>0</v>
      </c>
      <c r="Q211" s="52">
        <v>0</v>
      </c>
      <c r="R211" s="52">
        <v>0</v>
      </c>
      <c r="S211" s="52">
        <v>0</v>
      </c>
      <c r="T211" s="52">
        <v>0</v>
      </c>
      <c r="U211" s="52">
        <v>0</v>
      </c>
      <c r="V211" s="52">
        <v>0</v>
      </c>
      <c r="W211" s="52">
        <v>0</v>
      </c>
      <c r="X211">
        <v>0</v>
      </c>
      <c r="Y211">
        <v>0</v>
      </c>
      <c r="Z211">
        <v>0</v>
      </c>
      <c r="AA211">
        <v>0</v>
      </c>
      <c r="AB211">
        <v>0</v>
      </c>
    </row>
    <row r="212" spans="1:28">
      <c r="A212">
        <v>39</v>
      </c>
      <c r="B212" t="s">
        <v>641</v>
      </c>
      <c r="C212" t="s">
        <v>642</v>
      </c>
      <c r="D212" t="s">
        <v>58</v>
      </c>
      <c r="E212">
        <v>12</v>
      </c>
      <c r="F212" t="s">
        <v>177</v>
      </c>
      <c r="G212" t="s">
        <v>639</v>
      </c>
      <c r="H212" t="s">
        <v>641</v>
      </c>
      <c r="I212" s="52">
        <v>0</v>
      </c>
      <c r="J212" s="52">
        <v>0</v>
      </c>
      <c r="K212" s="52">
        <v>0</v>
      </c>
      <c r="L212" s="52">
        <v>0</v>
      </c>
      <c r="M212" s="52">
        <v>0</v>
      </c>
      <c r="N212" s="52">
        <v>0</v>
      </c>
      <c r="O212" s="52">
        <v>0</v>
      </c>
      <c r="P212" s="52">
        <v>0</v>
      </c>
      <c r="Q212" s="52">
        <v>0</v>
      </c>
      <c r="R212" s="52">
        <v>0</v>
      </c>
      <c r="S212" s="52">
        <v>0</v>
      </c>
      <c r="T212" s="52">
        <v>0</v>
      </c>
      <c r="U212" s="52">
        <v>0</v>
      </c>
      <c r="V212" s="52">
        <v>0</v>
      </c>
      <c r="W212" s="52">
        <v>0</v>
      </c>
      <c r="X212">
        <v>0</v>
      </c>
      <c r="Y212">
        <v>0</v>
      </c>
      <c r="Z212">
        <v>0</v>
      </c>
      <c r="AA212">
        <v>0</v>
      </c>
      <c r="AB212">
        <v>0</v>
      </c>
    </row>
    <row r="213" spans="1:28" ht="15">
      <c r="A213">
        <v>40</v>
      </c>
      <c r="B213" t="s">
        <v>644</v>
      </c>
      <c r="C213" t="s">
        <v>645</v>
      </c>
      <c r="D213" t="s">
        <v>528</v>
      </c>
      <c r="E213">
        <v>10</v>
      </c>
      <c r="F213" t="s">
        <v>646</v>
      </c>
      <c r="G213" t="s">
        <v>647</v>
      </c>
      <c r="H213" t="s">
        <v>644</v>
      </c>
      <c r="I213" s="501">
        <v>0</v>
      </c>
      <c r="J213" s="501">
        <v>289.62878124999963</v>
      </c>
      <c r="K213" s="501">
        <v>852.6029411764697</v>
      </c>
      <c r="L213" s="501">
        <v>0</v>
      </c>
      <c r="M213" s="501">
        <v>364.74575195000205</v>
      </c>
      <c r="N213" s="501">
        <v>926.14705882353019</v>
      </c>
      <c r="O213" s="501">
        <v>0</v>
      </c>
      <c r="P213" s="501">
        <v>531.81649785000172</v>
      </c>
      <c r="Q213" s="501">
        <v>3536.5794117647024</v>
      </c>
      <c r="R213" s="501">
        <v>0</v>
      </c>
      <c r="S213" s="501">
        <v>425.54268565000245</v>
      </c>
      <c r="T213" s="501">
        <v>2194.2058823529405</v>
      </c>
      <c r="U213" s="501">
        <v>0</v>
      </c>
      <c r="V213" s="501">
        <v>477.1139349500063</v>
      </c>
      <c r="W213" s="501">
        <v>5686.7499999999982</v>
      </c>
      <c r="X213" s="500">
        <v>331.15135669999967</v>
      </c>
      <c r="Y213" s="500">
        <v>155.73396245000063</v>
      </c>
      <c r="Z213" s="500">
        <v>391.09477280000004</v>
      </c>
      <c r="AA213" s="500">
        <v>813.60827285000096</v>
      </c>
      <c r="AB213" s="500">
        <v>268.73639184999979</v>
      </c>
    </row>
    <row r="214" spans="1:28" ht="15">
      <c r="A214">
        <v>41</v>
      </c>
      <c r="B214" t="s">
        <v>649</v>
      </c>
      <c r="C214" t="s">
        <v>650</v>
      </c>
      <c r="D214" t="s">
        <v>529</v>
      </c>
      <c r="E214">
        <v>10</v>
      </c>
      <c r="F214" t="s">
        <v>514</v>
      </c>
      <c r="G214" t="s">
        <v>651</v>
      </c>
      <c r="H214" t="s">
        <v>649</v>
      </c>
      <c r="I214" s="501">
        <v>0</v>
      </c>
      <c r="J214" s="501">
        <v>60.82366324999807</v>
      </c>
      <c r="K214" s="501">
        <v>43.270588235292848</v>
      </c>
      <c r="L214" s="501">
        <v>0</v>
      </c>
      <c r="M214" s="501">
        <v>70.25647440000057</v>
      </c>
      <c r="N214" s="501">
        <v>49.600000000000065</v>
      </c>
      <c r="O214" s="501">
        <v>0</v>
      </c>
      <c r="P214" s="501">
        <v>106.08723160000025</v>
      </c>
      <c r="Q214" s="501">
        <v>131.83235294117131</v>
      </c>
      <c r="R214" s="501">
        <v>0</v>
      </c>
      <c r="S214" s="501">
        <v>78.246669200002032</v>
      </c>
      <c r="T214" s="501">
        <v>91.561764705881998</v>
      </c>
      <c r="U214" s="501">
        <v>0</v>
      </c>
      <c r="V214" s="501">
        <v>113.02670130000314</v>
      </c>
      <c r="W214" s="501">
        <v>194.84411764705885</v>
      </c>
      <c r="X214" s="500">
        <v>21.399760700000119</v>
      </c>
      <c r="Y214" s="500">
        <v>10.904199450000355</v>
      </c>
      <c r="Z214" s="500">
        <v>25.399393749999867</v>
      </c>
      <c r="AA214" s="500">
        <v>47.051302249999395</v>
      </c>
      <c r="AB214" s="500">
        <v>18.017412150000098</v>
      </c>
    </row>
    <row r="215" spans="1:28" ht="15">
      <c r="A215">
        <v>42</v>
      </c>
      <c r="B215" t="s">
        <v>653</v>
      </c>
      <c r="C215" t="s">
        <v>654</v>
      </c>
      <c r="D215" t="s">
        <v>529</v>
      </c>
      <c r="E215">
        <v>11</v>
      </c>
      <c r="F215" t="s">
        <v>514</v>
      </c>
      <c r="G215" t="s">
        <v>515</v>
      </c>
      <c r="H215" t="s">
        <v>653</v>
      </c>
      <c r="I215" s="501">
        <v>0</v>
      </c>
      <c r="J215" s="501">
        <v>83.199274599997437</v>
      </c>
      <c r="K215" s="501">
        <v>60.399999999999672</v>
      </c>
      <c r="L215" s="501">
        <v>0</v>
      </c>
      <c r="M215" s="501">
        <v>95.995991999997742</v>
      </c>
      <c r="N215" s="501">
        <v>69.120588235294193</v>
      </c>
      <c r="O215" s="501">
        <v>0</v>
      </c>
      <c r="P215" s="501">
        <v>145.80632664999536</v>
      </c>
      <c r="Q215" s="501">
        <v>184.21764705881819</v>
      </c>
      <c r="R215" s="501">
        <v>0</v>
      </c>
      <c r="S215" s="501">
        <v>107.44841535000117</v>
      </c>
      <c r="T215" s="501">
        <v>127.75294117647024</v>
      </c>
      <c r="U215" s="501">
        <v>0</v>
      </c>
      <c r="V215" s="501">
        <v>156.0162481500025</v>
      </c>
      <c r="W215" s="501">
        <v>272.26176470588217</v>
      </c>
      <c r="X215" s="500">
        <v>29.661930350000567</v>
      </c>
      <c r="Y215" s="500">
        <v>15.067838400000129</v>
      </c>
      <c r="Z215" s="500">
        <v>35.063784850000602</v>
      </c>
      <c r="AA215" s="500">
        <v>65.593068099999513</v>
      </c>
      <c r="AB215" s="500">
        <v>24.805621450000221</v>
      </c>
    </row>
    <row r="216" spans="1:28" ht="15">
      <c r="A216">
        <v>43</v>
      </c>
      <c r="B216" t="s">
        <v>656</v>
      </c>
      <c r="C216" t="s">
        <v>657</v>
      </c>
      <c r="D216" t="s">
        <v>529</v>
      </c>
      <c r="E216">
        <v>12</v>
      </c>
      <c r="F216" t="s">
        <v>651</v>
      </c>
      <c r="G216" t="s">
        <v>515</v>
      </c>
      <c r="H216" t="s">
        <v>656</v>
      </c>
      <c r="I216" s="501">
        <v>0</v>
      </c>
      <c r="J216" s="501">
        <v>22.375611349999367</v>
      </c>
      <c r="K216" s="501">
        <v>17.12941176470682</v>
      </c>
      <c r="L216" s="501">
        <v>0</v>
      </c>
      <c r="M216" s="501">
        <v>25.739517599997178</v>
      </c>
      <c r="N216" s="501">
        <v>19.52058823529412</v>
      </c>
      <c r="O216" s="501">
        <v>0</v>
      </c>
      <c r="P216" s="501">
        <v>39.719095049995119</v>
      </c>
      <c r="Q216" s="501">
        <v>52.385294117646886</v>
      </c>
      <c r="R216" s="501">
        <v>0</v>
      </c>
      <c r="S216" s="501">
        <v>29.201746149999142</v>
      </c>
      <c r="T216" s="501">
        <v>36.191176470588239</v>
      </c>
      <c r="U216" s="501">
        <v>0</v>
      </c>
      <c r="V216" s="501">
        <v>42.98954684999935</v>
      </c>
      <c r="W216" s="501">
        <v>77.417647058823377</v>
      </c>
      <c r="X216" s="500">
        <v>8.2621696500004465</v>
      </c>
      <c r="Y216" s="500">
        <v>4.1636389499997737</v>
      </c>
      <c r="Z216" s="500">
        <v>9.6643911000007332</v>
      </c>
      <c r="AA216" s="500">
        <v>18.541765850000115</v>
      </c>
      <c r="AB216" s="500">
        <v>6.7882093000001218</v>
      </c>
    </row>
    <row r="217" spans="1:28">
      <c r="A217">
        <v>44</v>
      </c>
      <c r="B217" t="s">
        <v>659</v>
      </c>
      <c r="C217" t="s">
        <v>660</v>
      </c>
      <c r="D217" t="s">
        <v>530</v>
      </c>
      <c r="E217">
        <v>10</v>
      </c>
      <c r="F217" t="s">
        <v>661</v>
      </c>
      <c r="G217" t="s">
        <v>662</v>
      </c>
      <c r="H217" t="s">
        <v>659</v>
      </c>
      <c r="I217" s="52">
        <v>0</v>
      </c>
      <c r="J217" s="52">
        <v>0</v>
      </c>
      <c r="K217" s="52">
        <v>391.16947860962534</v>
      </c>
      <c r="L217" s="52">
        <v>0</v>
      </c>
      <c r="M217" s="52">
        <v>0</v>
      </c>
      <c r="N217" s="52">
        <v>422.19727081741758</v>
      </c>
      <c r="O217" s="52">
        <v>0</v>
      </c>
      <c r="P217" s="52">
        <v>0</v>
      </c>
      <c r="Q217" s="52">
        <v>636.32127960274897</v>
      </c>
      <c r="R217" s="52">
        <v>0</v>
      </c>
      <c r="S217" s="52">
        <v>0</v>
      </c>
      <c r="T217" s="52">
        <v>457.86059587471328</v>
      </c>
      <c r="U217" s="52">
        <v>0</v>
      </c>
      <c r="V217" s="52">
        <v>0</v>
      </c>
      <c r="W217" s="52">
        <v>677.04872039725001</v>
      </c>
      <c r="X217">
        <v>0</v>
      </c>
      <c r="Y217">
        <v>0</v>
      </c>
      <c r="Z217">
        <v>0</v>
      </c>
      <c r="AA217">
        <v>0</v>
      </c>
      <c r="AB217">
        <v>0</v>
      </c>
    </row>
    <row r="218" spans="1:28">
      <c r="A218">
        <v>45</v>
      </c>
      <c r="B218" t="s">
        <v>664</v>
      </c>
      <c r="C218" t="s">
        <v>665</v>
      </c>
      <c r="D218" t="s">
        <v>530</v>
      </c>
      <c r="E218">
        <v>11</v>
      </c>
      <c r="F218" t="s">
        <v>661</v>
      </c>
      <c r="G218" t="s">
        <v>666</v>
      </c>
      <c r="H218" t="s">
        <v>664</v>
      </c>
      <c r="I218" s="52">
        <v>0</v>
      </c>
      <c r="J218" s="52">
        <v>0</v>
      </c>
      <c r="K218" s="52">
        <v>570.98477272727246</v>
      </c>
      <c r="L218" s="52">
        <v>0</v>
      </c>
      <c r="M218" s="52">
        <v>0</v>
      </c>
      <c r="N218" s="52">
        <v>616.13256493506492</v>
      </c>
      <c r="O218" s="52">
        <v>0</v>
      </c>
      <c r="P218" s="52">
        <v>0</v>
      </c>
      <c r="Q218" s="52">
        <v>942.93422077921957</v>
      </c>
      <c r="R218" s="52">
        <v>0</v>
      </c>
      <c r="S218" s="52">
        <v>0</v>
      </c>
      <c r="T218" s="52">
        <v>678.6288311688312</v>
      </c>
      <c r="U218" s="52">
        <v>0</v>
      </c>
      <c r="V218" s="52">
        <v>0</v>
      </c>
      <c r="W218" s="52">
        <v>997.93577922077839</v>
      </c>
      <c r="X218">
        <v>217.66098282321417</v>
      </c>
      <c r="Y218">
        <v>133.55955474642852</v>
      </c>
      <c r="Z218">
        <v>194.24091801249986</v>
      </c>
      <c r="AA218">
        <v>306.36770243571425</v>
      </c>
      <c r="AB218">
        <v>146.59124797321417</v>
      </c>
    </row>
    <row r="219" spans="1:28">
      <c r="A219">
        <v>46</v>
      </c>
      <c r="B219" t="s">
        <v>668</v>
      </c>
      <c r="C219" t="s">
        <v>669</v>
      </c>
      <c r="D219" t="s">
        <v>530</v>
      </c>
      <c r="E219">
        <v>12</v>
      </c>
      <c r="F219" t="s">
        <v>661</v>
      </c>
      <c r="G219" t="s">
        <v>670</v>
      </c>
      <c r="H219" t="s">
        <v>668</v>
      </c>
      <c r="I219" s="52">
        <v>0</v>
      </c>
      <c r="J219" s="52">
        <v>0</v>
      </c>
      <c r="K219" s="52">
        <v>272.75452882483273</v>
      </c>
      <c r="L219" s="52">
        <v>0</v>
      </c>
      <c r="M219" s="52">
        <v>0</v>
      </c>
      <c r="N219" s="52">
        <v>294.48378444725938</v>
      </c>
      <c r="O219" s="52">
        <v>0</v>
      </c>
      <c r="P219" s="52">
        <v>0</v>
      </c>
      <c r="Q219" s="52">
        <v>434.40544029141398</v>
      </c>
      <c r="R219" s="52">
        <v>0</v>
      </c>
      <c r="S219" s="52">
        <v>0</v>
      </c>
      <c r="T219" s="52">
        <v>312.47663604687943</v>
      </c>
      <c r="U219" s="52">
        <v>0</v>
      </c>
      <c r="V219" s="52">
        <v>0</v>
      </c>
      <c r="W219" s="52">
        <v>465.73285239151011</v>
      </c>
      <c r="X219">
        <v>0</v>
      </c>
      <c r="Y219">
        <v>0</v>
      </c>
      <c r="Z219">
        <v>0</v>
      </c>
      <c r="AA219">
        <v>0</v>
      </c>
      <c r="AB219">
        <v>0</v>
      </c>
    </row>
    <row r="220" spans="1:28">
      <c r="A220">
        <v>47</v>
      </c>
      <c r="B220" t="s">
        <v>672</v>
      </c>
      <c r="C220" t="s">
        <v>673</v>
      </c>
      <c r="D220" t="s">
        <v>531</v>
      </c>
      <c r="E220">
        <v>10</v>
      </c>
      <c r="F220" t="s">
        <v>674</v>
      </c>
      <c r="G220" t="s">
        <v>176</v>
      </c>
      <c r="H220" t="s">
        <v>672</v>
      </c>
      <c r="I220" s="52">
        <v>0</v>
      </c>
      <c r="J220" s="52">
        <v>0</v>
      </c>
      <c r="K220" s="52">
        <v>433.24794117647059</v>
      </c>
      <c r="L220" s="52">
        <v>0</v>
      </c>
      <c r="M220" s="52">
        <v>0</v>
      </c>
      <c r="N220" s="52">
        <v>493.67058823529442</v>
      </c>
      <c r="O220" s="52">
        <v>0</v>
      </c>
      <c r="P220" s="52">
        <v>0</v>
      </c>
      <c r="Q220" s="52">
        <v>1955.7769117647063</v>
      </c>
      <c r="R220" s="52">
        <v>0</v>
      </c>
      <c r="S220" s="52">
        <v>0</v>
      </c>
      <c r="T220" s="52">
        <v>1253.5526470588236</v>
      </c>
      <c r="U220" s="52">
        <v>0</v>
      </c>
      <c r="V220" s="52">
        <v>0</v>
      </c>
      <c r="W220" s="52">
        <v>2896.7430882352933</v>
      </c>
      <c r="X220">
        <v>-11.482310700000033</v>
      </c>
      <c r="Y220">
        <v>-5.1145261499999242</v>
      </c>
      <c r="Z220">
        <v>0.1893809499999346</v>
      </c>
      <c r="AA220">
        <v>-0.76286814999992991</v>
      </c>
      <c r="AB220">
        <v>-2.762711149999868</v>
      </c>
    </row>
    <row r="223" spans="1:28" ht="46.5">
      <c r="A223" s="471" t="s">
        <v>1200</v>
      </c>
    </row>
    <row r="224" spans="1:28" ht="46.5">
      <c r="A224" s="471" t="s">
        <v>1183</v>
      </c>
    </row>
    <row r="225" spans="1:18" ht="46.5">
      <c r="A225" s="471" t="s">
        <v>1201</v>
      </c>
    </row>
    <row r="226" spans="1:18" ht="13.5" thickBot="1"/>
    <row r="227" spans="1:18" ht="13.5" thickBot="1">
      <c r="I227" s="465" t="s">
        <v>509</v>
      </c>
      <c r="J227" s="466"/>
      <c r="K227" s="466"/>
      <c r="L227" s="466"/>
      <c r="M227" s="466"/>
      <c r="N227" s="468" t="s">
        <v>510</v>
      </c>
      <c r="O227" s="469"/>
      <c r="P227" s="469"/>
      <c r="Q227" s="469"/>
      <c r="R227" s="469"/>
    </row>
    <row r="228" spans="1:18">
      <c r="I228" s="373" t="s">
        <v>1110</v>
      </c>
      <c r="J228" s="377" t="s">
        <v>1111</v>
      </c>
      <c r="K228" s="381" t="s">
        <v>1112</v>
      </c>
      <c r="L228" s="385" t="s">
        <v>1113</v>
      </c>
      <c r="M228" s="389" t="s">
        <v>1114</v>
      </c>
      <c r="N228" s="373" t="s">
        <v>1110</v>
      </c>
      <c r="O228" s="377" t="s">
        <v>1111</v>
      </c>
      <c r="P228" s="381" t="s">
        <v>1112</v>
      </c>
      <c r="Q228" s="385" t="s">
        <v>1113</v>
      </c>
      <c r="R228" s="389" t="s">
        <v>1114</v>
      </c>
    </row>
    <row r="229" spans="1:18">
      <c r="A229">
        <v>2</v>
      </c>
      <c r="B229" t="s">
        <v>512</v>
      </c>
      <c r="C229" t="s">
        <v>512</v>
      </c>
      <c r="D229" t="s">
        <v>513</v>
      </c>
      <c r="E229">
        <v>10</v>
      </c>
      <c r="F229" t="s">
        <v>514</v>
      </c>
      <c r="G229" t="s">
        <v>515</v>
      </c>
      <c r="H229" t="s">
        <v>512</v>
      </c>
      <c r="I229" s="72">
        <v>1.1383627146152766</v>
      </c>
      <c r="J229" s="72">
        <v>1.2465381836460203</v>
      </c>
      <c r="K229" s="72">
        <v>1.8694373223395486</v>
      </c>
      <c r="L229" s="72">
        <v>1.4715541978797086</v>
      </c>
      <c r="M229" s="72">
        <v>2.2192391956351711</v>
      </c>
      <c r="N229" s="502">
        <v>-2.2118551030720496E-3</v>
      </c>
      <c r="O229" s="502">
        <v>-3.4786141905480085E-3</v>
      </c>
      <c r="P229" s="502">
        <v>-1.0042130028737333E-4</v>
      </c>
      <c r="Q229" s="502">
        <v>2.1294269507854584E-3</v>
      </c>
      <c r="R229" s="502">
        <v>-1.2183909619249513E-3</v>
      </c>
    </row>
    <row r="230" spans="1:18">
      <c r="A230">
        <v>3</v>
      </c>
      <c r="B230" s="26" t="s">
        <v>518</v>
      </c>
      <c r="C230" t="s">
        <v>519</v>
      </c>
      <c r="D230" t="s">
        <v>520</v>
      </c>
      <c r="E230">
        <v>10</v>
      </c>
      <c r="F230" t="s">
        <v>514</v>
      </c>
      <c r="G230" t="s">
        <v>515</v>
      </c>
      <c r="H230" t="s">
        <v>518</v>
      </c>
      <c r="I230" s="72">
        <v>0</v>
      </c>
      <c r="J230" s="72">
        <v>0</v>
      </c>
      <c r="K230" s="72">
        <v>0</v>
      </c>
      <c r="L230" s="72">
        <v>0</v>
      </c>
      <c r="M230" s="72">
        <v>0</v>
      </c>
      <c r="N230" s="502">
        <v>0</v>
      </c>
      <c r="O230" s="502">
        <v>0</v>
      </c>
      <c r="P230" s="502">
        <v>0</v>
      </c>
      <c r="Q230" s="502">
        <v>0</v>
      </c>
      <c r="R230" s="502">
        <v>0</v>
      </c>
    </row>
    <row r="231" spans="1:18">
      <c r="A231">
        <v>4</v>
      </c>
      <c r="B231" t="s">
        <v>522</v>
      </c>
      <c r="C231" t="s">
        <v>523</v>
      </c>
      <c r="D231" t="s">
        <v>524</v>
      </c>
      <c r="E231">
        <v>10</v>
      </c>
      <c r="F231" t="s">
        <v>514</v>
      </c>
      <c r="G231" t="s">
        <v>525</v>
      </c>
      <c r="H231" t="s">
        <v>522</v>
      </c>
      <c r="I231" s="72">
        <v>0.53939363480482583</v>
      </c>
      <c r="J231" s="72">
        <v>0.59397762436044166</v>
      </c>
      <c r="K231" s="72">
        <v>0.76586553879855135</v>
      </c>
      <c r="L231" s="72">
        <v>0.61721292742416312</v>
      </c>
      <c r="M231" s="72">
        <v>0.87781434572724071</v>
      </c>
      <c r="N231" s="502">
        <v>-9.285538772926193E-3</v>
      </c>
      <c r="O231" s="502">
        <v>-8.6542003614162675E-3</v>
      </c>
      <c r="P231" s="502">
        <v>-8.3735640882054568E-3</v>
      </c>
      <c r="Q231" s="502">
        <v>-8.9552404030993696E-3</v>
      </c>
      <c r="R231" s="502">
        <v>-8.3155143486764727E-3</v>
      </c>
    </row>
    <row r="232" spans="1:18">
      <c r="A232">
        <v>5</v>
      </c>
      <c r="B232" t="s">
        <v>533</v>
      </c>
      <c r="C232" t="s">
        <v>534</v>
      </c>
      <c r="D232" t="s">
        <v>524</v>
      </c>
      <c r="E232">
        <v>11</v>
      </c>
      <c r="F232" t="s">
        <v>514</v>
      </c>
      <c r="G232" t="s">
        <v>535</v>
      </c>
      <c r="H232" t="s">
        <v>533</v>
      </c>
      <c r="I232" s="72">
        <v>0.61807890338639804</v>
      </c>
      <c r="J232" s="72">
        <v>0.68094593798139991</v>
      </c>
      <c r="K232" s="72">
        <v>0.87960213061306214</v>
      </c>
      <c r="L232" s="72">
        <v>0.70810789087405812</v>
      </c>
      <c r="M232" s="72">
        <v>1.0078877306981222</v>
      </c>
      <c r="N232" s="502">
        <v>-1.0743462799444331E-2</v>
      </c>
      <c r="O232" s="502">
        <v>-1.0023742751445254E-2</v>
      </c>
      <c r="P232" s="502">
        <v>-9.714680135629726E-3</v>
      </c>
      <c r="Q232" s="502">
        <v>-1.0391367449746015E-2</v>
      </c>
      <c r="R232" s="502">
        <v>-9.6653240338565646E-3</v>
      </c>
    </row>
    <row r="233" spans="1:18">
      <c r="A233">
        <v>6</v>
      </c>
      <c r="B233" t="s">
        <v>537</v>
      </c>
      <c r="C233" t="s">
        <v>538</v>
      </c>
      <c r="D233" t="s">
        <v>524</v>
      </c>
      <c r="E233">
        <v>12</v>
      </c>
      <c r="F233" t="s">
        <v>514</v>
      </c>
      <c r="G233" t="s">
        <v>539</v>
      </c>
      <c r="H233" t="s">
        <v>537</v>
      </c>
      <c r="I233" s="72">
        <v>0.70087383133646552</v>
      </c>
      <c r="J233" s="72">
        <v>0.77260843305683558</v>
      </c>
      <c r="K233" s="72">
        <v>0.99983398440774118</v>
      </c>
      <c r="L233" s="72">
        <v>0.80404661446674874</v>
      </c>
      <c r="M233" s="72">
        <v>1.1455593689656125</v>
      </c>
      <c r="N233" s="502">
        <v>-1.2310078979007561E-2</v>
      </c>
      <c r="O233" s="502">
        <v>-1.1497665086008101E-2</v>
      </c>
      <c r="P233" s="502">
        <v>-1.1159891832363609E-2</v>
      </c>
      <c r="Q233" s="502">
        <v>-1.1944258974714747E-2</v>
      </c>
      <c r="R233" s="502">
        <v>-1.1128709345584874E-2</v>
      </c>
    </row>
    <row r="234" spans="1:18">
      <c r="A234">
        <v>7</v>
      </c>
      <c r="B234" t="s">
        <v>541</v>
      </c>
      <c r="C234" t="s">
        <v>542</v>
      </c>
      <c r="D234" t="s">
        <v>524</v>
      </c>
      <c r="E234">
        <v>13</v>
      </c>
      <c r="F234" t="s">
        <v>514</v>
      </c>
      <c r="G234" t="s">
        <v>543</v>
      </c>
      <c r="H234" t="s">
        <v>541</v>
      </c>
      <c r="I234" s="72">
        <v>0.72286937286308295</v>
      </c>
      <c r="J234" s="72">
        <v>0.79699122789336307</v>
      </c>
      <c r="K234" s="72">
        <v>1.0318942360359376</v>
      </c>
      <c r="L234" s="72">
        <v>0.82960685741417262</v>
      </c>
      <c r="M234" s="72">
        <v>1.1822957706115718</v>
      </c>
      <c r="N234" s="502">
        <v>-1.273243226763802E-2</v>
      </c>
      <c r="O234" s="502">
        <v>-1.189482555076146E-2</v>
      </c>
      <c r="P234" s="502">
        <v>-1.1550624102901114E-2</v>
      </c>
      <c r="Q234" s="502">
        <v>-1.2364219668130991E-2</v>
      </c>
      <c r="R234" s="502">
        <v>-1.1524572227190943E-2</v>
      </c>
    </row>
    <row r="235" spans="1:18">
      <c r="A235">
        <v>8</v>
      </c>
      <c r="B235" t="s">
        <v>545</v>
      </c>
      <c r="C235" t="s">
        <v>546</v>
      </c>
      <c r="D235" t="s">
        <v>524</v>
      </c>
      <c r="E235">
        <v>14</v>
      </c>
      <c r="F235" t="s">
        <v>525</v>
      </c>
      <c r="G235" t="s">
        <v>535</v>
      </c>
      <c r="H235" t="s">
        <v>545</v>
      </c>
      <c r="I235" s="72">
        <v>7.8685268581572015E-2</v>
      </c>
      <c r="J235" s="72">
        <v>8.6968313620958235E-2</v>
      </c>
      <c r="K235" s="72">
        <v>0.11373659181451073</v>
      </c>
      <c r="L235" s="72">
        <v>9.0894963449894922E-2</v>
      </c>
      <c r="M235" s="72">
        <v>0.13007338497088153</v>
      </c>
      <c r="N235" s="502">
        <v>-1.457924026518139E-3</v>
      </c>
      <c r="O235" s="502">
        <v>-1.3695423900289866E-3</v>
      </c>
      <c r="P235" s="502">
        <v>-1.3411160474242703E-3</v>
      </c>
      <c r="Q235" s="502">
        <v>-1.4361270466466437E-3</v>
      </c>
      <c r="R235" s="502">
        <v>-1.3498096851800915E-3</v>
      </c>
    </row>
    <row r="236" spans="1:18">
      <c r="A236">
        <v>9</v>
      </c>
      <c r="B236" t="s">
        <v>549</v>
      </c>
      <c r="C236" t="s">
        <v>550</v>
      </c>
      <c r="D236" t="s">
        <v>524</v>
      </c>
      <c r="E236">
        <v>15</v>
      </c>
      <c r="F236" t="s">
        <v>525</v>
      </c>
      <c r="G236" t="s">
        <v>539</v>
      </c>
      <c r="H236" t="s">
        <v>549</v>
      </c>
      <c r="I236" s="72">
        <v>0.16148019653163953</v>
      </c>
      <c r="J236" s="72">
        <v>0.17863080869639381</v>
      </c>
      <c r="K236" s="72">
        <v>0.23396844560918989</v>
      </c>
      <c r="L236" s="72">
        <v>0.18683368704258557</v>
      </c>
      <c r="M236" s="72">
        <v>0.2677450232383719</v>
      </c>
      <c r="N236" s="502">
        <v>-3.0245402060813695E-3</v>
      </c>
      <c r="O236" s="502">
        <v>-2.8434647245918336E-3</v>
      </c>
      <c r="P236" s="502">
        <v>-2.7863277441581517E-3</v>
      </c>
      <c r="Q236" s="502">
        <v>-2.9890185716153787E-3</v>
      </c>
      <c r="R236" s="502">
        <v>-2.8131949969084006E-3</v>
      </c>
    </row>
    <row r="237" spans="1:18">
      <c r="A237">
        <v>10</v>
      </c>
      <c r="B237" t="s">
        <v>552</v>
      </c>
      <c r="C237" t="s">
        <v>553</v>
      </c>
      <c r="D237" t="s">
        <v>524</v>
      </c>
      <c r="E237">
        <v>16</v>
      </c>
      <c r="F237" t="s">
        <v>525</v>
      </c>
      <c r="G237" t="s">
        <v>543</v>
      </c>
      <c r="H237" t="s">
        <v>552</v>
      </c>
      <c r="I237" s="72">
        <v>0.18347573805825701</v>
      </c>
      <c r="J237" s="72">
        <v>0.20301360353292142</v>
      </c>
      <c r="K237" s="72">
        <v>0.26602869723738592</v>
      </c>
      <c r="L237" s="72">
        <v>0.21239392999000931</v>
      </c>
      <c r="M237" s="72">
        <v>0.30448142488433083</v>
      </c>
      <c r="N237" s="502">
        <v>-3.4468934947118265E-3</v>
      </c>
      <c r="O237" s="502">
        <v>-3.2406251893451923E-3</v>
      </c>
      <c r="P237" s="502">
        <v>-3.1770600146956577E-3</v>
      </c>
      <c r="Q237" s="502">
        <v>-3.4089792650316203E-3</v>
      </c>
      <c r="R237" s="502">
        <v>-3.2090578785144703E-3</v>
      </c>
    </row>
    <row r="238" spans="1:18">
      <c r="A238">
        <v>11</v>
      </c>
      <c r="B238" t="s">
        <v>555</v>
      </c>
      <c r="C238" t="s">
        <v>556</v>
      </c>
      <c r="D238" t="s">
        <v>524</v>
      </c>
      <c r="E238">
        <v>17</v>
      </c>
      <c r="F238" t="s">
        <v>515</v>
      </c>
      <c r="G238" t="s">
        <v>539</v>
      </c>
      <c r="H238" t="s">
        <v>555</v>
      </c>
      <c r="I238" s="72">
        <v>1.5722642126479052</v>
      </c>
      <c r="J238" s="72">
        <v>1.7342409947669433</v>
      </c>
      <c r="K238" s="72">
        <v>2.2001975456082064</v>
      </c>
      <c r="L238" s="72">
        <v>1.7849809690891363</v>
      </c>
      <c r="M238" s="72">
        <v>2.5250254137254768</v>
      </c>
      <c r="N238" s="502">
        <v>-2.5116685181374918E-2</v>
      </c>
      <c r="O238" s="502">
        <v>-2.3100308811868149E-2</v>
      </c>
      <c r="P238" s="502">
        <v>-2.2210544471881595E-2</v>
      </c>
      <c r="Q238" s="502">
        <v>-2.3782936345010202E-2</v>
      </c>
      <c r="R238" s="502">
        <v>-2.1853660973660857E-2</v>
      </c>
    </row>
    <row r="239" spans="1:18">
      <c r="A239">
        <v>12</v>
      </c>
      <c r="B239" t="s">
        <v>557</v>
      </c>
      <c r="C239" t="s">
        <v>558</v>
      </c>
      <c r="D239" t="s">
        <v>524</v>
      </c>
      <c r="E239">
        <v>18</v>
      </c>
      <c r="F239" t="s">
        <v>514</v>
      </c>
      <c r="G239" t="s">
        <v>525</v>
      </c>
      <c r="H239" t="s">
        <v>557</v>
      </c>
      <c r="I239" s="72">
        <v>0.53939363480482583</v>
      </c>
      <c r="J239" s="72">
        <v>0.59397762436044166</v>
      </c>
      <c r="K239" s="72">
        <v>0.76586553879855135</v>
      </c>
      <c r="L239" s="72">
        <v>0.61721292742416312</v>
      </c>
      <c r="M239" s="72">
        <v>0.87781434572724071</v>
      </c>
      <c r="N239" s="502">
        <v>-9.285538772926193E-3</v>
      </c>
      <c r="O239" s="502">
        <v>-8.6542003614162675E-3</v>
      </c>
      <c r="P239" s="502">
        <v>-8.3735640882054568E-3</v>
      </c>
      <c r="Q239" s="502">
        <v>-8.9552404030993696E-3</v>
      </c>
      <c r="R239" s="502">
        <v>-8.3155143486764727E-3</v>
      </c>
    </row>
    <row r="240" spans="1:18">
      <c r="A240">
        <v>13</v>
      </c>
      <c r="B240" t="s">
        <v>560</v>
      </c>
      <c r="C240" t="s">
        <v>561</v>
      </c>
      <c r="D240" t="s">
        <v>527</v>
      </c>
      <c r="E240">
        <v>10</v>
      </c>
      <c r="F240" t="s">
        <v>514</v>
      </c>
      <c r="G240" t="s">
        <v>525</v>
      </c>
      <c r="H240" t="s">
        <v>560</v>
      </c>
      <c r="I240" s="72">
        <v>0.43938399943930317</v>
      </c>
      <c r="J240" s="72">
        <v>0.51793126489849683</v>
      </c>
      <c r="K240" s="72">
        <v>0.49096282274926256</v>
      </c>
      <c r="L240" s="72">
        <v>0.40951140603332115</v>
      </c>
      <c r="M240" s="72">
        <v>0.42664993336602086</v>
      </c>
      <c r="N240" s="502">
        <v>7.3419070416797447E-3</v>
      </c>
      <c r="O240" s="502">
        <v>4.6787909929627723E-3</v>
      </c>
      <c r="P240" s="502">
        <v>9.2740110680299415E-3</v>
      </c>
      <c r="Q240" s="502">
        <v>1.4413402213848493E-2</v>
      </c>
      <c r="R240" s="502">
        <v>8.0849091070378572E-3</v>
      </c>
    </row>
    <row r="241" spans="1:18">
      <c r="A241">
        <v>14</v>
      </c>
      <c r="B241" t="s">
        <v>563</v>
      </c>
      <c r="C241" t="s">
        <v>564</v>
      </c>
      <c r="D241" t="s">
        <v>527</v>
      </c>
      <c r="E241">
        <v>11</v>
      </c>
      <c r="F241" t="s">
        <v>514</v>
      </c>
      <c r="G241" t="s">
        <v>543</v>
      </c>
      <c r="H241" t="s">
        <v>563</v>
      </c>
      <c r="I241" s="72">
        <v>0.59806930539650638</v>
      </c>
      <c r="J241" s="72">
        <v>0.70521486974913883</v>
      </c>
      <c r="K241" s="72">
        <v>0.67028909357329414</v>
      </c>
      <c r="L241" s="72">
        <v>0.55685633540818757</v>
      </c>
      <c r="M241" s="72">
        <v>0.58244754332923432</v>
      </c>
      <c r="N241" s="502">
        <v>1.0064568733918471E-2</v>
      </c>
      <c r="O241" s="502">
        <v>6.3708608436012547E-3</v>
      </c>
      <c r="P241" s="502">
        <v>1.2717496205891717E-2</v>
      </c>
      <c r="Q241" s="502">
        <v>1.9803771592008575E-2</v>
      </c>
      <c r="R241" s="502">
        <v>1.1075518258404962E-2</v>
      </c>
    </row>
    <row r="242" spans="1:18">
      <c r="A242">
        <v>15</v>
      </c>
      <c r="B242" t="s">
        <v>566</v>
      </c>
      <c r="C242" t="s">
        <v>567</v>
      </c>
      <c r="D242" t="s">
        <v>527</v>
      </c>
      <c r="E242">
        <v>12</v>
      </c>
      <c r="F242" t="s">
        <v>514</v>
      </c>
      <c r="G242" t="s">
        <v>568</v>
      </c>
      <c r="H242" t="s">
        <v>566</v>
      </c>
      <c r="I242" s="72">
        <v>0.63482196247780587</v>
      </c>
      <c r="J242" s="72">
        <v>0.74863554008064226</v>
      </c>
      <c r="K242" s="72">
        <v>0.71195466671476393</v>
      </c>
      <c r="L242" s="72">
        <v>0.59098120883185257</v>
      </c>
      <c r="M242" s="72">
        <v>0.61870004698925685</v>
      </c>
      <c r="N242" s="502">
        <v>1.0701603369557128E-2</v>
      </c>
      <c r="O242" s="502">
        <v>6.7634397170108634E-3</v>
      </c>
      <c r="P242" s="502">
        <v>1.3525225453599996E-2</v>
      </c>
      <c r="Q242" s="502">
        <v>2.1069377263539715E-2</v>
      </c>
      <c r="R242" s="502">
        <v>1.1775656372504424E-2</v>
      </c>
    </row>
    <row r="243" spans="1:18">
      <c r="A243">
        <v>16</v>
      </c>
      <c r="B243" t="s">
        <v>570</v>
      </c>
      <c r="C243" t="s">
        <v>571</v>
      </c>
      <c r="D243" t="s">
        <v>527</v>
      </c>
      <c r="E243">
        <v>13</v>
      </c>
      <c r="F243" t="s">
        <v>539</v>
      </c>
      <c r="G243" t="s">
        <v>543</v>
      </c>
      <c r="H243" t="s">
        <v>570</v>
      </c>
      <c r="I243" s="72">
        <v>4.3662759029467965E-2</v>
      </c>
      <c r="J243" s="72">
        <v>5.1541157287728519E-2</v>
      </c>
      <c r="K243" s="72">
        <v>4.9426090697352508E-2</v>
      </c>
      <c r="L243" s="72">
        <v>4.0536872230704749E-2</v>
      </c>
      <c r="M243" s="72">
        <v>4.299124974459223E-2</v>
      </c>
      <c r="N243" s="502">
        <v>7.5334845817851589E-4</v>
      </c>
      <c r="O243" s="502">
        <v>4.6564213045895749E-4</v>
      </c>
      <c r="P243" s="502">
        <v>9.5404664537774003E-4</v>
      </c>
      <c r="Q243" s="502">
        <v>1.4950180464587269E-3</v>
      </c>
      <c r="R243" s="502">
        <v>8.2753266476954417E-4</v>
      </c>
    </row>
    <row r="244" spans="1:18">
      <c r="A244">
        <v>17</v>
      </c>
      <c r="B244" t="s">
        <v>573</v>
      </c>
      <c r="C244" t="s">
        <v>574</v>
      </c>
      <c r="D244" t="s">
        <v>527</v>
      </c>
      <c r="E244">
        <v>14</v>
      </c>
      <c r="F244" t="s">
        <v>539</v>
      </c>
      <c r="G244" t="s">
        <v>568</v>
      </c>
      <c r="H244" t="s">
        <v>573</v>
      </c>
      <c r="I244" s="72">
        <v>8.0415416110767329E-2</v>
      </c>
      <c r="J244" s="72">
        <v>9.4961827619231651E-2</v>
      </c>
      <c r="K244" s="72">
        <v>9.1091663838822196E-2</v>
      </c>
      <c r="L244" s="72">
        <v>7.4661745654369741E-2</v>
      </c>
      <c r="M244" s="72">
        <v>7.9243753404614745E-2</v>
      </c>
      <c r="N244" s="502">
        <v>1.3903830938171748E-3</v>
      </c>
      <c r="O244" s="502">
        <v>8.5822100386856524E-4</v>
      </c>
      <c r="P244" s="502">
        <v>1.761775893086017E-3</v>
      </c>
      <c r="Q244" s="502">
        <v>2.7606237179898662E-3</v>
      </c>
      <c r="R244" s="502">
        <v>1.5276707788690045E-3</v>
      </c>
    </row>
    <row r="245" spans="1:18">
      <c r="A245">
        <v>18</v>
      </c>
      <c r="B245" t="s">
        <v>576</v>
      </c>
      <c r="C245" t="s">
        <v>577</v>
      </c>
      <c r="D245" t="s">
        <v>527</v>
      </c>
      <c r="E245">
        <v>15</v>
      </c>
      <c r="F245" t="s">
        <v>525</v>
      </c>
      <c r="G245" t="s">
        <v>539</v>
      </c>
      <c r="H245" t="s">
        <v>576</v>
      </c>
      <c r="I245" s="72">
        <v>0.11502254692773529</v>
      </c>
      <c r="J245" s="72">
        <v>0.1357424475629137</v>
      </c>
      <c r="K245" s="72">
        <v>0.12990018012667912</v>
      </c>
      <c r="L245" s="72">
        <v>0.10680805714416172</v>
      </c>
      <c r="M245" s="72">
        <v>0.11280636021862124</v>
      </c>
      <c r="N245" s="502">
        <v>1.9693132340602108E-3</v>
      </c>
      <c r="O245" s="502">
        <v>1.2264277201795245E-3</v>
      </c>
      <c r="P245" s="502">
        <v>2.489438492484038E-3</v>
      </c>
      <c r="Q245" s="502">
        <v>3.8953513317013556E-3</v>
      </c>
      <c r="R245" s="502">
        <v>2.1630764865975599E-3</v>
      </c>
    </row>
    <row r="246" spans="1:18">
      <c r="A246">
        <v>19</v>
      </c>
      <c r="B246" t="s">
        <v>579</v>
      </c>
      <c r="C246" t="s">
        <v>580</v>
      </c>
      <c r="D246" t="s">
        <v>527</v>
      </c>
      <c r="E246">
        <v>16</v>
      </c>
      <c r="F246" t="s">
        <v>525</v>
      </c>
      <c r="G246" t="s">
        <v>543</v>
      </c>
      <c r="H246" t="s">
        <v>579</v>
      </c>
      <c r="I246" s="72">
        <v>0.15868530595720326</v>
      </c>
      <c r="J246" s="72">
        <v>0.18728360485064222</v>
      </c>
      <c r="K246" s="72">
        <v>0.17932627082403163</v>
      </c>
      <c r="L246" s="72">
        <v>0.14734492937486648</v>
      </c>
      <c r="M246" s="72">
        <v>0.15579760996321346</v>
      </c>
      <c r="N246" s="502">
        <v>2.7226616922387268E-3</v>
      </c>
      <c r="O246" s="502">
        <v>1.6920698506384822E-3</v>
      </c>
      <c r="P246" s="502">
        <v>3.4434851378617785E-3</v>
      </c>
      <c r="Q246" s="502">
        <v>5.3903693781600821E-3</v>
      </c>
      <c r="R246" s="502">
        <v>2.9906091513671042E-3</v>
      </c>
    </row>
    <row r="247" spans="1:18">
      <c r="A247">
        <v>20</v>
      </c>
      <c r="B247" t="s">
        <v>582</v>
      </c>
      <c r="C247" t="s">
        <v>583</v>
      </c>
      <c r="D247" t="s">
        <v>527</v>
      </c>
      <c r="E247">
        <v>17</v>
      </c>
      <c r="F247" t="s">
        <v>525</v>
      </c>
      <c r="G247" t="s">
        <v>568</v>
      </c>
      <c r="H247" t="s">
        <v>582</v>
      </c>
      <c r="I247" s="72">
        <v>0.19543796303850261</v>
      </c>
      <c r="J247" s="72">
        <v>0.23070427518214537</v>
      </c>
      <c r="K247" s="72">
        <v>0.22099184396550131</v>
      </c>
      <c r="L247" s="72">
        <v>0.18146980279853148</v>
      </c>
      <c r="M247" s="72">
        <v>0.19205011362323596</v>
      </c>
      <c r="N247" s="502">
        <v>3.3596963278773855E-3</v>
      </c>
      <c r="O247" s="502">
        <v>2.0846487240480899E-3</v>
      </c>
      <c r="P247" s="502">
        <v>4.2512143855700547E-3</v>
      </c>
      <c r="Q247" s="502">
        <v>6.6559750496912214E-3</v>
      </c>
      <c r="R247" s="502">
        <v>3.6907472654665648E-3</v>
      </c>
    </row>
    <row r="248" spans="1:18">
      <c r="A248">
        <v>21</v>
      </c>
      <c r="B248" t="s">
        <v>585</v>
      </c>
      <c r="C248" t="s">
        <v>586</v>
      </c>
      <c r="D248" t="s">
        <v>527</v>
      </c>
      <c r="E248">
        <v>18</v>
      </c>
      <c r="F248" t="s">
        <v>543</v>
      </c>
      <c r="G248" t="s">
        <v>568</v>
      </c>
      <c r="H248" t="s">
        <v>585</v>
      </c>
      <c r="I248" s="72">
        <v>3.6752657081299364E-2</v>
      </c>
      <c r="J248" s="72">
        <v>4.3420670331503132E-2</v>
      </c>
      <c r="K248" s="72">
        <v>4.1665573141469681E-2</v>
      </c>
      <c r="L248" s="72">
        <v>3.4124873423664992E-2</v>
      </c>
      <c r="M248" s="72">
        <v>3.6252503660022507E-2</v>
      </c>
      <c r="N248" s="502">
        <v>6.3703463563865898E-4</v>
      </c>
      <c r="O248" s="502">
        <v>3.9257887340960769E-4</v>
      </c>
      <c r="P248" s="502">
        <v>8.0772924770827672E-4</v>
      </c>
      <c r="Q248" s="502">
        <v>1.265605671531139E-3</v>
      </c>
      <c r="R248" s="502">
        <v>7.0013811409946013E-4</v>
      </c>
    </row>
    <row r="249" spans="1:18">
      <c r="A249">
        <v>22</v>
      </c>
      <c r="B249" t="s">
        <v>587</v>
      </c>
      <c r="C249" t="s">
        <v>588</v>
      </c>
      <c r="D249" t="s">
        <v>174</v>
      </c>
      <c r="E249">
        <v>10</v>
      </c>
      <c r="F249" t="s">
        <v>589</v>
      </c>
      <c r="G249" t="s">
        <v>590</v>
      </c>
      <c r="H249" t="s">
        <v>587</v>
      </c>
      <c r="I249" s="72">
        <v>-6.4183557308951897</v>
      </c>
      <c r="J249" s="72">
        <v>-7.0769072213484208</v>
      </c>
      <c r="K249" s="72">
        <v>-11.0809468004958</v>
      </c>
      <c r="L249" s="72">
        <v>-8.208327033077417</v>
      </c>
      <c r="M249" s="72">
        <v>-13.625053060232888</v>
      </c>
      <c r="N249" s="502">
        <v>-0.10362114371607718</v>
      </c>
      <c r="O249" s="502">
        <v>-7.1046036337391566E-2</v>
      </c>
      <c r="P249" s="502">
        <v>-0.11956957958191103</v>
      </c>
      <c r="Q249" s="502">
        <v>-0.17742126480499054</v>
      </c>
      <c r="R249" s="502">
        <v>-9.3560527566613941E-2</v>
      </c>
    </row>
    <row r="250" spans="1:18">
      <c r="A250">
        <v>23</v>
      </c>
      <c r="B250" t="s">
        <v>591</v>
      </c>
      <c r="C250" t="s">
        <v>592</v>
      </c>
      <c r="D250" t="s">
        <v>174</v>
      </c>
      <c r="E250">
        <v>11</v>
      </c>
      <c r="F250" t="s">
        <v>589</v>
      </c>
      <c r="G250" t="s">
        <v>593</v>
      </c>
      <c r="H250" t="s">
        <v>591</v>
      </c>
      <c r="I250" s="72">
        <v>-5.2687867138052367</v>
      </c>
      <c r="J250" s="72">
        <v>-5.816110265627267</v>
      </c>
      <c r="K250" s="72">
        <v>-9.1694080836200005</v>
      </c>
      <c r="L250" s="72">
        <v>-6.7281173200393551</v>
      </c>
      <c r="M250" s="72">
        <v>-11.348364477386625</v>
      </c>
      <c r="N250" s="502">
        <v>-0.10331912531447122</v>
      </c>
      <c r="O250" s="502">
        <v>-7.2682439689768327E-2</v>
      </c>
      <c r="P250" s="502">
        <v>-0.11685121743576095</v>
      </c>
      <c r="Q250" s="502">
        <v>-0.17123808636740734</v>
      </c>
      <c r="R250" s="502">
        <v>-9.2554267988805575E-2</v>
      </c>
    </row>
    <row r="251" spans="1:18">
      <c r="A251">
        <v>24</v>
      </c>
      <c r="B251" t="s">
        <v>594</v>
      </c>
      <c r="C251" t="s">
        <v>595</v>
      </c>
      <c r="D251" t="s">
        <v>174</v>
      </c>
      <c r="E251">
        <v>12</v>
      </c>
      <c r="F251" t="s">
        <v>589</v>
      </c>
      <c r="G251" t="s">
        <v>596</v>
      </c>
      <c r="H251" t="s">
        <v>594</v>
      </c>
      <c r="I251" s="72">
        <v>0</v>
      </c>
      <c r="J251" s="72">
        <v>0</v>
      </c>
      <c r="K251" s="72">
        <v>0</v>
      </c>
      <c r="L251" s="72">
        <v>0</v>
      </c>
      <c r="M251" s="72">
        <v>0</v>
      </c>
      <c r="N251" s="502">
        <v>0</v>
      </c>
      <c r="O251" s="502">
        <v>0</v>
      </c>
      <c r="P251" s="502">
        <v>0</v>
      </c>
      <c r="Q251" s="502">
        <v>0</v>
      </c>
      <c r="R251" s="502">
        <v>0</v>
      </c>
    </row>
    <row r="252" spans="1:18">
      <c r="A252">
        <v>25</v>
      </c>
      <c r="B252" t="s">
        <v>597</v>
      </c>
      <c r="C252" t="s">
        <v>598</v>
      </c>
      <c r="D252" t="s">
        <v>174</v>
      </c>
      <c r="E252">
        <v>13</v>
      </c>
      <c r="F252" t="s">
        <v>589</v>
      </c>
      <c r="G252" t="s">
        <v>599</v>
      </c>
      <c r="H252" t="s">
        <v>597</v>
      </c>
      <c r="I252" s="72">
        <v>-3.1397428113427619</v>
      </c>
      <c r="J252" s="72">
        <v>-3.4722856870981369</v>
      </c>
      <c r="K252" s="72">
        <v>-5.5721945929136654</v>
      </c>
      <c r="L252" s="72">
        <v>-3.982975892606901</v>
      </c>
      <c r="M252" s="72">
        <v>-7.021035818974342</v>
      </c>
      <c r="N252" s="502">
        <v>-9.7750629835456349E-2</v>
      </c>
      <c r="O252" s="502">
        <v>-7.19718585367667E-2</v>
      </c>
      <c r="P252" s="502">
        <v>-0.10619677490764605</v>
      </c>
      <c r="Q252" s="502">
        <v>-0.15202283100613206</v>
      </c>
      <c r="R252" s="502">
        <v>-8.6309441437529236E-2</v>
      </c>
    </row>
    <row r="253" spans="1:18">
      <c r="A253">
        <v>26</v>
      </c>
      <c r="B253" t="s">
        <v>600</v>
      </c>
      <c r="C253" t="s">
        <v>601</v>
      </c>
      <c r="D253" t="s">
        <v>174</v>
      </c>
      <c r="E253">
        <v>14</v>
      </c>
      <c r="F253" t="s">
        <v>589</v>
      </c>
      <c r="G253" t="s">
        <v>602</v>
      </c>
      <c r="H253" t="s">
        <v>600</v>
      </c>
      <c r="I253" s="72">
        <v>-1.8902131500437913</v>
      </c>
      <c r="J253" s="72">
        <v>-2.0989808980162978</v>
      </c>
      <c r="K253" s="72">
        <v>-3.4369071093419152</v>
      </c>
      <c r="L253" s="72">
        <v>-2.3351654675013647</v>
      </c>
      <c r="M253" s="72">
        <v>-4.4508035708516758</v>
      </c>
      <c r="N253" s="502">
        <v>-0.10614145657364139</v>
      </c>
      <c r="O253" s="502">
        <v>-8.1583582512030503E-2</v>
      </c>
      <c r="P253" s="502">
        <v>-0.11149636762004078</v>
      </c>
      <c r="Q253" s="502">
        <v>-0.15609700108659691</v>
      </c>
      <c r="R253" s="502">
        <v>-9.2932612331115161E-2</v>
      </c>
    </row>
    <row r="254" spans="1:18">
      <c r="A254">
        <v>27</v>
      </c>
      <c r="B254" t="s">
        <v>603</v>
      </c>
      <c r="C254" t="s">
        <v>604</v>
      </c>
      <c r="D254" t="s">
        <v>174</v>
      </c>
      <c r="E254">
        <v>15</v>
      </c>
      <c r="F254" t="s">
        <v>605</v>
      </c>
      <c r="G254" t="s">
        <v>590</v>
      </c>
      <c r="H254" t="s">
        <v>603</v>
      </c>
      <c r="I254" s="72">
        <v>1.0860528830098295</v>
      </c>
      <c r="J254" s="72">
        <v>1.2559692778929805</v>
      </c>
      <c r="K254" s="72">
        <v>2.0081019434568086</v>
      </c>
      <c r="L254" s="72">
        <v>1.1889630647350884</v>
      </c>
      <c r="M254" s="72">
        <v>2.7721996267480851</v>
      </c>
      <c r="N254" s="502">
        <v>0.16648534795959755</v>
      </c>
      <c r="O254" s="502">
        <v>0.13902237824056107</v>
      </c>
      <c r="P254" s="502">
        <v>0.17632922005707979</v>
      </c>
      <c r="Q254" s="502">
        <v>0.23229834965348597</v>
      </c>
      <c r="R254" s="502">
        <v>0.15373555161514391</v>
      </c>
    </row>
    <row r="255" spans="1:18">
      <c r="A255">
        <v>28</v>
      </c>
      <c r="B255" t="s">
        <v>606</v>
      </c>
      <c r="C255" t="s">
        <v>607</v>
      </c>
      <c r="D255" t="s">
        <v>174</v>
      </c>
      <c r="E255">
        <v>16</v>
      </c>
      <c r="F255" t="s">
        <v>605</v>
      </c>
      <c r="G255" t="s">
        <v>593</v>
      </c>
      <c r="H255" t="s">
        <v>606</v>
      </c>
      <c r="I255" s="72">
        <v>2.2356219000997828</v>
      </c>
      <c r="J255" s="72">
        <v>2.5167662336141343</v>
      </c>
      <c r="K255" s="72">
        <v>3.9196406603326093</v>
      </c>
      <c r="L255" s="72">
        <v>2.66917277777315</v>
      </c>
      <c r="M255" s="72">
        <v>5.0488882095943488</v>
      </c>
      <c r="N255" s="502">
        <v>0.16678736636120348</v>
      </c>
      <c r="O255" s="502">
        <v>0.13738597488818427</v>
      </c>
      <c r="P255" s="502">
        <v>0.17904758220322986</v>
      </c>
      <c r="Q255" s="502">
        <v>0.23848152809106912</v>
      </c>
      <c r="R255" s="502">
        <v>0.15474181119295224</v>
      </c>
    </row>
    <row r="256" spans="1:18">
      <c r="A256">
        <v>29</v>
      </c>
      <c r="B256" t="s">
        <v>608</v>
      </c>
      <c r="C256" t="s">
        <v>609</v>
      </c>
      <c r="D256" t="s">
        <v>174</v>
      </c>
      <c r="E256">
        <v>17</v>
      </c>
      <c r="F256" t="s">
        <v>605</v>
      </c>
      <c r="G256" t="s">
        <v>596</v>
      </c>
      <c r="H256" t="s">
        <v>608</v>
      </c>
      <c r="I256" s="72">
        <v>7.5044086139050181</v>
      </c>
      <c r="J256" s="72">
        <v>8.3328764992414008</v>
      </c>
      <c r="K256" s="72">
        <v>13.089048743952612</v>
      </c>
      <c r="L256" s="72">
        <v>9.3972900978125047</v>
      </c>
      <c r="M256" s="72">
        <v>16.397252686980973</v>
      </c>
      <c r="N256" s="502">
        <v>0.27010649167567474</v>
      </c>
      <c r="O256" s="502">
        <v>0.21006841457795264</v>
      </c>
      <c r="P256" s="502">
        <v>0.29589879963899079</v>
      </c>
      <c r="Q256" s="502">
        <v>0.40971961445847649</v>
      </c>
      <c r="R256" s="502">
        <v>0.24729607918175786</v>
      </c>
    </row>
    <row r="257" spans="1:18">
      <c r="A257">
        <v>30</v>
      </c>
      <c r="B257" t="s">
        <v>610</v>
      </c>
      <c r="C257" t="s">
        <v>611</v>
      </c>
      <c r="D257" t="s">
        <v>174</v>
      </c>
      <c r="E257">
        <v>18</v>
      </c>
      <c r="F257" t="s">
        <v>605</v>
      </c>
      <c r="G257" t="s">
        <v>599</v>
      </c>
      <c r="H257" t="s">
        <v>610</v>
      </c>
      <c r="I257" s="72">
        <v>4.3646658025622571</v>
      </c>
      <c r="J257" s="72">
        <v>4.8605908121432648</v>
      </c>
      <c r="K257" s="72">
        <v>7.5168541510389471</v>
      </c>
      <c r="L257" s="72">
        <v>5.4143142052056046</v>
      </c>
      <c r="M257" s="72">
        <v>9.3762168680066296</v>
      </c>
      <c r="N257" s="502">
        <v>0.17235586184021837</v>
      </c>
      <c r="O257" s="502">
        <v>0.13809655604118592</v>
      </c>
      <c r="P257" s="502">
        <v>0.18970202473134473</v>
      </c>
      <c r="Q257" s="502">
        <v>0.25769678345234437</v>
      </c>
      <c r="R257" s="502">
        <v>0.16098663774422861</v>
      </c>
    </row>
    <row r="258" spans="1:18">
      <c r="A258">
        <v>31</v>
      </c>
      <c r="B258" t="s">
        <v>613</v>
      </c>
      <c r="C258" t="s">
        <v>614</v>
      </c>
      <c r="D258" t="s">
        <v>174</v>
      </c>
      <c r="E258">
        <v>19</v>
      </c>
      <c r="F258" t="s">
        <v>590</v>
      </c>
      <c r="G258" t="s">
        <v>615</v>
      </c>
      <c r="H258" t="s">
        <v>613</v>
      </c>
      <c r="I258" s="72">
        <v>2.8205955085136365</v>
      </c>
      <c r="J258" s="72">
        <v>3.098610882707987</v>
      </c>
      <c r="K258" s="72">
        <v>4.7303724153263378</v>
      </c>
      <c r="L258" s="72">
        <v>3.6302056321287508</v>
      </c>
      <c r="M258" s="72">
        <v>5.6638317498215178</v>
      </c>
      <c r="N258" s="502">
        <v>5.2882761134142925E-3</v>
      </c>
      <c r="O258" s="502">
        <v>-5.3201019781653374E-4</v>
      </c>
      <c r="P258" s="502">
        <v>1.1635582085906711E-2</v>
      </c>
      <c r="Q258" s="502">
        <v>2.1979964784696396E-2</v>
      </c>
      <c r="R258" s="502">
        <v>6.4535002087659429E-3</v>
      </c>
    </row>
    <row r="259" spans="1:18">
      <c r="A259">
        <v>32</v>
      </c>
      <c r="B259" t="s">
        <v>617</v>
      </c>
      <c r="C259" t="s">
        <v>618</v>
      </c>
      <c r="D259" t="s">
        <v>174</v>
      </c>
      <c r="E259">
        <v>20</v>
      </c>
      <c r="F259" t="s">
        <v>619</v>
      </c>
      <c r="G259" t="s">
        <v>615</v>
      </c>
      <c r="H259" t="s">
        <v>617</v>
      </c>
      <c r="I259" s="72">
        <v>21.078718237669342</v>
      </c>
      <c r="J259" s="72">
        <v>23.054770652856433</v>
      </c>
      <c r="K259" s="72">
        <v>34.062853313167992</v>
      </c>
      <c r="L259" s="72">
        <v>26.874297523926895</v>
      </c>
      <c r="M259" s="72">
        <v>40.786648667650496</v>
      </c>
      <c r="N259" s="502">
        <v>0.10647141333116174</v>
      </c>
      <c r="O259" s="502">
        <v>6.2089692602494043E-2</v>
      </c>
      <c r="P259" s="502">
        <v>0.14324556762310786</v>
      </c>
      <c r="Q259" s="502">
        <v>0.21616163230427732</v>
      </c>
      <c r="R259" s="502">
        <v>0.11294822180098626</v>
      </c>
    </row>
    <row r="260" spans="1:18">
      <c r="A260">
        <v>33</v>
      </c>
      <c r="B260" t="s">
        <v>621</v>
      </c>
      <c r="C260" t="s">
        <v>622</v>
      </c>
      <c r="D260" t="s">
        <v>174</v>
      </c>
      <c r="E260">
        <v>21</v>
      </c>
      <c r="F260" t="s">
        <v>623</v>
      </c>
      <c r="G260" t="s">
        <v>615</v>
      </c>
      <c r="H260" t="s">
        <v>621</v>
      </c>
      <c r="I260" s="72">
        <v>12.309211330938773</v>
      </c>
      <c r="J260" s="72">
        <v>13.511365901516934</v>
      </c>
      <c r="K260" s="72">
        <v>20.334843580962243</v>
      </c>
      <c r="L260" s="72">
        <v>15.627598907684703</v>
      </c>
      <c r="M260" s="72">
        <v>24.636664840955845</v>
      </c>
      <c r="N260" s="502">
        <v>0.15609229649953252</v>
      </c>
      <c r="O260" s="502">
        <v>0.11320874194238129</v>
      </c>
      <c r="P260" s="502">
        <v>0.18442344521316001</v>
      </c>
      <c r="Q260" s="502">
        <v>0.26175580181884661</v>
      </c>
      <c r="R260" s="502">
        <v>0.15215933097871262</v>
      </c>
    </row>
    <row r="261" spans="1:18">
      <c r="A261">
        <v>34</v>
      </c>
      <c r="B261" t="s">
        <v>625</v>
      </c>
      <c r="C261" t="s">
        <v>626</v>
      </c>
      <c r="D261" t="s">
        <v>174</v>
      </c>
      <c r="E261">
        <v>22</v>
      </c>
      <c r="F261" t="s">
        <v>619</v>
      </c>
      <c r="G261" t="s">
        <v>593</v>
      </c>
      <c r="H261" t="s">
        <v>625</v>
      </c>
      <c r="I261" s="72">
        <v>19.407691746245664</v>
      </c>
      <c r="J261" s="72">
        <v>21.216956725869604</v>
      </c>
      <c r="K261" s="72">
        <v>31.244019614717452</v>
      </c>
      <c r="L261" s="72">
        <v>24.72430160483621</v>
      </c>
      <c r="M261" s="72">
        <v>37.399505500675247</v>
      </c>
      <c r="N261" s="502">
        <v>0.10148515561935338</v>
      </c>
      <c r="O261" s="502">
        <v>6.0985299447933815E-2</v>
      </c>
      <c r="P261" s="502">
        <v>0.13432834768335122</v>
      </c>
      <c r="Q261" s="502">
        <v>0.20036484595716414</v>
      </c>
      <c r="R261" s="502">
        <v>0.10750098117002868</v>
      </c>
    </row>
    <row r="262" spans="1:18">
      <c r="A262">
        <v>35</v>
      </c>
      <c r="B262" t="s">
        <v>628</v>
      </c>
      <c r="C262" t="s">
        <v>629</v>
      </c>
      <c r="D262" t="s">
        <v>174</v>
      </c>
      <c r="E262">
        <v>23</v>
      </c>
      <c r="F262" t="s">
        <v>623</v>
      </c>
      <c r="G262" t="s">
        <v>593</v>
      </c>
      <c r="H262" t="s">
        <v>628</v>
      </c>
      <c r="I262" s="72">
        <v>10.638184839515088</v>
      </c>
      <c r="J262" s="72">
        <v>11.673551974530103</v>
      </c>
      <c r="K262" s="72">
        <v>17.516009882511707</v>
      </c>
      <c r="L262" s="72">
        <v>13.477602988594013</v>
      </c>
      <c r="M262" s="72">
        <v>21.249521673980595</v>
      </c>
      <c r="N262" s="502">
        <v>0.15110603878772419</v>
      </c>
      <c r="O262" s="502">
        <v>0.11210434878782102</v>
      </c>
      <c r="P262" s="502">
        <v>0.17550622527340337</v>
      </c>
      <c r="Q262" s="502">
        <v>0.24595901547173335</v>
      </c>
      <c r="R262" s="502">
        <v>0.14671209034775501</v>
      </c>
    </row>
    <row r="263" spans="1:18">
      <c r="A263">
        <v>36</v>
      </c>
      <c r="B263" t="s">
        <v>631</v>
      </c>
      <c r="C263" t="s">
        <v>632</v>
      </c>
      <c r="D263" t="s">
        <v>174</v>
      </c>
      <c r="E263">
        <v>24</v>
      </c>
      <c r="F263" t="s">
        <v>590</v>
      </c>
      <c r="G263" t="s">
        <v>593</v>
      </c>
      <c r="H263" t="s">
        <v>631</v>
      </c>
      <c r="I263" s="72">
        <v>1.1495690170899533</v>
      </c>
      <c r="J263" s="72">
        <v>1.2607969557211536</v>
      </c>
      <c r="K263" s="72">
        <v>1.9115387168758013</v>
      </c>
      <c r="L263" s="72">
        <v>1.4802097130380611</v>
      </c>
      <c r="M263" s="72">
        <v>2.2766885828462637</v>
      </c>
      <c r="N263" s="502">
        <v>3.0201840160594737E-4</v>
      </c>
      <c r="O263" s="502">
        <v>-1.636403352376771E-3</v>
      </c>
      <c r="P263" s="502">
        <v>2.7183621461500805E-3</v>
      </c>
      <c r="Q263" s="502">
        <v>6.1831784375831833E-3</v>
      </c>
      <c r="R263" s="502">
        <v>1.0062595778083613E-3</v>
      </c>
    </row>
    <row r="264" spans="1:18">
      <c r="A264">
        <v>37</v>
      </c>
      <c r="B264" t="s">
        <v>633</v>
      </c>
      <c r="C264" t="s">
        <v>634</v>
      </c>
      <c r="D264" t="s">
        <v>58</v>
      </c>
      <c r="E264">
        <v>10</v>
      </c>
      <c r="F264" t="s">
        <v>635</v>
      </c>
      <c r="G264" t="s">
        <v>177</v>
      </c>
      <c r="H264" t="s">
        <v>633</v>
      </c>
      <c r="I264" s="72">
        <v>0</v>
      </c>
      <c r="J264" s="72">
        <v>0</v>
      </c>
      <c r="K264" s="72">
        <v>0</v>
      </c>
      <c r="L264" s="72">
        <v>0</v>
      </c>
      <c r="M264" s="72">
        <v>0</v>
      </c>
      <c r="N264" s="502">
        <v>0</v>
      </c>
      <c r="O264" s="502">
        <v>0</v>
      </c>
      <c r="P264" s="502">
        <v>0</v>
      </c>
      <c r="Q264" s="502">
        <v>0</v>
      </c>
      <c r="R264" s="502">
        <v>0</v>
      </c>
    </row>
    <row r="265" spans="1:18">
      <c r="A265">
        <v>38</v>
      </c>
      <c r="B265" t="s">
        <v>637</v>
      </c>
      <c r="C265" t="s">
        <v>638</v>
      </c>
      <c r="D265" t="s">
        <v>58</v>
      </c>
      <c r="E265">
        <v>11</v>
      </c>
      <c r="F265" t="s">
        <v>635</v>
      </c>
      <c r="G265" t="s">
        <v>639</v>
      </c>
      <c r="H265" t="s">
        <v>637</v>
      </c>
      <c r="I265" s="72">
        <v>0</v>
      </c>
      <c r="J265" s="72">
        <v>0</v>
      </c>
      <c r="K265" s="72">
        <v>0</v>
      </c>
      <c r="L265" s="72">
        <v>0</v>
      </c>
      <c r="M265" s="72">
        <v>0</v>
      </c>
      <c r="N265" s="502">
        <v>0</v>
      </c>
      <c r="O265" s="502">
        <v>0</v>
      </c>
      <c r="P265" s="502">
        <v>0</v>
      </c>
      <c r="Q265" s="502">
        <v>0</v>
      </c>
      <c r="R265" s="502">
        <v>0</v>
      </c>
    </row>
    <row r="266" spans="1:18">
      <c r="A266">
        <v>39</v>
      </c>
      <c r="B266" t="s">
        <v>641</v>
      </c>
      <c r="C266" t="s">
        <v>642</v>
      </c>
      <c r="D266" t="s">
        <v>58</v>
      </c>
      <c r="E266">
        <v>12</v>
      </c>
      <c r="F266" t="s">
        <v>177</v>
      </c>
      <c r="G266" t="s">
        <v>639</v>
      </c>
      <c r="H266" t="s">
        <v>641</v>
      </c>
      <c r="I266" s="72">
        <v>0</v>
      </c>
      <c r="J266" s="72">
        <v>0</v>
      </c>
      <c r="K266" s="72">
        <v>0</v>
      </c>
      <c r="L266" s="72">
        <v>0</v>
      </c>
      <c r="M266" s="72">
        <v>0</v>
      </c>
      <c r="N266" s="502">
        <v>0</v>
      </c>
      <c r="O266" s="502">
        <v>0</v>
      </c>
      <c r="P266" s="502">
        <v>0</v>
      </c>
      <c r="Q266" s="502">
        <v>0</v>
      </c>
      <c r="R266" s="502">
        <v>0</v>
      </c>
    </row>
    <row r="267" spans="1:18" ht="15">
      <c r="A267" s="66">
        <v>40</v>
      </c>
      <c r="B267" s="66" t="s">
        <v>644</v>
      </c>
      <c r="C267" s="66" t="s">
        <v>645</v>
      </c>
      <c r="D267" s="66" t="s">
        <v>528</v>
      </c>
      <c r="E267" s="66">
        <v>10</v>
      </c>
      <c r="F267" s="66" t="s">
        <v>646</v>
      </c>
      <c r="G267" s="66" t="s">
        <v>647</v>
      </c>
      <c r="H267" s="66" t="s">
        <v>644</v>
      </c>
      <c r="I267" s="463">
        <v>488.24961243240028</v>
      </c>
      <c r="J267" s="463">
        <v>562.81167066405089</v>
      </c>
      <c r="K267" s="463">
        <v>1591.9157882787829</v>
      </c>
      <c r="L267" s="463">
        <v>1049.5382066109319</v>
      </c>
      <c r="M267" s="463">
        <v>2315.1063670239541</v>
      </c>
      <c r="N267" s="503">
        <v>33.00556265121709</v>
      </c>
      <c r="O267" s="503">
        <v>15.521866211837239</v>
      </c>
      <c r="P267" s="503">
        <v>38.980069883596911</v>
      </c>
      <c r="Q267" s="503">
        <v>81.091616506426547</v>
      </c>
      <c r="R267" s="503">
        <v>26.784718342261296</v>
      </c>
    </row>
    <row r="268" spans="1:18" ht="15">
      <c r="A268" s="66">
        <v>41</v>
      </c>
      <c r="B268" s="66" t="s">
        <v>649</v>
      </c>
      <c r="C268" s="66" t="s">
        <v>650</v>
      </c>
      <c r="D268" s="66" t="s">
        <v>529</v>
      </c>
      <c r="E268" s="66">
        <v>10</v>
      </c>
      <c r="F268" s="66" t="s">
        <v>514</v>
      </c>
      <c r="G268" s="66" t="s">
        <v>651</v>
      </c>
      <c r="H268" s="66" t="s">
        <v>649</v>
      </c>
      <c r="I268" s="463">
        <v>54.630827774772825</v>
      </c>
      <c r="J268" s="463">
        <v>62.968740065689481</v>
      </c>
      <c r="K268" s="463">
        <v>115.17027264107226</v>
      </c>
      <c r="L268" s="463">
        <v>82.944318799046414</v>
      </c>
      <c r="M268" s="463">
        <v>141.89240135659409</v>
      </c>
      <c r="N268" s="503">
        <v>2.1328952100437157</v>
      </c>
      <c r="O268" s="503">
        <v>1.0868119088951751</v>
      </c>
      <c r="P268" s="503">
        <v>2.5315350964363219</v>
      </c>
      <c r="Q268" s="503">
        <v>4.689561654553561</v>
      </c>
      <c r="R268" s="503">
        <v>1.7957795234653462</v>
      </c>
    </row>
    <row r="269" spans="1:18" ht="15">
      <c r="A269" s="66">
        <v>42</v>
      </c>
      <c r="B269" s="66" t="s">
        <v>653</v>
      </c>
      <c r="C269" s="66" t="s">
        <v>654</v>
      </c>
      <c r="D269" s="66" t="s">
        <v>529</v>
      </c>
      <c r="E269" s="66">
        <v>11</v>
      </c>
      <c r="F269" s="66" t="s">
        <v>514</v>
      </c>
      <c r="G269" s="66" t="s">
        <v>515</v>
      </c>
      <c r="H269" s="66" t="s">
        <v>653</v>
      </c>
      <c r="I269" s="463">
        <v>75.155546852353027</v>
      </c>
      <c r="J269" s="463">
        <v>86.514180197471617</v>
      </c>
      <c r="K269" s="463">
        <v>159.35808253770853</v>
      </c>
      <c r="L269" s="463">
        <v>114.61198000977978</v>
      </c>
      <c r="M269" s="463">
        <v>197.02839890763579</v>
      </c>
      <c r="N269" s="503">
        <v>2.9563783469861971</v>
      </c>
      <c r="O269" s="503">
        <v>1.5017981181945117</v>
      </c>
      <c r="P269" s="503">
        <v>3.4947764043253664</v>
      </c>
      <c r="Q269" s="503">
        <v>6.5376030472415261</v>
      </c>
      <c r="R269" s="503">
        <v>2.4723543367876459</v>
      </c>
    </row>
    <row r="270" spans="1:18" ht="15">
      <c r="A270" s="66">
        <v>43</v>
      </c>
      <c r="B270" s="66" t="s">
        <v>656</v>
      </c>
      <c r="C270" s="66" t="s">
        <v>657</v>
      </c>
      <c r="D270" s="66" t="s">
        <v>529</v>
      </c>
      <c r="E270" s="66">
        <v>12</v>
      </c>
      <c r="F270" s="66" t="s">
        <v>651</v>
      </c>
      <c r="G270" s="66" t="s">
        <v>515</v>
      </c>
      <c r="H270" s="66" t="s">
        <v>656</v>
      </c>
      <c r="I270" s="463">
        <v>20.524719077580212</v>
      </c>
      <c r="J270" s="463">
        <v>23.545440131782136</v>
      </c>
      <c r="K270" s="463">
        <v>44.187809896636267</v>
      </c>
      <c r="L270" s="463">
        <v>31.667661210733371</v>
      </c>
      <c r="M270" s="463">
        <v>55.135997551041726</v>
      </c>
      <c r="N270" s="503">
        <v>0.82348313694248076</v>
      </c>
      <c r="O270" s="503">
        <v>0.41498620929933644</v>
      </c>
      <c r="P270" s="503">
        <v>0.96324130788904416</v>
      </c>
      <c r="Q270" s="503">
        <v>1.8480413926879646</v>
      </c>
      <c r="R270" s="503">
        <v>0.67657481332229963</v>
      </c>
    </row>
    <row r="271" spans="1:18" ht="15">
      <c r="A271" s="504">
        <v>44</v>
      </c>
      <c r="B271" s="504" t="s">
        <v>659</v>
      </c>
      <c r="C271" s="504" t="s">
        <v>660</v>
      </c>
      <c r="D271" s="504" t="s">
        <v>530</v>
      </c>
      <c r="E271" s="504">
        <v>10</v>
      </c>
      <c r="F271" s="504" t="s">
        <v>661</v>
      </c>
      <c r="G271" s="504" t="s">
        <v>662</v>
      </c>
      <c r="H271" s="504" t="s">
        <v>659</v>
      </c>
      <c r="I271" s="505">
        <v>391.16947860962534</v>
      </c>
      <c r="J271" s="505">
        <v>422.19727081741758</v>
      </c>
      <c r="K271" s="505">
        <v>636.32127960274897</v>
      </c>
      <c r="L271" s="505">
        <v>457.86059587471328</v>
      </c>
      <c r="M271" s="505">
        <v>677.04872039725001</v>
      </c>
      <c r="N271" s="506">
        <v>0</v>
      </c>
      <c r="O271" s="506">
        <v>0</v>
      </c>
      <c r="P271" s="506">
        <v>0</v>
      </c>
      <c r="Q271" s="506">
        <v>0</v>
      </c>
      <c r="R271" s="506">
        <v>0</v>
      </c>
    </row>
    <row r="272" spans="1:18" ht="15">
      <c r="A272" s="504">
        <v>45</v>
      </c>
      <c r="B272" s="504" t="s">
        <v>664</v>
      </c>
      <c r="C272" s="504" t="s">
        <v>665</v>
      </c>
      <c r="D272" s="504" t="s">
        <v>530</v>
      </c>
      <c r="E272" s="504">
        <v>11</v>
      </c>
      <c r="F272" s="504" t="s">
        <v>661</v>
      </c>
      <c r="G272" s="504" t="s">
        <v>666</v>
      </c>
      <c r="H272" s="504" t="s">
        <v>664</v>
      </c>
      <c r="I272" s="505">
        <v>570.98477272727246</v>
      </c>
      <c r="J272" s="505">
        <v>616.13256493506492</v>
      </c>
      <c r="K272" s="505">
        <v>942.93422077921957</v>
      </c>
      <c r="L272" s="505">
        <v>678.6288311688312</v>
      </c>
      <c r="M272" s="505">
        <v>997.93577922077839</v>
      </c>
      <c r="N272" s="506">
        <v>217.66098282321417</v>
      </c>
      <c r="O272" s="506">
        <v>133.55955474642852</v>
      </c>
      <c r="P272" s="506">
        <v>194.24091801249986</v>
      </c>
      <c r="Q272" s="506">
        <v>306.36770243571425</v>
      </c>
      <c r="R272" s="506">
        <v>146.59124797321417</v>
      </c>
    </row>
    <row r="273" spans="1:18" ht="15">
      <c r="A273" s="504">
        <v>46</v>
      </c>
      <c r="B273" s="504" t="s">
        <v>668</v>
      </c>
      <c r="C273" s="504" t="s">
        <v>669</v>
      </c>
      <c r="D273" s="504" t="s">
        <v>530</v>
      </c>
      <c r="E273" s="504">
        <v>12</v>
      </c>
      <c r="F273" s="504" t="s">
        <v>661</v>
      </c>
      <c r="G273" s="504" t="s">
        <v>670</v>
      </c>
      <c r="H273" s="504" t="s">
        <v>668</v>
      </c>
      <c r="I273" s="505">
        <v>272.75452882483273</v>
      </c>
      <c r="J273" s="505">
        <v>294.48378444725938</v>
      </c>
      <c r="K273" s="505">
        <v>434.40544029141398</v>
      </c>
      <c r="L273" s="505">
        <v>312.47663604687943</v>
      </c>
      <c r="M273" s="505">
        <v>465.73285239151011</v>
      </c>
      <c r="N273" s="506">
        <v>0</v>
      </c>
      <c r="O273" s="506">
        <v>0</v>
      </c>
      <c r="P273" s="506">
        <v>0</v>
      </c>
      <c r="Q273" s="506">
        <v>0</v>
      </c>
      <c r="R273" s="506">
        <v>0</v>
      </c>
    </row>
    <row r="274" spans="1:18" ht="15">
      <c r="A274" s="504">
        <v>47</v>
      </c>
      <c r="B274" s="504" t="s">
        <v>672</v>
      </c>
      <c r="C274" s="504" t="s">
        <v>673</v>
      </c>
      <c r="D274" s="504" t="s">
        <v>531</v>
      </c>
      <c r="E274" s="504">
        <v>10</v>
      </c>
      <c r="F274" s="504" t="s">
        <v>674</v>
      </c>
      <c r="G274" s="504" t="s">
        <v>176</v>
      </c>
      <c r="H274" s="504" t="s">
        <v>672</v>
      </c>
      <c r="I274" s="505">
        <v>433.24794117647059</v>
      </c>
      <c r="J274" s="505">
        <v>493.67058823529442</v>
      </c>
      <c r="K274" s="505">
        <v>1955.7769117647063</v>
      </c>
      <c r="L274" s="505">
        <v>1253.5526470588236</v>
      </c>
      <c r="M274" s="505">
        <v>2896.7430882352933</v>
      </c>
      <c r="N274" s="415">
        <v>-11.482310700000033</v>
      </c>
      <c r="O274" s="415">
        <v>-5.1145261499999242</v>
      </c>
      <c r="P274" s="415">
        <v>0.1893809499999346</v>
      </c>
      <c r="Q274" s="415">
        <v>-0.76286814999992991</v>
      </c>
      <c r="R274" s="415">
        <v>-2.762711149999868</v>
      </c>
    </row>
  </sheetData>
  <mergeCells count="1">
    <mergeCell ref="B4:G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sheetPr>
    <tabColor theme="5" tint="0.79998168889431442"/>
  </sheetPr>
  <dimension ref="A1:XFD43"/>
  <sheetViews>
    <sheetView workbookViewId="0">
      <selection activeCell="G39" sqref="G39"/>
    </sheetView>
  </sheetViews>
  <sheetFormatPr defaultRowHeight="12.75"/>
  <cols>
    <col min="1" max="1" width="20.28515625" customWidth="1"/>
    <col min="2" max="2" width="12.28515625" customWidth="1"/>
    <col min="3" max="3" width="11.85546875" customWidth="1"/>
    <col min="4" max="4" width="20.85546875" bestFit="1" customWidth="1"/>
    <col min="5" max="5" width="10.7109375" bestFit="1" customWidth="1"/>
    <col min="6" max="6" width="8.85546875" bestFit="1" customWidth="1"/>
    <col min="7" max="7" width="11" bestFit="1" customWidth="1"/>
  </cols>
  <sheetData>
    <row r="1" spans="1:16384">
      <c r="A1" s="27" t="s">
        <v>1759</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7"/>
      <c r="OM1" s="27"/>
      <c r="ON1" s="27"/>
      <c r="OO1" s="27"/>
      <c r="OP1" s="27"/>
      <c r="OQ1" s="27"/>
      <c r="OR1" s="27"/>
      <c r="OS1" s="27"/>
      <c r="OT1" s="27"/>
      <c r="OU1" s="27"/>
      <c r="OV1" s="27"/>
      <c r="OW1" s="27"/>
      <c r="OX1" s="27"/>
      <c r="OY1" s="27"/>
      <c r="OZ1" s="27"/>
      <c r="PA1" s="27"/>
      <c r="PB1" s="27"/>
      <c r="PC1" s="27"/>
      <c r="PD1" s="27"/>
      <c r="PE1" s="27"/>
      <c r="PF1" s="27"/>
      <c r="PG1" s="27"/>
      <c r="PH1" s="27"/>
      <c r="PI1" s="27"/>
      <c r="PJ1" s="27"/>
      <c r="PK1" s="27"/>
      <c r="PL1" s="27"/>
      <c r="PM1" s="27"/>
      <c r="PN1" s="27"/>
      <c r="PO1" s="27"/>
      <c r="PP1" s="27"/>
      <c r="PQ1" s="27"/>
      <c r="PR1" s="27"/>
      <c r="PS1" s="27"/>
      <c r="PT1" s="27"/>
      <c r="PU1" s="27"/>
      <c r="PV1" s="27"/>
      <c r="PW1" s="27"/>
      <c r="PX1" s="27"/>
      <c r="PY1" s="27"/>
      <c r="PZ1" s="27"/>
      <c r="QA1" s="27"/>
      <c r="QB1" s="27"/>
      <c r="QC1" s="27"/>
      <c r="QD1" s="27"/>
      <c r="QE1" s="27"/>
      <c r="QF1" s="27"/>
      <c r="QG1" s="27"/>
      <c r="QH1" s="27"/>
      <c r="QI1" s="27"/>
      <c r="QJ1" s="27"/>
      <c r="QK1" s="27"/>
      <c r="QL1" s="27"/>
      <c r="QM1" s="27"/>
      <c r="QN1" s="27"/>
      <c r="QO1" s="27"/>
      <c r="QP1" s="27"/>
      <c r="QQ1" s="27"/>
      <c r="QR1" s="27"/>
      <c r="QS1" s="27"/>
      <c r="QT1" s="27"/>
      <c r="QU1" s="27"/>
      <c r="QV1" s="27"/>
      <c r="QW1" s="27"/>
      <c r="QX1" s="27"/>
      <c r="QY1" s="27"/>
      <c r="QZ1" s="27"/>
      <c r="RA1" s="27"/>
      <c r="RB1" s="27"/>
      <c r="RC1" s="27"/>
      <c r="RD1" s="27"/>
      <c r="RE1" s="27"/>
      <c r="RF1" s="27"/>
      <c r="RG1" s="27"/>
      <c r="RH1" s="27"/>
      <c r="RI1" s="27"/>
      <c r="RJ1" s="27"/>
      <c r="RK1" s="27"/>
      <c r="RL1" s="27"/>
      <c r="RM1" s="27"/>
      <c r="RN1" s="27"/>
      <c r="RO1" s="27"/>
      <c r="RP1" s="27"/>
      <c r="RQ1" s="27"/>
      <c r="RR1" s="27"/>
      <c r="RS1" s="27"/>
      <c r="RT1" s="27"/>
      <c r="RU1" s="27"/>
      <c r="RV1" s="27"/>
      <c r="RW1" s="27"/>
      <c r="RX1" s="27"/>
      <c r="RY1" s="27"/>
      <c r="RZ1" s="27"/>
      <c r="SA1" s="27"/>
      <c r="SB1" s="27"/>
      <c r="SC1" s="27"/>
      <c r="SD1" s="27"/>
      <c r="SE1" s="27"/>
      <c r="SF1" s="27"/>
      <c r="SG1" s="27"/>
      <c r="SH1" s="27"/>
      <c r="SI1" s="27"/>
      <c r="SJ1" s="27"/>
      <c r="SK1" s="27"/>
      <c r="SL1" s="27"/>
      <c r="SM1" s="27"/>
      <c r="SN1" s="27"/>
      <c r="SO1" s="27"/>
      <c r="SP1" s="27"/>
      <c r="SQ1" s="27"/>
      <c r="SR1" s="27"/>
      <c r="SS1" s="27"/>
      <c r="ST1" s="27"/>
      <c r="SU1" s="27"/>
      <c r="SV1" s="27"/>
      <c r="SW1" s="27"/>
      <c r="SX1" s="27"/>
      <c r="SY1" s="27"/>
      <c r="SZ1" s="27"/>
      <c r="TA1" s="27"/>
      <c r="TB1" s="27"/>
      <c r="TC1" s="27"/>
      <c r="TD1" s="27"/>
      <c r="TE1" s="27"/>
      <c r="TF1" s="27"/>
      <c r="TG1" s="27"/>
      <c r="TH1" s="27"/>
      <c r="TI1" s="27"/>
      <c r="TJ1" s="27"/>
      <c r="TK1" s="27"/>
      <c r="TL1" s="27"/>
      <c r="TM1" s="27"/>
      <c r="TN1" s="27"/>
      <c r="TO1" s="27"/>
      <c r="TP1" s="27"/>
      <c r="TQ1" s="27"/>
      <c r="TR1" s="27"/>
      <c r="TS1" s="27"/>
      <c r="TT1" s="27"/>
      <c r="TU1" s="27"/>
      <c r="TV1" s="27"/>
      <c r="TW1" s="27"/>
      <c r="TX1" s="27"/>
      <c r="TY1" s="27"/>
      <c r="TZ1" s="27"/>
      <c r="UA1" s="27"/>
      <c r="UB1" s="27"/>
      <c r="UC1" s="27"/>
      <c r="UD1" s="27"/>
      <c r="UE1" s="27"/>
      <c r="UF1" s="27"/>
      <c r="UG1" s="27"/>
      <c r="UH1" s="27"/>
      <c r="UI1" s="27"/>
      <c r="UJ1" s="27"/>
      <c r="UK1" s="27"/>
      <c r="UL1" s="27"/>
      <c r="UM1" s="27"/>
      <c r="UN1" s="27"/>
      <c r="UO1" s="27"/>
      <c r="UP1" s="27"/>
      <c r="UQ1" s="27"/>
      <c r="UR1" s="27"/>
      <c r="US1" s="27"/>
      <c r="UT1" s="27"/>
      <c r="UU1" s="27"/>
      <c r="UV1" s="27"/>
      <c r="UW1" s="27"/>
      <c r="UX1" s="27"/>
      <c r="UY1" s="27"/>
      <c r="UZ1" s="27"/>
      <c r="VA1" s="27"/>
      <c r="VB1" s="27"/>
      <c r="VC1" s="27"/>
      <c r="VD1" s="27"/>
      <c r="VE1" s="27"/>
      <c r="VF1" s="27"/>
      <c r="VG1" s="27"/>
      <c r="VH1" s="27"/>
      <c r="VI1" s="27"/>
      <c r="VJ1" s="27"/>
      <c r="VK1" s="27"/>
      <c r="VL1" s="27"/>
      <c r="VM1" s="27"/>
      <c r="VN1" s="27"/>
      <c r="VO1" s="27"/>
      <c r="VP1" s="27"/>
      <c r="VQ1" s="27"/>
      <c r="VR1" s="27"/>
      <c r="VS1" s="27"/>
      <c r="VT1" s="27"/>
      <c r="VU1" s="27"/>
      <c r="VV1" s="27"/>
      <c r="VW1" s="27"/>
      <c r="VX1" s="27"/>
      <c r="VY1" s="27"/>
      <c r="VZ1" s="27"/>
      <c r="WA1" s="27"/>
      <c r="WB1" s="27"/>
      <c r="WC1" s="27"/>
      <c r="WD1" s="27"/>
      <c r="WE1" s="27"/>
      <c r="WF1" s="27"/>
      <c r="WG1" s="27"/>
      <c r="WH1" s="27"/>
      <c r="WI1" s="27"/>
      <c r="WJ1" s="27"/>
      <c r="WK1" s="27"/>
      <c r="WL1" s="27"/>
      <c r="WM1" s="27"/>
      <c r="WN1" s="27"/>
      <c r="WO1" s="27"/>
      <c r="WP1" s="27"/>
      <c r="WQ1" s="27"/>
      <c r="WR1" s="27"/>
      <c r="WS1" s="27"/>
      <c r="WT1" s="27"/>
      <c r="WU1" s="27"/>
      <c r="WV1" s="27"/>
      <c r="WW1" s="27"/>
      <c r="WX1" s="27"/>
      <c r="WY1" s="27"/>
      <c r="WZ1" s="27"/>
      <c r="XA1" s="27"/>
      <c r="XB1" s="27"/>
      <c r="XC1" s="27"/>
      <c r="XD1" s="27"/>
      <c r="XE1" s="27"/>
      <c r="XF1" s="27"/>
      <c r="XG1" s="27"/>
      <c r="XH1" s="27"/>
      <c r="XI1" s="27"/>
      <c r="XJ1" s="27"/>
      <c r="XK1" s="27"/>
      <c r="XL1" s="27"/>
      <c r="XM1" s="27"/>
      <c r="XN1" s="27"/>
      <c r="XO1" s="27"/>
      <c r="XP1" s="27"/>
      <c r="XQ1" s="27"/>
      <c r="XR1" s="27"/>
      <c r="XS1" s="27"/>
      <c r="XT1" s="27"/>
      <c r="XU1" s="27"/>
      <c r="XV1" s="27"/>
      <c r="XW1" s="27"/>
      <c r="XX1" s="27"/>
      <c r="XY1" s="27"/>
      <c r="XZ1" s="27"/>
      <c r="YA1" s="27"/>
      <c r="YB1" s="27"/>
      <c r="YC1" s="27"/>
      <c r="YD1" s="27"/>
      <c r="YE1" s="27"/>
      <c r="YF1" s="27"/>
      <c r="YG1" s="27"/>
      <c r="YH1" s="27"/>
      <c r="YI1" s="27"/>
      <c r="YJ1" s="27"/>
      <c r="YK1" s="27"/>
      <c r="YL1" s="27"/>
      <c r="YM1" s="27"/>
      <c r="YN1" s="27"/>
      <c r="YO1" s="27"/>
      <c r="YP1" s="27"/>
      <c r="YQ1" s="27"/>
      <c r="YR1" s="27"/>
      <c r="YS1" s="27"/>
      <c r="YT1" s="27"/>
      <c r="YU1" s="27"/>
      <c r="YV1" s="27"/>
      <c r="YW1" s="27"/>
      <c r="YX1" s="27"/>
      <c r="YY1" s="27"/>
      <c r="YZ1" s="27"/>
      <c r="ZA1" s="27"/>
      <c r="ZB1" s="27"/>
      <c r="ZC1" s="27"/>
      <c r="ZD1" s="27"/>
      <c r="ZE1" s="27"/>
      <c r="ZF1" s="27"/>
      <c r="ZG1" s="27"/>
      <c r="ZH1" s="27"/>
      <c r="ZI1" s="27"/>
      <c r="ZJ1" s="27"/>
      <c r="ZK1" s="27"/>
      <c r="ZL1" s="27"/>
      <c r="ZM1" s="27"/>
      <c r="ZN1" s="27"/>
      <c r="ZO1" s="27"/>
      <c r="ZP1" s="27"/>
      <c r="ZQ1" s="27"/>
      <c r="ZR1" s="27"/>
      <c r="ZS1" s="27"/>
      <c r="ZT1" s="27"/>
      <c r="ZU1" s="27"/>
      <c r="ZV1" s="27"/>
      <c r="ZW1" s="27"/>
      <c r="ZX1" s="27"/>
      <c r="ZY1" s="27"/>
      <c r="ZZ1" s="27"/>
      <c r="AAA1" s="27"/>
      <c r="AAB1" s="27"/>
      <c r="AAC1" s="27"/>
      <c r="AAD1" s="27"/>
      <c r="AAE1" s="27"/>
      <c r="AAF1" s="27"/>
      <c r="AAG1" s="27"/>
      <c r="AAH1" s="27"/>
      <c r="AAI1" s="27"/>
      <c r="AAJ1" s="27"/>
      <c r="AAK1" s="27"/>
      <c r="AAL1" s="27"/>
      <c r="AAM1" s="27"/>
      <c r="AAN1" s="27"/>
      <c r="AAO1" s="27"/>
      <c r="AAP1" s="27"/>
      <c r="AAQ1" s="27"/>
      <c r="AAR1" s="27"/>
      <c r="AAS1" s="27"/>
      <c r="AAT1" s="27"/>
      <c r="AAU1" s="27"/>
      <c r="AAV1" s="27"/>
      <c r="AAW1" s="27"/>
      <c r="AAX1" s="27"/>
      <c r="AAY1" s="27"/>
      <c r="AAZ1" s="27"/>
      <c r="ABA1" s="27"/>
      <c r="ABB1" s="27"/>
      <c r="ABC1" s="27"/>
      <c r="ABD1" s="27"/>
      <c r="ABE1" s="27"/>
      <c r="ABF1" s="27"/>
      <c r="ABG1" s="27"/>
      <c r="ABH1" s="27"/>
      <c r="ABI1" s="27"/>
      <c r="ABJ1" s="27"/>
      <c r="ABK1" s="27"/>
      <c r="ABL1" s="27"/>
      <c r="ABM1" s="27"/>
      <c r="ABN1" s="27"/>
      <c r="ABO1" s="27"/>
      <c r="ABP1" s="27"/>
      <c r="ABQ1" s="27"/>
      <c r="ABR1" s="27"/>
      <c r="ABS1" s="27"/>
      <c r="ABT1" s="27"/>
      <c r="ABU1" s="27"/>
      <c r="ABV1" s="27"/>
      <c r="ABW1" s="27"/>
      <c r="ABX1" s="27"/>
      <c r="ABY1" s="27"/>
      <c r="ABZ1" s="27"/>
      <c r="ACA1" s="27"/>
      <c r="ACB1" s="27"/>
      <c r="ACC1" s="27"/>
      <c r="ACD1" s="27"/>
      <c r="ACE1" s="27"/>
      <c r="ACF1" s="27"/>
      <c r="ACG1" s="27"/>
      <c r="ACH1" s="27"/>
      <c r="ACI1" s="27"/>
      <c r="ACJ1" s="27"/>
      <c r="ACK1" s="27"/>
      <c r="ACL1" s="27"/>
      <c r="ACM1" s="27"/>
      <c r="ACN1" s="27"/>
      <c r="ACO1" s="27"/>
      <c r="ACP1" s="27"/>
      <c r="ACQ1" s="27"/>
      <c r="ACR1" s="27"/>
      <c r="ACS1" s="27"/>
      <c r="ACT1" s="27"/>
      <c r="ACU1" s="27"/>
      <c r="ACV1" s="27"/>
      <c r="ACW1" s="27"/>
      <c r="ACX1" s="27"/>
      <c r="ACY1" s="27"/>
      <c r="ACZ1" s="27"/>
      <c r="ADA1" s="27"/>
      <c r="ADB1" s="27"/>
      <c r="ADC1" s="27"/>
      <c r="ADD1" s="27"/>
      <c r="ADE1" s="27"/>
      <c r="ADF1" s="27"/>
      <c r="ADG1" s="27"/>
      <c r="ADH1" s="27"/>
      <c r="ADI1" s="27"/>
      <c r="ADJ1" s="27"/>
      <c r="ADK1" s="27"/>
      <c r="ADL1" s="27"/>
      <c r="ADM1" s="27"/>
      <c r="ADN1" s="27"/>
      <c r="ADO1" s="27"/>
      <c r="ADP1" s="27"/>
      <c r="ADQ1" s="27"/>
      <c r="ADR1" s="27"/>
      <c r="ADS1" s="27"/>
      <c r="ADT1" s="27"/>
      <c r="ADU1" s="27"/>
      <c r="ADV1" s="27"/>
      <c r="ADW1" s="27"/>
      <c r="ADX1" s="27"/>
      <c r="ADY1" s="27"/>
      <c r="ADZ1" s="27"/>
      <c r="AEA1" s="27"/>
      <c r="AEB1" s="27"/>
      <c r="AEC1" s="27"/>
      <c r="AED1" s="27"/>
      <c r="AEE1" s="27"/>
      <c r="AEF1" s="27"/>
      <c r="AEG1" s="27"/>
      <c r="AEH1" s="27"/>
      <c r="AEI1" s="27"/>
      <c r="AEJ1" s="27"/>
      <c r="AEK1" s="27"/>
      <c r="AEL1" s="27"/>
      <c r="AEM1" s="27"/>
      <c r="AEN1" s="27"/>
      <c r="AEO1" s="27"/>
      <c r="AEP1" s="27"/>
      <c r="AEQ1" s="27"/>
      <c r="AER1" s="27"/>
      <c r="AES1" s="27"/>
      <c r="AET1" s="27"/>
      <c r="AEU1" s="27"/>
      <c r="AEV1" s="27"/>
      <c r="AEW1" s="27"/>
      <c r="AEX1" s="27"/>
      <c r="AEY1" s="27"/>
      <c r="AEZ1" s="27"/>
      <c r="AFA1" s="27"/>
      <c r="AFB1" s="27"/>
      <c r="AFC1" s="27"/>
      <c r="AFD1" s="27"/>
      <c r="AFE1" s="27"/>
      <c r="AFF1" s="27"/>
      <c r="AFG1" s="27"/>
      <c r="AFH1" s="27"/>
      <c r="AFI1" s="27"/>
      <c r="AFJ1" s="27"/>
      <c r="AFK1" s="27"/>
      <c r="AFL1" s="27"/>
      <c r="AFM1" s="27"/>
      <c r="AFN1" s="27"/>
      <c r="AFO1" s="27"/>
      <c r="AFP1" s="27"/>
      <c r="AFQ1" s="27"/>
      <c r="AFR1" s="27"/>
      <c r="AFS1" s="27"/>
      <c r="AFT1" s="27"/>
      <c r="AFU1" s="27"/>
      <c r="AFV1" s="27"/>
      <c r="AFW1" s="27"/>
      <c r="AFX1" s="27"/>
      <c r="AFY1" s="27"/>
      <c r="AFZ1" s="27"/>
      <c r="AGA1" s="27"/>
      <c r="AGB1" s="27"/>
      <c r="AGC1" s="27"/>
      <c r="AGD1" s="27"/>
      <c r="AGE1" s="27"/>
      <c r="AGF1" s="27"/>
      <c r="AGG1" s="27"/>
      <c r="AGH1" s="27"/>
      <c r="AGI1" s="27"/>
      <c r="AGJ1" s="27"/>
      <c r="AGK1" s="27"/>
      <c r="AGL1" s="27"/>
      <c r="AGM1" s="27"/>
      <c r="AGN1" s="27"/>
      <c r="AGO1" s="27"/>
      <c r="AGP1" s="27"/>
      <c r="AGQ1" s="27"/>
      <c r="AGR1" s="27"/>
      <c r="AGS1" s="27"/>
      <c r="AGT1" s="27"/>
      <c r="AGU1" s="27"/>
      <c r="AGV1" s="27"/>
      <c r="AGW1" s="27"/>
      <c r="AGX1" s="27"/>
      <c r="AGY1" s="27"/>
      <c r="AGZ1" s="27"/>
      <c r="AHA1" s="27"/>
      <c r="AHB1" s="27"/>
      <c r="AHC1" s="27"/>
      <c r="AHD1" s="27"/>
      <c r="AHE1" s="27"/>
      <c r="AHF1" s="27"/>
      <c r="AHG1" s="27"/>
      <c r="AHH1" s="27"/>
      <c r="AHI1" s="27"/>
      <c r="AHJ1" s="27"/>
      <c r="AHK1" s="27"/>
      <c r="AHL1" s="27"/>
      <c r="AHM1" s="27"/>
      <c r="AHN1" s="27"/>
      <c r="AHO1" s="27"/>
      <c r="AHP1" s="27"/>
      <c r="AHQ1" s="27"/>
      <c r="AHR1" s="27"/>
      <c r="AHS1" s="27"/>
      <c r="AHT1" s="27"/>
      <c r="AHU1" s="27"/>
      <c r="AHV1" s="27"/>
      <c r="AHW1" s="27"/>
      <c r="AHX1" s="27"/>
      <c r="AHY1" s="27"/>
      <c r="AHZ1" s="27"/>
      <c r="AIA1" s="27"/>
      <c r="AIB1" s="27"/>
      <c r="AIC1" s="27"/>
      <c r="AID1" s="27"/>
      <c r="AIE1" s="27"/>
      <c r="AIF1" s="27"/>
      <c r="AIG1" s="27"/>
      <c r="AIH1" s="27"/>
      <c r="AII1" s="27"/>
      <c r="AIJ1" s="27"/>
      <c r="AIK1" s="27"/>
      <c r="AIL1" s="27"/>
      <c r="AIM1" s="27"/>
      <c r="AIN1" s="27"/>
      <c r="AIO1" s="27"/>
      <c r="AIP1" s="27"/>
      <c r="AIQ1" s="27"/>
      <c r="AIR1" s="27"/>
      <c r="AIS1" s="27"/>
      <c r="AIT1" s="27"/>
      <c r="AIU1" s="27"/>
      <c r="AIV1" s="27"/>
      <c r="AIW1" s="27"/>
      <c r="AIX1" s="27"/>
      <c r="AIY1" s="27"/>
      <c r="AIZ1" s="27"/>
      <c r="AJA1" s="27"/>
      <c r="AJB1" s="27"/>
      <c r="AJC1" s="27"/>
      <c r="AJD1" s="27"/>
      <c r="AJE1" s="27"/>
      <c r="AJF1" s="27"/>
      <c r="AJG1" s="27"/>
      <c r="AJH1" s="27"/>
      <c r="AJI1" s="27"/>
      <c r="AJJ1" s="27"/>
      <c r="AJK1" s="27"/>
      <c r="AJL1" s="27"/>
      <c r="AJM1" s="27"/>
      <c r="AJN1" s="27"/>
      <c r="AJO1" s="27"/>
      <c r="AJP1" s="27"/>
      <c r="AJQ1" s="27"/>
      <c r="AJR1" s="27"/>
      <c r="AJS1" s="27"/>
      <c r="AJT1" s="27"/>
      <c r="AJU1" s="27"/>
      <c r="AJV1" s="27"/>
      <c r="AJW1" s="27"/>
      <c r="AJX1" s="27"/>
      <c r="AJY1" s="27"/>
      <c r="AJZ1" s="27"/>
      <c r="AKA1" s="27"/>
      <c r="AKB1" s="27"/>
      <c r="AKC1" s="27"/>
      <c r="AKD1" s="27"/>
      <c r="AKE1" s="27"/>
      <c r="AKF1" s="27"/>
      <c r="AKG1" s="27"/>
      <c r="AKH1" s="27"/>
      <c r="AKI1" s="27"/>
      <c r="AKJ1" s="27"/>
      <c r="AKK1" s="27"/>
      <c r="AKL1" s="27"/>
      <c r="AKM1" s="27"/>
      <c r="AKN1" s="27"/>
      <c r="AKO1" s="27"/>
      <c r="AKP1" s="27"/>
      <c r="AKQ1" s="27"/>
      <c r="AKR1" s="27"/>
      <c r="AKS1" s="27"/>
      <c r="AKT1" s="27"/>
      <c r="AKU1" s="27"/>
      <c r="AKV1" s="27"/>
      <c r="AKW1" s="27"/>
      <c r="AKX1" s="27"/>
      <c r="AKY1" s="27"/>
      <c r="AKZ1" s="27"/>
      <c r="ALA1" s="27"/>
      <c r="ALB1" s="27"/>
      <c r="ALC1" s="27"/>
      <c r="ALD1" s="27"/>
      <c r="ALE1" s="27"/>
      <c r="ALF1" s="27"/>
      <c r="ALG1" s="27"/>
      <c r="ALH1" s="27"/>
      <c r="ALI1" s="27"/>
      <c r="ALJ1" s="27"/>
      <c r="ALK1" s="27"/>
      <c r="ALL1" s="27"/>
      <c r="ALM1" s="27"/>
      <c r="ALN1" s="27"/>
      <c r="ALO1" s="27"/>
      <c r="ALP1" s="27"/>
      <c r="ALQ1" s="27"/>
      <c r="ALR1" s="27"/>
      <c r="ALS1" s="27"/>
      <c r="ALT1" s="27"/>
      <c r="ALU1" s="27"/>
      <c r="ALV1" s="27"/>
      <c r="ALW1" s="27"/>
      <c r="ALX1" s="27"/>
      <c r="ALY1" s="27"/>
      <c r="ALZ1" s="27"/>
      <c r="AMA1" s="27"/>
      <c r="AMB1" s="27"/>
      <c r="AMC1" s="27"/>
      <c r="AMD1" s="27"/>
      <c r="AME1" s="27"/>
      <c r="AMF1" s="27"/>
      <c r="AMG1" s="27"/>
      <c r="AMH1" s="27"/>
      <c r="AMI1" s="27"/>
      <c r="AMJ1" s="27"/>
      <c r="AMK1" s="27"/>
      <c r="AML1" s="27"/>
      <c r="AMM1" s="27"/>
      <c r="AMN1" s="27"/>
      <c r="AMO1" s="27"/>
      <c r="AMP1" s="27"/>
      <c r="AMQ1" s="27"/>
      <c r="AMR1" s="27"/>
      <c r="AMS1" s="27"/>
      <c r="AMT1" s="27"/>
      <c r="AMU1" s="27"/>
      <c r="AMV1" s="27"/>
      <c r="AMW1" s="27"/>
      <c r="AMX1" s="27"/>
      <c r="AMY1" s="27"/>
      <c r="AMZ1" s="27"/>
      <c r="ANA1" s="27"/>
      <c r="ANB1" s="27"/>
      <c r="ANC1" s="27"/>
      <c r="AND1" s="27"/>
      <c r="ANE1" s="27"/>
      <c r="ANF1" s="27"/>
      <c r="ANG1" s="27"/>
      <c r="ANH1" s="27"/>
      <c r="ANI1" s="27"/>
      <c r="ANJ1" s="27"/>
      <c r="ANK1" s="27"/>
      <c r="ANL1" s="27"/>
      <c r="ANM1" s="27"/>
      <c r="ANN1" s="27"/>
      <c r="ANO1" s="27"/>
      <c r="ANP1" s="27"/>
      <c r="ANQ1" s="27"/>
      <c r="ANR1" s="27"/>
      <c r="ANS1" s="27"/>
      <c r="ANT1" s="27"/>
      <c r="ANU1" s="27"/>
      <c r="ANV1" s="27"/>
      <c r="ANW1" s="27"/>
      <c r="ANX1" s="27"/>
      <c r="ANY1" s="27"/>
      <c r="ANZ1" s="27"/>
      <c r="AOA1" s="27"/>
      <c r="AOB1" s="27"/>
      <c r="AOC1" s="27"/>
      <c r="AOD1" s="27"/>
      <c r="AOE1" s="27"/>
      <c r="AOF1" s="27"/>
      <c r="AOG1" s="27"/>
      <c r="AOH1" s="27"/>
      <c r="AOI1" s="27"/>
      <c r="AOJ1" s="27"/>
      <c r="AOK1" s="27"/>
      <c r="AOL1" s="27"/>
      <c r="AOM1" s="27"/>
      <c r="AON1" s="27"/>
      <c r="AOO1" s="27"/>
      <c r="AOP1" s="27"/>
      <c r="AOQ1" s="27"/>
      <c r="AOR1" s="27"/>
      <c r="AOS1" s="27"/>
      <c r="AOT1" s="27"/>
      <c r="AOU1" s="27"/>
      <c r="AOV1" s="27"/>
      <c r="AOW1" s="27"/>
      <c r="AOX1" s="27"/>
      <c r="AOY1" s="27"/>
      <c r="AOZ1" s="27"/>
      <c r="APA1" s="27"/>
      <c r="APB1" s="27"/>
      <c r="APC1" s="27"/>
      <c r="APD1" s="27"/>
      <c r="APE1" s="27"/>
      <c r="APF1" s="27"/>
      <c r="APG1" s="27"/>
      <c r="APH1" s="27"/>
      <c r="API1" s="27"/>
      <c r="APJ1" s="27"/>
      <c r="APK1" s="27"/>
      <c r="APL1" s="27"/>
      <c r="APM1" s="27"/>
      <c r="APN1" s="27"/>
      <c r="APO1" s="27"/>
      <c r="APP1" s="27"/>
      <c r="APQ1" s="27"/>
      <c r="APR1" s="27"/>
      <c r="APS1" s="27"/>
      <c r="APT1" s="27"/>
      <c r="APU1" s="27"/>
      <c r="APV1" s="27"/>
      <c r="APW1" s="27"/>
      <c r="APX1" s="27"/>
      <c r="APY1" s="27"/>
      <c r="APZ1" s="27"/>
      <c r="AQA1" s="27"/>
      <c r="AQB1" s="27"/>
      <c r="AQC1" s="27"/>
      <c r="AQD1" s="27"/>
      <c r="AQE1" s="27"/>
      <c r="AQF1" s="27"/>
      <c r="AQG1" s="27"/>
      <c r="AQH1" s="27"/>
      <c r="AQI1" s="27"/>
      <c r="AQJ1" s="27"/>
      <c r="AQK1" s="27"/>
      <c r="AQL1" s="27"/>
      <c r="AQM1" s="27"/>
      <c r="AQN1" s="27"/>
      <c r="AQO1" s="27"/>
      <c r="AQP1" s="27"/>
      <c r="AQQ1" s="27"/>
      <c r="AQR1" s="27"/>
      <c r="AQS1" s="27"/>
      <c r="AQT1" s="27"/>
      <c r="AQU1" s="27"/>
      <c r="AQV1" s="27"/>
      <c r="AQW1" s="27"/>
      <c r="AQX1" s="27"/>
      <c r="AQY1" s="27"/>
      <c r="AQZ1" s="27"/>
      <c r="ARA1" s="27"/>
      <c r="ARB1" s="27"/>
      <c r="ARC1" s="27"/>
      <c r="ARD1" s="27"/>
      <c r="ARE1" s="27"/>
      <c r="ARF1" s="27"/>
      <c r="ARG1" s="27"/>
      <c r="ARH1" s="27"/>
      <c r="ARI1" s="27"/>
      <c r="ARJ1" s="27"/>
      <c r="ARK1" s="27"/>
      <c r="ARL1" s="27"/>
      <c r="ARM1" s="27"/>
      <c r="ARN1" s="27"/>
      <c r="ARO1" s="27"/>
      <c r="ARP1" s="27"/>
      <c r="ARQ1" s="27"/>
      <c r="ARR1" s="27"/>
      <c r="ARS1" s="27"/>
      <c r="ART1" s="27"/>
      <c r="ARU1" s="27"/>
      <c r="ARV1" s="27"/>
      <c r="ARW1" s="27"/>
      <c r="ARX1" s="27"/>
      <c r="ARY1" s="27"/>
      <c r="ARZ1" s="27"/>
      <c r="ASA1" s="27"/>
      <c r="ASB1" s="27"/>
      <c r="ASC1" s="27"/>
      <c r="ASD1" s="27"/>
      <c r="ASE1" s="27"/>
      <c r="ASF1" s="27"/>
      <c r="ASG1" s="27"/>
      <c r="ASH1" s="27"/>
      <c r="ASI1" s="27"/>
      <c r="ASJ1" s="27"/>
      <c r="ASK1" s="27"/>
      <c r="ASL1" s="27"/>
      <c r="ASM1" s="27"/>
      <c r="ASN1" s="27"/>
      <c r="ASO1" s="27"/>
      <c r="ASP1" s="27"/>
      <c r="ASQ1" s="27"/>
      <c r="ASR1" s="27"/>
      <c r="ASS1" s="27"/>
      <c r="AST1" s="27"/>
      <c r="ASU1" s="27"/>
      <c r="ASV1" s="27"/>
      <c r="ASW1" s="27"/>
      <c r="ASX1" s="27"/>
      <c r="ASY1" s="27"/>
      <c r="ASZ1" s="27"/>
      <c r="ATA1" s="27"/>
      <c r="ATB1" s="27"/>
      <c r="ATC1" s="27"/>
      <c r="ATD1" s="27"/>
      <c r="ATE1" s="27"/>
      <c r="ATF1" s="27"/>
      <c r="ATG1" s="27"/>
      <c r="ATH1" s="27"/>
      <c r="ATI1" s="27"/>
      <c r="ATJ1" s="27"/>
      <c r="ATK1" s="27"/>
      <c r="ATL1" s="27"/>
      <c r="ATM1" s="27"/>
      <c r="ATN1" s="27"/>
      <c r="ATO1" s="27"/>
      <c r="ATP1" s="27"/>
      <c r="ATQ1" s="27"/>
      <c r="ATR1" s="27"/>
      <c r="ATS1" s="27"/>
      <c r="ATT1" s="27"/>
      <c r="ATU1" s="27"/>
      <c r="ATV1" s="27"/>
      <c r="ATW1" s="27"/>
      <c r="ATX1" s="27"/>
      <c r="ATY1" s="27"/>
      <c r="ATZ1" s="27"/>
      <c r="AUA1" s="27"/>
      <c r="AUB1" s="27"/>
      <c r="AUC1" s="27"/>
      <c r="AUD1" s="27"/>
      <c r="AUE1" s="27"/>
      <c r="AUF1" s="27"/>
      <c r="AUG1" s="27"/>
      <c r="AUH1" s="27"/>
      <c r="AUI1" s="27"/>
      <c r="AUJ1" s="27"/>
      <c r="AUK1" s="27"/>
      <c r="AUL1" s="27"/>
      <c r="AUM1" s="27"/>
      <c r="AUN1" s="27"/>
      <c r="AUO1" s="27"/>
      <c r="AUP1" s="27"/>
      <c r="AUQ1" s="27"/>
      <c r="AUR1" s="27"/>
      <c r="AUS1" s="27"/>
      <c r="AUT1" s="27"/>
      <c r="AUU1" s="27"/>
      <c r="AUV1" s="27"/>
      <c r="AUW1" s="27"/>
      <c r="AUX1" s="27"/>
      <c r="AUY1" s="27"/>
      <c r="AUZ1" s="27"/>
      <c r="AVA1" s="27"/>
      <c r="AVB1" s="27"/>
      <c r="AVC1" s="27"/>
      <c r="AVD1" s="27"/>
      <c r="AVE1" s="27"/>
      <c r="AVF1" s="27"/>
      <c r="AVG1" s="27"/>
      <c r="AVH1" s="27"/>
      <c r="AVI1" s="27"/>
      <c r="AVJ1" s="27"/>
      <c r="AVK1" s="27"/>
      <c r="AVL1" s="27"/>
      <c r="AVM1" s="27"/>
      <c r="AVN1" s="27"/>
      <c r="AVO1" s="27"/>
      <c r="AVP1" s="27"/>
      <c r="AVQ1" s="27"/>
      <c r="AVR1" s="27"/>
      <c r="AVS1" s="27"/>
      <c r="AVT1" s="27"/>
      <c r="AVU1" s="27"/>
      <c r="AVV1" s="27"/>
      <c r="AVW1" s="27"/>
      <c r="AVX1" s="27"/>
      <c r="AVY1" s="27"/>
      <c r="AVZ1" s="27"/>
      <c r="AWA1" s="27"/>
      <c r="AWB1" s="27"/>
      <c r="AWC1" s="27"/>
      <c r="AWD1" s="27"/>
      <c r="AWE1" s="27"/>
      <c r="AWF1" s="27"/>
      <c r="AWG1" s="27"/>
      <c r="AWH1" s="27"/>
      <c r="AWI1" s="27"/>
      <c r="AWJ1" s="27"/>
      <c r="AWK1" s="27"/>
      <c r="AWL1" s="27"/>
      <c r="AWM1" s="27"/>
      <c r="AWN1" s="27"/>
      <c r="AWO1" s="27"/>
      <c r="AWP1" s="27"/>
      <c r="AWQ1" s="27"/>
      <c r="AWR1" s="27"/>
      <c r="AWS1" s="27"/>
      <c r="AWT1" s="27"/>
      <c r="AWU1" s="27"/>
      <c r="AWV1" s="27"/>
      <c r="AWW1" s="27"/>
      <c r="AWX1" s="27"/>
      <c r="AWY1" s="27"/>
      <c r="AWZ1" s="27"/>
      <c r="AXA1" s="27"/>
      <c r="AXB1" s="27"/>
      <c r="AXC1" s="27"/>
      <c r="AXD1" s="27"/>
      <c r="AXE1" s="27"/>
      <c r="AXF1" s="27"/>
      <c r="AXG1" s="27"/>
      <c r="AXH1" s="27"/>
      <c r="AXI1" s="27"/>
      <c r="AXJ1" s="27"/>
      <c r="AXK1" s="27"/>
      <c r="AXL1" s="27"/>
      <c r="AXM1" s="27"/>
      <c r="AXN1" s="27"/>
      <c r="AXO1" s="27"/>
      <c r="AXP1" s="27"/>
      <c r="AXQ1" s="27"/>
      <c r="AXR1" s="27"/>
      <c r="AXS1" s="27"/>
      <c r="AXT1" s="27"/>
      <c r="AXU1" s="27"/>
      <c r="AXV1" s="27"/>
      <c r="AXW1" s="27"/>
      <c r="AXX1" s="27"/>
      <c r="AXY1" s="27"/>
      <c r="AXZ1" s="27"/>
      <c r="AYA1" s="27"/>
      <c r="AYB1" s="27"/>
      <c r="AYC1" s="27"/>
      <c r="AYD1" s="27"/>
      <c r="AYE1" s="27"/>
      <c r="AYF1" s="27"/>
      <c r="AYG1" s="27"/>
      <c r="AYH1" s="27"/>
      <c r="AYI1" s="27"/>
      <c r="AYJ1" s="27"/>
      <c r="AYK1" s="27"/>
      <c r="AYL1" s="27"/>
      <c r="AYM1" s="27"/>
      <c r="AYN1" s="27"/>
      <c r="AYO1" s="27"/>
      <c r="AYP1" s="27"/>
      <c r="AYQ1" s="27"/>
      <c r="AYR1" s="27"/>
      <c r="AYS1" s="27"/>
      <c r="AYT1" s="27"/>
      <c r="AYU1" s="27"/>
      <c r="AYV1" s="27"/>
      <c r="AYW1" s="27"/>
      <c r="AYX1" s="27"/>
      <c r="AYY1" s="27"/>
      <c r="AYZ1" s="27"/>
      <c r="AZA1" s="27"/>
      <c r="AZB1" s="27"/>
      <c r="AZC1" s="27"/>
      <c r="AZD1" s="27"/>
      <c r="AZE1" s="27"/>
      <c r="AZF1" s="27"/>
      <c r="AZG1" s="27"/>
      <c r="AZH1" s="27"/>
      <c r="AZI1" s="27"/>
      <c r="AZJ1" s="27"/>
      <c r="AZK1" s="27"/>
      <c r="AZL1" s="27"/>
      <c r="AZM1" s="27"/>
      <c r="AZN1" s="27"/>
      <c r="AZO1" s="27"/>
      <c r="AZP1" s="27"/>
      <c r="AZQ1" s="27"/>
      <c r="AZR1" s="27"/>
      <c r="AZS1" s="27"/>
      <c r="AZT1" s="27"/>
      <c r="AZU1" s="27"/>
      <c r="AZV1" s="27"/>
      <c r="AZW1" s="27"/>
      <c r="AZX1" s="27"/>
      <c r="AZY1" s="27"/>
      <c r="AZZ1" s="27"/>
      <c r="BAA1" s="27"/>
      <c r="BAB1" s="27"/>
      <c r="BAC1" s="27"/>
      <c r="BAD1" s="27"/>
      <c r="BAE1" s="27"/>
      <c r="BAF1" s="27"/>
      <c r="BAG1" s="27"/>
      <c r="BAH1" s="27"/>
      <c r="BAI1" s="27"/>
      <c r="BAJ1" s="27"/>
      <c r="BAK1" s="27"/>
      <c r="BAL1" s="27"/>
      <c r="BAM1" s="27"/>
      <c r="BAN1" s="27"/>
      <c r="BAO1" s="27"/>
      <c r="BAP1" s="27"/>
      <c r="BAQ1" s="27"/>
      <c r="BAR1" s="27"/>
      <c r="BAS1" s="27"/>
      <c r="BAT1" s="27"/>
      <c r="BAU1" s="27"/>
      <c r="BAV1" s="27"/>
      <c r="BAW1" s="27"/>
      <c r="BAX1" s="27"/>
      <c r="BAY1" s="27"/>
      <c r="BAZ1" s="27"/>
      <c r="BBA1" s="27"/>
      <c r="BBB1" s="27"/>
      <c r="BBC1" s="27"/>
      <c r="BBD1" s="27"/>
      <c r="BBE1" s="27"/>
      <c r="BBF1" s="27"/>
      <c r="BBG1" s="27"/>
      <c r="BBH1" s="27"/>
      <c r="BBI1" s="27"/>
      <c r="BBJ1" s="27"/>
      <c r="BBK1" s="27"/>
      <c r="BBL1" s="27"/>
      <c r="BBM1" s="27"/>
      <c r="BBN1" s="27"/>
      <c r="BBO1" s="27"/>
      <c r="BBP1" s="27"/>
      <c r="BBQ1" s="27"/>
      <c r="BBR1" s="27"/>
      <c r="BBS1" s="27"/>
      <c r="BBT1" s="27"/>
      <c r="BBU1" s="27"/>
      <c r="BBV1" s="27"/>
      <c r="BBW1" s="27"/>
      <c r="BBX1" s="27"/>
      <c r="BBY1" s="27"/>
      <c r="BBZ1" s="27"/>
      <c r="BCA1" s="27"/>
      <c r="BCB1" s="27"/>
      <c r="BCC1" s="27"/>
      <c r="BCD1" s="27"/>
      <c r="BCE1" s="27"/>
      <c r="BCF1" s="27"/>
      <c r="BCG1" s="27"/>
      <c r="BCH1" s="27"/>
      <c r="BCI1" s="27"/>
      <c r="BCJ1" s="27"/>
      <c r="BCK1" s="27"/>
      <c r="BCL1" s="27"/>
      <c r="BCM1" s="27"/>
      <c r="BCN1" s="27"/>
      <c r="BCO1" s="27"/>
      <c r="BCP1" s="27"/>
      <c r="BCQ1" s="27"/>
      <c r="BCR1" s="27"/>
      <c r="BCS1" s="27"/>
      <c r="BCT1" s="27"/>
      <c r="BCU1" s="27"/>
      <c r="BCV1" s="27"/>
      <c r="BCW1" s="27"/>
      <c r="BCX1" s="27"/>
      <c r="BCY1" s="27"/>
      <c r="BCZ1" s="27"/>
      <c r="BDA1" s="27"/>
      <c r="BDB1" s="27"/>
      <c r="BDC1" s="27"/>
      <c r="BDD1" s="27"/>
      <c r="BDE1" s="27"/>
      <c r="BDF1" s="27"/>
      <c r="BDG1" s="27"/>
      <c r="BDH1" s="27"/>
      <c r="BDI1" s="27"/>
      <c r="BDJ1" s="27"/>
      <c r="BDK1" s="27"/>
      <c r="BDL1" s="27"/>
      <c r="BDM1" s="27"/>
      <c r="BDN1" s="27"/>
      <c r="BDO1" s="27"/>
      <c r="BDP1" s="27"/>
      <c r="BDQ1" s="27"/>
      <c r="BDR1" s="27"/>
      <c r="BDS1" s="27"/>
      <c r="BDT1" s="27"/>
      <c r="BDU1" s="27"/>
      <c r="BDV1" s="27"/>
      <c r="BDW1" s="27"/>
      <c r="BDX1" s="27"/>
      <c r="BDY1" s="27"/>
      <c r="BDZ1" s="27"/>
      <c r="BEA1" s="27"/>
      <c r="BEB1" s="27"/>
      <c r="BEC1" s="27"/>
      <c r="BED1" s="27"/>
      <c r="BEE1" s="27"/>
      <c r="BEF1" s="27"/>
      <c r="BEG1" s="27"/>
      <c r="BEH1" s="27"/>
      <c r="BEI1" s="27"/>
      <c r="BEJ1" s="27"/>
      <c r="BEK1" s="27"/>
      <c r="BEL1" s="27"/>
      <c r="BEM1" s="27"/>
      <c r="BEN1" s="27"/>
      <c r="BEO1" s="27"/>
      <c r="BEP1" s="27"/>
      <c r="BEQ1" s="27"/>
      <c r="BER1" s="27"/>
      <c r="BES1" s="27"/>
      <c r="BET1" s="27"/>
      <c r="BEU1" s="27"/>
      <c r="BEV1" s="27"/>
      <c r="BEW1" s="27"/>
      <c r="BEX1" s="27"/>
      <c r="BEY1" s="27"/>
      <c r="BEZ1" s="27"/>
      <c r="BFA1" s="27"/>
      <c r="BFB1" s="27"/>
      <c r="BFC1" s="27"/>
      <c r="BFD1" s="27"/>
      <c r="BFE1" s="27"/>
      <c r="BFF1" s="27"/>
      <c r="BFG1" s="27"/>
      <c r="BFH1" s="27"/>
      <c r="BFI1" s="27"/>
      <c r="BFJ1" s="27"/>
      <c r="BFK1" s="27"/>
      <c r="BFL1" s="27"/>
      <c r="BFM1" s="27"/>
      <c r="BFN1" s="27"/>
      <c r="BFO1" s="27"/>
      <c r="BFP1" s="27"/>
      <c r="BFQ1" s="27"/>
      <c r="BFR1" s="27"/>
      <c r="BFS1" s="27"/>
      <c r="BFT1" s="27"/>
      <c r="BFU1" s="27"/>
      <c r="BFV1" s="27"/>
      <c r="BFW1" s="27"/>
      <c r="BFX1" s="27"/>
      <c r="BFY1" s="27"/>
      <c r="BFZ1" s="27"/>
      <c r="BGA1" s="27"/>
      <c r="BGB1" s="27"/>
      <c r="BGC1" s="27"/>
      <c r="BGD1" s="27"/>
      <c r="BGE1" s="27"/>
      <c r="BGF1" s="27"/>
      <c r="BGG1" s="27"/>
      <c r="BGH1" s="27"/>
      <c r="BGI1" s="27"/>
      <c r="BGJ1" s="27"/>
      <c r="BGK1" s="27"/>
      <c r="BGL1" s="27"/>
      <c r="BGM1" s="27"/>
      <c r="BGN1" s="27"/>
      <c r="BGO1" s="27"/>
      <c r="BGP1" s="27"/>
      <c r="BGQ1" s="27"/>
      <c r="BGR1" s="27"/>
      <c r="BGS1" s="27"/>
      <c r="BGT1" s="27"/>
      <c r="BGU1" s="27"/>
      <c r="BGV1" s="27"/>
      <c r="BGW1" s="27"/>
      <c r="BGX1" s="27"/>
      <c r="BGY1" s="27"/>
      <c r="BGZ1" s="27"/>
      <c r="BHA1" s="27"/>
      <c r="BHB1" s="27"/>
      <c r="BHC1" s="27"/>
      <c r="BHD1" s="27"/>
      <c r="BHE1" s="27"/>
      <c r="BHF1" s="27"/>
      <c r="BHG1" s="27"/>
      <c r="BHH1" s="27"/>
      <c r="BHI1" s="27"/>
      <c r="BHJ1" s="27"/>
      <c r="BHK1" s="27"/>
      <c r="BHL1" s="27"/>
      <c r="BHM1" s="27"/>
      <c r="BHN1" s="27"/>
      <c r="BHO1" s="27"/>
      <c r="BHP1" s="27"/>
      <c r="BHQ1" s="27"/>
      <c r="BHR1" s="27"/>
      <c r="BHS1" s="27"/>
      <c r="BHT1" s="27"/>
      <c r="BHU1" s="27"/>
      <c r="BHV1" s="27"/>
      <c r="BHW1" s="27"/>
      <c r="BHX1" s="27"/>
      <c r="BHY1" s="27"/>
      <c r="BHZ1" s="27"/>
      <c r="BIA1" s="27"/>
      <c r="BIB1" s="27"/>
      <c r="BIC1" s="27"/>
      <c r="BID1" s="27"/>
      <c r="BIE1" s="27"/>
      <c r="BIF1" s="27"/>
      <c r="BIG1" s="27"/>
      <c r="BIH1" s="27"/>
      <c r="BII1" s="27"/>
      <c r="BIJ1" s="27"/>
      <c r="BIK1" s="27"/>
      <c r="BIL1" s="27"/>
      <c r="BIM1" s="27"/>
      <c r="BIN1" s="27"/>
      <c r="BIO1" s="27"/>
      <c r="BIP1" s="27"/>
      <c r="BIQ1" s="27"/>
      <c r="BIR1" s="27"/>
      <c r="BIS1" s="27"/>
      <c r="BIT1" s="27"/>
      <c r="BIU1" s="27"/>
      <c r="BIV1" s="27"/>
      <c r="BIW1" s="27"/>
      <c r="BIX1" s="27"/>
      <c r="BIY1" s="27"/>
      <c r="BIZ1" s="27"/>
      <c r="BJA1" s="27"/>
      <c r="BJB1" s="27"/>
      <c r="BJC1" s="27"/>
      <c r="BJD1" s="27"/>
      <c r="BJE1" s="27"/>
      <c r="BJF1" s="27"/>
      <c r="BJG1" s="27"/>
      <c r="BJH1" s="27"/>
      <c r="BJI1" s="27"/>
      <c r="BJJ1" s="27"/>
      <c r="BJK1" s="27"/>
      <c r="BJL1" s="27"/>
      <c r="BJM1" s="27"/>
      <c r="BJN1" s="27"/>
      <c r="BJO1" s="27"/>
      <c r="BJP1" s="27"/>
      <c r="BJQ1" s="27"/>
      <c r="BJR1" s="27"/>
      <c r="BJS1" s="27"/>
      <c r="BJT1" s="27"/>
      <c r="BJU1" s="27"/>
      <c r="BJV1" s="27"/>
      <c r="BJW1" s="27"/>
      <c r="BJX1" s="27"/>
      <c r="BJY1" s="27"/>
      <c r="BJZ1" s="27"/>
      <c r="BKA1" s="27"/>
      <c r="BKB1" s="27"/>
      <c r="BKC1" s="27"/>
      <c r="BKD1" s="27"/>
      <c r="BKE1" s="27"/>
      <c r="BKF1" s="27"/>
      <c r="BKG1" s="27"/>
      <c r="BKH1" s="27"/>
      <c r="BKI1" s="27"/>
      <c r="BKJ1" s="27"/>
      <c r="BKK1" s="27"/>
      <c r="BKL1" s="27"/>
      <c r="BKM1" s="27"/>
      <c r="BKN1" s="27"/>
      <c r="BKO1" s="27"/>
      <c r="BKP1" s="27"/>
      <c r="BKQ1" s="27"/>
      <c r="BKR1" s="27"/>
      <c r="BKS1" s="27"/>
      <c r="BKT1" s="27"/>
      <c r="BKU1" s="27"/>
      <c r="BKV1" s="27"/>
      <c r="BKW1" s="27"/>
      <c r="BKX1" s="27"/>
      <c r="BKY1" s="27"/>
      <c r="BKZ1" s="27"/>
      <c r="BLA1" s="27"/>
      <c r="BLB1" s="27"/>
      <c r="BLC1" s="27"/>
      <c r="BLD1" s="27"/>
      <c r="BLE1" s="27"/>
      <c r="BLF1" s="27"/>
      <c r="BLG1" s="27"/>
      <c r="BLH1" s="27"/>
      <c r="BLI1" s="27"/>
      <c r="BLJ1" s="27"/>
      <c r="BLK1" s="27"/>
      <c r="BLL1" s="27"/>
      <c r="BLM1" s="27"/>
      <c r="BLN1" s="27"/>
      <c r="BLO1" s="27"/>
      <c r="BLP1" s="27"/>
      <c r="BLQ1" s="27"/>
      <c r="BLR1" s="27"/>
      <c r="BLS1" s="27"/>
      <c r="BLT1" s="27"/>
      <c r="BLU1" s="27"/>
      <c r="BLV1" s="27"/>
      <c r="BLW1" s="27"/>
      <c r="BLX1" s="27"/>
      <c r="BLY1" s="27"/>
      <c r="BLZ1" s="27"/>
      <c r="BMA1" s="27"/>
      <c r="BMB1" s="27"/>
      <c r="BMC1" s="27"/>
      <c r="BMD1" s="27"/>
      <c r="BME1" s="27"/>
      <c r="BMF1" s="27"/>
      <c r="BMG1" s="27"/>
      <c r="BMH1" s="27"/>
      <c r="BMI1" s="27"/>
      <c r="BMJ1" s="27"/>
      <c r="BMK1" s="27"/>
      <c r="BML1" s="27"/>
      <c r="BMM1" s="27"/>
      <c r="BMN1" s="27"/>
      <c r="BMO1" s="27"/>
      <c r="BMP1" s="27"/>
      <c r="BMQ1" s="27"/>
      <c r="BMR1" s="27"/>
      <c r="BMS1" s="27"/>
      <c r="BMT1" s="27"/>
      <c r="BMU1" s="27"/>
      <c r="BMV1" s="27"/>
      <c r="BMW1" s="27"/>
      <c r="BMX1" s="27"/>
      <c r="BMY1" s="27"/>
      <c r="BMZ1" s="27"/>
      <c r="BNA1" s="27"/>
      <c r="BNB1" s="27"/>
      <c r="BNC1" s="27"/>
      <c r="BND1" s="27"/>
      <c r="BNE1" s="27"/>
      <c r="BNF1" s="27"/>
      <c r="BNG1" s="27"/>
      <c r="BNH1" s="27"/>
      <c r="BNI1" s="27"/>
      <c r="BNJ1" s="27"/>
      <c r="BNK1" s="27"/>
      <c r="BNL1" s="27"/>
      <c r="BNM1" s="27"/>
      <c r="BNN1" s="27"/>
      <c r="BNO1" s="27"/>
      <c r="BNP1" s="27"/>
      <c r="BNQ1" s="27"/>
      <c r="BNR1" s="27"/>
      <c r="BNS1" s="27"/>
      <c r="BNT1" s="27"/>
      <c r="BNU1" s="27"/>
      <c r="BNV1" s="27"/>
      <c r="BNW1" s="27"/>
      <c r="BNX1" s="27"/>
      <c r="BNY1" s="27"/>
      <c r="BNZ1" s="27"/>
      <c r="BOA1" s="27"/>
      <c r="BOB1" s="27"/>
      <c r="BOC1" s="27"/>
      <c r="BOD1" s="27"/>
      <c r="BOE1" s="27"/>
      <c r="BOF1" s="27"/>
      <c r="BOG1" s="27"/>
      <c r="BOH1" s="27"/>
      <c r="BOI1" s="27"/>
      <c r="BOJ1" s="27"/>
      <c r="BOK1" s="27"/>
      <c r="BOL1" s="27"/>
      <c r="BOM1" s="27"/>
      <c r="BON1" s="27"/>
      <c r="BOO1" s="27"/>
      <c r="BOP1" s="27"/>
      <c r="BOQ1" s="27"/>
      <c r="BOR1" s="27"/>
      <c r="BOS1" s="27"/>
      <c r="BOT1" s="27"/>
      <c r="BOU1" s="27"/>
      <c r="BOV1" s="27"/>
      <c r="BOW1" s="27"/>
      <c r="BOX1" s="27"/>
      <c r="BOY1" s="27"/>
      <c r="BOZ1" s="27"/>
      <c r="BPA1" s="27"/>
      <c r="BPB1" s="27"/>
      <c r="BPC1" s="27"/>
      <c r="BPD1" s="27"/>
      <c r="BPE1" s="27"/>
      <c r="BPF1" s="27"/>
      <c r="BPG1" s="27"/>
      <c r="BPH1" s="27"/>
      <c r="BPI1" s="27"/>
      <c r="BPJ1" s="27"/>
      <c r="BPK1" s="27"/>
      <c r="BPL1" s="27"/>
      <c r="BPM1" s="27"/>
      <c r="BPN1" s="27"/>
      <c r="BPO1" s="27"/>
      <c r="BPP1" s="27"/>
      <c r="BPQ1" s="27"/>
      <c r="BPR1" s="27"/>
      <c r="BPS1" s="27"/>
      <c r="BPT1" s="27"/>
      <c r="BPU1" s="27"/>
      <c r="BPV1" s="27"/>
      <c r="BPW1" s="27"/>
      <c r="BPX1" s="27"/>
      <c r="BPY1" s="27"/>
      <c r="BPZ1" s="27"/>
      <c r="BQA1" s="27"/>
      <c r="BQB1" s="27"/>
      <c r="BQC1" s="27"/>
      <c r="BQD1" s="27"/>
      <c r="BQE1" s="27"/>
      <c r="BQF1" s="27"/>
      <c r="BQG1" s="27"/>
      <c r="BQH1" s="27"/>
      <c r="BQI1" s="27"/>
      <c r="BQJ1" s="27"/>
      <c r="BQK1" s="27"/>
      <c r="BQL1" s="27"/>
      <c r="BQM1" s="27"/>
      <c r="BQN1" s="27"/>
      <c r="BQO1" s="27"/>
      <c r="BQP1" s="27"/>
      <c r="BQQ1" s="27"/>
      <c r="BQR1" s="27"/>
      <c r="BQS1" s="27"/>
      <c r="BQT1" s="27"/>
      <c r="BQU1" s="27"/>
      <c r="BQV1" s="27"/>
      <c r="BQW1" s="27"/>
      <c r="BQX1" s="27"/>
      <c r="BQY1" s="27"/>
      <c r="BQZ1" s="27"/>
      <c r="BRA1" s="27"/>
      <c r="BRB1" s="27"/>
      <c r="BRC1" s="27"/>
      <c r="BRD1" s="27"/>
      <c r="BRE1" s="27"/>
      <c r="BRF1" s="27"/>
      <c r="BRG1" s="27"/>
      <c r="BRH1" s="27"/>
      <c r="BRI1" s="27"/>
      <c r="BRJ1" s="27"/>
      <c r="BRK1" s="27"/>
      <c r="BRL1" s="27"/>
      <c r="BRM1" s="27"/>
      <c r="BRN1" s="27"/>
      <c r="BRO1" s="27"/>
      <c r="BRP1" s="27"/>
      <c r="BRQ1" s="27"/>
      <c r="BRR1" s="27"/>
      <c r="BRS1" s="27"/>
      <c r="BRT1" s="27"/>
      <c r="BRU1" s="27"/>
      <c r="BRV1" s="27"/>
      <c r="BRW1" s="27"/>
      <c r="BRX1" s="27"/>
      <c r="BRY1" s="27"/>
      <c r="BRZ1" s="27"/>
      <c r="BSA1" s="27"/>
      <c r="BSB1" s="27"/>
      <c r="BSC1" s="27"/>
      <c r="BSD1" s="27"/>
      <c r="BSE1" s="27"/>
      <c r="BSF1" s="27"/>
      <c r="BSG1" s="27"/>
      <c r="BSH1" s="27"/>
      <c r="BSI1" s="27"/>
      <c r="BSJ1" s="27"/>
      <c r="BSK1" s="27"/>
      <c r="BSL1" s="27"/>
      <c r="BSM1" s="27"/>
      <c r="BSN1" s="27"/>
      <c r="BSO1" s="27"/>
      <c r="BSP1" s="27"/>
      <c r="BSQ1" s="27"/>
      <c r="BSR1" s="27"/>
      <c r="BSS1" s="27"/>
      <c r="BST1" s="27"/>
      <c r="BSU1" s="27"/>
      <c r="BSV1" s="27"/>
      <c r="BSW1" s="27"/>
      <c r="BSX1" s="27"/>
      <c r="BSY1" s="27"/>
      <c r="BSZ1" s="27"/>
      <c r="BTA1" s="27"/>
      <c r="BTB1" s="27"/>
      <c r="BTC1" s="27"/>
      <c r="BTD1" s="27"/>
      <c r="BTE1" s="27"/>
      <c r="BTF1" s="27"/>
      <c r="BTG1" s="27"/>
      <c r="BTH1" s="27"/>
      <c r="BTI1" s="27"/>
      <c r="BTJ1" s="27"/>
      <c r="BTK1" s="27"/>
      <c r="BTL1" s="27"/>
      <c r="BTM1" s="27"/>
      <c r="BTN1" s="27"/>
      <c r="BTO1" s="27"/>
      <c r="BTP1" s="27"/>
      <c r="BTQ1" s="27"/>
      <c r="BTR1" s="27"/>
      <c r="BTS1" s="27"/>
      <c r="BTT1" s="27"/>
      <c r="BTU1" s="27"/>
      <c r="BTV1" s="27"/>
      <c r="BTW1" s="27"/>
      <c r="BTX1" s="27"/>
      <c r="BTY1" s="27"/>
      <c r="BTZ1" s="27"/>
      <c r="BUA1" s="27"/>
      <c r="BUB1" s="27"/>
      <c r="BUC1" s="27"/>
      <c r="BUD1" s="27"/>
      <c r="BUE1" s="27"/>
      <c r="BUF1" s="27"/>
      <c r="BUG1" s="27"/>
      <c r="BUH1" s="27"/>
      <c r="BUI1" s="27"/>
      <c r="BUJ1" s="27"/>
      <c r="BUK1" s="27"/>
      <c r="BUL1" s="27"/>
      <c r="BUM1" s="27"/>
      <c r="BUN1" s="27"/>
      <c r="BUO1" s="27"/>
      <c r="BUP1" s="27"/>
      <c r="BUQ1" s="27"/>
      <c r="BUR1" s="27"/>
      <c r="BUS1" s="27"/>
      <c r="BUT1" s="27"/>
      <c r="BUU1" s="27"/>
      <c r="BUV1" s="27"/>
      <c r="BUW1" s="27"/>
      <c r="BUX1" s="27"/>
      <c r="BUY1" s="27"/>
      <c r="BUZ1" s="27"/>
      <c r="BVA1" s="27"/>
      <c r="BVB1" s="27"/>
      <c r="BVC1" s="27"/>
      <c r="BVD1" s="27"/>
      <c r="BVE1" s="27"/>
      <c r="BVF1" s="27"/>
      <c r="BVG1" s="27"/>
      <c r="BVH1" s="27"/>
      <c r="BVI1" s="27"/>
      <c r="BVJ1" s="27"/>
      <c r="BVK1" s="27"/>
      <c r="BVL1" s="27"/>
      <c r="BVM1" s="27"/>
      <c r="BVN1" s="27"/>
      <c r="BVO1" s="27"/>
      <c r="BVP1" s="27"/>
      <c r="BVQ1" s="27"/>
      <c r="BVR1" s="27"/>
      <c r="BVS1" s="27"/>
      <c r="BVT1" s="27"/>
      <c r="BVU1" s="27"/>
      <c r="BVV1" s="27"/>
      <c r="BVW1" s="27"/>
      <c r="BVX1" s="27"/>
      <c r="BVY1" s="27"/>
      <c r="BVZ1" s="27"/>
      <c r="BWA1" s="27"/>
      <c r="BWB1" s="27"/>
      <c r="BWC1" s="27"/>
      <c r="BWD1" s="27"/>
      <c r="BWE1" s="27"/>
      <c r="BWF1" s="27"/>
      <c r="BWG1" s="27"/>
      <c r="BWH1" s="27"/>
      <c r="BWI1" s="27"/>
      <c r="BWJ1" s="27"/>
      <c r="BWK1" s="27"/>
      <c r="BWL1" s="27"/>
      <c r="BWM1" s="27"/>
      <c r="BWN1" s="27"/>
      <c r="BWO1" s="27"/>
      <c r="BWP1" s="27"/>
      <c r="BWQ1" s="27"/>
      <c r="BWR1" s="27"/>
      <c r="BWS1" s="27"/>
      <c r="BWT1" s="27"/>
      <c r="BWU1" s="27"/>
      <c r="BWV1" s="27"/>
      <c r="BWW1" s="27"/>
      <c r="BWX1" s="27"/>
      <c r="BWY1" s="27"/>
      <c r="BWZ1" s="27"/>
      <c r="BXA1" s="27"/>
      <c r="BXB1" s="27"/>
      <c r="BXC1" s="27"/>
      <c r="BXD1" s="27"/>
      <c r="BXE1" s="27"/>
      <c r="BXF1" s="27"/>
      <c r="BXG1" s="27"/>
      <c r="BXH1" s="27"/>
      <c r="BXI1" s="27"/>
      <c r="BXJ1" s="27"/>
      <c r="BXK1" s="27"/>
      <c r="BXL1" s="27"/>
      <c r="BXM1" s="27"/>
      <c r="BXN1" s="27"/>
      <c r="BXO1" s="27"/>
      <c r="BXP1" s="27"/>
      <c r="BXQ1" s="27"/>
      <c r="BXR1" s="27"/>
      <c r="BXS1" s="27"/>
      <c r="BXT1" s="27"/>
      <c r="BXU1" s="27"/>
      <c r="BXV1" s="27"/>
      <c r="BXW1" s="27"/>
      <c r="BXX1" s="27"/>
      <c r="BXY1" s="27"/>
      <c r="BXZ1" s="27"/>
      <c r="BYA1" s="27"/>
      <c r="BYB1" s="27"/>
      <c r="BYC1" s="27"/>
      <c r="BYD1" s="27"/>
      <c r="BYE1" s="27"/>
      <c r="BYF1" s="27"/>
      <c r="BYG1" s="27"/>
      <c r="BYH1" s="27"/>
      <c r="BYI1" s="27"/>
      <c r="BYJ1" s="27"/>
      <c r="BYK1" s="27"/>
      <c r="BYL1" s="27"/>
      <c r="BYM1" s="27"/>
      <c r="BYN1" s="27"/>
      <c r="BYO1" s="27"/>
      <c r="BYP1" s="27"/>
      <c r="BYQ1" s="27"/>
      <c r="BYR1" s="27"/>
      <c r="BYS1" s="27"/>
      <c r="BYT1" s="27"/>
      <c r="BYU1" s="27"/>
      <c r="BYV1" s="27"/>
      <c r="BYW1" s="27"/>
      <c r="BYX1" s="27"/>
      <c r="BYY1" s="27"/>
      <c r="BYZ1" s="27"/>
      <c r="BZA1" s="27"/>
      <c r="BZB1" s="27"/>
      <c r="BZC1" s="27"/>
      <c r="BZD1" s="27"/>
      <c r="BZE1" s="27"/>
      <c r="BZF1" s="27"/>
      <c r="BZG1" s="27"/>
      <c r="BZH1" s="27"/>
      <c r="BZI1" s="27"/>
      <c r="BZJ1" s="27"/>
      <c r="BZK1" s="27"/>
      <c r="BZL1" s="27"/>
      <c r="BZM1" s="27"/>
      <c r="BZN1" s="27"/>
      <c r="BZO1" s="27"/>
      <c r="BZP1" s="27"/>
      <c r="BZQ1" s="27"/>
      <c r="BZR1" s="27"/>
      <c r="BZS1" s="27"/>
      <c r="BZT1" s="27"/>
      <c r="BZU1" s="27"/>
      <c r="BZV1" s="27"/>
      <c r="BZW1" s="27"/>
      <c r="BZX1" s="27"/>
      <c r="BZY1" s="27"/>
      <c r="BZZ1" s="27"/>
      <c r="CAA1" s="27"/>
      <c r="CAB1" s="27"/>
      <c r="CAC1" s="27"/>
      <c r="CAD1" s="27"/>
      <c r="CAE1" s="27"/>
      <c r="CAF1" s="27"/>
      <c r="CAG1" s="27"/>
      <c r="CAH1" s="27"/>
      <c r="CAI1" s="27"/>
      <c r="CAJ1" s="27"/>
      <c r="CAK1" s="27"/>
      <c r="CAL1" s="27"/>
      <c r="CAM1" s="27"/>
      <c r="CAN1" s="27"/>
      <c r="CAO1" s="27"/>
      <c r="CAP1" s="27"/>
      <c r="CAQ1" s="27"/>
      <c r="CAR1" s="27"/>
      <c r="CAS1" s="27"/>
      <c r="CAT1" s="27"/>
      <c r="CAU1" s="27"/>
      <c r="CAV1" s="27"/>
      <c r="CAW1" s="27"/>
      <c r="CAX1" s="27"/>
      <c r="CAY1" s="27"/>
      <c r="CAZ1" s="27"/>
      <c r="CBA1" s="27"/>
      <c r="CBB1" s="27"/>
      <c r="CBC1" s="27"/>
      <c r="CBD1" s="27"/>
      <c r="CBE1" s="27"/>
      <c r="CBF1" s="27"/>
      <c r="CBG1" s="27"/>
      <c r="CBH1" s="27"/>
      <c r="CBI1" s="27"/>
      <c r="CBJ1" s="27"/>
      <c r="CBK1" s="27"/>
      <c r="CBL1" s="27"/>
      <c r="CBM1" s="27"/>
      <c r="CBN1" s="27"/>
      <c r="CBO1" s="27"/>
      <c r="CBP1" s="27"/>
      <c r="CBQ1" s="27"/>
      <c r="CBR1" s="27"/>
      <c r="CBS1" s="27"/>
      <c r="CBT1" s="27"/>
      <c r="CBU1" s="27"/>
      <c r="CBV1" s="27"/>
      <c r="CBW1" s="27"/>
      <c r="CBX1" s="27"/>
      <c r="CBY1" s="27"/>
      <c r="CBZ1" s="27"/>
      <c r="CCA1" s="27"/>
      <c r="CCB1" s="27"/>
      <c r="CCC1" s="27"/>
      <c r="CCD1" s="27"/>
      <c r="CCE1" s="27"/>
      <c r="CCF1" s="27"/>
      <c r="CCG1" s="27"/>
      <c r="CCH1" s="27"/>
      <c r="CCI1" s="27"/>
      <c r="CCJ1" s="27"/>
      <c r="CCK1" s="27"/>
      <c r="CCL1" s="27"/>
      <c r="CCM1" s="27"/>
      <c r="CCN1" s="27"/>
      <c r="CCO1" s="27"/>
      <c r="CCP1" s="27"/>
      <c r="CCQ1" s="27"/>
      <c r="CCR1" s="27"/>
      <c r="CCS1" s="27"/>
      <c r="CCT1" s="27"/>
      <c r="CCU1" s="27"/>
      <c r="CCV1" s="27"/>
      <c r="CCW1" s="27"/>
      <c r="CCX1" s="27"/>
      <c r="CCY1" s="27"/>
      <c r="CCZ1" s="27"/>
      <c r="CDA1" s="27"/>
      <c r="CDB1" s="27"/>
      <c r="CDC1" s="27"/>
      <c r="CDD1" s="27"/>
      <c r="CDE1" s="27"/>
      <c r="CDF1" s="27"/>
      <c r="CDG1" s="27"/>
      <c r="CDH1" s="27"/>
      <c r="CDI1" s="27"/>
      <c r="CDJ1" s="27"/>
      <c r="CDK1" s="27"/>
      <c r="CDL1" s="27"/>
      <c r="CDM1" s="27"/>
      <c r="CDN1" s="27"/>
      <c r="CDO1" s="27"/>
      <c r="CDP1" s="27"/>
      <c r="CDQ1" s="27"/>
      <c r="CDR1" s="27"/>
      <c r="CDS1" s="27"/>
      <c r="CDT1" s="27"/>
      <c r="CDU1" s="27"/>
      <c r="CDV1" s="27"/>
      <c r="CDW1" s="27"/>
      <c r="CDX1" s="27"/>
      <c r="CDY1" s="27"/>
      <c r="CDZ1" s="27"/>
      <c r="CEA1" s="27"/>
      <c r="CEB1" s="27"/>
      <c r="CEC1" s="27"/>
      <c r="CED1" s="27"/>
      <c r="CEE1" s="27"/>
      <c r="CEF1" s="27"/>
      <c r="CEG1" s="27"/>
      <c r="CEH1" s="27"/>
      <c r="CEI1" s="27"/>
      <c r="CEJ1" s="27"/>
      <c r="CEK1" s="27"/>
      <c r="CEL1" s="27"/>
      <c r="CEM1" s="27"/>
      <c r="CEN1" s="27"/>
      <c r="CEO1" s="27"/>
      <c r="CEP1" s="27"/>
      <c r="CEQ1" s="27"/>
      <c r="CER1" s="27"/>
      <c r="CES1" s="27"/>
      <c r="CET1" s="27"/>
      <c r="CEU1" s="27"/>
      <c r="CEV1" s="27"/>
      <c r="CEW1" s="27"/>
      <c r="CEX1" s="27"/>
      <c r="CEY1" s="27"/>
      <c r="CEZ1" s="27"/>
      <c r="CFA1" s="27"/>
      <c r="CFB1" s="27"/>
      <c r="CFC1" s="27"/>
      <c r="CFD1" s="27"/>
      <c r="CFE1" s="27"/>
      <c r="CFF1" s="27"/>
      <c r="CFG1" s="27"/>
      <c r="CFH1" s="27"/>
      <c r="CFI1" s="27"/>
      <c r="CFJ1" s="27"/>
      <c r="CFK1" s="27"/>
      <c r="CFL1" s="27"/>
      <c r="CFM1" s="27"/>
      <c r="CFN1" s="27"/>
      <c r="CFO1" s="27"/>
      <c r="CFP1" s="27"/>
      <c r="CFQ1" s="27"/>
      <c r="CFR1" s="27"/>
      <c r="CFS1" s="27"/>
      <c r="CFT1" s="27"/>
      <c r="CFU1" s="27"/>
      <c r="CFV1" s="27"/>
      <c r="CFW1" s="27"/>
      <c r="CFX1" s="27"/>
      <c r="CFY1" s="27"/>
      <c r="CFZ1" s="27"/>
      <c r="CGA1" s="27"/>
      <c r="CGB1" s="27"/>
      <c r="CGC1" s="27"/>
      <c r="CGD1" s="27"/>
      <c r="CGE1" s="27"/>
      <c r="CGF1" s="27"/>
      <c r="CGG1" s="27"/>
      <c r="CGH1" s="27"/>
      <c r="CGI1" s="27"/>
      <c r="CGJ1" s="27"/>
      <c r="CGK1" s="27"/>
      <c r="CGL1" s="27"/>
      <c r="CGM1" s="27"/>
      <c r="CGN1" s="27"/>
      <c r="CGO1" s="27"/>
      <c r="CGP1" s="27"/>
      <c r="CGQ1" s="27"/>
      <c r="CGR1" s="27"/>
      <c r="CGS1" s="27"/>
      <c r="CGT1" s="27"/>
      <c r="CGU1" s="27"/>
      <c r="CGV1" s="27"/>
      <c r="CGW1" s="27"/>
      <c r="CGX1" s="27"/>
      <c r="CGY1" s="27"/>
      <c r="CGZ1" s="27"/>
      <c r="CHA1" s="27"/>
      <c r="CHB1" s="27"/>
      <c r="CHC1" s="27"/>
      <c r="CHD1" s="27"/>
      <c r="CHE1" s="27"/>
      <c r="CHF1" s="27"/>
      <c r="CHG1" s="27"/>
      <c r="CHH1" s="27"/>
      <c r="CHI1" s="27"/>
      <c r="CHJ1" s="27"/>
      <c r="CHK1" s="27"/>
      <c r="CHL1" s="27"/>
      <c r="CHM1" s="27"/>
      <c r="CHN1" s="27"/>
      <c r="CHO1" s="27"/>
      <c r="CHP1" s="27"/>
      <c r="CHQ1" s="27"/>
      <c r="CHR1" s="27"/>
      <c r="CHS1" s="27"/>
      <c r="CHT1" s="27"/>
      <c r="CHU1" s="27"/>
      <c r="CHV1" s="27"/>
      <c r="CHW1" s="27"/>
      <c r="CHX1" s="27"/>
      <c r="CHY1" s="27"/>
      <c r="CHZ1" s="27"/>
      <c r="CIA1" s="27"/>
      <c r="CIB1" s="27"/>
      <c r="CIC1" s="27"/>
      <c r="CID1" s="27"/>
      <c r="CIE1" s="27"/>
      <c r="CIF1" s="27"/>
      <c r="CIG1" s="27"/>
      <c r="CIH1" s="27"/>
      <c r="CII1" s="27"/>
      <c r="CIJ1" s="27"/>
      <c r="CIK1" s="27"/>
      <c r="CIL1" s="27"/>
      <c r="CIM1" s="27"/>
      <c r="CIN1" s="27"/>
      <c r="CIO1" s="27"/>
      <c r="CIP1" s="27"/>
      <c r="CIQ1" s="27"/>
      <c r="CIR1" s="27"/>
      <c r="CIS1" s="27"/>
      <c r="CIT1" s="27"/>
      <c r="CIU1" s="27"/>
      <c r="CIV1" s="27"/>
      <c r="CIW1" s="27"/>
      <c r="CIX1" s="27"/>
      <c r="CIY1" s="27"/>
      <c r="CIZ1" s="27"/>
      <c r="CJA1" s="27"/>
      <c r="CJB1" s="27"/>
      <c r="CJC1" s="27"/>
      <c r="CJD1" s="27"/>
      <c r="CJE1" s="27"/>
      <c r="CJF1" s="27"/>
      <c r="CJG1" s="27"/>
      <c r="CJH1" s="27"/>
      <c r="CJI1" s="27"/>
      <c r="CJJ1" s="27"/>
      <c r="CJK1" s="27"/>
      <c r="CJL1" s="27"/>
      <c r="CJM1" s="27"/>
      <c r="CJN1" s="27"/>
      <c r="CJO1" s="27"/>
      <c r="CJP1" s="27"/>
      <c r="CJQ1" s="27"/>
      <c r="CJR1" s="27"/>
      <c r="CJS1" s="27"/>
      <c r="CJT1" s="27"/>
      <c r="CJU1" s="27"/>
      <c r="CJV1" s="27"/>
      <c r="CJW1" s="27"/>
      <c r="CJX1" s="27"/>
      <c r="CJY1" s="27"/>
      <c r="CJZ1" s="27"/>
      <c r="CKA1" s="27"/>
      <c r="CKB1" s="27"/>
      <c r="CKC1" s="27"/>
      <c r="CKD1" s="27"/>
      <c r="CKE1" s="27"/>
      <c r="CKF1" s="27"/>
      <c r="CKG1" s="27"/>
      <c r="CKH1" s="27"/>
      <c r="CKI1" s="27"/>
      <c r="CKJ1" s="27"/>
      <c r="CKK1" s="27"/>
      <c r="CKL1" s="27"/>
      <c r="CKM1" s="27"/>
      <c r="CKN1" s="27"/>
      <c r="CKO1" s="27"/>
      <c r="CKP1" s="27"/>
      <c r="CKQ1" s="27"/>
      <c r="CKR1" s="27"/>
      <c r="CKS1" s="27"/>
      <c r="CKT1" s="27"/>
      <c r="CKU1" s="27"/>
      <c r="CKV1" s="27"/>
      <c r="CKW1" s="27"/>
      <c r="CKX1" s="27"/>
      <c r="CKY1" s="27"/>
      <c r="CKZ1" s="27"/>
      <c r="CLA1" s="27"/>
      <c r="CLB1" s="27"/>
      <c r="CLC1" s="27"/>
      <c r="CLD1" s="27"/>
      <c r="CLE1" s="27"/>
      <c r="CLF1" s="27"/>
      <c r="CLG1" s="27"/>
      <c r="CLH1" s="27"/>
      <c r="CLI1" s="27"/>
      <c r="CLJ1" s="27"/>
      <c r="CLK1" s="27"/>
      <c r="CLL1" s="27"/>
      <c r="CLM1" s="27"/>
      <c r="CLN1" s="27"/>
      <c r="CLO1" s="27"/>
      <c r="CLP1" s="27"/>
      <c r="CLQ1" s="27"/>
      <c r="CLR1" s="27"/>
      <c r="CLS1" s="27"/>
      <c r="CLT1" s="27"/>
      <c r="CLU1" s="27"/>
      <c r="CLV1" s="27"/>
      <c r="CLW1" s="27"/>
      <c r="CLX1" s="27"/>
      <c r="CLY1" s="27"/>
      <c r="CLZ1" s="27"/>
      <c r="CMA1" s="27"/>
      <c r="CMB1" s="27"/>
      <c r="CMC1" s="27"/>
      <c r="CMD1" s="27"/>
      <c r="CME1" s="27"/>
      <c r="CMF1" s="27"/>
      <c r="CMG1" s="27"/>
      <c r="CMH1" s="27"/>
      <c r="CMI1" s="27"/>
      <c r="CMJ1" s="27"/>
      <c r="CMK1" s="27"/>
      <c r="CML1" s="27"/>
      <c r="CMM1" s="27"/>
      <c r="CMN1" s="27"/>
      <c r="CMO1" s="27"/>
      <c r="CMP1" s="27"/>
      <c r="CMQ1" s="27"/>
      <c r="CMR1" s="27"/>
      <c r="CMS1" s="27"/>
      <c r="CMT1" s="27"/>
      <c r="CMU1" s="27"/>
      <c r="CMV1" s="27"/>
      <c r="CMW1" s="27"/>
      <c r="CMX1" s="27"/>
      <c r="CMY1" s="27"/>
      <c r="CMZ1" s="27"/>
      <c r="CNA1" s="27"/>
      <c r="CNB1" s="27"/>
      <c r="CNC1" s="27"/>
      <c r="CND1" s="27"/>
      <c r="CNE1" s="27"/>
      <c r="CNF1" s="27"/>
      <c r="CNG1" s="27"/>
      <c r="CNH1" s="27"/>
      <c r="CNI1" s="27"/>
      <c r="CNJ1" s="27"/>
      <c r="CNK1" s="27"/>
      <c r="CNL1" s="27"/>
      <c r="CNM1" s="27"/>
      <c r="CNN1" s="27"/>
      <c r="CNO1" s="27"/>
      <c r="CNP1" s="27"/>
      <c r="CNQ1" s="27"/>
      <c r="CNR1" s="27"/>
      <c r="CNS1" s="27"/>
      <c r="CNT1" s="27"/>
      <c r="CNU1" s="27"/>
      <c r="CNV1" s="27"/>
      <c r="CNW1" s="27"/>
      <c r="CNX1" s="27"/>
      <c r="CNY1" s="27"/>
      <c r="CNZ1" s="27"/>
      <c r="COA1" s="27"/>
      <c r="COB1" s="27"/>
      <c r="COC1" s="27"/>
      <c r="COD1" s="27"/>
      <c r="COE1" s="27"/>
      <c r="COF1" s="27"/>
      <c r="COG1" s="27"/>
      <c r="COH1" s="27"/>
      <c r="COI1" s="27"/>
      <c r="COJ1" s="27"/>
      <c r="COK1" s="27"/>
      <c r="COL1" s="27"/>
      <c r="COM1" s="27"/>
      <c r="CON1" s="27"/>
      <c r="COO1" s="27"/>
      <c r="COP1" s="27"/>
      <c r="COQ1" s="27"/>
      <c r="COR1" s="27"/>
      <c r="COS1" s="27"/>
      <c r="COT1" s="27"/>
      <c r="COU1" s="27"/>
      <c r="COV1" s="27"/>
      <c r="COW1" s="27"/>
      <c r="COX1" s="27"/>
      <c r="COY1" s="27"/>
      <c r="COZ1" s="27"/>
      <c r="CPA1" s="27"/>
      <c r="CPB1" s="27"/>
      <c r="CPC1" s="27"/>
      <c r="CPD1" s="27"/>
      <c r="CPE1" s="27"/>
      <c r="CPF1" s="27"/>
      <c r="CPG1" s="27"/>
      <c r="CPH1" s="27"/>
      <c r="CPI1" s="27"/>
      <c r="CPJ1" s="27"/>
      <c r="CPK1" s="27"/>
      <c r="CPL1" s="27"/>
      <c r="CPM1" s="27"/>
      <c r="CPN1" s="27"/>
      <c r="CPO1" s="27"/>
      <c r="CPP1" s="27"/>
      <c r="CPQ1" s="27"/>
      <c r="CPR1" s="27"/>
      <c r="CPS1" s="27"/>
      <c r="CPT1" s="27"/>
      <c r="CPU1" s="27"/>
      <c r="CPV1" s="27"/>
      <c r="CPW1" s="27"/>
      <c r="CPX1" s="27"/>
      <c r="CPY1" s="27"/>
      <c r="CPZ1" s="27"/>
      <c r="CQA1" s="27"/>
      <c r="CQB1" s="27"/>
      <c r="CQC1" s="27"/>
      <c r="CQD1" s="27"/>
      <c r="CQE1" s="27"/>
      <c r="CQF1" s="27"/>
      <c r="CQG1" s="27"/>
      <c r="CQH1" s="27"/>
      <c r="CQI1" s="27"/>
      <c r="CQJ1" s="27"/>
      <c r="CQK1" s="27"/>
      <c r="CQL1" s="27"/>
      <c r="CQM1" s="27"/>
      <c r="CQN1" s="27"/>
      <c r="CQO1" s="27"/>
      <c r="CQP1" s="27"/>
      <c r="CQQ1" s="27"/>
      <c r="CQR1" s="27"/>
      <c r="CQS1" s="27"/>
      <c r="CQT1" s="27"/>
      <c r="CQU1" s="27"/>
      <c r="CQV1" s="27"/>
      <c r="CQW1" s="27"/>
      <c r="CQX1" s="27"/>
      <c r="CQY1" s="27"/>
      <c r="CQZ1" s="27"/>
      <c r="CRA1" s="27"/>
      <c r="CRB1" s="27"/>
      <c r="CRC1" s="27"/>
      <c r="CRD1" s="27"/>
      <c r="CRE1" s="27"/>
      <c r="CRF1" s="27"/>
      <c r="CRG1" s="27"/>
      <c r="CRH1" s="27"/>
      <c r="CRI1" s="27"/>
      <c r="CRJ1" s="27"/>
      <c r="CRK1" s="27"/>
      <c r="CRL1" s="27"/>
      <c r="CRM1" s="27"/>
      <c r="CRN1" s="27"/>
      <c r="CRO1" s="27"/>
      <c r="CRP1" s="27"/>
      <c r="CRQ1" s="27"/>
      <c r="CRR1" s="27"/>
      <c r="CRS1" s="27"/>
      <c r="CRT1" s="27"/>
      <c r="CRU1" s="27"/>
      <c r="CRV1" s="27"/>
      <c r="CRW1" s="27"/>
      <c r="CRX1" s="27"/>
      <c r="CRY1" s="27"/>
      <c r="CRZ1" s="27"/>
      <c r="CSA1" s="27"/>
      <c r="CSB1" s="27"/>
      <c r="CSC1" s="27"/>
      <c r="CSD1" s="27"/>
      <c r="CSE1" s="27"/>
      <c r="CSF1" s="27"/>
      <c r="CSG1" s="27"/>
      <c r="CSH1" s="27"/>
      <c r="CSI1" s="27"/>
      <c r="CSJ1" s="27"/>
      <c r="CSK1" s="27"/>
      <c r="CSL1" s="27"/>
      <c r="CSM1" s="27"/>
      <c r="CSN1" s="27"/>
      <c r="CSO1" s="27"/>
      <c r="CSP1" s="27"/>
      <c r="CSQ1" s="27"/>
      <c r="CSR1" s="27"/>
      <c r="CSS1" s="27"/>
      <c r="CST1" s="27"/>
      <c r="CSU1" s="27"/>
      <c r="CSV1" s="27"/>
      <c r="CSW1" s="27"/>
      <c r="CSX1" s="27"/>
      <c r="CSY1" s="27"/>
      <c r="CSZ1" s="27"/>
      <c r="CTA1" s="27"/>
      <c r="CTB1" s="27"/>
      <c r="CTC1" s="27"/>
      <c r="CTD1" s="27"/>
      <c r="CTE1" s="27"/>
      <c r="CTF1" s="27"/>
      <c r="CTG1" s="27"/>
      <c r="CTH1" s="27"/>
      <c r="CTI1" s="27"/>
      <c r="CTJ1" s="27"/>
      <c r="CTK1" s="27"/>
      <c r="CTL1" s="27"/>
      <c r="CTM1" s="27"/>
      <c r="CTN1" s="27"/>
      <c r="CTO1" s="27"/>
      <c r="CTP1" s="27"/>
      <c r="CTQ1" s="27"/>
      <c r="CTR1" s="27"/>
      <c r="CTS1" s="27"/>
      <c r="CTT1" s="27"/>
      <c r="CTU1" s="27"/>
      <c r="CTV1" s="27"/>
      <c r="CTW1" s="27"/>
      <c r="CTX1" s="27"/>
      <c r="CTY1" s="27"/>
      <c r="CTZ1" s="27"/>
      <c r="CUA1" s="27"/>
      <c r="CUB1" s="27"/>
      <c r="CUC1" s="27"/>
      <c r="CUD1" s="27"/>
      <c r="CUE1" s="27"/>
      <c r="CUF1" s="27"/>
      <c r="CUG1" s="27"/>
      <c r="CUH1" s="27"/>
      <c r="CUI1" s="27"/>
      <c r="CUJ1" s="27"/>
      <c r="CUK1" s="27"/>
      <c r="CUL1" s="27"/>
      <c r="CUM1" s="27"/>
      <c r="CUN1" s="27"/>
      <c r="CUO1" s="27"/>
      <c r="CUP1" s="27"/>
      <c r="CUQ1" s="27"/>
      <c r="CUR1" s="27"/>
      <c r="CUS1" s="27"/>
      <c r="CUT1" s="27"/>
      <c r="CUU1" s="27"/>
      <c r="CUV1" s="27"/>
      <c r="CUW1" s="27"/>
      <c r="CUX1" s="27"/>
      <c r="CUY1" s="27"/>
      <c r="CUZ1" s="27"/>
      <c r="CVA1" s="27"/>
      <c r="CVB1" s="27"/>
      <c r="CVC1" s="27"/>
      <c r="CVD1" s="27"/>
      <c r="CVE1" s="27"/>
      <c r="CVF1" s="27"/>
      <c r="CVG1" s="27"/>
      <c r="CVH1" s="27"/>
      <c r="CVI1" s="27"/>
      <c r="CVJ1" s="27"/>
      <c r="CVK1" s="27"/>
      <c r="CVL1" s="27"/>
      <c r="CVM1" s="27"/>
      <c r="CVN1" s="27"/>
      <c r="CVO1" s="27"/>
      <c r="CVP1" s="27"/>
      <c r="CVQ1" s="27"/>
      <c r="CVR1" s="27"/>
      <c r="CVS1" s="27"/>
      <c r="CVT1" s="27"/>
      <c r="CVU1" s="27"/>
      <c r="CVV1" s="27"/>
      <c r="CVW1" s="27"/>
      <c r="CVX1" s="27"/>
      <c r="CVY1" s="27"/>
      <c r="CVZ1" s="27"/>
      <c r="CWA1" s="27"/>
      <c r="CWB1" s="27"/>
      <c r="CWC1" s="27"/>
      <c r="CWD1" s="27"/>
      <c r="CWE1" s="27"/>
      <c r="CWF1" s="27"/>
      <c r="CWG1" s="27"/>
      <c r="CWH1" s="27"/>
      <c r="CWI1" s="27"/>
      <c r="CWJ1" s="27"/>
      <c r="CWK1" s="27"/>
      <c r="CWL1" s="27"/>
      <c r="CWM1" s="27"/>
      <c r="CWN1" s="27"/>
      <c r="CWO1" s="27"/>
      <c r="CWP1" s="27"/>
      <c r="CWQ1" s="27"/>
      <c r="CWR1" s="27"/>
      <c r="CWS1" s="27"/>
      <c r="CWT1" s="27"/>
      <c r="CWU1" s="27"/>
      <c r="CWV1" s="27"/>
      <c r="CWW1" s="27"/>
      <c r="CWX1" s="27"/>
      <c r="CWY1" s="27"/>
      <c r="CWZ1" s="27"/>
      <c r="CXA1" s="27"/>
      <c r="CXB1" s="27"/>
      <c r="CXC1" s="27"/>
      <c r="CXD1" s="27"/>
      <c r="CXE1" s="27"/>
      <c r="CXF1" s="27"/>
      <c r="CXG1" s="27"/>
      <c r="CXH1" s="27"/>
      <c r="CXI1" s="27"/>
      <c r="CXJ1" s="27"/>
      <c r="CXK1" s="27"/>
      <c r="CXL1" s="27"/>
      <c r="CXM1" s="27"/>
      <c r="CXN1" s="27"/>
      <c r="CXO1" s="27"/>
      <c r="CXP1" s="27"/>
      <c r="CXQ1" s="27"/>
      <c r="CXR1" s="27"/>
      <c r="CXS1" s="27"/>
      <c r="CXT1" s="27"/>
      <c r="CXU1" s="27"/>
      <c r="CXV1" s="27"/>
      <c r="CXW1" s="27"/>
      <c r="CXX1" s="27"/>
      <c r="CXY1" s="27"/>
      <c r="CXZ1" s="27"/>
      <c r="CYA1" s="27"/>
      <c r="CYB1" s="27"/>
      <c r="CYC1" s="27"/>
      <c r="CYD1" s="27"/>
      <c r="CYE1" s="27"/>
      <c r="CYF1" s="27"/>
      <c r="CYG1" s="27"/>
      <c r="CYH1" s="27"/>
      <c r="CYI1" s="27"/>
      <c r="CYJ1" s="27"/>
      <c r="CYK1" s="27"/>
      <c r="CYL1" s="27"/>
      <c r="CYM1" s="27"/>
      <c r="CYN1" s="27"/>
      <c r="CYO1" s="27"/>
      <c r="CYP1" s="27"/>
      <c r="CYQ1" s="27"/>
      <c r="CYR1" s="27"/>
      <c r="CYS1" s="27"/>
      <c r="CYT1" s="27"/>
      <c r="CYU1" s="27"/>
      <c r="CYV1" s="27"/>
      <c r="CYW1" s="27"/>
      <c r="CYX1" s="27"/>
      <c r="CYY1" s="27"/>
      <c r="CYZ1" s="27"/>
      <c r="CZA1" s="27"/>
      <c r="CZB1" s="27"/>
      <c r="CZC1" s="27"/>
      <c r="CZD1" s="27"/>
      <c r="CZE1" s="27"/>
      <c r="CZF1" s="27"/>
      <c r="CZG1" s="27"/>
      <c r="CZH1" s="27"/>
      <c r="CZI1" s="27"/>
      <c r="CZJ1" s="27"/>
      <c r="CZK1" s="27"/>
      <c r="CZL1" s="27"/>
      <c r="CZM1" s="27"/>
      <c r="CZN1" s="27"/>
      <c r="CZO1" s="27"/>
      <c r="CZP1" s="27"/>
      <c r="CZQ1" s="27"/>
      <c r="CZR1" s="27"/>
      <c r="CZS1" s="27"/>
      <c r="CZT1" s="27"/>
      <c r="CZU1" s="27"/>
      <c r="CZV1" s="27"/>
      <c r="CZW1" s="27"/>
      <c r="CZX1" s="27"/>
      <c r="CZY1" s="27"/>
      <c r="CZZ1" s="27"/>
      <c r="DAA1" s="27"/>
      <c r="DAB1" s="27"/>
      <c r="DAC1" s="27"/>
      <c r="DAD1" s="27"/>
      <c r="DAE1" s="27"/>
      <c r="DAF1" s="27"/>
      <c r="DAG1" s="27"/>
      <c r="DAH1" s="27"/>
      <c r="DAI1" s="27"/>
      <c r="DAJ1" s="27"/>
      <c r="DAK1" s="27"/>
      <c r="DAL1" s="27"/>
      <c r="DAM1" s="27"/>
      <c r="DAN1" s="27"/>
      <c r="DAO1" s="27"/>
      <c r="DAP1" s="27"/>
      <c r="DAQ1" s="27"/>
      <c r="DAR1" s="27"/>
      <c r="DAS1" s="27"/>
      <c r="DAT1" s="27"/>
      <c r="DAU1" s="27"/>
      <c r="DAV1" s="27"/>
      <c r="DAW1" s="27"/>
      <c r="DAX1" s="27"/>
      <c r="DAY1" s="27"/>
      <c r="DAZ1" s="27"/>
      <c r="DBA1" s="27"/>
      <c r="DBB1" s="27"/>
      <c r="DBC1" s="27"/>
      <c r="DBD1" s="27"/>
      <c r="DBE1" s="27"/>
      <c r="DBF1" s="27"/>
      <c r="DBG1" s="27"/>
      <c r="DBH1" s="27"/>
      <c r="DBI1" s="27"/>
      <c r="DBJ1" s="27"/>
      <c r="DBK1" s="27"/>
      <c r="DBL1" s="27"/>
      <c r="DBM1" s="27"/>
      <c r="DBN1" s="27"/>
      <c r="DBO1" s="27"/>
      <c r="DBP1" s="27"/>
      <c r="DBQ1" s="27"/>
      <c r="DBR1" s="27"/>
      <c r="DBS1" s="27"/>
      <c r="DBT1" s="27"/>
      <c r="DBU1" s="27"/>
      <c r="DBV1" s="27"/>
      <c r="DBW1" s="27"/>
      <c r="DBX1" s="27"/>
      <c r="DBY1" s="27"/>
      <c r="DBZ1" s="27"/>
      <c r="DCA1" s="27"/>
      <c r="DCB1" s="27"/>
      <c r="DCC1" s="27"/>
      <c r="DCD1" s="27"/>
      <c r="DCE1" s="27"/>
      <c r="DCF1" s="27"/>
      <c r="DCG1" s="27"/>
      <c r="DCH1" s="27"/>
      <c r="DCI1" s="27"/>
      <c r="DCJ1" s="27"/>
      <c r="DCK1" s="27"/>
      <c r="DCL1" s="27"/>
      <c r="DCM1" s="27"/>
      <c r="DCN1" s="27"/>
      <c r="DCO1" s="27"/>
      <c r="DCP1" s="27"/>
      <c r="DCQ1" s="27"/>
      <c r="DCR1" s="27"/>
      <c r="DCS1" s="27"/>
      <c r="DCT1" s="27"/>
      <c r="DCU1" s="27"/>
      <c r="DCV1" s="27"/>
      <c r="DCW1" s="27"/>
      <c r="DCX1" s="27"/>
      <c r="DCY1" s="27"/>
      <c r="DCZ1" s="27"/>
      <c r="DDA1" s="27"/>
      <c r="DDB1" s="27"/>
      <c r="DDC1" s="27"/>
      <c r="DDD1" s="27"/>
      <c r="DDE1" s="27"/>
      <c r="DDF1" s="27"/>
      <c r="DDG1" s="27"/>
      <c r="DDH1" s="27"/>
      <c r="DDI1" s="27"/>
      <c r="DDJ1" s="27"/>
      <c r="DDK1" s="27"/>
      <c r="DDL1" s="27"/>
      <c r="DDM1" s="27"/>
      <c r="DDN1" s="27"/>
      <c r="DDO1" s="27"/>
      <c r="DDP1" s="27"/>
      <c r="DDQ1" s="27"/>
      <c r="DDR1" s="27"/>
      <c r="DDS1" s="27"/>
      <c r="DDT1" s="27"/>
      <c r="DDU1" s="27"/>
      <c r="DDV1" s="27"/>
      <c r="DDW1" s="27"/>
      <c r="DDX1" s="27"/>
      <c r="DDY1" s="27"/>
      <c r="DDZ1" s="27"/>
      <c r="DEA1" s="27"/>
      <c r="DEB1" s="27"/>
      <c r="DEC1" s="27"/>
      <c r="DED1" s="27"/>
      <c r="DEE1" s="27"/>
      <c r="DEF1" s="27"/>
      <c r="DEG1" s="27"/>
      <c r="DEH1" s="27"/>
      <c r="DEI1" s="27"/>
      <c r="DEJ1" s="27"/>
      <c r="DEK1" s="27"/>
      <c r="DEL1" s="27"/>
      <c r="DEM1" s="27"/>
      <c r="DEN1" s="27"/>
      <c r="DEO1" s="27"/>
      <c r="DEP1" s="27"/>
      <c r="DEQ1" s="27"/>
      <c r="DER1" s="27"/>
      <c r="DES1" s="27"/>
      <c r="DET1" s="27"/>
      <c r="DEU1" s="27"/>
      <c r="DEV1" s="27"/>
      <c r="DEW1" s="27"/>
      <c r="DEX1" s="27"/>
      <c r="DEY1" s="27"/>
      <c r="DEZ1" s="27"/>
      <c r="DFA1" s="27"/>
      <c r="DFB1" s="27"/>
      <c r="DFC1" s="27"/>
      <c r="DFD1" s="27"/>
      <c r="DFE1" s="27"/>
      <c r="DFF1" s="27"/>
      <c r="DFG1" s="27"/>
      <c r="DFH1" s="27"/>
      <c r="DFI1" s="27"/>
      <c r="DFJ1" s="27"/>
      <c r="DFK1" s="27"/>
      <c r="DFL1" s="27"/>
      <c r="DFM1" s="27"/>
      <c r="DFN1" s="27"/>
      <c r="DFO1" s="27"/>
      <c r="DFP1" s="27"/>
      <c r="DFQ1" s="27"/>
      <c r="DFR1" s="27"/>
      <c r="DFS1" s="27"/>
      <c r="DFT1" s="27"/>
      <c r="DFU1" s="27"/>
      <c r="DFV1" s="27"/>
      <c r="DFW1" s="27"/>
      <c r="DFX1" s="27"/>
      <c r="DFY1" s="27"/>
      <c r="DFZ1" s="27"/>
      <c r="DGA1" s="27"/>
      <c r="DGB1" s="27"/>
      <c r="DGC1" s="27"/>
      <c r="DGD1" s="27"/>
      <c r="DGE1" s="27"/>
      <c r="DGF1" s="27"/>
      <c r="DGG1" s="27"/>
      <c r="DGH1" s="27"/>
      <c r="DGI1" s="27"/>
      <c r="DGJ1" s="27"/>
      <c r="DGK1" s="27"/>
      <c r="DGL1" s="27"/>
      <c r="DGM1" s="27"/>
      <c r="DGN1" s="27"/>
      <c r="DGO1" s="27"/>
      <c r="DGP1" s="27"/>
      <c r="DGQ1" s="27"/>
      <c r="DGR1" s="27"/>
      <c r="DGS1" s="27"/>
      <c r="DGT1" s="27"/>
      <c r="DGU1" s="27"/>
      <c r="DGV1" s="27"/>
      <c r="DGW1" s="27"/>
      <c r="DGX1" s="27"/>
      <c r="DGY1" s="27"/>
      <c r="DGZ1" s="27"/>
      <c r="DHA1" s="27"/>
      <c r="DHB1" s="27"/>
      <c r="DHC1" s="27"/>
      <c r="DHD1" s="27"/>
      <c r="DHE1" s="27"/>
      <c r="DHF1" s="27"/>
      <c r="DHG1" s="27"/>
      <c r="DHH1" s="27"/>
      <c r="DHI1" s="27"/>
      <c r="DHJ1" s="27"/>
      <c r="DHK1" s="27"/>
      <c r="DHL1" s="27"/>
      <c r="DHM1" s="27"/>
      <c r="DHN1" s="27"/>
      <c r="DHO1" s="27"/>
      <c r="DHP1" s="27"/>
      <c r="DHQ1" s="27"/>
      <c r="DHR1" s="27"/>
      <c r="DHS1" s="27"/>
      <c r="DHT1" s="27"/>
      <c r="DHU1" s="27"/>
      <c r="DHV1" s="27"/>
      <c r="DHW1" s="27"/>
      <c r="DHX1" s="27"/>
      <c r="DHY1" s="27"/>
      <c r="DHZ1" s="27"/>
      <c r="DIA1" s="27"/>
      <c r="DIB1" s="27"/>
      <c r="DIC1" s="27"/>
      <c r="DID1" s="27"/>
      <c r="DIE1" s="27"/>
      <c r="DIF1" s="27"/>
      <c r="DIG1" s="27"/>
      <c r="DIH1" s="27"/>
      <c r="DII1" s="27"/>
      <c r="DIJ1" s="27"/>
      <c r="DIK1" s="27"/>
      <c r="DIL1" s="27"/>
      <c r="DIM1" s="27"/>
      <c r="DIN1" s="27"/>
      <c r="DIO1" s="27"/>
      <c r="DIP1" s="27"/>
      <c r="DIQ1" s="27"/>
      <c r="DIR1" s="27"/>
      <c r="DIS1" s="27"/>
      <c r="DIT1" s="27"/>
      <c r="DIU1" s="27"/>
      <c r="DIV1" s="27"/>
      <c r="DIW1" s="27"/>
      <c r="DIX1" s="27"/>
      <c r="DIY1" s="27"/>
      <c r="DIZ1" s="27"/>
      <c r="DJA1" s="27"/>
      <c r="DJB1" s="27"/>
      <c r="DJC1" s="27"/>
      <c r="DJD1" s="27"/>
      <c r="DJE1" s="27"/>
      <c r="DJF1" s="27"/>
      <c r="DJG1" s="27"/>
      <c r="DJH1" s="27"/>
      <c r="DJI1" s="27"/>
      <c r="DJJ1" s="27"/>
      <c r="DJK1" s="27"/>
      <c r="DJL1" s="27"/>
      <c r="DJM1" s="27"/>
      <c r="DJN1" s="27"/>
      <c r="DJO1" s="27"/>
      <c r="DJP1" s="27"/>
      <c r="DJQ1" s="27"/>
      <c r="DJR1" s="27"/>
      <c r="DJS1" s="27"/>
      <c r="DJT1" s="27"/>
      <c r="DJU1" s="27"/>
      <c r="DJV1" s="27"/>
      <c r="DJW1" s="27"/>
      <c r="DJX1" s="27"/>
      <c r="DJY1" s="27"/>
      <c r="DJZ1" s="27"/>
      <c r="DKA1" s="27"/>
      <c r="DKB1" s="27"/>
      <c r="DKC1" s="27"/>
      <c r="DKD1" s="27"/>
      <c r="DKE1" s="27"/>
      <c r="DKF1" s="27"/>
      <c r="DKG1" s="27"/>
      <c r="DKH1" s="27"/>
      <c r="DKI1" s="27"/>
      <c r="DKJ1" s="27"/>
      <c r="DKK1" s="27"/>
      <c r="DKL1" s="27"/>
      <c r="DKM1" s="27"/>
      <c r="DKN1" s="27"/>
      <c r="DKO1" s="27"/>
      <c r="DKP1" s="27"/>
      <c r="DKQ1" s="27"/>
      <c r="DKR1" s="27"/>
      <c r="DKS1" s="27"/>
      <c r="DKT1" s="27"/>
      <c r="DKU1" s="27"/>
      <c r="DKV1" s="27"/>
      <c r="DKW1" s="27"/>
      <c r="DKX1" s="27"/>
      <c r="DKY1" s="27"/>
      <c r="DKZ1" s="27"/>
      <c r="DLA1" s="27"/>
      <c r="DLB1" s="27"/>
      <c r="DLC1" s="27"/>
      <c r="DLD1" s="27"/>
      <c r="DLE1" s="27"/>
      <c r="DLF1" s="27"/>
      <c r="DLG1" s="27"/>
      <c r="DLH1" s="27"/>
      <c r="DLI1" s="27"/>
      <c r="DLJ1" s="27"/>
      <c r="DLK1" s="27"/>
      <c r="DLL1" s="27"/>
      <c r="DLM1" s="27"/>
      <c r="DLN1" s="27"/>
      <c r="DLO1" s="27"/>
      <c r="DLP1" s="27"/>
      <c r="DLQ1" s="27"/>
      <c r="DLR1" s="27"/>
      <c r="DLS1" s="27"/>
      <c r="DLT1" s="27"/>
      <c r="DLU1" s="27"/>
      <c r="DLV1" s="27"/>
      <c r="DLW1" s="27"/>
      <c r="DLX1" s="27"/>
      <c r="DLY1" s="27"/>
      <c r="DLZ1" s="27"/>
      <c r="DMA1" s="27"/>
      <c r="DMB1" s="27"/>
      <c r="DMC1" s="27"/>
      <c r="DMD1" s="27"/>
      <c r="DME1" s="27"/>
      <c r="DMF1" s="27"/>
      <c r="DMG1" s="27"/>
      <c r="DMH1" s="27"/>
      <c r="DMI1" s="27"/>
      <c r="DMJ1" s="27"/>
      <c r="DMK1" s="27"/>
      <c r="DML1" s="27"/>
      <c r="DMM1" s="27"/>
      <c r="DMN1" s="27"/>
      <c r="DMO1" s="27"/>
      <c r="DMP1" s="27"/>
      <c r="DMQ1" s="27"/>
      <c r="DMR1" s="27"/>
      <c r="DMS1" s="27"/>
      <c r="DMT1" s="27"/>
      <c r="DMU1" s="27"/>
      <c r="DMV1" s="27"/>
      <c r="DMW1" s="27"/>
      <c r="DMX1" s="27"/>
      <c r="DMY1" s="27"/>
      <c r="DMZ1" s="27"/>
      <c r="DNA1" s="27"/>
      <c r="DNB1" s="27"/>
      <c r="DNC1" s="27"/>
      <c r="DND1" s="27"/>
      <c r="DNE1" s="27"/>
      <c r="DNF1" s="27"/>
      <c r="DNG1" s="27"/>
      <c r="DNH1" s="27"/>
      <c r="DNI1" s="27"/>
      <c r="DNJ1" s="27"/>
      <c r="DNK1" s="27"/>
      <c r="DNL1" s="27"/>
      <c r="DNM1" s="27"/>
      <c r="DNN1" s="27"/>
      <c r="DNO1" s="27"/>
      <c r="DNP1" s="27"/>
      <c r="DNQ1" s="27"/>
      <c r="DNR1" s="27"/>
      <c r="DNS1" s="27"/>
      <c r="DNT1" s="27"/>
      <c r="DNU1" s="27"/>
      <c r="DNV1" s="27"/>
      <c r="DNW1" s="27"/>
      <c r="DNX1" s="27"/>
      <c r="DNY1" s="27"/>
      <c r="DNZ1" s="27"/>
      <c r="DOA1" s="27"/>
      <c r="DOB1" s="27"/>
      <c r="DOC1" s="27"/>
      <c r="DOD1" s="27"/>
      <c r="DOE1" s="27"/>
      <c r="DOF1" s="27"/>
      <c r="DOG1" s="27"/>
      <c r="DOH1" s="27"/>
      <c r="DOI1" s="27"/>
      <c r="DOJ1" s="27"/>
      <c r="DOK1" s="27"/>
      <c r="DOL1" s="27"/>
      <c r="DOM1" s="27"/>
      <c r="DON1" s="27"/>
      <c r="DOO1" s="27"/>
      <c r="DOP1" s="27"/>
      <c r="DOQ1" s="27"/>
      <c r="DOR1" s="27"/>
      <c r="DOS1" s="27"/>
      <c r="DOT1" s="27"/>
      <c r="DOU1" s="27"/>
      <c r="DOV1" s="27"/>
      <c r="DOW1" s="27"/>
      <c r="DOX1" s="27"/>
      <c r="DOY1" s="27"/>
      <c r="DOZ1" s="27"/>
      <c r="DPA1" s="27"/>
      <c r="DPB1" s="27"/>
      <c r="DPC1" s="27"/>
      <c r="DPD1" s="27"/>
      <c r="DPE1" s="27"/>
      <c r="DPF1" s="27"/>
      <c r="DPG1" s="27"/>
      <c r="DPH1" s="27"/>
      <c r="DPI1" s="27"/>
      <c r="DPJ1" s="27"/>
      <c r="DPK1" s="27"/>
      <c r="DPL1" s="27"/>
      <c r="DPM1" s="27"/>
      <c r="DPN1" s="27"/>
      <c r="DPO1" s="27"/>
      <c r="DPP1" s="27"/>
      <c r="DPQ1" s="27"/>
      <c r="DPR1" s="27"/>
      <c r="DPS1" s="27"/>
      <c r="DPT1" s="27"/>
      <c r="DPU1" s="27"/>
      <c r="DPV1" s="27"/>
      <c r="DPW1" s="27"/>
      <c r="DPX1" s="27"/>
      <c r="DPY1" s="27"/>
      <c r="DPZ1" s="27"/>
      <c r="DQA1" s="27"/>
      <c r="DQB1" s="27"/>
      <c r="DQC1" s="27"/>
      <c r="DQD1" s="27"/>
      <c r="DQE1" s="27"/>
      <c r="DQF1" s="27"/>
      <c r="DQG1" s="27"/>
      <c r="DQH1" s="27"/>
      <c r="DQI1" s="27"/>
      <c r="DQJ1" s="27"/>
      <c r="DQK1" s="27"/>
      <c r="DQL1" s="27"/>
      <c r="DQM1" s="27"/>
      <c r="DQN1" s="27"/>
      <c r="DQO1" s="27"/>
      <c r="DQP1" s="27"/>
      <c r="DQQ1" s="27"/>
      <c r="DQR1" s="27"/>
      <c r="DQS1" s="27"/>
      <c r="DQT1" s="27"/>
      <c r="DQU1" s="27"/>
      <c r="DQV1" s="27"/>
      <c r="DQW1" s="27"/>
      <c r="DQX1" s="27"/>
      <c r="DQY1" s="27"/>
      <c r="DQZ1" s="27"/>
      <c r="DRA1" s="27"/>
      <c r="DRB1" s="27"/>
      <c r="DRC1" s="27"/>
      <c r="DRD1" s="27"/>
      <c r="DRE1" s="27"/>
      <c r="DRF1" s="27"/>
      <c r="DRG1" s="27"/>
      <c r="DRH1" s="27"/>
      <c r="DRI1" s="27"/>
      <c r="DRJ1" s="27"/>
      <c r="DRK1" s="27"/>
      <c r="DRL1" s="27"/>
      <c r="DRM1" s="27"/>
      <c r="DRN1" s="27"/>
      <c r="DRO1" s="27"/>
      <c r="DRP1" s="27"/>
      <c r="DRQ1" s="27"/>
      <c r="DRR1" s="27"/>
      <c r="DRS1" s="27"/>
      <c r="DRT1" s="27"/>
      <c r="DRU1" s="27"/>
      <c r="DRV1" s="27"/>
      <c r="DRW1" s="27"/>
      <c r="DRX1" s="27"/>
      <c r="DRY1" s="27"/>
      <c r="DRZ1" s="27"/>
      <c r="DSA1" s="27"/>
      <c r="DSB1" s="27"/>
      <c r="DSC1" s="27"/>
      <c r="DSD1" s="27"/>
      <c r="DSE1" s="27"/>
      <c r="DSF1" s="27"/>
      <c r="DSG1" s="27"/>
      <c r="DSH1" s="27"/>
      <c r="DSI1" s="27"/>
      <c r="DSJ1" s="27"/>
      <c r="DSK1" s="27"/>
      <c r="DSL1" s="27"/>
      <c r="DSM1" s="27"/>
      <c r="DSN1" s="27"/>
      <c r="DSO1" s="27"/>
      <c r="DSP1" s="27"/>
      <c r="DSQ1" s="27"/>
      <c r="DSR1" s="27"/>
      <c r="DSS1" s="27"/>
      <c r="DST1" s="27"/>
      <c r="DSU1" s="27"/>
      <c r="DSV1" s="27"/>
      <c r="DSW1" s="27"/>
      <c r="DSX1" s="27"/>
      <c r="DSY1" s="27"/>
      <c r="DSZ1" s="27"/>
      <c r="DTA1" s="27"/>
      <c r="DTB1" s="27"/>
      <c r="DTC1" s="27"/>
      <c r="DTD1" s="27"/>
      <c r="DTE1" s="27"/>
      <c r="DTF1" s="27"/>
      <c r="DTG1" s="27"/>
      <c r="DTH1" s="27"/>
      <c r="DTI1" s="27"/>
      <c r="DTJ1" s="27"/>
      <c r="DTK1" s="27"/>
      <c r="DTL1" s="27"/>
      <c r="DTM1" s="27"/>
      <c r="DTN1" s="27"/>
      <c r="DTO1" s="27"/>
      <c r="DTP1" s="27"/>
      <c r="DTQ1" s="27"/>
      <c r="DTR1" s="27"/>
      <c r="DTS1" s="27"/>
      <c r="DTT1" s="27"/>
      <c r="DTU1" s="27"/>
      <c r="DTV1" s="27"/>
      <c r="DTW1" s="27"/>
      <c r="DTX1" s="27"/>
      <c r="DTY1" s="27"/>
      <c r="DTZ1" s="27"/>
      <c r="DUA1" s="27"/>
      <c r="DUB1" s="27"/>
      <c r="DUC1" s="27"/>
      <c r="DUD1" s="27"/>
      <c r="DUE1" s="27"/>
      <c r="DUF1" s="27"/>
      <c r="DUG1" s="27"/>
      <c r="DUH1" s="27"/>
      <c r="DUI1" s="27"/>
      <c r="DUJ1" s="27"/>
      <c r="DUK1" s="27"/>
      <c r="DUL1" s="27"/>
      <c r="DUM1" s="27"/>
      <c r="DUN1" s="27"/>
      <c r="DUO1" s="27"/>
      <c r="DUP1" s="27"/>
      <c r="DUQ1" s="27"/>
      <c r="DUR1" s="27"/>
      <c r="DUS1" s="27"/>
      <c r="DUT1" s="27"/>
      <c r="DUU1" s="27"/>
      <c r="DUV1" s="27"/>
      <c r="DUW1" s="27"/>
      <c r="DUX1" s="27"/>
      <c r="DUY1" s="27"/>
      <c r="DUZ1" s="27"/>
      <c r="DVA1" s="27"/>
      <c r="DVB1" s="27"/>
      <c r="DVC1" s="27"/>
      <c r="DVD1" s="27"/>
      <c r="DVE1" s="27"/>
      <c r="DVF1" s="27"/>
      <c r="DVG1" s="27"/>
      <c r="DVH1" s="27"/>
      <c r="DVI1" s="27"/>
      <c r="DVJ1" s="27"/>
      <c r="DVK1" s="27"/>
      <c r="DVL1" s="27"/>
      <c r="DVM1" s="27"/>
      <c r="DVN1" s="27"/>
      <c r="DVO1" s="27"/>
      <c r="DVP1" s="27"/>
      <c r="DVQ1" s="27"/>
      <c r="DVR1" s="27"/>
      <c r="DVS1" s="27"/>
      <c r="DVT1" s="27"/>
      <c r="DVU1" s="27"/>
      <c r="DVV1" s="27"/>
      <c r="DVW1" s="27"/>
      <c r="DVX1" s="27"/>
      <c r="DVY1" s="27"/>
      <c r="DVZ1" s="27"/>
      <c r="DWA1" s="27"/>
      <c r="DWB1" s="27"/>
      <c r="DWC1" s="27"/>
      <c r="DWD1" s="27"/>
      <c r="DWE1" s="27"/>
      <c r="DWF1" s="27"/>
      <c r="DWG1" s="27"/>
      <c r="DWH1" s="27"/>
      <c r="DWI1" s="27"/>
      <c r="DWJ1" s="27"/>
      <c r="DWK1" s="27"/>
      <c r="DWL1" s="27"/>
      <c r="DWM1" s="27"/>
      <c r="DWN1" s="27"/>
      <c r="DWO1" s="27"/>
      <c r="DWP1" s="27"/>
      <c r="DWQ1" s="27"/>
      <c r="DWR1" s="27"/>
      <c r="DWS1" s="27"/>
      <c r="DWT1" s="27"/>
      <c r="DWU1" s="27"/>
      <c r="DWV1" s="27"/>
      <c r="DWW1" s="27"/>
      <c r="DWX1" s="27"/>
      <c r="DWY1" s="27"/>
      <c r="DWZ1" s="27"/>
      <c r="DXA1" s="27"/>
      <c r="DXB1" s="27"/>
      <c r="DXC1" s="27"/>
      <c r="DXD1" s="27"/>
      <c r="DXE1" s="27"/>
      <c r="DXF1" s="27"/>
      <c r="DXG1" s="27"/>
      <c r="DXH1" s="27"/>
      <c r="DXI1" s="27"/>
      <c r="DXJ1" s="27"/>
      <c r="DXK1" s="27"/>
      <c r="DXL1" s="27"/>
      <c r="DXM1" s="27"/>
      <c r="DXN1" s="27"/>
      <c r="DXO1" s="27"/>
      <c r="DXP1" s="27"/>
      <c r="DXQ1" s="27"/>
      <c r="DXR1" s="27"/>
      <c r="DXS1" s="27"/>
      <c r="DXT1" s="27"/>
      <c r="DXU1" s="27"/>
      <c r="DXV1" s="27"/>
      <c r="DXW1" s="27"/>
      <c r="DXX1" s="27"/>
      <c r="DXY1" s="27"/>
      <c r="DXZ1" s="27"/>
      <c r="DYA1" s="27"/>
      <c r="DYB1" s="27"/>
      <c r="DYC1" s="27"/>
      <c r="DYD1" s="27"/>
      <c r="DYE1" s="27"/>
      <c r="DYF1" s="27"/>
      <c r="DYG1" s="27"/>
      <c r="DYH1" s="27"/>
      <c r="DYI1" s="27"/>
      <c r="DYJ1" s="27"/>
      <c r="DYK1" s="27"/>
      <c r="DYL1" s="27"/>
      <c r="DYM1" s="27"/>
      <c r="DYN1" s="27"/>
      <c r="DYO1" s="27"/>
      <c r="DYP1" s="27"/>
      <c r="DYQ1" s="27"/>
      <c r="DYR1" s="27"/>
      <c r="DYS1" s="27"/>
      <c r="DYT1" s="27"/>
      <c r="DYU1" s="27"/>
      <c r="DYV1" s="27"/>
      <c r="DYW1" s="27"/>
      <c r="DYX1" s="27"/>
      <c r="DYY1" s="27"/>
      <c r="DYZ1" s="27"/>
      <c r="DZA1" s="27"/>
      <c r="DZB1" s="27"/>
      <c r="DZC1" s="27"/>
      <c r="DZD1" s="27"/>
      <c r="DZE1" s="27"/>
      <c r="DZF1" s="27"/>
      <c r="DZG1" s="27"/>
      <c r="DZH1" s="27"/>
      <c r="DZI1" s="27"/>
      <c r="DZJ1" s="27"/>
      <c r="DZK1" s="27"/>
      <c r="DZL1" s="27"/>
      <c r="DZM1" s="27"/>
      <c r="DZN1" s="27"/>
      <c r="DZO1" s="27"/>
      <c r="DZP1" s="27"/>
      <c r="DZQ1" s="27"/>
      <c r="DZR1" s="27"/>
      <c r="DZS1" s="27"/>
      <c r="DZT1" s="27"/>
      <c r="DZU1" s="27"/>
      <c r="DZV1" s="27"/>
      <c r="DZW1" s="27"/>
      <c r="DZX1" s="27"/>
      <c r="DZY1" s="27"/>
      <c r="DZZ1" s="27"/>
      <c r="EAA1" s="27"/>
      <c r="EAB1" s="27"/>
      <c r="EAC1" s="27"/>
      <c r="EAD1" s="27"/>
      <c r="EAE1" s="27"/>
      <c r="EAF1" s="27"/>
      <c r="EAG1" s="27"/>
      <c r="EAH1" s="27"/>
      <c r="EAI1" s="27"/>
      <c r="EAJ1" s="27"/>
      <c r="EAK1" s="27"/>
      <c r="EAL1" s="27"/>
      <c r="EAM1" s="27"/>
      <c r="EAN1" s="27"/>
      <c r="EAO1" s="27"/>
      <c r="EAP1" s="27"/>
      <c r="EAQ1" s="27"/>
      <c r="EAR1" s="27"/>
      <c r="EAS1" s="27"/>
      <c r="EAT1" s="27"/>
      <c r="EAU1" s="27"/>
      <c r="EAV1" s="27"/>
      <c r="EAW1" s="27"/>
      <c r="EAX1" s="27"/>
      <c r="EAY1" s="27"/>
      <c r="EAZ1" s="27"/>
      <c r="EBA1" s="27"/>
      <c r="EBB1" s="27"/>
      <c r="EBC1" s="27"/>
      <c r="EBD1" s="27"/>
      <c r="EBE1" s="27"/>
      <c r="EBF1" s="27"/>
      <c r="EBG1" s="27"/>
      <c r="EBH1" s="27"/>
      <c r="EBI1" s="27"/>
      <c r="EBJ1" s="27"/>
      <c r="EBK1" s="27"/>
      <c r="EBL1" s="27"/>
      <c r="EBM1" s="27"/>
      <c r="EBN1" s="27"/>
      <c r="EBO1" s="27"/>
      <c r="EBP1" s="27"/>
      <c r="EBQ1" s="27"/>
      <c r="EBR1" s="27"/>
      <c r="EBS1" s="27"/>
      <c r="EBT1" s="27"/>
      <c r="EBU1" s="27"/>
      <c r="EBV1" s="27"/>
      <c r="EBW1" s="27"/>
      <c r="EBX1" s="27"/>
      <c r="EBY1" s="27"/>
      <c r="EBZ1" s="27"/>
      <c r="ECA1" s="27"/>
      <c r="ECB1" s="27"/>
      <c r="ECC1" s="27"/>
      <c r="ECD1" s="27"/>
      <c r="ECE1" s="27"/>
      <c r="ECF1" s="27"/>
      <c r="ECG1" s="27"/>
      <c r="ECH1" s="27"/>
      <c r="ECI1" s="27"/>
      <c r="ECJ1" s="27"/>
      <c r="ECK1" s="27"/>
      <c r="ECL1" s="27"/>
      <c r="ECM1" s="27"/>
      <c r="ECN1" s="27"/>
      <c r="ECO1" s="27"/>
      <c r="ECP1" s="27"/>
      <c r="ECQ1" s="27"/>
      <c r="ECR1" s="27"/>
      <c r="ECS1" s="27"/>
      <c r="ECT1" s="27"/>
      <c r="ECU1" s="27"/>
      <c r="ECV1" s="27"/>
      <c r="ECW1" s="27"/>
      <c r="ECX1" s="27"/>
      <c r="ECY1" s="27"/>
      <c r="ECZ1" s="27"/>
      <c r="EDA1" s="27"/>
      <c r="EDB1" s="27"/>
      <c r="EDC1" s="27"/>
      <c r="EDD1" s="27"/>
      <c r="EDE1" s="27"/>
      <c r="EDF1" s="27"/>
      <c r="EDG1" s="27"/>
      <c r="EDH1" s="27"/>
      <c r="EDI1" s="27"/>
      <c r="EDJ1" s="27"/>
      <c r="EDK1" s="27"/>
      <c r="EDL1" s="27"/>
      <c r="EDM1" s="27"/>
      <c r="EDN1" s="27"/>
      <c r="EDO1" s="27"/>
      <c r="EDP1" s="27"/>
      <c r="EDQ1" s="27"/>
      <c r="EDR1" s="27"/>
      <c r="EDS1" s="27"/>
      <c r="EDT1" s="27"/>
      <c r="EDU1" s="27"/>
      <c r="EDV1" s="27"/>
      <c r="EDW1" s="27"/>
      <c r="EDX1" s="27"/>
      <c r="EDY1" s="27"/>
      <c r="EDZ1" s="27"/>
      <c r="EEA1" s="27"/>
      <c r="EEB1" s="27"/>
      <c r="EEC1" s="27"/>
      <c r="EED1" s="27"/>
      <c r="EEE1" s="27"/>
      <c r="EEF1" s="27"/>
      <c r="EEG1" s="27"/>
      <c r="EEH1" s="27"/>
      <c r="EEI1" s="27"/>
      <c r="EEJ1" s="27"/>
      <c r="EEK1" s="27"/>
      <c r="EEL1" s="27"/>
      <c r="EEM1" s="27"/>
      <c r="EEN1" s="27"/>
      <c r="EEO1" s="27"/>
      <c r="EEP1" s="27"/>
      <c r="EEQ1" s="27"/>
      <c r="EER1" s="27"/>
      <c r="EES1" s="27"/>
      <c r="EET1" s="27"/>
      <c r="EEU1" s="27"/>
      <c r="EEV1" s="27"/>
      <c r="EEW1" s="27"/>
      <c r="EEX1" s="27"/>
      <c r="EEY1" s="27"/>
      <c r="EEZ1" s="27"/>
      <c r="EFA1" s="27"/>
      <c r="EFB1" s="27"/>
      <c r="EFC1" s="27"/>
      <c r="EFD1" s="27"/>
      <c r="EFE1" s="27"/>
      <c r="EFF1" s="27"/>
      <c r="EFG1" s="27"/>
      <c r="EFH1" s="27"/>
      <c r="EFI1" s="27"/>
      <c r="EFJ1" s="27"/>
      <c r="EFK1" s="27"/>
      <c r="EFL1" s="27"/>
      <c r="EFM1" s="27"/>
      <c r="EFN1" s="27"/>
      <c r="EFO1" s="27"/>
      <c r="EFP1" s="27"/>
      <c r="EFQ1" s="27"/>
      <c r="EFR1" s="27"/>
      <c r="EFS1" s="27"/>
      <c r="EFT1" s="27"/>
      <c r="EFU1" s="27"/>
      <c r="EFV1" s="27"/>
      <c r="EFW1" s="27"/>
      <c r="EFX1" s="27"/>
      <c r="EFY1" s="27"/>
      <c r="EFZ1" s="27"/>
      <c r="EGA1" s="27"/>
      <c r="EGB1" s="27"/>
      <c r="EGC1" s="27"/>
      <c r="EGD1" s="27"/>
      <c r="EGE1" s="27"/>
      <c r="EGF1" s="27"/>
      <c r="EGG1" s="27"/>
      <c r="EGH1" s="27"/>
      <c r="EGI1" s="27"/>
      <c r="EGJ1" s="27"/>
      <c r="EGK1" s="27"/>
      <c r="EGL1" s="27"/>
      <c r="EGM1" s="27"/>
      <c r="EGN1" s="27"/>
      <c r="EGO1" s="27"/>
      <c r="EGP1" s="27"/>
      <c r="EGQ1" s="27"/>
      <c r="EGR1" s="27"/>
      <c r="EGS1" s="27"/>
      <c r="EGT1" s="27"/>
      <c r="EGU1" s="27"/>
      <c r="EGV1" s="27"/>
      <c r="EGW1" s="27"/>
      <c r="EGX1" s="27"/>
      <c r="EGY1" s="27"/>
      <c r="EGZ1" s="27"/>
      <c r="EHA1" s="27"/>
      <c r="EHB1" s="27"/>
      <c r="EHC1" s="27"/>
      <c r="EHD1" s="27"/>
      <c r="EHE1" s="27"/>
      <c r="EHF1" s="27"/>
      <c r="EHG1" s="27"/>
      <c r="EHH1" s="27"/>
      <c r="EHI1" s="27"/>
      <c r="EHJ1" s="27"/>
      <c r="EHK1" s="27"/>
      <c r="EHL1" s="27"/>
      <c r="EHM1" s="27"/>
      <c r="EHN1" s="27"/>
      <c r="EHO1" s="27"/>
      <c r="EHP1" s="27"/>
      <c r="EHQ1" s="27"/>
      <c r="EHR1" s="27"/>
      <c r="EHS1" s="27"/>
      <c r="EHT1" s="27"/>
      <c r="EHU1" s="27"/>
      <c r="EHV1" s="27"/>
      <c r="EHW1" s="27"/>
      <c r="EHX1" s="27"/>
      <c r="EHY1" s="27"/>
      <c r="EHZ1" s="27"/>
      <c r="EIA1" s="27"/>
      <c r="EIB1" s="27"/>
      <c r="EIC1" s="27"/>
      <c r="EID1" s="27"/>
      <c r="EIE1" s="27"/>
      <c r="EIF1" s="27"/>
      <c r="EIG1" s="27"/>
      <c r="EIH1" s="27"/>
      <c r="EII1" s="27"/>
      <c r="EIJ1" s="27"/>
      <c r="EIK1" s="27"/>
      <c r="EIL1" s="27"/>
      <c r="EIM1" s="27"/>
      <c r="EIN1" s="27"/>
      <c r="EIO1" s="27"/>
      <c r="EIP1" s="27"/>
      <c r="EIQ1" s="27"/>
      <c r="EIR1" s="27"/>
      <c r="EIS1" s="27"/>
      <c r="EIT1" s="27"/>
      <c r="EIU1" s="27"/>
      <c r="EIV1" s="27"/>
      <c r="EIW1" s="27"/>
      <c r="EIX1" s="27"/>
      <c r="EIY1" s="27"/>
      <c r="EIZ1" s="27"/>
      <c r="EJA1" s="27"/>
      <c r="EJB1" s="27"/>
      <c r="EJC1" s="27"/>
      <c r="EJD1" s="27"/>
      <c r="EJE1" s="27"/>
      <c r="EJF1" s="27"/>
      <c r="EJG1" s="27"/>
      <c r="EJH1" s="27"/>
      <c r="EJI1" s="27"/>
      <c r="EJJ1" s="27"/>
      <c r="EJK1" s="27"/>
      <c r="EJL1" s="27"/>
      <c r="EJM1" s="27"/>
      <c r="EJN1" s="27"/>
      <c r="EJO1" s="27"/>
      <c r="EJP1" s="27"/>
      <c r="EJQ1" s="27"/>
      <c r="EJR1" s="27"/>
      <c r="EJS1" s="27"/>
      <c r="EJT1" s="27"/>
      <c r="EJU1" s="27"/>
      <c r="EJV1" s="27"/>
      <c r="EJW1" s="27"/>
      <c r="EJX1" s="27"/>
      <c r="EJY1" s="27"/>
      <c r="EJZ1" s="27"/>
      <c r="EKA1" s="27"/>
      <c r="EKB1" s="27"/>
      <c r="EKC1" s="27"/>
      <c r="EKD1" s="27"/>
      <c r="EKE1" s="27"/>
      <c r="EKF1" s="27"/>
      <c r="EKG1" s="27"/>
      <c r="EKH1" s="27"/>
      <c r="EKI1" s="27"/>
      <c r="EKJ1" s="27"/>
      <c r="EKK1" s="27"/>
      <c r="EKL1" s="27"/>
      <c r="EKM1" s="27"/>
      <c r="EKN1" s="27"/>
      <c r="EKO1" s="27"/>
      <c r="EKP1" s="27"/>
      <c r="EKQ1" s="27"/>
      <c r="EKR1" s="27"/>
      <c r="EKS1" s="27"/>
      <c r="EKT1" s="27"/>
      <c r="EKU1" s="27"/>
      <c r="EKV1" s="27"/>
      <c r="EKW1" s="27"/>
      <c r="EKX1" s="27"/>
      <c r="EKY1" s="27"/>
      <c r="EKZ1" s="27"/>
      <c r="ELA1" s="27"/>
      <c r="ELB1" s="27"/>
      <c r="ELC1" s="27"/>
      <c r="ELD1" s="27"/>
      <c r="ELE1" s="27"/>
      <c r="ELF1" s="27"/>
      <c r="ELG1" s="27"/>
      <c r="ELH1" s="27"/>
      <c r="ELI1" s="27"/>
      <c r="ELJ1" s="27"/>
      <c r="ELK1" s="27"/>
      <c r="ELL1" s="27"/>
      <c r="ELM1" s="27"/>
      <c r="ELN1" s="27"/>
      <c r="ELO1" s="27"/>
      <c r="ELP1" s="27"/>
      <c r="ELQ1" s="27"/>
      <c r="ELR1" s="27"/>
      <c r="ELS1" s="27"/>
      <c r="ELT1" s="27"/>
      <c r="ELU1" s="27"/>
      <c r="ELV1" s="27"/>
      <c r="ELW1" s="27"/>
      <c r="ELX1" s="27"/>
      <c r="ELY1" s="27"/>
      <c r="ELZ1" s="27"/>
      <c r="EMA1" s="27"/>
      <c r="EMB1" s="27"/>
      <c r="EMC1" s="27"/>
      <c r="EMD1" s="27"/>
      <c r="EME1" s="27"/>
      <c r="EMF1" s="27"/>
      <c r="EMG1" s="27"/>
      <c r="EMH1" s="27"/>
      <c r="EMI1" s="27"/>
      <c r="EMJ1" s="27"/>
      <c r="EMK1" s="27"/>
      <c r="EML1" s="27"/>
      <c r="EMM1" s="27"/>
      <c r="EMN1" s="27"/>
      <c r="EMO1" s="27"/>
      <c r="EMP1" s="27"/>
      <c r="EMQ1" s="27"/>
      <c r="EMR1" s="27"/>
      <c r="EMS1" s="27"/>
      <c r="EMT1" s="27"/>
      <c r="EMU1" s="27"/>
      <c r="EMV1" s="27"/>
      <c r="EMW1" s="27"/>
      <c r="EMX1" s="27"/>
      <c r="EMY1" s="27"/>
      <c r="EMZ1" s="27"/>
      <c r="ENA1" s="27"/>
      <c r="ENB1" s="27"/>
      <c r="ENC1" s="27"/>
      <c r="END1" s="27"/>
      <c r="ENE1" s="27"/>
      <c r="ENF1" s="27"/>
      <c r="ENG1" s="27"/>
      <c r="ENH1" s="27"/>
      <c r="ENI1" s="27"/>
      <c r="ENJ1" s="27"/>
      <c r="ENK1" s="27"/>
      <c r="ENL1" s="27"/>
      <c r="ENM1" s="27"/>
      <c r="ENN1" s="27"/>
      <c r="ENO1" s="27"/>
      <c r="ENP1" s="27"/>
      <c r="ENQ1" s="27"/>
      <c r="ENR1" s="27"/>
      <c r="ENS1" s="27"/>
      <c r="ENT1" s="27"/>
      <c r="ENU1" s="27"/>
      <c r="ENV1" s="27"/>
      <c r="ENW1" s="27"/>
      <c r="ENX1" s="27"/>
      <c r="ENY1" s="27"/>
      <c r="ENZ1" s="27"/>
      <c r="EOA1" s="27"/>
      <c r="EOB1" s="27"/>
      <c r="EOC1" s="27"/>
      <c r="EOD1" s="27"/>
      <c r="EOE1" s="27"/>
      <c r="EOF1" s="27"/>
      <c r="EOG1" s="27"/>
      <c r="EOH1" s="27"/>
      <c r="EOI1" s="27"/>
      <c r="EOJ1" s="27"/>
      <c r="EOK1" s="27"/>
      <c r="EOL1" s="27"/>
      <c r="EOM1" s="27"/>
      <c r="EON1" s="27"/>
      <c r="EOO1" s="27"/>
      <c r="EOP1" s="27"/>
      <c r="EOQ1" s="27"/>
      <c r="EOR1" s="27"/>
      <c r="EOS1" s="27"/>
      <c r="EOT1" s="27"/>
      <c r="EOU1" s="27"/>
      <c r="EOV1" s="27"/>
      <c r="EOW1" s="27"/>
      <c r="EOX1" s="27"/>
      <c r="EOY1" s="27"/>
      <c r="EOZ1" s="27"/>
      <c r="EPA1" s="27"/>
      <c r="EPB1" s="27"/>
      <c r="EPC1" s="27"/>
      <c r="EPD1" s="27"/>
      <c r="EPE1" s="27"/>
      <c r="EPF1" s="27"/>
      <c r="EPG1" s="27"/>
      <c r="EPH1" s="27"/>
      <c r="EPI1" s="27"/>
      <c r="EPJ1" s="27"/>
      <c r="EPK1" s="27"/>
      <c r="EPL1" s="27"/>
      <c r="EPM1" s="27"/>
      <c r="EPN1" s="27"/>
      <c r="EPO1" s="27"/>
      <c r="EPP1" s="27"/>
      <c r="EPQ1" s="27"/>
      <c r="EPR1" s="27"/>
      <c r="EPS1" s="27"/>
      <c r="EPT1" s="27"/>
      <c r="EPU1" s="27"/>
      <c r="EPV1" s="27"/>
      <c r="EPW1" s="27"/>
      <c r="EPX1" s="27"/>
      <c r="EPY1" s="27"/>
      <c r="EPZ1" s="27"/>
      <c r="EQA1" s="27"/>
      <c r="EQB1" s="27"/>
      <c r="EQC1" s="27"/>
      <c r="EQD1" s="27"/>
      <c r="EQE1" s="27"/>
      <c r="EQF1" s="27"/>
      <c r="EQG1" s="27"/>
      <c r="EQH1" s="27"/>
      <c r="EQI1" s="27"/>
      <c r="EQJ1" s="27"/>
      <c r="EQK1" s="27"/>
      <c r="EQL1" s="27"/>
      <c r="EQM1" s="27"/>
      <c r="EQN1" s="27"/>
      <c r="EQO1" s="27"/>
      <c r="EQP1" s="27"/>
      <c r="EQQ1" s="27"/>
      <c r="EQR1" s="27"/>
      <c r="EQS1" s="27"/>
      <c r="EQT1" s="27"/>
      <c r="EQU1" s="27"/>
      <c r="EQV1" s="27"/>
      <c r="EQW1" s="27"/>
      <c r="EQX1" s="27"/>
      <c r="EQY1" s="27"/>
      <c r="EQZ1" s="27"/>
      <c r="ERA1" s="27"/>
      <c r="ERB1" s="27"/>
      <c r="ERC1" s="27"/>
      <c r="ERD1" s="27"/>
      <c r="ERE1" s="27"/>
      <c r="ERF1" s="27"/>
      <c r="ERG1" s="27"/>
      <c r="ERH1" s="27"/>
      <c r="ERI1" s="27"/>
      <c r="ERJ1" s="27"/>
      <c r="ERK1" s="27"/>
      <c r="ERL1" s="27"/>
      <c r="ERM1" s="27"/>
      <c r="ERN1" s="27"/>
      <c r="ERO1" s="27"/>
      <c r="ERP1" s="27"/>
      <c r="ERQ1" s="27"/>
      <c r="ERR1" s="27"/>
      <c r="ERS1" s="27"/>
      <c r="ERT1" s="27"/>
      <c r="ERU1" s="27"/>
      <c r="ERV1" s="27"/>
      <c r="ERW1" s="27"/>
      <c r="ERX1" s="27"/>
      <c r="ERY1" s="27"/>
      <c r="ERZ1" s="27"/>
      <c r="ESA1" s="27"/>
      <c r="ESB1" s="27"/>
      <c r="ESC1" s="27"/>
      <c r="ESD1" s="27"/>
      <c r="ESE1" s="27"/>
      <c r="ESF1" s="27"/>
      <c r="ESG1" s="27"/>
      <c r="ESH1" s="27"/>
      <c r="ESI1" s="27"/>
      <c r="ESJ1" s="27"/>
      <c r="ESK1" s="27"/>
      <c r="ESL1" s="27"/>
      <c r="ESM1" s="27"/>
      <c r="ESN1" s="27"/>
      <c r="ESO1" s="27"/>
      <c r="ESP1" s="27"/>
      <c r="ESQ1" s="27"/>
      <c r="ESR1" s="27"/>
      <c r="ESS1" s="27"/>
      <c r="EST1" s="27"/>
      <c r="ESU1" s="27"/>
      <c r="ESV1" s="27"/>
      <c r="ESW1" s="27"/>
      <c r="ESX1" s="27"/>
      <c r="ESY1" s="27"/>
      <c r="ESZ1" s="27"/>
      <c r="ETA1" s="27"/>
      <c r="ETB1" s="27"/>
      <c r="ETC1" s="27"/>
      <c r="ETD1" s="27"/>
      <c r="ETE1" s="27"/>
      <c r="ETF1" s="27"/>
      <c r="ETG1" s="27"/>
      <c r="ETH1" s="27"/>
      <c r="ETI1" s="27"/>
      <c r="ETJ1" s="27"/>
      <c r="ETK1" s="27"/>
      <c r="ETL1" s="27"/>
      <c r="ETM1" s="27"/>
      <c r="ETN1" s="27"/>
      <c r="ETO1" s="27"/>
      <c r="ETP1" s="27"/>
      <c r="ETQ1" s="27"/>
      <c r="ETR1" s="27"/>
      <c r="ETS1" s="27"/>
      <c r="ETT1" s="27"/>
      <c r="ETU1" s="27"/>
      <c r="ETV1" s="27"/>
      <c r="ETW1" s="27"/>
      <c r="ETX1" s="27"/>
      <c r="ETY1" s="27"/>
      <c r="ETZ1" s="27"/>
      <c r="EUA1" s="27"/>
      <c r="EUB1" s="27"/>
      <c r="EUC1" s="27"/>
      <c r="EUD1" s="27"/>
      <c r="EUE1" s="27"/>
      <c r="EUF1" s="27"/>
      <c r="EUG1" s="27"/>
      <c r="EUH1" s="27"/>
      <c r="EUI1" s="27"/>
      <c r="EUJ1" s="27"/>
      <c r="EUK1" s="27"/>
      <c r="EUL1" s="27"/>
      <c r="EUM1" s="27"/>
      <c r="EUN1" s="27"/>
      <c r="EUO1" s="27"/>
      <c r="EUP1" s="27"/>
      <c r="EUQ1" s="27"/>
      <c r="EUR1" s="27"/>
      <c r="EUS1" s="27"/>
      <c r="EUT1" s="27"/>
      <c r="EUU1" s="27"/>
      <c r="EUV1" s="27"/>
      <c r="EUW1" s="27"/>
      <c r="EUX1" s="27"/>
      <c r="EUY1" s="27"/>
      <c r="EUZ1" s="27"/>
      <c r="EVA1" s="27"/>
      <c r="EVB1" s="27"/>
      <c r="EVC1" s="27"/>
      <c r="EVD1" s="27"/>
      <c r="EVE1" s="27"/>
      <c r="EVF1" s="27"/>
      <c r="EVG1" s="27"/>
      <c r="EVH1" s="27"/>
      <c r="EVI1" s="27"/>
      <c r="EVJ1" s="27"/>
      <c r="EVK1" s="27"/>
      <c r="EVL1" s="27"/>
      <c r="EVM1" s="27"/>
      <c r="EVN1" s="27"/>
      <c r="EVO1" s="27"/>
      <c r="EVP1" s="27"/>
      <c r="EVQ1" s="27"/>
      <c r="EVR1" s="27"/>
      <c r="EVS1" s="27"/>
      <c r="EVT1" s="27"/>
      <c r="EVU1" s="27"/>
      <c r="EVV1" s="27"/>
      <c r="EVW1" s="27"/>
      <c r="EVX1" s="27"/>
      <c r="EVY1" s="27"/>
      <c r="EVZ1" s="27"/>
      <c r="EWA1" s="27"/>
      <c r="EWB1" s="27"/>
      <c r="EWC1" s="27"/>
      <c r="EWD1" s="27"/>
      <c r="EWE1" s="27"/>
      <c r="EWF1" s="27"/>
      <c r="EWG1" s="27"/>
      <c r="EWH1" s="27"/>
      <c r="EWI1" s="27"/>
      <c r="EWJ1" s="27"/>
      <c r="EWK1" s="27"/>
      <c r="EWL1" s="27"/>
      <c r="EWM1" s="27"/>
      <c r="EWN1" s="27"/>
      <c r="EWO1" s="27"/>
      <c r="EWP1" s="27"/>
      <c r="EWQ1" s="27"/>
      <c r="EWR1" s="27"/>
      <c r="EWS1" s="27"/>
      <c r="EWT1" s="27"/>
      <c r="EWU1" s="27"/>
      <c r="EWV1" s="27"/>
      <c r="EWW1" s="27"/>
      <c r="EWX1" s="27"/>
      <c r="EWY1" s="27"/>
      <c r="EWZ1" s="27"/>
      <c r="EXA1" s="27"/>
      <c r="EXB1" s="27"/>
      <c r="EXC1" s="27"/>
      <c r="EXD1" s="27"/>
      <c r="EXE1" s="27"/>
      <c r="EXF1" s="27"/>
      <c r="EXG1" s="27"/>
      <c r="EXH1" s="27"/>
      <c r="EXI1" s="27"/>
      <c r="EXJ1" s="27"/>
      <c r="EXK1" s="27"/>
      <c r="EXL1" s="27"/>
      <c r="EXM1" s="27"/>
      <c r="EXN1" s="27"/>
      <c r="EXO1" s="27"/>
      <c r="EXP1" s="27"/>
      <c r="EXQ1" s="27"/>
      <c r="EXR1" s="27"/>
      <c r="EXS1" s="27"/>
      <c r="EXT1" s="27"/>
      <c r="EXU1" s="27"/>
      <c r="EXV1" s="27"/>
      <c r="EXW1" s="27"/>
      <c r="EXX1" s="27"/>
      <c r="EXY1" s="27"/>
      <c r="EXZ1" s="27"/>
      <c r="EYA1" s="27"/>
      <c r="EYB1" s="27"/>
      <c r="EYC1" s="27"/>
      <c r="EYD1" s="27"/>
      <c r="EYE1" s="27"/>
      <c r="EYF1" s="27"/>
      <c r="EYG1" s="27"/>
      <c r="EYH1" s="27"/>
      <c r="EYI1" s="27"/>
      <c r="EYJ1" s="27"/>
      <c r="EYK1" s="27"/>
      <c r="EYL1" s="27"/>
      <c r="EYM1" s="27"/>
      <c r="EYN1" s="27"/>
      <c r="EYO1" s="27"/>
      <c r="EYP1" s="27"/>
      <c r="EYQ1" s="27"/>
      <c r="EYR1" s="27"/>
      <c r="EYS1" s="27"/>
      <c r="EYT1" s="27"/>
      <c r="EYU1" s="27"/>
      <c r="EYV1" s="27"/>
      <c r="EYW1" s="27"/>
      <c r="EYX1" s="27"/>
      <c r="EYY1" s="27"/>
      <c r="EYZ1" s="27"/>
      <c r="EZA1" s="27"/>
      <c r="EZB1" s="27"/>
      <c r="EZC1" s="27"/>
      <c r="EZD1" s="27"/>
      <c r="EZE1" s="27"/>
      <c r="EZF1" s="27"/>
      <c r="EZG1" s="27"/>
      <c r="EZH1" s="27"/>
      <c r="EZI1" s="27"/>
      <c r="EZJ1" s="27"/>
      <c r="EZK1" s="27"/>
      <c r="EZL1" s="27"/>
      <c r="EZM1" s="27"/>
      <c r="EZN1" s="27"/>
      <c r="EZO1" s="27"/>
      <c r="EZP1" s="27"/>
      <c r="EZQ1" s="27"/>
      <c r="EZR1" s="27"/>
      <c r="EZS1" s="27"/>
      <c r="EZT1" s="27"/>
      <c r="EZU1" s="27"/>
      <c r="EZV1" s="27"/>
      <c r="EZW1" s="27"/>
      <c r="EZX1" s="27"/>
      <c r="EZY1" s="27"/>
      <c r="EZZ1" s="27"/>
      <c r="FAA1" s="27"/>
      <c r="FAB1" s="27"/>
      <c r="FAC1" s="27"/>
      <c r="FAD1" s="27"/>
      <c r="FAE1" s="27"/>
      <c r="FAF1" s="27"/>
      <c r="FAG1" s="27"/>
      <c r="FAH1" s="27"/>
      <c r="FAI1" s="27"/>
      <c r="FAJ1" s="27"/>
      <c r="FAK1" s="27"/>
      <c r="FAL1" s="27"/>
      <c r="FAM1" s="27"/>
      <c r="FAN1" s="27"/>
      <c r="FAO1" s="27"/>
      <c r="FAP1" s="27"/>
      <c r="FAQ1" s="27"/>
      <c r="FAR1" s="27"/>
      <c r="FAS1" s="27"/>
      <c r="FAT1" s="27"/>
      <c r="FAU1" s="27"/>
      <c r="FAV1" s="27"/>
      <c r="FAW1" s="27"/>
      <c r="FAX1" s="27"/>
      <c r="FAY1" s="27"/>
      <c r="FAZ1" s="27"/>
      <c r="FBA1" s="27"/>
      <c r="FBB1" s="27"/>
      <c r="FBC1" s="27"/>
      <c r="FBD1" s="27"/>
      <c r="FBE1" s="27"/>
      <c r="FBF1" s="27"/>
      <c r="FBG1" s="27"/>
      <c r="FBH1" s="27"/>
      <c r="FBI1" s="27"/>
      <c r="FBJ1" s="27"/>
      <c r="FBK1" s="27"/>
      <c r="FBL1" s="27"/>
      <c r="FBM1" s="27"/>
      <c r="FBN1" s="27"/>
      <c r="FBO1" s="27"/>
      <c r="FBP1" s="27"/>
      <c r="FBQ1" s="27"/>
      <c r="FBR1" s="27"/>
      <c r="FBS1" s="27"/>
      <c r="FBT1" s="27"/>
      <c r="FBU1" s="27"/>
      <c r="FBV1" s="27"/>
      <c r="FBW1" s="27"/>
      <c r="FBX1" s="27"/>
      <c r="FBY1" s="27"/>
      <c r="FBZ1" s="27"/>
      <c r="FCA1" s="27"/>
      <c r="FCB1" s="27"/>
      <c r="FCC1" s="27"/>
      <c r="FCD1" s="27"/>
      <c r="FCE1" s="27"/>
      <c r="FCF1" s="27"/>
      <c r="FCG1" s="27"/>
      <c r="FCH1" s="27"/>
      <c r="FCI1" s="27"/>
      <c r="FCJ1" s="27"/>
      <c r="FCK1" s="27"/>
      <c r="FCL1" s="27"/>
      <c r="FCM1" s="27"/>
      <c r="FCN1" s="27"/>
      <c r="FCO1" s="27"/>
      <c r="FCP1" s="27"/>
      <c r="FCQ1" s="27"/>
      <c r="FCR1" s="27"/>
      <c r="FCS1" s="27"/>
      <c r="FCT1" s="27"/>
      <c r="FCU1" s="27"/>
      <c r="FCV1" s="27"/>
      <c r="FCW1" s="27"/>
      <c r="FCX1" s="27"/>
      <c r="FCY1" s="27"/>
      <c r="FCZ1" s="27"/>
      <c r="FDA1" s="27"/>
      <c r="FDB1" s="27"/>
      <c r="FDC1" s="27"/>
      <c r="FDD1" s="27"/>
      <c r="FDE1" s="27"/>
      <c r="FDF1" s="27"/>
      <c r="FDG1" s="27"/>
      <c r="FDH1" s="27"/>
      <c r="FDI1" s="27"/>
      <c r="FDJ1" s="27"/>
      <c r="FDK1" s="27"/>
      <c r="FDL1" s="27"/>
      <c r="FDM1" s="27"/>
      <c r="FDN1" s="27"/>
      <c r="FDO1" s="27"/>
      <c r="FDP1" s="27"/>
      <c r="FDQ1" s="27"/>
      <c r="FDR1" s="27"/>
      <c r="FDS1" s="27"/>
      <c r="FDT1" s="27"/>
      <c r="FDU1" s="27"/>
      <c r="FDV1" s="27"/>
      <c r="FDW1" s="27"/>
      <c r="FDX1" s="27"/>
      <c r="FDY1" s="27"/>
      <c r="FDZ1" s="27"/>
      <c r="FEA1" s="27"/>
      <c r="FEB1" s="27"/>
      <c r="FEC1" s="27"/>
      <c r="FED1" s="27"/>
      <c r="FEE1" s="27"/>
      <c r="FEF1" s="27"/>
      <c r="FEG1" s="27"/>
      <c r="FEH1" s="27"/>
      <c r="FEI1" s="27"/>
      <c r="FEJ1" s="27"/>
      <c r="FEK1" s="27"/>
      <c r="FEL1" s="27"/>
      <c r="FEM1" s="27"/>
      <c r="FEN1" s="27"/>
      <c r="FEO1" s="27"/>
      <c r="FEP1" s="27"/>
      <c r="FEQ1" s="27"/>
      <c r="FER1" s="27"/>
      <c r="FES1" s="27"/>
      <c r="FET1" s="27"/>
      <c r="FEU1" s="27"/>
      <c r="FEV1" s="27"/>
      <c r="FEW1" s="27"/>
      <c r="FEX1" s="27"/>
      <c r="FEY1" s="27"/>
      <c r="FEZ1" s="27"/>
      <c r="FFA1" s="27"/>
      <c r="FFB1" s="27"/>
      <c r="FFC1" s="27"/>
      <c r="FFD1" s="27"/>
      <c r="FFE1" s="27"/>
      <c r="FFF1" s="27"/>
      <c r="FFG1" s="27"/>
      <c r="FFH1" s="27"/>
      <c r="FFI1" s="27"/>
      <c r="FFJ1" s="27"/>
      <c r="FFK1" s="27"/>
      <c r="FFL1" s="27"/>
      <c r="FFM1" s="27"/>
      <c r="FFN1" s="27"/>
      <c r="FFO1" s="27"/>
      <c r="FFP1" s="27"/>
      <c r="FFQ1" s="27"/>
      <c r="FFR1" s="27"/>
      <c r="FFS1" s="27"/>
      <c r="FFT1" s="27"/>
      <c r="FFU1" s="27"/>
      <c r="FFV1" s="27"/>
      <c r="FFW1" s="27"/>
      <c r="FFX1" s="27"/>
      <c r="FFY1" s="27"/>
      <c r="FFZ1" s="27"/>
      <c r="FGA1" s="27"/>
      <c r="FGB1" s="27"/>
      <c r="FGC1" s="27"/>
      <c r="FGD1" s="27"/>
      <c r="FGE1" s="27"/>
      <c r="FGF1" s="27"/>
      <c r="FGG1" s="27"/>
      <c r="FGH1" s="27"/>
      <c r="FGI1" s="27"/>
      <c r="FGJ1" s="27"/>
      <c r="FGK1" s="27"/>
      <c r="FGL1" s="27"/>
      <c r="FGM1" s="27"/>
      <c r="FGN1" s="27"/>
      <c r="FGO1" s="27"/>
      <c r="FGP1" s="27"/>
      <c r="FGQ1" s="27"/>
      <c r="FGR1" s="27"/>
      <c r="FGS1" s="27"/>
      <c r="FGT1" s="27"/>
      <c r="FGU1" s="27"/>
      <c r="FGV1" s="27"/>
      <c r="FGW1" s="27"/>
      <c r="FGX1" s="27"/>
      <c r="FGY1" s="27"/>
      <c r="FGZ1" s="27"/>
      <c r="FHA1" s="27"/>
      <c r="FHB1" s="27"/>
      <c r="FHC1" s="27"/>
      <c r="FHD1" s="27"/>
      <c r="FHE1" s="27"/>
      <c r="FHF1" s="27"/>
      <c r="FHG1" s="27"/>
      <c r="FHH1" s="27"/>
      <c r="FHI1" s="27"/>
      <c r="FHJ1" s="27"/>
      <c r="FHK1" s="27"/>
      <c r="FHL1" s="27"/>
      <c r="FHM1" s="27"/>
      <c r="FHN1" s="27"/>
      <c r="FHO1" s="27"/>
      <c r="FHP1" s="27"/>
      <c r="FHQ1" s="27"/>
      <c r="FHR1" s="27"/>
      <c r="FHS1" s="27"/>
      <c r="FHT1" s="27"/>
      <c r="FHU1" s="27"/>
      <c r="FHV1" s="27"/>
      <c r="FHW1" s="27"/>
      <c r="FHX1" s="27"/>
      <c r="FHY1" s="27"/>
      <c r="FHZ1" s="27"/>
      <c r="FIA1" s="27"/>
      <c r="FIB1" s="27"/>
      <c r="FIC1" s="27"/>
      <c r="FID1" s="27"/>
      <c r="FIE1" s="27"/>
      <c r="FIF1" s="27"/>
      <c r="FIG1" s="27"/>
      <c r="FIH1" s="27"/>
      <c r="FII1" s="27"/>
      <c r="FIJ1" s="27"/>
      <c r="FIK1" s="27"/>
      <c r="FIL1" s="27"/>
      <c r="FIM1" s="27"/>
      <c r="FIN1" s="27"/>
      <c r="FIO1" s="27"/>
      <c r="FIP1" s="27"/>
      <c r="FIQ1" s="27"/>
      <c r="FIR1" s="27"/>
      <c r="FIS1" s="27"/>
      <c r="FIT1" s="27"/>
      <c r="FIU1" s="27"/>
      <c r="FIV1" s="27"/>
      <c r="FIW1" s="27"/>
      <c r="FIX1" s="27"/>
      <c r="FIY1" s="27"/>
      <c r="FIZ1" s="27"/>
      <c r="FJA1" s="27"/>
      <c r="FJB1" s="27"/>
      <c r="FJC1" s="27"/>
      <c r="FJD1" s="27"/>
      <c r="FJE1" s="27"/>
      <c r="FJF1" s="27"/>
      <c r="FJG1" s="27"/>
      <c r="FJH1" s="27"/>
      <c r="FJI1" s="27"/>
      <c r="FJJ1" s="27"/>
      <c r="FJK1" s="27"/>
      <c r="FJL1" s="27"/>
      <c r="FJM1" s="27"/>
      <c r="FJN1" s="27"/>
      <c r="FJO1" s="27"/>
      <c r="FJP1" s="27"/>
      <c r="FJQ1" s="27"/>
      <c r="FJR1" s="27"/>
      <c r="FJS1" s="27"/>
      <c r="FJT1" s="27"/>
      <c r="FJU1" s="27"/>
      <c r="FJV1" s="27"/>
      <c r="FJW1" s="27"/>
      <c r="FJX1" s="27"/>
      <c r="FJY1" s="27"/>
      <c r="FJZ1" s="27"/>
      <c r="FKA1" s="27"/>
      <c r="FKB1" s="27"/>
      <c r="FKC1" s="27"/>
      <c r="FKD1" s="27"/>
      <c r="FKE1" s="27"/>
      <c r="FKF1" s="27"/>
      <c r="FKG1" s="27"/>
      <c r="FKH1" s="27"/>
      <c r="FKI1" s="27"/>
      <c r="FKJ1" s="27"/>
      <c r="FKK1" s="27"/>
      <c r="FKL1" s="27"/>
      <c r="FKM1" s="27"/>
      <c r="FKN1" s="27"/>
      <c r="FKO1" s="27"/>
      <c r="FKP1" s="27"/>
      <c r="FKQ1" s="27"/>
      <c r="FKR1" s="27"/>
      <c r="FKS1" s="27"/>
      <c r="FKT1" s="27"/>
      <c r="FKU1" s="27"/>
      <c r="FKV1" s="27"/>
      <c r="FKW1" s="27"/>
      <c r="FKX1" s="27"/>
      <c r="FKY1" s="27"/>
      <c r="FKZ1" s="27"/>
      <c r="FLA1" s="27"/>
      <c r="FLB1" s="27"/>
      <c r="FLC1" s="27"/>
      <c r="FLD1" s="27"/>
      <c r="FLE1" s="27"/>
      <c r="FLF1" s="27"/>
      <c r="FLG1" s="27"/>
      <c r="FLH1" s="27"/>
      <c r="FLI1" s="27"/>
      <c r="FLJ1" s="27"/>
      <c r="FLK1" s="27"/>
      <c r="FLL1" s="27"/>
      <c r="FLM1" s="27"/>
      <c r="FLN1" s="27"/>
      <c r="FLO1" s="27"/>
      <c r="FLP1" s="27"/>
      <c r="FLQ1" s="27"/>
      <c r="FLR1" s="27"/>
      <c r="FLS1" s="27"/>
      <c r="FLT1" s="27"/>
      <c r="FLU1" s="27"/>
      <c r="FLV1" s="27"/>
      <c r="FLW1" s="27"/>
      <c r="FLX1" s="27"/>
      <c r="FLY1" s="27"/>
      <c r="FLZ1" s="27"/>
      <c r="FMA1" s="27"/>
      <c r="FMB1" s="27"/>
      <c r="FMC1" s="27"/>
      <c r="FMD1" s="27"/>
      <c r="FME1" s="27"/>
      <c r="FMF1" s="27"/>
      <c r="FMG1" s="27"/>
      <c r="FMH1" s="27"/>
      <c r="FMI1" s="27"/>
      <c r="FMJ1" s="27"/>
      <c r="FMK1" s="27"/>
      <c r="FML1" s="27"/>
      <c r="FMM1" s="27"/>
      <c r="FMN1" s="27"/>
      <c r="FMO1" s="27"/>
      <c r="FMP1" s="27"/>
      <c r="FMQ1" s="27"/>
      <c r="FMR1" s="27"/>
      <c r="FMS1" s="27"/>
      <c r="FMT1" s="27"/>
      <c r="FMU1" s="27"/>
      <c r="FMV1" s="27"/>
      <c r="FMW1" s="27"/>
      <c r="FMX1" s="27"/>
      <c r="FMY1" s="27"/>
      <c r="FMZ1" s="27"/>
      <c r="FNA1" s="27"/>
      <c r="FNB1" s="27"/>
      <c r="FNC1" s="27"/>
      <c r="FND1" s="27"/>
      <c r="FNE1" s="27"/>
      <c r="FNF1" s="27"/>
      <c r="FNG1" s="27"/>
      <c r="FNH1" s="27"/>
      <c r="FNI1" s="27"/>
      <c r="FNJ1" s="27"/>
      <c r="FNK1" s="27"/>
      <c r="FNL1" s="27"/>
      <c r="FNM1" s="27"/>
      <c r="FNN1" s="27"/>
      <c r="FNO1" s="27"/>
      <c r="FNP1" s="27"/>
      <c r="FNQ1" s="27"/>
      <c r="FNR1" s="27"/>
      <c r="FNS1" s="27"/>
      <c r="FNT1" s="27"/>
      <c r="FNU1" s="27"/>
      <c r="FNV1" s="27"/>
      <c r="FNW1" s="27"/>
      <c r="FNX1" s="27"/>
      <c r="FNY1" s="27"/>
      <c r="FNZ1" s="27"/>
      <c r="FOA1" s="27"/>
      <c r="FOB1" s="27"/>
      <c r="FOC1" s="27"/>
      <c r="FOD1" s="27"/>
      <c r="FOE1" s="27"/>
      <c r="FOF1" s="27"/>
      <c r="FOG1" s="27"/>
      <c r="FOH1" s="27"/>
      <c r="FOI1" s="27"/>
      <c r="FOJ1" s="27"/>
      <c r="FOK1" s="27"/>
      <c r="FOL1" s="27"/>
      <c r="FOM1" s="27"/>
      <c r="FON1" s="27"/>
      <c r="FOO1" s="27"/>
      <c r="FOP1" s="27"/>
      <c r="FOQ1" s="27"/>
      <c r="FOR1" s="27"/>
      <c r="FOS1" s="27"/>
      <c r="FOT1" s="27"/>
      <c r="FOU1" s="27"/>
      <c r="FOV1" s="27"/>
      <c r="FOW1" s="27"/>
      <c r="FOX1" s="27"/>
      <c r="FOY1" s="27"/>
      <c r="FOZ1" s="27"/>
      <c r="FPA1" s="27"/>
      <c r="FPB1" s="27"/>
      <c r="FPC1" s="27"/>
      <c r="FPD1" s="27"/>
      <c r="FPE1" s="27"/>
      <c r="FPF1" s="27"/>
      <c r="FPG1" s="27"/>
      <c r="FPH1" s="27"/>
      <c r="FPI1" s="27"/>
      <c r="FPJ1" s="27"/>
      <c r="FPK1" s="27"/>
      <c r="FPL1" s="27"/>
      <c r="FPM1" s="27"/>
      <c r="FPN1" s="27"/>
      <c r="FPO1" s="27"/>
      <c r="FPP1" s="27"/>
      <c r="FPQ1" s="27"/>
      <c r="FPR1" s="27"/>
      <c r="FPS1" s="27"/>
      <c r="FPT1" s="27"/>
      <c r="FPU1" s="27"/>
      <c r="FPV1" s="27"/>
      <c r="FPW1" s="27"/>
      <c r="FPX1" s="27"/>
      <c r="FPY1" s="27"/>
      <c r="FPZ1" s="27"/>
      <c r="FQA1" s="27"/>
      <c r="FQB1" s="27"/>
      <c r="FQC1" s="27"/>
      <c r="FQD1" s="27"/>
      <c r="FQE1" s="27"/>
      <c r="FQF1" s="27"/>
      <c r="FQG1" s="27"/>
      <c r="FQH1" s="27"/>
      <c r="FQI1" s="27"/>
      <c r="FQJ1" s="27"/>
      <c r="FQK1" s="27"/>
      <c r="FQL1" s="27"/>
      <c r="FQM1" s="27"/>
      <c r="FQN1" s="27"/>
      <c r="FQO1" s="27"/>
      <c r="FQP1" s="27"/>
      <c r="FQQ1" s="27"/>
      <c r="FQR1" s="27"/>
      <c r="FQS1" s="27"/>
      <c r="FQT1" s="27"/>
      <c r="FQU1" s="27"/>
      <c r="FQV1" s="27"/>
      <c r="FQW1" s="27"/>
      <c r="FQX1" s="27"/>
      <c r="FQY1" s="27"/>
      <c r="FQZ1" s="27"/>
      <c r="FRA1" s="27"/>
      <c r="FRB1" s="27"/>
      <c r="FRC1" s="27"/>
      <c r="FRD1" s="27"/>
      <c r="FRE1" s="27"/>
      <c r="FRF1" s="27"/>
      <c r="FRG1" s="27"/>
      <c r="FRH1" s="27"/>
      <c r="FRI1" s="27"/>
      <c r="FRJ1" s="27"/>
      <c r="FRK1" s="27"/>
      <c r="FRL1" s="27"/>
      <c r="FRM1" s="27"/>
      <c r="FRN1" s="27"/>
      <c r="FRO1" s="27"/>
      <c r="FRP1" s="27"/>
      <c r="FRQ1" s="27"/>
      <c r="FRR1" s="27"/>
      <c r="FRS1" s="27"/>
      <c r="FRT1" s="27"/>
      <c r="FRU1" s="27"/>
      <c r="FRV1" s="27"/>
      <c r="FRW1" s="27"/>
      <c r="FRX1" s="27"/>
      <c r="FRY1" s="27"/>
      <c r="FRZ1" s="27"/>
      <c r="FSA1" s="27"/>
      <c r="FSB1" s="27"/>
      <c r="FSC1" s="27"/>
      <c r="FSD1" s="27"/>
      <c r="FSE1" s="27"/>
      <c r="FSF1" s="27"/>
      <c r="FSG1" s="27"/>
      <c r="FSH1" s="27"/>
      <c r="FSI1" s="27"/>
      <c r="FSJ1" s="27"/>
      <c r="FSK1" s="27"/>
      <c r="FSL1" s="27"/>
      <c r="FSM1" s="27"/>
      <c r="FSN1" s="27"/>
      <c r="FSO1" s="27"/>
      <c r="FSP1" s="27"/>
      <c r="FSQ1" s="27"/>
      <c r="FSR1" s="27"/>
      <c r="FSS1" s="27"/>
      <c r="FST1" s="27"/>
      <c r="FSU1" s="27"/>
      <c r="FSV1" s="27"/>
      <c r="FSW1" s="27"/>
      <c r="FSX1" s="27"/>
      <c r="FSY1" s="27"/>
      <c r="FSZ1" s="27"/>
      <c r="FTA1" s="27"/>
      <c r="FTB1" s="27"/>
      <c r="FTC1" s="27"/>
      <c r="FTD1" s="27"/>
      <c r="FTE1" s="27"/>
      <c r="FTF1" s="27"/>
      <c r="FTG1" s="27"/>
      <c r="FTH1" s="27"/>
      <c r="FTI1" s="27"/>
      <c r="FTJ1" s="27"/>
      <c r="FTK1" s="27"/>
      <c r="FTL1" s="27"/>
      <c r="FTM1" s="27"/>
      <c r="FTN1" s="27"/>
      <c r="FTO1" s="27"/>
      <c r="FTP1" s="27"/>
      <c r="FTQ1" s="27"/>
      <c r="FTR1" s="27"/>
      <c r="FTS1" s="27"/>
      <c r="FTT1" s="27"/>
      <c r="FTU1" s="27"/>
      <c r="FTV1" s="27"/>
      <c r="FTW1" s="27"/>
      <c r="FTX1" s="27"/>
      <c r="FTY1" s="27"/>
      <c r="FTZ1" s="27"/>
      <c r="FUA1" s="27"/>
      <c r="FUB1" s="27"/>
      <c r="FUC1" s="27"/>
      <c r="FUD1" s="27"/>
      <c r="FUE1" s="27"/>
      <c r="FUF1" s="27"/>
      <c r="FUG1" s="27"/>
      <c r="FUH1" s="27"/>
      <c r="FUI1" s="27"/>
      <c r="FUJ1" s="27"/>
      <c r="FUK1" s="27"/>
      <c r="FUL1" s="27"/>
      <c r="FUM1" s="27"/>
      <c r="FUN1" s="27"/>
      <c r="FUO1" s="27"/>
      <c r="FUP1" s="27"/>
      <c r="FUQ1" s="27"/>
      <c r="FUR1" s="27"/>
      <c r="FUS1" s="27"/>
      <c r="FUT1" s="27"/>
      <c r="FUU1" s="27"/>
      <c r="FUV1" s="27"/>
      <c r="FUW1" s="27"/>
      <c r="FUX1" s="27"/>
      <c r="FUY1" s="27"/>
      <c r="FUZ1" s="27"/>
      <c r="FVA1" s="27"/>
      <c r="FVB1" s="27"/>
      <c r="FVC1" s="27"/>
      <c r="FVD1" s="27"/>
      <c r="FVE1" s="27"/>
      <c r="FVF1" s="27"/>
      <c r="FVG1" s="27"/>
      <c r="FVH1" s="27"/>
      <c r="FVI1" s="27"/>
      <c r="FVJ1" s="27"/>
      <c r="FVK1" s="27"/>
      <c r="FVL1" s="27"/>
      <c r="FVM1" s="27"/>
      <c r="FVN1" s="27"/>
      <c r="FVO1" s="27"/>
      <c r="FVP1" s="27"/>
      <c r="FVQ1" s="27"/>
      <c r="FVR1" s="27"/>
      <c r="FVS1" s="27"/>
      <c r="FVT1" s="27"/>
      <c r="FVU1" s="27"/>
      <c r="FVV1" s="27"/>
      <c r="FVW1" s="27"/>
      <c r="FVX1" s="27"/>
      <c r="FVY1" s="27"/>
      <c r="FVZ1" s="27"/>
      <c r="FWA1" s="27"/>
      <c r="FWB1" s="27"/>
      <c r="FWC1" s="27"/>
      <c r="FWD1" s="27"/>
      <c r="FWE1" s="27"/>
      <c r="FWF1" s="27"/>
      <c r="FWG1" s="27"/>
      <c r="FWH1" s="27"/>
      <c r="FWI1" s="27"/>
      <c r="FWJ1" s="27"/>
      <c r="FWK1" s="27"/>
      <c r="FWL1" s="27"/>
      <c r="FWM1" s="27"/>
      <c r="FWN1" s="27"/>
      <c r="FWO1" s="27"/>
      <c r="FWP1" s="27"/>
      <c r="FWQ1" s="27"/>
      <c r="FWR1" s="27"/>
      <c r="FWS1" s="27"/>
      <c r="FWT1" s="27"/>
      <c r="FWU1" s="27"/>
      <c r="FWV1" s="27"/>
      <c r="FWW1" s="27"/>
      <c r="FWX1" s="27"/>
      <c r="FWY1" s="27"/>
      <c r="FWZ1" s="27"/>
      <c r="FXA1" s="27"/>
      <c r="FXB1" s="27"/>
      <c r="FXC1" s="27"/>
      <c r="FXD1" s="27"/>
      <c r="FXE1" s="27"/>
      <c r="FXF1" s="27"/>
      <c r="FXG1" s="27"/>
      <c r="FXH1" s="27"/>
      <c r="FXI1" s="27"/>
      <c r="FXJ1" s="27"/>
      <c r="FXK1" s="27"/>
      <c r="FXL1" s="27"/>
      <c r="FXM1" s="27"/>
      <c r="FXN1" s="27"/>
      <c r="FXO1" s="27"/>
      <c r="FXP1" s="27"/>
      <c r="FXQ1" s="27"/>
      <c r="FXR1" s="27"/>
      <c r="FXS1" s="27"/>
      <c r="FXT1" s="27"/>
      <c r="FXU1" s="27"/>
      <c r="FXV1" s="27"/>
      <c r="FXW1" s="27"/>
      <c r="FXX1" s="27"/>
      <c r="FXY1" s="27"/>
      <c r="FXZ1" s="27"/>
      <c r="FYA1" s="27"/>
      <c r="FYB1" s="27"/>
      <c r="FYC1" s="27"/>
      <c r="FYD1" s="27"/>
      <c r="FYE1" s="27"/>
      <c r="FYF1" s="27"/>
      <c r="FYG1" s="27"/>
      <c r="FYH1" s="27"/>
      <c r="FYI1" s="27"/>
      <c r="FYJ1" s="27"/>
      <c r="FYK1" s="27"/>
      <c r="FYL1" s="27"/>
      <c r="FYM1" s="27"/>
      <c r="FYN1" s="27"/>
      <c r="FYO1" s="27"/>
      <c r="FYP1" s="27"/>
      <c r="FYQ1" s="27"/>
      <c r="FYR1" s="27"/>
      <c r="FYS1" s="27"/>
      <c r="FYT1" s="27"/>
      <c r="FYU1" s="27"/>
      <c r="FYV1" s="27"/>
      <c r="FYW1" s="27"/>
      <c r="FYX1" s="27"/>
      <c r="FYY1" s="27"/>
      <c r="FYZ1" s="27"/>
      <c r="FZA1" s="27"/>
      <c r="FZB1" s="27"/>
      <c r="FZC1" s="27"/>
      <c r="FZD1" s="27"/>
      <c r="FZE1" s="27"/>
      <c r="FZF1" s="27"/>
      <c r="FZG1" s="27"/>
      <c r="FZH1" s="27"/>
      <c r="FZI1" s="27"/>
      <c r="FZJ1" s="27"/>
      <c r="FZK1" s="27"/>
      <c r="FZL1" s="27"/>
      <c r="FZM1" s="27"/>
      <c r="FZN1" s="27"/>
      <c r="FZO1" s="27"/>
      <c r="FZP1" s="27"/>
      <c r="FZQ1" s="27"/>
      <c r="FZR1" s="27"/>
      <c r="FZS1" s="27"/>
      <c r="FZT1" s="27"/>
      <c r="FZU1" s="27"/>
      <c r="FZV1" s="27"/>
      <c r="FZW1" s="27"/>
      <c r="FZX1" s="27"/>
      <c r="FZY1" s="27"/>
      <c r="FZZ1" s="27"/>
      <c r="GAA1" s="27"/>
      <c r="GAB1" s="27"/>
      <c r="GAC1" s="27"/>
      <c r="GAD1" s="27"/>
      <c r="GAE1" s="27"/>
      <c r="GAF1" s="27"/>
      <c r="GAG1" s="27"/>
      <c r="GAH1" s="27"/>
      <c r="GAI1" s="27"/>
      <c r="GAJ1" s="27"/>
      <c r="GAK1" s="27"/>
      <c r="GAL1" s="27"/>
      <c r="GAM1" s="27"/>
      <c r="GAN1" s="27"/>
      <c r="GAO1" s="27"/>
      <c r="GAP1" s="27"/>
      <c r="GAQ1" s="27"/>
      <c r="GAR1" s="27"/>
      <c r="GAS1" s="27"/>
      <c r="GAT1" s="27"/>
      <c r="GAU1" s="27"/>
      <c r="GAV1" s="27"/>
      <c r="GAW1" s="27"/>
      <c r="GAX1" s="27"/>
      <c r="GAY1" s="27"/>
      <c r="GAZ1" s="27"/>
      <c r="GBA1" s="27"/>
      <c r="GBB1" s="27"/>
      <c r="GBC1" s="27"/>
      <c r="GBD1" s="27"/>
      <c r="GBE1" s="27"/>
      <c r="GBF1" s="27"/>
      <c r="GBG1" s="27"/>
      <c r="GBH1" s="27"/>
      <c r="GBI1" s="27"/>
      <c r="GBJ1" s="27"/>
      <c r="GBK1" s="27"/>
      <c r="GBL1" s="27"/>
      <c r="GBM1" s="27"/>
      <c r="GBN1" s="27"/>
      <c r="GBO1" s="27"/>
      <c r="GBP1" s="27"/>
      <c r="GBQ1" s="27"/>
      <c r="GBR1" s="27"/>
      <c r="GBS1" s="27"/>
      <c r="GBT1" s="27"/>
      <c r="GBU1" s="27"/>
      <c r="GBV1" s="27"/>
      <c r="GBW1" s="27"/>
      <c r="GBX1" s="27"/>
      <c r="GBY1" s="27"/>
      <c r="GBZ1" s="27"/>
      <c r="GCA1" s="27"/>
      <c r="GCB1" s="27"/>
      <c r="GCC1" s="27"/>
      <c r="GCD1" s="27"/>
      <c r="GCE1" s="27"/>
      <c r="GCF1" s="27"/>
      <c r="GCG1" s="27"/>
      <c r="GCH1" s="27"/>
      <c r="GCI1" s="27"/>
      <c r="GCJ1" s="27"/>
      <c r="GCK1" s="27"/>
      <c r="GCL1" s="27"/>
      <c r="GCM1" s="27"/>
      <c r="GCN1" s="27"/>
      <c r="GCO1" s="27"/>
      <c r="GCP1" s="27"/>
      <c r="GCQ1" s="27"/>
      <c r="GCR1" s="27"/>
      <c r="GCS1" s="27"/>
      <c r="GCT1" s="27"/>
      <c r="GCU1" s="27"/>
      <c r="GCV1" s="27"/>
      <c r="GCW1" s="27"/>
      <c r="GCX1" s="27"/>
      <c r="GCY1" s="27"/>
      <c r="GCZ1" s="27"/>
      <c r="GDA1" s="27"/>
      <c r="GDB1" s="27"/>
      <c r="GDC1" s="27"/>
      <c r="GDD1" s="27"/>
      <c r="GDE1" s="27"/>
      <c r="GDF1" s="27"/>
      <c r="GDG1" s="27"/>
      <c r="GDH1" s="27"/>
      <c r="GDI1" s="27"/>
      <c r="GDJ1" s="27"/>
      <c r="GDK1" s="27"/>
      <c r="GDL1" s="27"/>
      <c r="GDM1" s="27"/>
      <c r="GDN1" s="27"/>
      <c r="GDO1" s="27"/>
      <c r="GDP1" s="27"/>
      <c r="GDQ1" s="27"/>
      <c r="GDR1" s="27"/>
      <c r="GDS1" s="27"/>
      <c r="GDT1" s="27"/>
      <c r="GDU1" s="27"/>
      <c r="GDV1" s="27"/>
      <c r="GDW1" s="27"/>
      <c r="GDX1" s="27"/>
      <c r="GDY1" s="27"/>
      <c r="GDZ1" s="27"/>
      <c r="GEA1" s="27"/>
      <c r="GEB1" s="27"/>
      <c r="GEC1" s="27"/>
      <c r="GED1" s="27"/>
      <c r="GEE1" s="27"/>
      <c r="GEF1" s="27"/>
      <c r="GEG1" s="27"/>
      <c r="GEH1" s="27"/>
      <c r="GEI1" s="27"/>
      <c r="GEJ1" s="27"/>
      <c r="GEK1" s="27"/>
      <c r="GEL1" s="27"/>
      <c r="GEM1" s="27"/>
      <c r="GEN1" s="27"/>
      <c r="GEO1" s="27"/>
      <c r="GEP1" s="27"/>
      <c r="GEQ1" s="27"/>
      <c r="GER1" s="27"/>
      <c r="GES1" s="27"/>
      <c r="GET1" s="27"/>
      <c r="GEU1" s="27"/>
      <c r="GEV1" s="27"/>
      <c r="GEW1" s="27"/>
      <c r="GEX1" s="27"/>
      <c r="GEY1" s="27"/>
      <c r="GEZ1" s="27"/>
      <c r="GFA1" s="27"/>
      <c r="GFB1" s="27"/>
      <c r="GFC1" s="27"/>
      <c r="GFD1" s="27"/>
      <c r="GFE1" s="27"/>
      <c r="GFF1" s="27"/>
      <c r="GFG1" s="27"/>
      <c r="GFH1" s="27"/>
      <c r="GFI1" s="27"/>
      <c r="GFJ1" s="27"/>
      <c r="GFK1" s="27"/>
      <c r="GFL1" s="27"/>
      <c r="GFM1" s="27"/>
      <c r="GFN1" s="27"/>
      <c r="GFO1" s="27"/>
      <c r="GFP1" s="27"/>
      <c r="GFQ1" s="27"/>
      <c r="GFR1" s="27"/>
      <c r="GFS1" s="27"/>
      <c r="GFT1" s="27"/>
      <c r="GFU1" s="27"/>
      <c r="GFV1" s="27"/>
      <c r="GFW1" s="27"/>
      <c r="GFX1" s="27"/>
      <c r="GFY1" s="27"/>
      <c r="GFZ1" s="27"/>
      <c r="GGA1" s="27"/>
      <c r="GGB1" s="27"/>
      <c r="GGC1" s="27"/>
      <c r="GGD1" s="27"/>
      <c r="GGE1" s="27"/>
      <c r="GGF1" s="27"/>
      <c r="GGG1" s="27"/>
      <c r="GGH1" s="27"/>
      <c r="GGI1" s="27"/>
      <c r="GGJ1" s="27"/>
      <c r="GGK1" s="27"/>
      <c r="GGL1" s="27"/>
      <c r="GGM1" s="27"/>
      <c r="GGN1" s="27"/>
      <c r="GGO1" s="27"/>
      <c r="GGP1" s="27"/>
      <c r="GGQ1" s="27"/>
      <c r="GGR1" s="27"/>
      <c r="GGS1" s="27"/>
      <c r="GGT1" s="27"/>
      <c r="GGU1" s="27"/>
      <c r="GGV1" s="27"/>
      <c r="GGW1" s="27"/>
      <c r="GGX1" s="27"/>
      <c r="GGY1" s="27"/>
      <c r="GGZ1" s="27"/>
      <c r="GHA1" s="27"/>
      <c r="GHB1" s="27"/>
      <c r="GHC1" s="27"/>
      <c r="GHD1" s="27"/>
      <c r="GHE1" s="27"/>
      <c r="GHF1" s="27"/>
      <c r="GHG1" s="27"/>
      <c r="GHH1" s="27"/>
      <c r="GHI1" s="27"/>
      <c r="GHJ1" s="27"/>
      <c r="GHK1" s="27"/>
      <c r="GHL1" s="27"/>
      <c r="GHM1" s="27"/>
      <c r="GHN1" s="27"/>
      <c r="GHO1" s="27"/>
      <c r="GHP1" s="27"/>
      <c r="GHQ1" s="27"/>
      <c r="GHR1" s="27"/>
      <c r="GHS1" s="27"/>
      <c r="GHT1" s="27"/>
      <c r="GHU1" s="27"/>
      <c r="GHV1" s="27"/>
      <c r="GHW1" s="27"/>
      <c r="GHX1" s="27"/>
      <c r="GHY1" s="27"/>
      <c r="GHZ1" s="27"/>
      <c r="GIA1" s="27"/>
      <c r="GIB1" s="27"/>
      <c r="GIC1" s="27"/>
      <c r="GID1" s="27"/>
      <c r="GIE1" s="27"/>
      <c r="GIF1" s="27"/>
      <c r="GIG1" s="27"/>
      <c r="GIH1" s="27"/>
      <c r="GII1" s="27"/>
      <c r="GIJ1" s="27"/>
      <c r="GIK1" s="27"/>
      <c r="GIL1" s="27"/>
      <c r="GIM1" s="27"/>
      <c r="GIN1" s="27"/>
      <c r="GIO1" s="27"/>
      <c r="GIP1" s="27"/>
      <c r="GIQ1" s="27"/>
      <c r="GIR1" s="27"/>
      <c r="GIS1" s="27"/>
      <c r="GIT1" s="27"/>
      <c r="GIU1" s="27"/>
      <c r="GIV1" s="27"/>
      <c r="GIW1" s="27"/>
      <c r="GIX1" s="27"/>
      <c r="GIY1" s="27"/>
      <c r="GIZ1" s="27"/>
      <c r="GJA1" s="27"/>
      <c r="GJB1" s="27"/>
      <c r="GJC1" s="27"/>
      <c r="GJD1" s="27"/>
      <c r="GJE1" s="27"/>
      <c r="GJF1" s="27"/>
      <c r="GJG1" s="27"/>
      <c r="GJH1" s="27"/>
      <c r="GJI1" s="27"/>
      <c r="GJJ1" s="27"/>
      <c r="GJK1" s="27"/>
      <c r="GJL1" s="27"/>
      <c r="GJM1" s="27"/>
      <c r="GJN1" s="27"/>
      <c r="GJO1" s="27"/>
      <c r="GJP1" s="27"/>
      <c r="GJQ1" s="27"/>
      <c r="GJR1" s="27"/>
      <c r="GJS1" s="27"/>
      <c r="GJT1" s="27"/>
      <c r="GJU1" s="27"/>
      <c r="GJV1" s="27"/>
      <c r="GJW1" s="27"/>
      <c r="GJX1" s="27"/>
      <c r="GJY1" s="27"/>
      <c r="GJZ1" s="27"/>
      <c r="GKA1" s="27"/>
      <c r="GKB1" s="27"/>
      <c r="GKC1" s="27"/>
      <c r="GKD1" s="27"/>
      <c r="GKE1" s="27"/>
      <c r="GKF1" s="27"/>
      <c r="GKG1" s="27"/>
      <c r="GKH1" s="27"/>
      <c r="GKI1" s="27"/>
      <c r="GKJ1" s="27"/>
      <c r="GKK1" s="27"/>
      <c r="GKL1" s="27"/>
      <c r="GKM1" s="27"/>
      <c r="GKN1" s="27"/>
      <c r="GKO1" s="27"/>
      <c r="GKP1" s="27"/>
      <c r="GKQ1" s="27"/>
      <c r="GKR1" s="27"/>
      <c r="GKS1" s="27"/>
      <c r="GKT1" s="27"/>
      <c r="GKU1" s="27"/>
      <c r="GKV1" s="27"/>
      <c r="GKW1" s="27"/>
      <c r="GKX1" s="27"/>
      <c r="GKY1" s="27"/>
      <c r="GKZ1" s="27"/>
      <c r="GLA1" s="27"/>
      <c r="GLB1" s="27"/>
      <c r="GLC1" s="27"/>
      <c r="GLD1" s="27"/>
      <c r="GLE1" s="27"/>
      <c r="GLF1" s="27"/>
      <c r="GLG1" s="27"/>
      <c r="GLH1" s="27"/>
      <c r="GLI1" s="27"/>
      <c r="GLJ1" s="27"/>
      <c r="GLK1" s="27"/>
      <c r="GLL1" s="27"/>
      <c r="GLM1" s="27"/>
      <c r="GLN1" s="27"/>
      <c r="GLO1" s="27"/>
      <c r="GLP1" s="27"/>
      <c r="GLQ1" s="27"/>
      <c r="GLR1" s="27"/>
      <c r="GLS1" s="27"/>
      <c r="GLT1" s="27"/>
      <c r="GLU1" s="27"/>
      <c r="GLV1" s="27"/>
      <c r="GLW1" s="27"/>
      <c r="GLX1" s="27"/>
      <c r="GLY1" s="27"/>
      <c r="GLZ1" s="27"/>
      <c r="GMA1" s="27"/>
      <c r="GMB1" s="27"/>
      <c r="GMC1" s="27"/>
      <c r="GMD1" s="27"/>
      <c r="GME1" s="27"/>
      <c r="GMF1" s="27"/>
      <c r="GMG1" s="27"/>
      <c r="GMH1" s="27"/>
      <c r="GMI1" s="27"/>
      <c r="GMJ1" s="27"/>
      <c r="GMK1" s="27"/>
      <c r="GML1" s="27"/>
      <c r="GMM1" s="27"/>
      <c r="GMN1" s="27"/>
      <c r="GMO1" s="27"/>
      <c r="GMP1" s="27"/>
      <c r="GMQ1" s="27"/>
      <c r="GMR1" s="27"/>
      <c r="GMS1" s="27"/>
      <c r="GMT1" s="27"/>
      <c r="GMU1" s="27"/>
      <c r="GMV1" s="27"/>
      <c r="GMW1" s="27"/>
      <c r="GMX1" s="27"/>
      <c r="GMY1" s="27"/>
      <c r="GMZ1" s="27"/>
      <c r="GNA1" s="27"/>
      <c r="GNB1" s="27"/>
      <c r="GNC1" s="27"/>
      <c r="GND1" s="27"/>
      <c r="GNE1" s="27"/>
      <c r="GNF1" s="27"/>
      <c r="GNG1" s="27"/>
      <c r="GNH1" s="27"/>
      <c r="GNI1" s="27"/>
      <c r="GNJ1" s="27"/>
      <c r="GNK1" s="27"/>
      <c r="GNL1" s="27"/>
      <c r="GNM1" s="27"/>
      <c r="GNN1" s="27"/>
      <c r="GNO1" s="27"/>
      <c r="GNP1" s="27"/>
      <c r="GNQ1" s="27"/>
      <c r="GNR1" s="27"/>
      <c r="GNS1" s="27"/>
      <c r="GNT1" s="27"/>
      <c r="GNU1" s="27"/>
      <c r="GNV1" s="27"/>
      <c r="GNW1" s="27"/>
      <c r="GNX1" s="27"/>
      <c r="GNY1" s="27"/>
      <c r="GNZ1" s="27"/>
      <c r="GOA1" s="27"/>
      <c r="GOB1" s="27"/>
      <c r="GOC1" s="27"/>
      <c r="GOD1" s="27"/>
      <c r="GOE1" s="27"/>
      <c r="GOF1" s="27"/>
      <c r="GOG1" s="27"/>
      <c r="GOH1" s="27"/>
      <c r="GOI1" s="27"/>
      <c r="GOJ1" s="27"/>
      <c r="GOK1" s="27"/>
      <c r="GOL1" s="27"/>
      <c r="GOM1" s="27"/>
      <c r="GON1" s="27"/>
      <c r="GOO1" s="27"/>
      <c r="GOP1" s="27"/>
      <c r="GOQ1" s="27"/>
      <c r="GOR1" s="27"/>
      <c r="GOS1" s="27"/>
      <c r="GOT1" s="27"/>
      <c r="GOU1" s="27"/>
      <c r="GOV1" s="27"/>
      <c r="GOW1" s="27"/>
      <c r="GOX1" s="27"/>
      <c r="GOY1" s="27"/>
      <c r="GOZ1" s="27"/>
      <c r="GPA1" s="27"/>
      <c r="GPB1" s="27"/>
      <c r="GPC1" s="27"/>
      <c r="GPD1" s="27"/>
      <c r="GPE1" s="27"/>
      <c r="GPF1" s="27"/>
      <c r="GPG1" s="27"/>
      <c r="GPH1" s="27"/>
      <c r="GPI1" s="27"/>
      <c r="GPJ1" s="27"/>
      <c r="GPK1" s="27"/>
      <c r="GPL1" s="27"/>
      <c r="GPM1" s="27"/>
      <c r="GPN1" s="27"/>
      <c r="GPO1" s="27"/>
      <c r="GPP1" s="27"/>
      <c r="GPQ1" s="27"/>
      <c r="GPR1" s="27"/>
      <c r="GPS1" s="27"/>
      <c r="GPT1" s="27"/>
      <c r="GPU1" s="27"/>
      <c r="GPV1" s="27"/>
      <c r="GPW1" s="27"/>
      <c r="GPX1" s="27"/>
      <c r="GPY1" s="27"/>
      <c r="GPZ1" s="27"/>
      <c r="GQA1" s="27"/>
      <c r="GQB1" s="27"/>
      <c r="GQC1" s="27"/>
      <c r="GQD1" s="27"/>
      <c r="GQE1" s="27"/>
      <c r="GQF1" s="27"/>
      <c r="GQG1" s="27"/>
      <c r="GQH1" s="27"/>
      <c r="GQI1" s="27"/>
      <c r="GQJ1" s="27"/>
      <c r="GQK1" s="27"/>
      <c r="GQL1" s="27"/>
      <c r="GQM1" s="27"/>
      <c r="GQN1" s="27"/>
      <c r="GQO1" s="27"/>
      <c r="GQP1" s="27"/>
      <c r="GQQ1" s="27"/>
      <c r="GQR1" s="27"/>
      <c r="GQS1" s="27"/>
      <c r="GQT1" s="27"/>
      <c r="GQU1" s="27"/>
      <c r="GQV1" s="27"/>
      <c r="GQW1" s="27"/>
      <c r="GQX1" s="27"/>
      <c r="GQY1" s="27"/>
      <c r="GQZ1" s="27"/>
      <c r="GRA1" s="27"/>
      <c r="GRB1" s="27"/>
      <c r="GRC1" s="27"/>
      <c r="GRD1" s="27"/>
      <c r="GRE1" s="27"/>
      <c r="GRF1" s="27"/>
      <c r="GRG1" s="27"/>
      <c r="GRH1" s="27"/>
      <c r="GRI1" s="27"/>
      <c r="GRJ1" s="27"/>
      <c r="GRK1" s="27"/>
      <c r="GRL1" s="27"/>
      <c r="GRM1" s="27"/>
      <c r="GRN1" s="27"/>
      <c r="GRO1" s="27"/>
      <c r="GRP1" s="27"/>
      <c r="GRQ1" s="27"/>
      <c r="GRR1" s="27"/>
      <c r="GRS1" s="27"/>
      <c r="GRT1" s="27"/>
      <c r="GRU1" s="27"/>
      <c r="GRV1" s="27"/>
      <c r="GRW1" s="27"/>
      <c r="GRX1" s="27"/>
      <c r="GRY1" s="27"/>
      <c r="GRZ1" s="27"/>
      <c r="GSA1" s="27"/>
      <c r="GSB1" s="27"/>
      <c r="GSC1" s="27"/>
      <c r="GSD1" s="27"/>
      <c r="GSE1" s="27"/>
      <c r="GSF1" s="27"/>
      <c r="GSG1" s="27"/>
      <c r="GSH1" s="27"/>
      <c r="GSI1" s="27"/>
      <c r="GSJ1" s="27"/>
      <c r="GSK1" s="27"/>
      <c r="GSL1" s="27"/>
      <c r="GSM1" s="27"/>
      <c r="GSN1" s="27"/>
      <c r="GSO1" s="27"/>
      <c r="GSP1" s="27"/>
      <c r="GSQ1" s="27"/>
      <c r="GSR1" s="27"/>
      <c r="GSS1" s="27"/>
      <c r="GST1" s="27"/>
      <c r="GSU1" s="27"/>
      <c r="GSV1" s="27"/>
      <c r="GSW1" s="27"/>
      <c r="GSX1" s="27"/>
      <c r="GSY1" s="27"/>
      <c r="GSZ1" s="27"/>
      <c r="GTA1" s="27"/>
      <c r="GTB1" s="27"/>
      <c r="GTC1" s="27"/>
      <c r="GTD1" s="27"/>
      <c r="GTE1" s="27"/>
      <c r="GTF1" s="27"/>
      <c r="GTG1" s="27"/>
      <c r="GTH1" s="27"/>
      <c r="GTI1" s="27"/>
      <c r="GTJ1" s="27"/>
      <c r="GTK1" s="27"/>
      <c r="GTL1" s="27"/>
      <c r="GTM1" s="27"/>
      <c r="GTN1" s="27"/>
      <c r="GTO1" s="27"/>
      <c r="GTP1" s="27"/>
      <c r="GTQ1" s="27"/>
      <c r="GTR1" s="27"/>
      <c r="GTS1" s="27"/>
      <c r="GTT1" s="27"/>
      <c r="GTU1" s="27"/>
      <c r="GTV1" s="27"/>
      <c r="GTW1" s="27"/>
      <c r="GTX1" s="27"/>
      <c r="GTY1" s="27"/>
      <c r="GTZ1" s="27"/>
      <c r="GUA1" s="27"/>
      <c r="GUB1" s="27"/>
      <c r="GUC1" s="27"/>
      <c r="GUD1" s="27"/>
      <c r="GUE1" s="27"/>
      <c r="GUF1" s="27"/>
      <c r="GUG1" s="27"/>
      <c r="GUH1" s="27"/>
      <c r="GUI1" s="27"/>
      <c r="GUJ1" s="27"/>
      <c r="GUK1" s="27"/>
      <c r="GUL1" s="27"/>
      <c r="GUM1" s="27"/>
      <c r="GUN1" s="27"/>
      <c r="GUO1" s="27"/>
      <c r="GUP1" s="27"/>
      <c r="GUQ1" s="27"/>
      <c r="GUR1" s="27"/>
      <c r="GUS1" s="27"/>
      <c r="GUT1" s="27"/>
      <c r="GUU1" s="27"/>
      <c r="GUV1" s="27"/>
      <c r="GUW1" s="27"/>
      <c r="GUX1" s="27"/>
      <c r="GUY1" s="27"/>
      <c r="GUZ1" s="27"/>
      <c r="GVA1" s="27"/>
      <c r="GVB1" s="27"/>
      <c r="GVC1" s="27"/>
      <c r="GVD1" s="27"/>
      <c r="GVE1" s="27"/>
      <c r="GVF1" s="27"/>
      <c r="GVG1" s="27"/>
      <c r="GVH1" s="27"/>
      <c r="GVI1" s="27"/>
      <c r="GVJ1" s="27"/>
      <c r="GVK1" s="27"/>
      <c r="GVL1" s="27"/>
      <c r="GVM1" s="27"/>
      <c r="GVN1" s="27"/>
      <c r="GVO1" s="27"/>
      <c r="GVP1" s="27"/>
      <c r="GVQ1" s="27"/>
      <c r="GVR1" s="27"/>
      <c r="GVS1" s="27"/>
      <c r="GVT1" s="27"/>
      <c r="GVU1" s="27"/>
      <c r="GVV1" s="27"/>
      <c r="GVW1" s="27"/>
      <c r="GVX1" s="27"/>
      <c r="GVY1" s="27"/>
      <c r="GVZ1" s="27"/>
      <c r="GWA1" s="27"/>
      <c r="GWB1" s="27"/>
      <c r="GWC1" s="27"/>
      <c r="GWD1" s="27"/>
      <c r="GWE1" s="27"/>
      <c r="GWF1" s="27"/>
      <c r="GWG1" s="27"/>
      <c r="GWH1" s="27"/>
      <c r="GWI1" s="27"/>
      <c r="GWJ1" s="27"/>
      <c r="GWK1" s="27"/>
      <c r="GWL1" s="27"/>
      <c r="GWM1" s="27"/>
      <c r="GWN1" s="27"/>
      <c r="GWO1" s="27"/>
      <c r="GWP1" s="27"/>
      <c r="GWQ1" s="27"/>
      <c r="GWR1" s="27"/>
      <c r="GWS1" s="27"/>
      <c r="GWT1" s="27"/>
      <c r="GWU1" s="27"/>
      <c r="GWV1" s="27"/>
      <c r="GWW1" s="27"/>
      <c r="GWX1" s="27"/>
      <c r="GWY1" s="27"/>
      <c r="GWZ1" s="27"/>
      <c r="GXA1" s="27"/>
      <c r="GXB1" s="27"/>
      <c r="GXC1" s="27"/>
      <c r="GXD1" s="27"/>
      <c r="GXE1" s="27"/>
      <c r="GXF1" s="27"/>
      <c r="GXG1" s="27"/>
      <c r="GXH1" s="27"/>
      <c r="GXI1" s="27"/>
      <c r="GXJ1" s="27"/>
      <c r="GXK1" s="27"/>
      <c r="GXL1" s="27"/>
      <c r="GXM1" s="27"/>
      <c r="GXN1" s="27"/>
      <c r="GXO1" s="27"/>
      <c r="GXP1" s="27"/>
      <c r="GXQ1" s="27"/>
      <c r="GXR1" s="27"/>
      <c r="GXS1" s="27"/>
      <c r="GXT1" s="27"/>
      <c r="GXU1" s="27"/>
      <c r="GXV1" s="27"/>
      <c r="GXW1" s="27"/>
      <c r="GXX1" s="27"/>
      <c r="GXY1" s="27"/>
      <c r="GXZ1" s="27"/>
      <c r="GYA1" s="27"/>
      <c r="GYB1" s="27"/>
      <c r="GYC1" s="27"/>
      <c r="GYD1" s="27"/>
      <c r="GYE1" s="27"/>
      <c r="GYF1" s="27"/>
      <c r="GYG1" s="27"/>
      <c r="GYH1" s="27"/>
      <c r="GYI1" s="27"/>
      <c r="GYJ1" s="27"/>
      <c r="GYK1" s="27"/>
      <c r="GYL1" s="27"/>
      <c r="GYM1" s="27"/>
      <c r="GYN1" s="27"/>
      <c r="GYO1" s="27"/>
      <c r="GYP1" s="27"/>
      <c r="GYQ1" s="27"/>
      <c r="GYR1" s="27"/>
      <c r="GYS1" s="27"/>
      <c r="GYT1" s="27"/>
      <c r="GYU1" s="27"/>
      <c r="GYV1" s="27"/>
      <c r="GYW1" s="27"/>
      <c r="GYX1" s="27"/>
      <c r="GYY1" s="27"/>
      <c r="GYZ1" s="27"/>
      <c r="GZA1" s="27"/>
      <c r="GZB1" s="27"/>
      <c r="GZC1" s="27"/>
      <c r="GZD1" s="27"/>
      <c r="GZE1" s="27"/>
      <c r="GZF1" s="27"/>
      <c r="GZG1" s="27"/>
      <c r="GZH1" s="27"/>
      <c r="GZI1" s="27"/>
      <c r="GZJ1" s="27"/>
      <c r="GZK1" s="27"/>
      <c r="GZL1" s="27"/>
      <c r="GZM1" s="27"/>
      <c r="GZN1" s="27"/>
      <c r="GZO1" s="27"/>
      <c r="GZP1" s="27"/>
      <c r="GZQ1" s="27"/>
      <c r="GZR1" s="27"/>
      <c r="GZS1" s="27"/>
      <c r="GZT1" s="27"/>
      <c r="GZU1" s="27"/>
      <c r="GZV1" s="27"/>
      <c r="GZW1" s="27"/>
      <c r="GZX1" s="27"/>
      <c r="GZY1" s="27"/>
      <c r="GZZ1" s="27"/>
      <c r="HAA1" s="27"/>
      <c r="HAB1" s="27"/>
      <c r="HAC1" s="27"/>
      <c r="HAD1" s="27"/>
      <c r="HAE1" s="27"/>
      <c r="HAF1" s="27"/>
      <c r="HAG1" s="27"/>
      <c r="HAH1" s="27"/>
      <c r="HAI1" s="27"/>
      <c r="HAJ1" s="27"/>
      <c r="HAK1" s="27"/>
      <c r="HAL1" s="27"/>
      <c r="HAM1" s="27"/>
      <c r="HAN1" s="27"/>
      <c r="HAO1" s="27"/>
      <c r="HAP1" s="27"/>
      <c r="HAQ1" s="27"/>
      <c r="HAR1" s="27"/>
      <c r="HAS1" s="27"/>
      <c r="HAT1" s="27"/>
      <c r="HAU1" s="27"/>
      <c r="HAV1" s="27"/>
      <c r="HAW1" s="27"/>
      <c r="HAX1" s="27"/>
      <c r="HAY1" s="27"/>
      <c r="HAZ1" s="27"/>
      <c r="HBA1" s="27"/>
      <c r="HBB1" s="27"/>
      <c r="HBC1" s="27"/>
      <c r="HBD1" s="27"/>
      <c r="HBE1" s="27"/>
      <c r="HBF1" s="27"/>
      <c r="HBG1" s="27"/>
      <c r="HBH1" s="27"/>
      <c r="HBI1" s="27"/>
      <c r="HBJ1" s="27"/>
      <c r="HBK1" s="27"/>
      <c r="HBL1" s="27"/>
      <c r="HBM1" s="27"/>
      <c r="HBN1" s="27"/>
      <c r="HBO1" s="27"/>
      <c r="HBP1" s="27"/>
      <c r="HBQ1" s="27"/>
      <c r="HBR1" s="27"/>
      <c r="HBS1" s="27"/>
      <c r="HBT1" s="27"/>
      <c r="HBU1" s="27"/>
      <c r="HBV1" s="27"/>
      <c r="HBW1" s="27"/>
      <c r="HBX1" s="27"/>
      <c r="HBY1" s="27"/>
      <c r="HBZ1" s="27"/>
      <c r="HCA1" s="27"/>
      <c r="HCB1" s="27"/>
      <c r="HCC1" s="27"/>
      <c r="HCD1" s="27"/>
      <c r="HCE1" s="27"/>
      <c r="HCF1" s="27"/>
      <c r="HCG1" s="27"/>
      <c r="HCH1" s="27"/>
      <c r="HCI1" s="27"/>
      <c r="HCJ1" s="27"/>
      <c r="HCK1" s="27"/>
      <c r="HCL1" s="27"/>
      <c r="HCM1" s="27"/>
      <c r="HCN1" s="27"/>
      <c r="HCO1" s="27"/>
      <c r="HCP1" s="27"/>
      <c r="HCQ1" s="27"/>
      <c r="HCR1" s="27"/>
      <c r="HCS1" s="27"/>
      <c r="HCT1" s="27"/>
      <c r="HCU1" s="27"/>
      <c r="HCV1" s="27"/>
      <c r="HCW1" s="27"/>
      <c r="HCX1" s="27"/>
      <c r="HCY1" s="27"/>
      <c r="HCZ1" s="27"/>
      <c r="HDA1" s="27"/>
      <c r="HDB1" s="27"/>
      <c r="HDC1" s="27"/>
      <c r="HDD1" s="27"/>
      <c r="HDE1" s="27"/>
      <c r="HDF1" s="27"/>
      <c r="HDG1" s="27"/>
      <c r="HDH1" s="27"/>
      <c r="HDI1" s="27"/>
      <c r="HDJ1" s="27"/>
      <c r="HDK1" s="27"/>
      <c r="HDL1" s="27"/>
      <c r="HDM1" s="27"/>
      <c r="HDN1" s="27"/>
      <c r="HDO1" s="27"/>
      <c r="HDP1" s="27"/>
      <c r="HDQ1" s="27"/>
      <c r="HDR1" s="27"/>
      <c r="HDS1" s="27"/>
      <c r="HDT1" s="27"/>
      <c r="HDU1" s="27"/>
      <c r="HDV1" s="27"/>
      <c r="HDW1" s="27"/>
      <c r="HDX1" s="27"/>
      <c r="HDY1" s="27"/>
      <c r="HDZ1" s="27"/>
      <c r="HEA1" s="27"/>
      <c r="HEB1" s="27"/>
      <c r="HEC1" s="27"/>
      <c r="HED1" s="27"/>
      <c r="HEE1" s="27"/>
      <c r="HEF1" s="27"/>
      <c r="HEG1" s="27"/>
      <c r="HEH1" s="27"/>
      <c r="HEI1" s="27"/>
      <c r="HEJ1" s="27"/>
      <c r="HEK1" s="27"/>
      <c r="HEL1" s="27"/>
      <c r="HEM1" s="27"/>
      <c r="HEN1" s="27"/>
      <c r="HEO1" s="27"/>
      <c r="HEP1" s="27"/>
      <c r="HEQ1" s="27"/>
      <c r="HER1" s="27"/>
      <c r="HES1" s="27"/>
      <c r="HET1" s="27"/>
      <c r="HEU1" s="27"/>
      <c r="HEV1" s="27"/>
      <c r="HEW1" s="27"/>
      <c r="HEX1" s="27"/>
      <c r="HEY1" s="27"/>
      <c r="HEZ1" s="27"/>
      <c r="HFA1" s="27"/>
      <c r="HFB1" s="27"/>
      <c r="HFC1" s="27"/>
      <c r="HFD1" s="27"/>
      <c r="HFE1" s="27"/>
      <c r="HFF1" s="27"/>
      <c r="HFG1" s="27"/>
      <c r="HFH1" s="27"/>
      <c r="HFI1" s="27"/>
      <c r="HFJ1" s="27"/>
      <c r="HFK1" s="27"/>
      <c r="HFL1" s="27"/>
      <c r="HFM1" s="27"/>
      <c r="HFN1" s="27"/>
      <c r="HFO1" s="27"/>
      <c r="HFP1" s="27"/>
      <c r="HFQ1" s="27"/>
      <c r="HFR1" s="27"/>
      <c r="HFS1" s="27"/>
      <c r="HFT1" s="27"/>
      <c r="HFU1" s="27"/>
      <c r="HFV1" s="27"/>
      <c r="HFW1" s="27"/>
      <c r="HFX1" s="27"/>
      <c r="HFY1" s="27"/>
      <c r="HFZ1" s="27"/>
      <c r="HGA1" s="27"/>
      <c r="HGB1" s="27"/>
      <c r="HGC1" s="27"/>
      <c r="HGD1" s="27"/>
      <c r="HGE1" s="27"/>
      <c r="HGF1" s="27"/>
      <c r="HGG1" s="27"/>
      <c r="HGH1" s="27"/>
      <c r="HGI1" s="27"/>
      <c r="HGJ1" s="27"/>
      <c r="HGK1" s="27"/>
      <c r="HGL1" s="27"/>
      <c r="HGM1" s="27"/>
      <c r="HGN1" s="27"/>
      <c r="HGO1" s="27"/>
      <c r="HGP1" s="27"/>
      <c r="HGQ1" s="27"/>
      <c r="HGR1" s="27"/>
      <c r="HGS1" s="27"/>
      <c r="HGT1" s="27"/>
      <c r="HGU1" s="27"/>
      <c r="HGV1" s="27"/>
      <c r="HGW1" s="27"/>
      <c r="HGX1" s="27"/>
      <c r="HGY1" s="27"/>
      <c r="HGZ1" s="27"/>
      <c r="HHA1" s="27"/>
      <c r="HHB1" s="27"/>
      <c r="HHC1" s="27"/>
      <c r="HHD1" s="27"/>
      <c r="HHE1" s="27"/>
      <c r="HHF1" s="27"/>
      <c r="HHG1" s="27"/>
      <c r="HHH1" s="27"/>
      <c r="HHI1" s="27"/>
      <c r="HHJ1" s="27"/>
      <c r="HHK1" s="27"/>
      <c r="HHL1" s="27"/>
      <c r="HHM1" s="27"/>
      <c r="HHN1" s="27"/>
      <c r="HHO1" s="27"/>
      <c r="HHP1" s="27"/>
      <c r="HHQ1" s="27"/>
      <c r="HHR1" s="27"/>
      <c r="HHS1" s="27"/>
      <c r="HHT1" s="27"/>
      <c r="HHU1" s="27"/>
      <c r="HHV1" s="27"/>
      <c r="HHW1" s="27"/>
      <c r="HHX1" s="27"/>
      <c r="HHY1" s="27"/>
      <c r="HHZ1" s="27"/>
      <c r="HIA1" s="27"/>
      <c r="HIB1" s="27"/>
      <c r="HIC1" s="27"/>
      <c r="HID1" s="27"/>
      <c r="HIE1" s="27"/>
      <c r="HIF1" s="27"/>
      <c r="HIG1" s="27"/>
      <c r="HIH1" s="27"/>
      <c r="HII1" s="27"/>
      <c r="HIJ1" s="27"/>
      <c r="HIK1" s="27"/>
      <c r="HIL1" s="27"/>
      <c r="HIM1" s="27"/>
      <c r="HIN1" s="27"/>
      <c r="HIO1" s="27"/>
      <c r="HIP1" s="27"/>
      <c r="HIQ1" s="27"/>
      <c r="HIR1" s="27"/>
      <c r="HIS1" s="27"/>
      <c r="HIT1" s="27"/>
      <c r="HIU1" s="27"/>
      <c r="HIV1" s="27"/>
      <c r="HIW1" s="27"/>
      <c r="HIX1" s="27"/>
      <c r="HIY1" s="27"/>
      <c r="HIZ1" s="27"/>
      <c r="HJA1" s="27"/>
      <c r="HJB1" s="27"/>
      <c r="HJC1" s="27"/>
      <c r="HJD1" s="27"/>
      <c r="HJE1" s="27"/>
      <c r="HJF1" s="27"/>
      <c r="HJG1" s="27"/>
      <c r="HJH1" s="27"/>
      <c r="HJI1" s="27"/>
      <c r="HJJ1" s="27"/>
      <c r="HJK1" s="27"/>
      <c r="HJL1" s="27"/>
      <c r="HJM1" s="27"/>
      <c r="HJN1" s="27"/>
      <c r="HJO1" s="27"/>
      <c r="HJP1" s="27"/>
      <c r="HJQ1" s="27"/>
      <c r="HJR1" s="27"/>
      <c r="HJS1" s="27"/>
      <c r="HJT1" s="27"/>
      <c r="HJU1" s="27"/>
      <c r="HJV1" s="27"/>
      <c r="HJW1" s="27"/>
      <c r="HJX1" s="27"/>
      <c r="HJY1" s="27"/>
      <c r="HJZ1" s="27"/>
      <c r="HKA1" s="27"/>
      <c r="HKB1" s="27"/>
      <c r="HKC1" s="27"/>
      <c r="HKD1" s="27"/>
      <c r="HKE1" s="27"/>
      <c r="HKF1" s="27"/>
      <c r="HKG1" s="27"/>
      <c r="HKH1" s="27"/>
      <c r="HKI1" s="27"/>
      <c r="HKJ1" s="27"/>
      <c r="HKK1" s="27"/>
      <c r="HKL1" s="27"/>
      <c r="HKM1" s="27"/>
      <c r="HKN1" s="27"/>
      <c r="HKO1" s="27"/>
      <c r="HKP1" s="27"/>
      <c r="HKQ1" s="27"/>
      <c r="HKR1" s="27"/>
      <c r="HKS1" s="27"/>
      <c r="HKT1" s="27"/>
      <c r="HKU1" s="27"/>
      <c r="HKV1" s="27"/>
      <c r="HKW1" s="27"/>
      <c r="HKX1" s="27"/>
      <c r="HKY1" s="27"/>
      <c r="HKZ1" s="27"/>
      <c r="HLA1" s="27"/>
      <c r="HLB1" s="27"/>
      <c r="HLC1" s="27"/>
      <c r="HLD1" s="27"/>
      <c r="HLE1" s="27"/>
      <c r="HLF1" s="27"/>
      <c r="HLG1" s="27"/>
      <c r="HLH1" s="27"/>
      <c r="HLI1" s="27"/>
      <c r="HLJ1" s="27"/>
      <c r="HLK1" s="27"/>
      <c r="HLL1" s="27"/>
      <c r="HLM1" s="27"/>
      <c r="HLN1" s="27"/>
      <c r="HLO1" s="27"/>
      <c r="HLP1" s="27"/>
      <c r="HLQ1" s="27"/>
      <c r="HLR1" s="27"/>
      <c r="HLS1" s="27"/>
      <c r="HLT1" s="27"/>
      <c r="HLU1" s="27"/>
      <c r="HLV1" s="27"/>
      <c r="HLW1" s="27"/>
      <c r="HLX1" s="27"/>
      <c r="HLY1" s="27"/>
      <c r="HLZ1" s="27"/>
      <c r="HMA1" s="27"/>
      <c r="HMB1" s="27"/>
      <c r="HMC1" s="27"/>
      <c r="HMD1" s="27"/>
      <c r="HME1" s="27"/>
      <c r="HMF1" s="27"/>
      <c r="HMG1" s="27"/>
      <c r="HMH1" s="27"/>
      <c r="HMI1" s="27"/>
      <c r="HMJ1" s="27"/>
      <c r="HMK1" s="27"/>
      <c r="HML1" s="27"/>
      <c r="HMM1" s="27"/>
      <c r="HMN1" s="27"/>
      <c r="HMO1" s="27"/>
      <c r="HMP1" s="27"/>
      <c r="HMQ1" s="27"/>
      <c r="HMR1" s="27"/>
      <c r="HMS1" s="27"/>
      <c r="HMT1" s="27"/>
      <c r="HMU1" s="27"/>
      <c r="HMV1" s="27"/>
      <c r="HMW1" s="27"/>
      <c r="HMX1" s="27"/>
      <c r="HMY1" s="27"/>
      <c r="HMZ1" s="27"/>
      <c r="HNA1" s="27"/>
      <c r="HNB1" s="27"/>
      <c r="HNC1" s="27"/>
      <c r="HND1" s="27"/>
      <c r="HNE1" s="27"/>
      <c r="HNF1" s="27"/>
      <c r="HNG1" s="27"/>
      <c r="HNH1" s="27"/>
      <c r="HNI1" s="27"/>
      <c r="HNJ1" s="27"/>
      <c r="HNK1" s="27"/>
      <c r="HNL1" s="27"/>
      <c r="HNM1" s="27"/>
      <c r="HNN1" s="27"/>
      <c r="HNO1" s="27"/>
      <c r="HNP1" s="27"/>
      <c r="HNQ1" s="27"/>
      <c r="HNR1" s="27"/>
      <c r="HNS1" s="27"/>
      <c r="HNT1" s="27"/>
      <c r="HNU1" s="27"/>
      <c r="HNV1" s="27"/>
      <c r="HNW1" s="27"/>
      <c r="HNX1" s="27"/>
      <c r="HNY1" s="27"/>
      <c r="HNZ1" s="27"/>
      <c r="HOA1" s="27"/>
      <c r="HOB1" s="27"/>
      <c r="HOC1" s="27"/>
      <c r="HOD1" s="27"/>
      <c r="HOE1" s="27"/>
      <c r="HOF1" s="27"/>
      <c r="HOG1" s="27"/>
      <c r="HOH1" s="27"/>
      <c r="HOI1" s="27"/>
      <c r="HOJ1" s="27"/>
      <c r="HOK1" s="27"/>
      <c r="HOL1" s="27"/>
      <c r="HOM1" s="27"/>
      <c r="HON1" s="27"/>
      <c r="HOO1" s="27"/>
      <c r="HOP1" s="27"/>
      <c r="HOQ1" s="27"/>
      <c r="HOR1" s="27"/>
      <c r="HOS1" s="27"/>
      <c r="HOT1" s="27"/>
      <c r="HOU1" s="27"/>
      <c r="HOV1" s="27"/>
      <c r="HOW1" s="27"/>
      <c r="HOX1" s="27"/>
      <c r="HOY1" s="27"/>
      <c r="HOZ1" s="27"/>
      <c r="HPA1" s="27"/>
      <c r="HPB1" s="27"/>
      <c r="HPC1" s="27"/>
      <c r="HPD1" s="27"/>
      <c r="HPE1" s="27"/>
      <c r="HPF1" s="27"/>
      <c r="HPG1" s="27"/>
      <c r="HPH1" s="27"/>
      <c r="HPI1" s="27"/>
      <c r="HPJ1" s="27"/>
      <c r="HPK1" s="27"/>
      <c r="HPL1" s="27"/>
      <c r="HPM1" s="27"/>
      <c r="HPN1" s="27"/>
      <c r="HPO1" s="27"/>
      <c r="HPP1" s="27"/>
      <c r="HPQ1" s="27"/>
      <c r="HPR1" s="27"/>
      <c r="HPS1" s="27"/>
      <c r="HPT1" s="27"/>
      <c r="HPU1" s="27"/>
      <c r="HPV1" s="27"/>
      <c r="HPW1" s="27"/>
      <c r="HPX1" s="27"/>
      <c r="HPY1" s="27"/>
      <c r="HPZ1" s="27"/>
      <c r="HQA1" s="27"/>
      <c r="HQB1" s="27"/>
      <c r="HQC1" s="27"/>
      <c r="HQD1" s="27"/>
      <c r="HQE1" s="27"/>
      <c r="HQF1" s="27"/>
      <c r="HQG1" s="27"/>
      <c r="HQH1" s="27"/>
      <c r="HQI1" s="27"/>
      <c r="HQJ1" s="27"/>
      <c r="HQK1" s="27"/>
      <c r="HQL1" s="27"/>
      <c r="HQM1" s="27"/>
      <c r="HQN1" s="27"/>
      <c r="HQO1" s="27"/>
      <c r="HQP1" s="27"/>
      <c r="HQQ1" s="27"/>
      <c r="HQR1" s="27"/>
      <c r="HQS1" s="27"/>
      <c r="HQT1" s="27"/>
      <c r="HQU1" s="27"/>
      <c r="HQV1" s="27"/>
      <c r="HQW1" s="27"/>
      <c r="HQX1" s="27"/>
      <c r="HQY1" s="27"/>
      <c r="HQZ1" s="27"/>
      <c r="HRA1" s="27"/>
      <c r="HRB1" s="27"/>
      <c r="HRC1" s="27"/>
      <c r="HRD1" s="27"/>
      <c r="HRE1" s="27"/>
      <c r="HRF1" s="27"/>
      <c r="HRG1" s="27"/>
      <c r="HRH1" s="27"/>
      <c r="HRI1" s="27"/>
      <c r="HRJ1" s="27"/>
      <c r="HRK1" s="27"/>
      <c r="HRL1" s="27"/>
      <c r="HRM1" s="27"/>
      <c r="HRN1" s="27"/>
      <c r="HRO1" s="27"/>
      <c r="HRP1" s="27"/>
      <c r="HRQ1" s="27"/>
      <c r="HRR1" s="27"/>
      <c r="HRS1" s="27"/>
      <c r="HRT1" s="27"/>
      <c r="HRU1" s="27"/>
      <c r="HRV1" s="27"/>
      <c r="HRW1" s="27"/>
      <c r="HRX1" s="27"/>
      <c r="HRY1" s="27"/>
      <c r="HRZ1" s="27"/>
      <c r="HSA1" s="27"/>
      <c r="HSB1" s="27"/>
      <c r="HSC1" s="27"/>
      <c r="HSD1" s="27"/>
      <c r="HSE1" s="27"/>
      <c r="HSF1" s="27"/>
      <c r="HSG1" s="27"/>
      <c r="HSH1" s="27"/>
      <c r="HSI1" s="27"/>
      <c r="HSJ1" s="27"/>
      <c r="HSK1" s="27"/>
      <c r="HSL1" s="27"/>
      <c r="HSM1" s="27"/>
      <c r="HSN1" s="27"/>
      <c r="HSO1" s="27"/>
      <c r="HSP1" s="27"/>
      <c r="HSQ1" s="27"/>
      <c r="HSR1" s="27"/>
      <c r="HSS1" s="27"/>
      <c r="HST1" s="27"/>
      <c r="HSU1" s="27"/>
      <c r="HSV1" s="27"/>
      <c r="HSW1" s="27"/>
      <c r="HSX1" s="27"/>
      <c r="HSY1" s="27"/>
      <c r="HSZ1" s="27"/>
      <c r="HTA1" s="27"/>
      <c r="HTB1" s="27"/>
      <c r="HTC1" s="27"/>
      <c r="HTD1" s="27"/>
      <c r="HTE1" s="27"/>
      <c r="HTF1" s="27"/>
      <c r="HTG1" s="27"/>
      <c r="HTH1" s="27"/>
      <c r="HTI1" s="27"/>
      <c r="HTJ1" s="27"/>
      <c r="HTK1" s="27"/>
      <c r="HTL1" s="27"/>
      <c r="HTM1" s="27"/>
      <c r="HTN1" s="27"/>
      <c r="HTO1" s="27"/>
      <c r="HTP1" s="27"/>
      <c r="HTQ1" s="27"/>
      <c r="HTR1" s="27"/>
      <c r="HTS1" s="27"/>
      <c r="HTT1" s="27"/>
      <c r="HTU1" s="27"/>
      <c r="HTV1" s="27"/>
      <c r="HTW1" s="27"/>
      <c r="HTX1" s="27"/>
      <c r="HTY1" s="27"/>
      <c r="HTZ1" s="27"/>
      <c r="HUA1" s="27"/>
      <c r="HUB1" s="27"/>
      <c r="HUC1" s="27"/>
      <c r="HUD1" s="27"/>
      <c r="HUE1" s="27"/>
      <c r="HUF1" s="27"/>
      <c r="HUG1" s="27"/>
      <c r="HUH1" s="27"/>
      <c r="HUI1" s="27"/>
      <c r="HUJ1" s="27"/>
      <c r="HUK1" s="27"/>
      <c r="HUL1" s="27"/>
      <c r="HUM1" s="27"/>
      <c r="HUN1" s="27"/>
      <c r="HUO1" s="27"/>
      <c r="HUP1" s="27"/>
      <c r="HUQ1" s="27"/>
      <c r="HUR1" s="27"/>
      <c r="HUS1" s="27"/>
      <c r="HUT1" s="27"/>
      <c r="HUU1" s="27"/>
      <c r="HUV1" s="27"/>
      <c r="HUW1" s="27"/>
      <c r="HUX1" s="27"/>
      <c r="HUY1" s="27"/>
      <c r="HUZ1" s="27"/>
      <c r="HVA1" s="27"/>
      <c r="HVB1" s="27"/>
      <c r="HVC1" s="27"/>
      <c r="HVD1" s="27"/>
      <c r="HVE1" s="27"/>
      <c r="HVF1" s="27"/>
      <c r="HVG1" s="27"/>
      <c r="HVH1" s="27"/>
      <c r="HVI1" s="27"/>
      <c r="HVJ1" s="27"/>
      <c r="HVK1" s="27"/>
      <c r="HVL1" s="27"/>
      <c r="HVM1" s="27"/>
      <c r="HVN1" s="27"/>
      <c r="HVO1" s="27"/>
      <c r="HVP1" s="27"/>
      <c r="HVQ1" s="27"/>
      <c r="HVR1" s="27"/>
      <c r="HVS1" s="27"/>
      <c r="HVT1" s="27"/>
      <c r="HVU1" s="27"/>
      <c r="HVV1" s="27"/>
      <c r="HVW1" s="27"/>
      <c r="HVX1" s="27"/>
      <c r="HVY1" s="27"/>
      <c r="HVZ1" s="27"/>
      <c r="HWA1" s="27"/>
      <c r="HWB1" s="27"/>
      <c r="HWC1" s="27"/>
      <c r="HWD1" s="27"/>
      <c r="HWE1" s="27"/>
      <c r="HWF1" s="27"/>
      <c r="HWG1" s="27"/>
      <c r="HWH1" s="27"/>
      <c r="HWI1" s="27"/>
      <c r="HWJ1" s="27"/>
      <c r="HWK1" s="27"/>
      <c r="HWL1" s="27"/>
      <c r="HWM1" s="27"/>
      <c r="HWN1" s="27"/>
      <c r="HWO1" s="27"/>
      <c r="HWP1" s="27"/>
      <c r="HWQ1" s="27"/>
      <c r="HWR1" s="27"/>
      <c r="HWS1" s="27"/>
      <c r="HWT1" s="27"/>
      <c r="HWU1" s="27"/>
      <c r="HWV1" s="27"/>
      <c r="HWW1" s="27"/>
      <c r="HWX1" s="27"/>
      <c r="HWY1" s="27"/>
      <c r="HWZ1" s="27"/>
      <c r="HXA1" s="27"/>
      <c r="HXB1" s="27"/>
      <c r="HXC1" s="27"/>
      <c r="HXD1" s="27"/>
      <c r="HXE1" s="27"/>
      <c r="HXF1" s="27"/>
      <c r="HXG1" s="27"/>
      <c r="HXH1" s="27"/>
      <c r="HXI1" s="27"/>
      <c r="HXJ1" s="27"/>
      <c r="HXK1" s="27"/>
      <c r="HXL1" s="27"/>
      <c r="HXM1" s="27"/>
      <c r="HXN1" s="27"/>
      <c r="HXO1" s="27"/>
      <c r="HXP1" s="27"/>
      <c r="HXQ1" s="27"/>
      <c r="HXR1" s="27"/>
      <c r="HXS1" s="27"/>
      <c r="HXT1" s="27"/>
      <c r="HXU1" s="27"/>
      <c r="HXV1" s="27"/>
      <c r="HXW1" s="27"/>
      <c r="HXX1" s="27"/>
      <c r="HXY1" s="27"/>
      <c r="HXZ1" s="27"/>
      <c r="HYA1" s="27"/>
      <c r="HYB1" s="27"/>
      <c r="HYC1" s="27"/>
      <c r="HYD1" s="27"/>
      <c r="HYE1" s="27"/>
      <c r="HYF1" s="27"/>
      <c r="HYG1" s="27"/>
      <c r="HYH1" s="27"/>
      <c r="HYI1" s="27"/>
      <c r="HYJ1" s="27"/>
      <c r="HYK1" s="27"/>
      <c r="HYL1" s="27"/>
      <c r="HYM1" s="27"/>
      <c r="HYN1" s="27"/>
      <c r="HYO1" s="27"/>
      <c r="HYP1" s="27"/>
      <c r="HYQ1" s="27"/>
      <c r="HYR1" s="27"/>
      <c r="HYS1" s="27"/>
      <c r="HYT1" s="27"/>
      <c r="HYU1" s="27"/>
      <c r="HYV1" s="27"/>
      <c r="HYW1" s="27"/>
      <c r="HYX1" s="27"/>
      <c r="HYY1" s="27"/>
      <c r="HYZ1" s="27"/>
      <c r="HZA1" s="27"/>
      <c r="HZB1" s="27"/>
      <c r="HZC1" s="27"/>
      <c r="HZD1" s="27"/>
      <c r="HZE1" s="27"/>
      <c r="HZF1" s="27"/>
      <c r="HZG1" s="27"/>
      <c r="HZH1" s="27"/>
      <c r="HZI1" s="27"/>
      <c r="HZJ1" s="27"/>
      <c r="HZK1" s="27"/>
      <c r="HZL1" s="27"/>
      <c r="HZM1" s="27"/>
      <c r="HZN1" s="27"/>
      <c r="HZO1" s="27"/>
      <c r="HZP1" s="27"/>
      <c r="HZQ1" s="27"/>
      <c r="HZR1" s="27"/>
      <c r="HZS1" s="27"/>
      <c r="HZT1" s="27"/>
      <c r="HZU1" s="27"/>
      <c r="HZV1" s="27"/>
      <c r="HZW1" s="27"/>
      <c r="HZX1" s="27"/>
      <c r="HZY1" s="27"/>
      <c r="HZZ1" s="27"/>
      <c r="IAA1" s="27"/>
      <c r="IAB1" s="27"/>
      <c r="IAC1" s="27"/>
      <c r="IAD1" s="27"/>
      <c r="IAE1" s="27"/>
      <c r="IAF1" s="27"/>
      <c r="IAG1" s="27"/>
      <c r="IAH1" s="27"/>
      <c r="IAI1" s="27"/>
      <c r="IAJ1" s="27"/>
      <c r="IAK1" s="27"/>
      <c r="IAL1" s="27"/>
      <c r="IAM1" s="27"/>
      <c r="IAN1" s="27"/>
      <c r="IAO1" s="27"/>
      <c r="IAP1" s="27"/>
      <c r="IAQ1" s="27"/>
      <c r="IAR1" s="27"/>
      <c r="IAS1" s="27"/>
      <c r="IAT1" s="27"/>
      <c r="IAU1" s="27"/>
      <c r="IAV1" s="27"/>
      <c r="IAW1" s="27"/>
      <c r="IAX1" s="27"/>
      <c r="IAY1" s="27"/>
      <c r="IAZ1" s="27"/>
      <c r="IBA1" s="27"/>
      <c r="IBB1" s="27"/>
      <c r="IBC1" s="27"/>
      <c r="IBD1" s="27"/>
      <c r="IBE1" s="27"/>
      <c r="IBF1" s="27"/>
      <c r="IBG1" s="27"/>
      <c r="IBH1" s="27"/>
      <c r="IBI1" s="27"/>
      <c r="IBJ1" s="27"/>
      <c r="IBK1" s="27"/>
      <c r="IBL1" s="27"/>
      <c r="IBM1" s="27"/>
      <c r="IBN1" s="27"/>
      <c r="IBO1" s="27"/>
      <c r="IBP1" s="27"/>
      <c r="IBQ1" s="27"/>
      <c r="IBR1" s="27"/>
      <c r="IBS1" s="27"/>
      <c r="IBT1" s="27"/>
      <c r="IBU1" s="27"/>
      <c r="IBV1" s="27"/>
      <c r="IBW1" s="27"/>
      <c r="IBX1" s="27"/>
      <c r="IBY1" s="27"/>
      <c r="IBZ1" s="27"/>
      <c r="ICA1" s="27"/>
      <c r="ICB1" s="27"/>
      <c r="ICC1" s="27"/>
      <c r="ICD1" s="27"/>
      <c r="ICE1" s="27"/>
      <c r="ICF1" s="27"/>
      <c r="ICG1" s="27"/>
      <c r="ICH1" s="27"/>
      <c r="ICI1" s="27"/>
      <c r="ICJ1" s="27"/>
      <c r="ICK1" s="27"/>
      <c r="ICL1" s="27"/>
      <c r="ICM1" s="27"/>
      <c r="ICN1" s="27"/>
      <c r="ICO1" s="27"/>
      <c r="ICP1" s="27"/>
      <c r="ICQ1" s="27"/>
      <c r="ICR1" s="27"/>
      <c r="ICS1" s="27"/>
      <c r="ICT1" s="27"/>
      <c r="ICU1" s="27"/>
      <c r="ICV1" s="27"/>
      <c r="ICW1" s="27"/>
      <c r="ICX1" s="27"/>
      <c r="ICY1" s="27"/>
      <c r="ICZ1" s="27"/>
      <c r="IDA1" s="27"/>
      <c r="IDB1" s="27"/>
      <c r="IDC1" s="27"/>
      <c r="IDD1" s="27"/>
      <c r="IDE1" s="27"/>
      <c r="IDF1" s="27"/>
      <c r="IDG1" s="27"/>
      <c r="IDH1" s="27"/>
      <c r="IDI1" s="27"/>
      <c r="IDJ1" s="27"/>
      <c r="IDK1" s="27"/>
      <c r="IDL1" s="27"/>
      <c r="IDM1" s="27"/>
      <c r="IDN1" s="27"/>
      <c r="IDO1" s="27"/>
      <c r="IDP1" s="27"/>
      <c r="IDQ1" s="27"/>
      <c r="IDR1" s="27"/>
      <c r="IDS1" s="27"/>
      <c r="IDT1" s="27"/>
      <c r="IDU1" s="27"/>
      <c r="IDV1" s="27"/>
      <c r="IDW1" s="27"/>
      <c r="IDX1" s="27"/>
      <c r="IDY1" s="27"/>
      <c r="IDZ1" s="27"/>
      <c r="IEA1" s="27"/>
      <c r="IEB1" s="27"/>
      <c r="IEC1" s="27"/>
      <c r="IED1" s="27"/>
      <c r="IEE1" s="27"/>
      <c r="IEF1" s="27"/>
      <c r="IEG1" s="27"/>
      <c r="IEH1" s="27"/>
      <c r="IEI1" s="27"/>
      <c r="IEJ1" s="27"/>
      <c r="IEK1" s="27"/>
      <c r="IEL1" s="27"/>
      <c r="IEM1" s="27"/>
      <c r="IEN1" s="27"/>
      <c r="IEO1" s="27"/>
      <c r="IEP1" s="27"/>
      <c r="IEQ1" s="27"/>
      <c r="IER1" s="27"/>
      <c r="IES1" s="27"/>
      <c r="IET1" s="27"/>
      <c r="IEU1" s="27"/>
      <c r="IEV1" s="27"/>
      <c r="IEW1" s="27"/>
      <c r="IEX1" s="27"/>
      <c r="IEY1" s="27"/>
      <c r="IEZ1" s="27"/>
      <c r="IFA1" s="27"/>
      <c r="IFB1" s="27"/>
      <c r="IFC1" s="27"/>
      <c r="IFD1" s="27"/>
      <c r="IFE1" s="27"/>
      <c r="IFF1" s="27"/>
      <c r="IFG1" s="27"/>
      <c r="IFH1" s="27"/>
      <c r="IFI1" s="27"/>
      <c r="IFJ1" s="27"/>
      <c r="IFK1" s="27"/>
      <c r="IFL1" s="27"/>
      <c r="IFM1" s="27"/>
      <c r="IFN1" s="27"/>
      <c r="IFO1" s="27"/>
      <c r="IFP1" s="27"/>
      <c r="IFQ1" s="27"/>
      <c r="IFR1" s="27"/>
      <c r="IFS1" s="27"/>
      <c r="IFT1" s="27"/>
      <c r="IFU1" s="27"/>
      <c r="IFV1" s="27"/>
      <c r="IFW1" s="27"/>
      <c r="IFX1" s="27"/>
      <c r="IFY1" s="27"/>
      <c r="IFZ1" s="27"/>
      <c r="IGA1" s="27"/>
      <c r="IGB1" s="27"/>
      <c r="IGC1" s="27"/>
      <c r="IGD1" s="27"/>
      <c r="IGE1" s="27"/>
      <c r="IGF1" s="27"/>
      <c r="IGG1" s="27"/>
      <c r="IGH1" s="27"/>
      <c r="IGI1" s="27"/>
      <c r="IGJ1" s="27"/>
      <c r="IGK1" s="27"/>
      <c r="IGL1" s="27"/>
      <c r="IGM1" s="27"/>
      <c r="IGN1" s="27"/>
      <c r="IGO1" s="27"/>
      <c r="IGP1" s="27"/>
      <c r="IGQ1" s="27"/>
      <c r="IGR1" s="27"/>
      <c r="IGS1" s="27"/>
      <c r="IGT1" s="27"/>
      <c r="IGU1" s="27"/>
      <c r="IGV1" s="27"/>
      <c r="IGW1" s="27"/>
      <c r="IGX1" s="27"/>
      <c r="IGY1" s="27"/>
      <c r="IGZ1" s="27"/>
      <c r="IHA1" s="27"/>
      <c r="IHB1" s="27"/>
      <c r="IHC1" s="27"/>
      <c r="IHD1" s="27"/>
      <c r="IHE1" s="27"/>
      <c r="IHF1" s="27"/>
      <c r="IHG1" s="27"/>
      <c r="IHH1" s="27"/>
      <c r="IHI1" s="27"/>
      <c r="IHJ1" s="27"/>
      <c r="IHK1" s="27"/>
      <c r="IHL1" s="27"/>
      <c r="IHM1" s="27"/>
      <c r="IHN1" s="27"/>
      <c r="IHO1" s="27"/>
      <c r="IHP1" s="27"/>
      <c r="IHQ1" s="27"/>
      <c r="IHR1" s="27"/>
      <c r="IHS1" s="27"/>
      <c r="IHT1" s="27"/>
      <c r="IHU1" s="27"/>
      <c r="IHV1" s="27"/>
      <c r="IHW1" s="27"/>
      <c r="IHX1" s="27"/>
      <c r="IHY1" s="27"/>
      <c r="IHZ1" s="27"/>
      <c r="IIA1" s="27"/>
      <c r="IIB1" s="27"/>
      <c r="IIC1" s="27"/>
      <c r="IID1" s="27"/>
      <c r="IIE1" s="27"/>
      <c r="IIF1" s="27"/>
      <c r="IIG1" s="27"/>
      <c r="IIH1" s="27"/>
      <c r="III1" s="27"/>
      <c r="IIJ1" s="27"/>
      <c r="IIK1" s="27"/>
      <c r="IIL1" s="27"/>
      <c r="IIM1" s="27"/>
      <c r="IIN1" s="27"/>
      <c r="IIO1" s="27"/>
      <c r="IIP1" s="27"/>
      <c r="IIQ1" s="27"/>
      <c r="IIR1" s="27"/>
      <c r="IIS1" s="27"/>
      <c r="IIT1" s="27"/>
      <c r="IIU1" s="27"/>
      <c r="IIV1" s="27"/>
      <c r="IIW1" s="27"/>
      <c r="IIX1" s="27"/>
      <c r="IIY1" s="27"/>
      <c r="IIZ1" s="27"/>
      <c r="IJA1" s="27"/>
      <c r="IJB1" s="27"/>
      <c r="IJC1" s="27"/>
      <c r="IJD1" s="27"/>
      <c r="IJE1" s="27"/>
      <c r="IJF1" s="27"/>
      <c r="IJG1" s="27"/>
      <c r="IJH1" s="27"/>
      <c r="IJI1" s="27"/>
      <c r="IJJ1" s="27"/>
      <c r="IJK1" s="27"/>
      <c r="IJL1" s="27"/>
      <c r="IJM1" s="27"/>
      <c r="IJN1" s="27"/>
      <c r="IJO1" s="27"/>
      <c r="IJP1" s="27"/>
      <c r="IJQ1" s="27"/>
      <c r="IJR1" s="27"/>
      <c r="IJS1" s="27"/>
      <c r="IJT1" s="27"/>
      <c r="IJU1" s="27"/>
      <c r="IJV1" s="27"/>
      <c r="IJW1" s="27"/>
      <c r="IJX1" s="27"/>
      <c r="IJY1" s="27"/>
      <c r="IJZ1" s="27"/>
      <c r="IKA1" s="27"/>
      <c r="IKB1" s="27"/>
      <c r="IKC1" s="27"/>
      <c r="IKD1" s="27"/>
      <c r="IKE1" s="27"/>
      <c r="IKF1" s="27"/>
      <c r="IKG1" s="27"/>
      <c r="IKH1" s="27"/>
      <c r="IKI1" s="27"/>
      <c r="IKJ1" s="27"/>
      <c r="IKK1" s="27"/>
      <c r="IKL1" s="27"/>
      <c r="IKM1" s="27"/>
      <c r="IKN1" s="27"/>
      <c r="IKO1" s="27"/>
      <c r="IKP1" s="27"/>
      <c r="IKQ1" s="27"/>
      <c r="IKR1" s="27"/>
      <c r="IKS1" s="27"/>
      <c r="IKT1" s="27"/>
      <c r="IKU1" s="27"/>
      <c r="IKV1" s="27"/>
      <c r="IKW1" s="27"/>
      <c r="IKX1" s="27"/>
      <c r="IKY1" s="27"/>
      <c r="IKZ1" s="27"/>
      <c r="ILA1" s="27"/>
      <c r="ILB1" s="27"/>
      <c r="ILC1" s="27"/>
      <c r="ILD1" s="27"/>
      <c r="ILE1" s="27"/>
      <c r="ILF1" s="27"/>
      <c r="ILG1" s="27"/>
      <c r="ILH1" s="27"/>
      <c r="ILI1" s="27"/>
      <c r="ILJ1" s="27"/>
      <c r="ILK1" s="27"/>
      <c r="ILL1" s="27"/>
      <c r="ILM1" s="27"/>
      <c r="ILN1" s="27"/>
      <c r="ILO1" s="27"/>
      <c r="ILP1" s="27"/>
      <c r="ILQ1" s="27"/>
      <c r="ILR1" s="27"/>
      <c r="ILS1" s="27"/>
      <c r="ILT1" s="27"/>
      <c r="ILU1" s="27"/>
      <c r="ILV1" s="27"/>
      <c r="ILW1" s="27"/>
      <c r="ILX1" s="27"/>
      <c r="ILY1" s="27"/>
      <c r="ILZ1" s="27"/>
      <c r="IMA1" s="27"/>
      <c r="IMB1" s="27"/>
      <c r="IMC1" s="27"/>
      <c r="IMD1" s="27"/>
      <c r="IME1" s="27"/>
      <c r="IMF1" s="27"/>
      <c r="IMG1" s="27"/>
      <c r="IMH1" s="27"/>
      <c r="IMI1" s="27"/>
      <c r="IMJ1" s="27"/>
      <c r="IMK1" s="27"/>
      <c r="IML1" s="27"/>
      <c r="IMM1" s="27"/>
      <c r="IMN1" s="27"/>
      <c r="IMO1" s="27"/>
      <c r="IMP1" s="27"/>
      <c r="IMQ1" s="27"/>
      <c r="IMR1" s="27"/>
      <c r="IMS1" s="27"/>
      <c r="IMT1" s="27"/>
      <c r="IMU1" s="27"/>
      <c r="IMV1" s="27"/>
      <c r="IMW1" s="27"/>
      <c r="IMX1" s="27"/>
      <c r="IMY1" s="27"/>
      <c r="IMZ1" s="27"/>
      <c r="INA1" s="27"/>
      <c r="INB1" s="27"/>
      <c r="INC1" s="27"/>
      <c r="IND1" s="27"/>
      <c r="INE1" s="27"/>
      <c r="INF1" s="27"/>
      <c r="ING1" s="27"/>
      <c r="INH1" s="27"/>
      <c r="INI1" s="27"/>
      <c r="INJ1" s="27"/>
      <c r="INK1" s="27"/>
      <c r="INL1" s="27"/>
      <c r="INM1" s="27"/>
      <c r="INN1" s="27"/>
      <c r="INO1" s="27"/>
      <c r="INP1" s="27"/>
      <c r="INQ1" s="27"/>
      <c r="INR1" s="27"/>
      <c r="INS1" s="27"/>
      <c r="INT1" s="27"/>
      <c r="INU1" s="27"/>
      <c r="INV1" s="27"/>
      <c r="INW1" s="27"/>
      <c r="INX1" s="27"/>
      <c r="INY1" s="27"/>
      <c r="INZ1" s="27"/>
      <c r="IOA1" s="27"/>
      <c r="IOB1" s="27"/>
      <c r="IOC1" s="27"/>
      <c r="IOD1" s="27"/>
      <c r="IOE1" s="27"/>
      <c r="IOF1" s="27"/>
      <c r="IOG1" s="27"/>
      <c r="IOH1" s="27"/>
      <c r="IOI1" s="27"/>
      <c r="IOJ1" s="27"/>
      <c r="IOK1" s="27"/>
      <c r="IOL1" s="27"/>
      <c r="IOM1" s="27"/>
      <c r="ION1" s="27"/>
      <c r="IOO1" s="27"/>
      <c r="IOP1" s="27"/>
      <c r="IOQ1" s="27"/>
      <c r="IOR1" s="27"/>
      <c r="IOS1" s="27"/>
      <c r="IOT1" s="27"/>
      <c r="IOU1" s="27"/>
      <c r="IOV1" s="27"/>
      <c r="IOW1" s="27"/>
      <c r="IOX1" s="27"/>
      <c r="IOY1" s="27"/>
      <c r="IOZ1" s="27"/>
      <c r="IPA1" s="27"/>
      <c r="IPB1" s="27"/>
      <c r="IPC1" s="27"/>
      <c r="IPD1" s="27"/>
      <c r="IPE1" s="27"/>
      <c r="IPF1" s="27"/>
      <c r="IPG1" s="27"/>
      <c r="IPH1" s="27"/>
      <c r="IPI1" s="27"/>
      <c r="IPJ1" s="27"/>
      <c r="IPK1" s="27"/>
      <c r="IPL1" s="27"/>
      <c r="IPM1" s="27"/>
      <c r="IPN1" s="27"/>
      <c r="IPO1" s="27"/>
      <c r="IPP1" s="27"/>
      <c r="IPQ1" s="27"/>
      <c r="IPR1" s="27"/>
      <c r="IPS1" s="27"/>
      <c r="IPT1" s="27"/>
      <c r="IPU1" s="27"/>
      <c r="IPV1" s="27"/>
      <c r="IPW1" s="27"/>
      <c r="IPX1" s="27"/>
      <c r="IPY1" s="27"/>
      <c r="IPZ1" s="27"/>
      <c r="IQA1" s="27"/>
      <c r="IQB1" s="27"/>
      <c r="IQC1" s="27"/>
      <c r="IQD1" s="27"/>
      <c r="IQE1" s="27"/>
      <c r="IQF1" s="27"/>
      <c r="IQG1" s="27"/>
      <c r="IQH1" s="27"/>
      <c r="IQI1" s="27"/>
      <c r="IQJ1" s="27"/>
      <c r="IQK1" s="27"/>
      <c r="IQL1" s="27"/>
      <c r="IQM1" s="27"/>
      <c r="IQN1" s="27"/>
      <c r="IQO1" s="27"/>
      <c r="IQP1" s="27"/>
      <c r="IQQ1" s="27"/>
      <c r="IQR1" s="27"/>
      <c r="IQS1" s="27"/>
      <c r="IQT1" s="27"/>
      <c r="IQU1" s="27"/>
      <c r="IQV1" s="27"/>
      <c r="IQW1" s="27"/>
      <c r="IQX1" s="27"/>
      <c r="IQY1" s="27"/>
      <c r="IQZ1" s="27"/>
      <c r="IRA1" s="27"/>
      <c r="IRB1" s="27"/>
      <c r="IRC1" s="27"/>
      <c r="IRD1" s="27"/>
      <c r="IRE1" s="27"/>
      <c r="IRF1" s="27"/>
      <c r="IRG1" s="27"/>
      <c r="IRH1" s="27"/>
      <c r="IRI1" s="27"/>
      <c r="IRJ1" s="27"/>
      <c r="IRK1" s="27"/>
      <c r="IRL1" s="27"/>
      <c r="IRM1" s="27"/>
      <c r="IRN1" s="27"/>
      <c r="IRO1" s="27"/>
      <c r="IRP1" s="27"/>
      <c r="IRQ1" s="27"/>
      <c r="IRR1" s="27"/>
      <c r="IRS1" s="27"/>
      <c r="IRT1" s="27"/>
      <c r="IRU1" s="27"/>
      <c r="IRV1" s="27"/>
      <c r="IRW1" s="27"/>
      <c r="IRX1" s="27"/>
      <c r="IRY1" s="27"/>
      <c r="IRZ1" s="27"/>
      <c r="ISA1" s="27"/>
      <c r="ISB1" s="27"/>
      <c r="ISC1" s="27"/>
      <c r="ISD1" s="27"/>
      <c r="ISE1" s="27"/>
      <c r="ISF1" s="27"/>
      <c r="ISG1" s="27"/>
      <c r="ISH1" s="27"/>
      <c r="ISI1" s="27"/>
      <c r="ISJ1" s="27"/>
      <c r="ISK1" s="27"/>
      <c r="ISL1" s="27"/>
      <c r="ISM1" s="27"/>
      <c r="ISN1" s="27"/>
      <c r="ISO1" s="27"/>
      <c r="ISP1" s="27"/>
      <c r="ISQ1" s="27"/>
      <c r="ISR1" s="27"/>
      <c r="ISS1" s="27"/>
      <c r="IST1" s="27"/>
      <c r="ISU1" s="27"/>
      <c r="ISV1" s="27"/>
      <c r="ISW1" s="27"/>
      <c r="ISX1" s="27"/>
      <c r="ISY1" s="27"/>
      <c r="ISZ1" s="27"/>
      <c r="ITA1" s="27"/>
      <c r="ITB1" s="27"/>
      <c r="ITC1" s="27"/>
      <c r="ITD1" s="27"/>
      <c r="ITE1" s="27"/>
      <c r="ITF1" s="27"/>
      <c r="ITG1" s="27"/>
      <c r="ITH1" s="27"/>
      <c r="ITI1" s="27"/>
      <c r="ITJ1" s="27"/>
      <c r="ITK1" s="27"/>
      <c r="ITL1" s="27"/>
      <c r="ITM1" s="27"/>
      <c r="ITN1" s="27"/>
      <c r="ITO1" s="27"/>
      <c r="ITP1" s="27"/>
      <c r="ITQ1" s="27"/>
      <c r="ITR1" s="27"/>
      <c r="ITS1" s="27"/>
      <c r="ITT1" s="27"/>
      <c r="ITU1" s="27"/>
      <c r="ITV1" s="27"/>
      <c r="ITW1" s="27"/>
      <c r="ITX1" s="27"/>
      <c r="ITY1" s="27"/>
      <c r="ITZ1" s="27"/>
      <c r="IUA1" s="27"/>
      <c r="IUB1" s="27"/>
      <c r="IUC1" s="27"/>
      <c r="IUD1" s="27"/>
      <c r="IUE1" s="27"/>
      <c r="IUF1" s="27"/>
      <c r="IUG1" s="27"/>
      <c r="IUH1" s="27"/>
      <c r="IUI1" s="27"/>
      <c r="IUJ1" s="27"/>
      <c r="IUK1" s="27"/>
      <c r="IUL1" s="27"/>
      <c r="IUM1" s="27"/>
      <c r="IUN1" s="27"/>
      <c r="IUO1" s="27"/>
      <c r="IUP1" s="27"/>
      <c r="IUQ1" s="27"/>
      <c r="IUR1" s="27"/>
      <c r="IUS1" s="27"/>
      <c r="IUT1" s="27"/>
      <c r="IUU1" s="27"/>
      <c r="IUV1" s="27"/>
      <c r="IUW1" s="27"/>
      <c r="IUX1" s="27"/>
      <c r="IUY1" s="27"/>
      <c r="IUZ1" s="27"/>
      <c r="IVA1" s="27"/>
      <c r="IVB1" s="27"/>
      <c r="IVC1" s="27"/>
      <c r="IVD1" s="27"/>
      <c r="IVE1" s="27"/>
      <c r="IVF1" s="27"/>
      <c r="IVG1" s="27"/>
      <c r="IVH1" s="27"/>
      <c r="IVI1" s="27"/>
      <c r="IVJ1" s="27"/>
      <c r="IVK1" s="27"/>
      <c r="IVL1" s="27"/>
      <c r="IVM1" s="27"/>
      <c r="IVN1" s="27"/>
      <c r="IVO1" s="27"/>
      <c r="IVP1" s="27"/>
      <c r="IVQ1" s="27"/>
      <c r="IVR1" s="27"/>
      <c r="IVS1" s="27"/>
      <c r="IVT1" s="27"/>
      <c r="IVU1" s="27"/>
      <c r="IVV1" s="27"/>
      <c r="IVW1" s="27"/>
      <c r="IVX1" s="27"/>
      <c r="IVY1" s="27"/>
      <c r="IVZ1" s="27"/>
      <c r="IWA1" s="27"/>
      <c r="IWB1" s="27"/>
      <c r="IWC1" s="27"/>
      <c r="IWD1" s="27"/>
      <c r="IWE1" s="27"/>
      <c r="IWF1" s="27"/>
      <c r="IWG1" s="27"/>
      <c r="IWH1" s="27"/>
      <c r="IWI1" s="27"/>
      <c r="IWJ1" s="27"/>
      <c r="IWK1" s="27"/>
      <c r="IWL1" s="27"/>
      <c r="IWM1" s="27"/>
      <c r="IWN1" s="27"/>
      <c r="IWO1" s="27"/>
      <c r="IWP1" s="27"/>
      <c r="IWQ1" s="27"/>
      <c r="IWR1" s="27"/>
      <c r="IWS1" s="27"/>
      <c r="IWT1" s="27"/>
      <c r="IWU1" s="27"/>
      <c r="IWV1" s="27"/>
      <c r="IWW1" s="27"/>
      <c r="IWX1" s="27"/>
      <c r="IWY1" s="27"/>
      <c r="IWZ1" s="27"/>
      <c r="IXA1" s="27"/>
      <c r="IXB1" s="27"/>
      <c r="IXC1" s="27"/>
      <c r="IXD1" s="27"/>
      <c r="IXE1" s="27"/>
      <c r="IXF1" s="27"/>
      <c r="IXG1" s="27"/>
      <c r="IXH1" s="27"/>
      <c r="IXI1" s="27"/>
      <c r="IXJ1" s="27"/>
      <c r="IXK1" s="27"/>
      <c r="IXL1" s="27"/>
      <c r="IXM1" s="27"/>
      <c r="IXN1" s="27"/>
      <c r="IXO1" s="27"/>
      <c r="IXP1" s="27"/>
      <c r="IXQ1" s="27"/>
      <c r="IXR1" s="27"/>
      <c r="IXS1" s="27"/>
      <c r="IXT1" s="27"/>
      <c r="IXU1" s="27"/>
      <c r="IXV1" s="27"/>
      <c r="IXW1" s="27"/>
      <c r="IXX1" s="27"/>
      <c r="IXY1" s="27"/>
      <c r="IXZ1" s="27"/>
      <c r="IYA1" s="27"/>
      <c r="IYB1" s="27"/>
      <c r="IYC1" s="27"/>
      <c r="IYD1" s="27"/>
      <c r="IYE1" s="27"/>
      <c r="IYF1" s="27"/>
      <c r="IYG1" s="27"/>
      <c r="IYH1" s="27"/>
      <c r="IYI1" s="27"/>
      <c r="IYJ1" s="27"/>
      <c r="IYK1" s="27"/>
      <c r="IYL1" s="27"/>
      <c r="IYM1" s="27"/>
      <c r="IYN1" s="27"/>
      <c r="IYO1" s="27"/>
      <c r="IYP1" s="27"/>
      <c r="IYQ1" s="27"/>
      <c r="IYR1" s="27"/>
      <c r="IYS1" s="27"/>
      <c r="IYT1" s="27"/>
      <c r="IYU1" s="27"/>
      <c r="IYV1" s="27"/>
      <c r="IYW1" s="27"/>
      <c r="IYX1" s="27"/>
      <c r="IYY1" s="27"/>
      <c r="IYZ1" s="27"/>
      <c r="IZA1" s="27"/>
      <c r="IZB1" s="27"/>
      <c r="IZC1" s="27"/>
      <c r="IZD1" s="27"/>
      <c r="IZE1" s="27"/>
      <c r="IZF1" s="27"/>
      <c r="IZG1" s="27"/>
      <c r="IZH1" s="27"/>
      <c r="IZI1" s="27"/>
      <c r="IZJ1" s="27"/>
      <c r="IZK1" s="27"/>
      <c r="IZL1" s="27"/>
      <c r="IZM1" s="27"/>
      <c r="IZN1" s="27"/>
      <c r="IZO1" s="27"/>
      <c r="IZP1" s="27"/>
      <c r="IZQ1" s="27"/>
      <c r="IZR1" s="27"/>
      <c r="IZS1" s="27"/>
      <c r="IZT1" s="27"/>
      <c r="IZU1" s="27"/>
      <c r="IZV1" s="27"/>
      <c r="IZW1" s="27"/>
      <c r="IZX1" s="27"/>
      <c r="IZY1" s="27"/>
      <c r="IZZ1" s="27"/>
      <c r="JAA1" s="27"/>
      <c r="JAB1" s="27"/>
      <c r="JAC1" s="27"/>
      <c r="JAD1" s="27"/>
      <c r="JAE1" s="27"/>
      <c r="JAF1" s="27"/>
      <c r="JAG1" s="27"/>
      <c r="JAH1" s="27"/>
      <c r="JAI1" s="27"/>
      <c r="JAJ1" s="27"/>
      <c r="JAK1" s="27"/>
      <c r="JAL1" s="27"/>
      <c r="JAM1" s="27"/>
      <c r="JAN1" s="27"/>
      <c r="JAO1" s="27"/>
      <c r="JAP1" s="27"/>
      <c r="JAQ1" s="27"/>
      <c r="JAR1" s="27"/>
      <c r="JAS1" s="27"/>
      <c r="JAT1" s="27"/>
      <c r="JAU1" s="27"/>
      <c r="JAV1" s="27"/>
      <c r="JAW1" s="27"/>
      <c r="JAX1" s="27"/>
      <c r="JAY1" s="27"/>
      <c r="JAZ1" s="27"/>
      <c r="JBA1" s="27"/>
      <c r="JBB1" s="27"/>
      <c r="JBC1" s="27"/>
      <c r="JBD1" s="27"/>
      <c r="JBE1" s="27"/>
      <c r="JBF1" s="27"/>
      <c r="JBG1" s="27"/>
      <c r="JBH1" s="27"/>
      <c r="JBI1" s="27"/>
      <c r="JBJ1" s="27"/>
      <c r="JBK1" s="27"/>
      <c r="JBL1" s="27"/>
      <c r="JBM1" s="27"/>
      <c r="JBN1" s="27"/>
      <c r="JBO1" s="27"/>
      <c r="JBP1" s="27"/>
      <c r="JBQ1" s="27"/>
      <c r="JBR1" s="27"/>
      <c r="JBS1" s="27"/>
      <c r="JBT1" s="27"/>
      <c r="JBU1" s="27"/>
      <c r="JBV1" s="27"/>
      <c r="JBW1" s="27"/>
      <c r="JBX1" s="27"/>
      <c r="JBY1" s="27"/>
      <c r="JBZ1" s="27"/>
      <c r="JCA1" s="27"/>
      <c r="JCB1" s="27"/>
      <c r="JCC1" s="27"/>
      <c r="JCD1" s="27"/>
      <c r="JCE1" s="27"/>
      <c r="JCF1" s="27"/>
      <c r="JCG1" s="27"/>
      <c r="JCH1" s="27"/>
      <c r="JCI1" s="27"/>
      <c r="JCJ1" s="27"/>
      <c r="JCK1" s="27"/>
      <c r="JCL1" s="27"/>
      <c r="JCM1" s="27"/>
      <c r="JCN1" s="27"/>
      <c r="JCO1" s="27"/>
      <c r="JCP1" s="27"/>
      <c r="JCQ1" s="27"/>
      <c r="JCR1" s="27"/>
      <c r="JCS1" s="27"/>
      <c r="JCT1" s="27"/>
      <c r="JCU1" s="27"/>
      <c r="JCV1" s="27"/>
      <c r="JCW1" s="27"/>
      <c r="JCX1" s="27"/>
      <c r="JCY1" s="27"/>
      <c r="JCZ1" s="27"/>
      <c r="JDA1" s="27"/>
      <c r="JDB1" s="27"/>
      <c r="JDC1" s="27"/>
      <c r="JDD1" s="27"/>
      <c r="JDE1" s="27"/>
      <c r="JDF1" s="27"/>
      <c r="JDG1" s="27"/>
      <c r="JDH1" s="27"/>
      <c r="JDI1" s="27"/>
      <c r="JDJ1" s="27"/>
      <c r="JDK1" s="27"/>
      <c r="JDL1" s="27"/>
      <c r="JDM1" s="27"/>
      <c r="JDN1" s="27"/>
      <c r="JDO1" s="27"/>
      <c r="JDP1" s="27"/>
      <c r="JDQ1" s="27"/>
      <c r="JDR1" s="27"/>
      <c r="JDS1" s="27"/>
      <c r="JDT1" s="27"/>
      <c r="JDU1" s="27"/>
      <c r="JDV1" s="27"/>
      <c r="JDW1" s="27"/>
      <c r="JDX1" s="27"/>
      <c r="JDY1" s="27"/>
      <c r="JDZ1" s="27"/>
      <c r="JEA1" s="27"/>
      <c r="JEB1" s="27"/>
      <c r="JEC1" s="27"/>
      <c r="JED1" s="27"/>
      <c r="JEE1" s="27"/>
      <c r="JEF1" s="27"/>
      <c r="JEG1" s="27"/>
      <c r="JEH1" s="27"/>
      <c r="JEI1" s="27"/>
      <c r="JEJ1" s="27"/>
      <c r="JEK1" s="27"/>
      <c r="JEL1" s="27"/>
      <c r="JEM1" s="27"/>
      <c r="JEN1" s="27"/>
      <c r="JEO1" s="27"/>
      <c r="JEP1" s="27"/>
      <c r="JEQ1" s="27"/>
      <c r="JER1" s="27"/>
      <c r="JES1" s="27"/>
      <c r="JET1" s="27"/>
      <c r="JEU1" s="27"/>
      <c r="JEV1" s="27"/>
      <c r="JEW1" s="27"/>
      <c r="JEX1" s="27"/>
      <c r="JEY1" s="27"/>
      <c r="JEZ1" s="27"/>
      <c r="JFA1" s="27"/>
      <c r="JFB1" s="27"/>
      <c r="JFC1" s="27"/>
      <c r="JFD1" s="27"/>
      <c r="JFE1" s="27"/>
      <c r="JFF1" s="27"/>
      <c r="JFG1" s="27"/>
      <c r="JFH1" s="27"/>
      <c r="JFI1" s="27"/>
      <c r="JFJ1" s="27"/>
      <c r="JFK1" s="27"/>
      <c r="JFL1" s="27"/>
      <c r="JFM1" s="27"/>
      <c r="JFN1" s="27"/>
      <c r="JFO1" s="27"/>
      <c r="JFP1" s="27"/>
      <c r="JFQ1" s="27"/>
      <c r="JFR1" s="27"/>
      <c r="JFS1" s="27"/>
      <c r="JFT1" s="27"/>
      <c r="JFU1" s="27"/>
      <c r="JFV1" s="27"/>
      <c r="JFW1" s="27"/>
      <c r="JFX1" s="27"/>
      <c r="JFY1" s="27"/>
      <c r="JFZ1" s="27"/>
      <c r="JGA1" s="27"/>
      <c r="JGB1" s="27"/>
      <c r="JGC1" s="27"/>
      <c r="JGD1" s="27"/>
      <c r="JGE1" s="27"/>
      <c r="JGF1" s="27"/>
      <c r="JGG1" s="27"/>
      <c r="JGH1" s="27"/>
      <c r="JGI1" s="27"/>
      <c r="JGJ1" s="27"/>
      <c r="JGK1" s="27"/>
      <c r="JGL1" s="27"/>
      <c r="JGM1" s="27"/>
      <c r="JGN1" s="27"/>
      <c r="JGO1" s="27"/>
      <c r="JGP1" s="27"/>
      <c r="JGQ1" s="27"/>
      <c r="JGR1" s="27"/>
      <c r="JGS1" s="27"/>
      <c r="JGT1" s="27"/>
      <c r="JGU1" s="27"/>
      <c r="JGV1" s="27"/>
      <c r="JGW1" s="27"/>
      <c r="JGX1" s="27"/>
      <c r="JGY1" s="27"/>
      <c r="JGZ1" s="27"/>
      <c r="JHA1" s="27"/>
      <c r="JHB1" s="27"/>
      <c r="JHC1" s="27"/>
      <c r="JHD1" s="27"/>
      <c r="JHE1" s="27"/>
      <c r="JHF1" s="27"/>
      <c r="JHG1" s="27"/>
      <c r="JHH1" s="27"/>
      <c r="JHI1" s="27"/>
      <c r="JHJ1" s="27"/>
      <c r="JHK1" s="27"/>
      <c r="JHL1" s="27"/>
      <c r="JHM1" s="27"/>
      <c r="JHN1" s="27"/>
      <c r="JHO1" s="27"/>
      <c r="JHP1" s="27"/>
      <c r="JHQ1" s="27"/>
      <c r="JHR1" s="27"/>
      <c r="JHS1" s="27"/>
      <c r="JHT1" s="27"/>
      <c r="JHU1" s="27"/>
      <c r="JHV1" s="27"/>
      <c r="JHW1" s="27"/>
      <c r="JHX1" s="27"/>
      <c r="JHY1" s="27"/>
      <c r="JHZ1" s="27"/>
      <c r="JIA1" s="27"/>
      <c r="JIB1" s="27"/>
      <c r="JIC1" s="27"/>
      <c r="JID1" s="27"/>
      <c r="JIE1" s="27"/>
      <c r="JIF1" s="27"/>
      <c r="JIG1" s="27"/>
      <c r="JIH1" s="27"/>
      <c r="JII1" s="27"/>
      <c r="JIJ1" s="27"/>
      <c r="JIK1" s="27"/>
      <c r="JIL1" s="27"/>
      <c r="JIM1" s="27"/>
      <c r="JIN1" s="27"/>
      <c r="JIO1" s="27"/>
      <c r="JIP1" s="27"/>
      <c r="JIQ1" s="27"/>
      <c r="JIR1" s="27"/>
      <c r="JIS1" s="27"/>
      <c r="JIT1" s="27"/>
      <c r="JIU1" s="27"/>
      <c r="JIV1" s="27"/>
      <c r="JIW1" s="27"/>
      <c r="JIX1" s="27"/>
      <c r="JIY1" s="27"/>
      <c r="JIZ1" s="27"/>
      <c r="JJA1" s="27"/>
      <c r="JJB1" s="27"/>
      <c r="JJC1" s="27"/>
      <c r="JJD1" s="27"/>
      <c r="JJE1" s="27"/>
      <c r="JJF1" s="27"/>
      <c r="JJG1" s="27"/>
      <c r="JJH1" s="27"/>
      <c r="JJI1" s="27"/>
      <c r="JJJ1" s="27"/>
      <c r="JJK1" s="27"/>
      <c r="JJL1" s="27"/>
      <c r="JJM1" s="27"/>
      <c r="JJN1" s="27"/>
      <c r="JJO1" s="27"/>
      <c r="JJP1" s="27"/>
      <c r="JJQ1" s="27"/>
      <c r="JJR1" s="27"/>
      <c r="JJS1" s="27"/>
      <c r="JJT1" s="27"/>
      <c r="JJU1" s="27"/>
      <c r="JJV1" s="27"/>
      <c r="JJW1" s="27"/>
      <c r="JJX1" s="27"/>
      <c r="JJY1" s="27"/>
      <c r="JJZ1" s="27"/>
      <c r="JKA1" s="27"/>
      <c r="JKB1" s="27"/>
      <c r="JKC1" s="27"/>
      <c r="JKD1" s="27"/>
      <c r="JKE1" s="27"/>
      <c r="JKF1" s="27"/>
      <c r="JKG1" s="27"/>
      <c r="JKH1" s="27"/>
      <c r="JKI1" s="27"/>
      <c r="JKJ1" s="27"/>
      <c r="JKK1" s="27"/>
      <c r="JKL1" s="27"/>
      <c r="JKM1" s="27"/>
      <c r="JKN1" s="27"/>
      <c r="JKO1" s="27"/>
      <c r="JKP1" s="27"/>
      <c r="JKQ1" s="27"/>
      <c r="JKR1" s="27"/>
      <c r="JKS1" s="27"/>
      <c r="JKT1" s="27"/>
      <c r="JKU1" s="27"/>
      <c r="JKV1" s="27"/>
      <c r="JKW1" s="27"/>
      <c r="JKX1" s="27"/>
      <c r="JKY1" s="27"/>
      <c r="JKZ1" s="27"/>
      <c r="JLA1" s="27"/>
      <c r="JLB1" s="27"/>
      <c r="JLC1" s="27"/>
      <c r="JLD1" s="27"/>
      <c r="JLE1" s="27"/>
      <c r="JLF1" s="27"/>
      <c r="JLG1" s="27"/>
      <c r="JLH1" s="27"/>
      <c r="JLI1" s="27"/>
      <c r="JLJ1" s="27"/>
      <c r="JLK1" s="27"/>
      <c r="JLL1" s="27"/>
      <c r="JLM1" s="27"/>
      <c r="JLN1" s="27"/>
      <c r="JLO1" s="27"/>
      <c r="JLP1" s="27"/>
      <c r="JLQ1" s="27"/>
      <c r="JLR1" s="27"/>
      <c r="JLS1" s="27"/>
      <c r="JLT1" s="27"/>
      <c r="JLU1" s="27"/>
      <c r="JLV1" s="27"/>
      <c r="JLW1" s="27"/>
      <c r="JLX1" s="27"/>
      <c r="JLY1" s="27"/>
      <c r="JLZ1" s="27"/>
      <c r="JMA1" s="27"/>
      <c r="JMB1" s="27"/>
      <c r="JMC1" s="27"/>
      <c r="JMD1" s="27"/>
      <c r="JME1" s="27"/>
      <c r="JMF1" s="27"/>
      <c r="JMG1" s="27"/>
      <c r="JMH1" s="27"/>
      <c r="JMI1" s="27"/>
      <c r="JMJ1" s="27"/>
      <c r="JMK1" s="27"/>
      <c r="JML1" s="27"/>
      <c r="JMM1" s="27"/>
      <c r="JMN1" s="27"/>
      <c r="JMO1" s="27"/>
      <c r="JMP1" s="27"/>
      <c r="JMQ1" s="27"/>
      <c r="JMR1" s="27"/>
      <c r="JMS1" s="27"/>
      <c r="JMT1" s="27"/>
      <c r="JMU1" s="27"/>
      <c r="JMV1" s="27"/>
      <c r="JMW1" s="27"/>
      <c r="JMX1" s="27"/>
      <c r="JMY1" s="27"/>
      <c r="JMZ1" s="27"/>
      <c r="JNA1" s="27"/>
      <c r="JNB1" s="27"/>
      <c r="JNC1" s="27"/>
      <c r="JND1" s="27"/>
      <c r="JNE1" s="27"/>
      <c r="JNF1" s="27"/>
      <c r="JNG1" s="27"/>
      <c r="JNH1" s="27"/>
      <c r="JNI1" s="27"/>
      <c r="JNJ1" s="27"/>
      <c r="JNK1" s="27"/>
      <c r="JNL1" s="27"/>
      <c r="JNM1" s="27"/>
      <c r="JNN1" s="27"/>
      <c r="JNO1" s="27"/>
      <c r="JNP1" s="27"/>
      <c r="JNQ1" s="27"/>
      <c r="JNR1" s="27"/>
      <c r="JNS1" s="27"/>
      <c r="JNT1" s="27"/>
      <c r="JNU1" s="27"/>
      <c r="JNV1" s="27"/>
      <c r="JNW1" s="27"/>
      <c r="JNX1" s="27"/>
      <c r="JNY1" s="27"/>
      <c r="JNZ1" s="27"/>
      <c r="JOA1" s="27"/>
      <c r="JOB1" s="27"/>
      <c r="JOC1" s="27"/>
      <c r="JOD1" s="27"/>
      <c r="JOE1" s="27"/>
      <c r="JOF1" s="27"/>
      <c r="JOG1" s="27"/>
      <c r="JOH1" s="27"/>
      <c r="JOI1" s="27"/>
      <c r="JOJ1" s="27"/>
      <c r="JOK1" s="27"/>
      <c r="JOL1" s="27"/>
      <c r="JOM1" s="27"/>
      <c r="JON1" s="27"/>
      <c r="JOO1" s="27"/>
      <c r="JOP1" s="27"/>
      <c r="JOQ1" s="27"/>
      <c r="JOR1" s="27"/>
      <c r="JOS1" s="27"/>
      <c r="JOT1" s="27"/>
      <c r="JOU1" s="27"/>
      <c r="JOV1" s="27"/>
      <c r="JOW1" s="27"/>
      <c r="JOX1" s="27"/>
      <c r="JOY1" s="27"/>
      <c r="JOZ1" s="27"/>
      <c r="JPA1" s="27"/>
      <c r="JPB1" s="27"/>
      <c r="JPC1" s="27"/>
      <c r="JPD1" s="27"/>
      <c r="JPE1" s="27"/>
      <c r="JPF1" s="27"/>
      <c r="JPG1" s="27"/>
      <c r="JPH1" s="27"/>
      <c r="JPI1" s="27"/>
      <c r="JPJ1" s="27"/>
      <c r="JPK1" s="27"/>
      <c r="JPL1" s="27"/>
      <c r="JPM1" s="27"/>
      <c r="JPN1" s="27"/>
      <c r="JPO1" s="27"/>
      <c r="JPP1" s="27"/>
      <c r="JPQ1" s="27"/>
      <c r="JPR1" s="27"/>
      <c r="JPS1" s="27"/>
      <c r="JPT1" s="27"/>
      <c r="JPU1" s="27"/>
      <c r="JPV1" s="27"/>
      <c r="JPW1" s="27"/>
      <c r="JPX1" s="27"/>
      <c r="JPY1" s="27"/>
      <c r="JPZ1" s="27"/>
      <c r="JQA1" s="27"/>
      <c r="JQB1" s="27"/>
      <c r="JQC1" s="27"/>
      <c r="JQD1" s="27"/>
      <c r="JQE1" s="27"/>
      <c r="JQF1" s="27"/>
      <c r="JQG1" s="27"/>
      <c r="JQH1" s="27"/>
      <c r="JQI1" s="27"/>
      <c r="JQJ1" s="27"/>
      <c r="JQK1" s="27"/>
      <c r="JQL1" s="27"/>
      <c r="JQM1" s="27"/>
      <c r="JQN1" s="27"/>
      <c r="JQO1" s="27"/>
      <c r="JQP1" s="27"/>
      <c r="JQQ1" s="27"/>
      <c r="JQR1" s="27"/>
      <c r="JQS1" s="27"/>
      <c r="JQT1" s="27"/>
      <c r="JQU1" s="27"/>
      <c r="JQV1" s="27"/>
      <c r="JQW1" s="27"/>
      <c r="JQX1" s="27"/>
      <c r="JQY1" s="27"/>
      <c r="JQZ1" s="27"/>
      <c r="JRA1" s="27"/>
      <c r="JRB1" s="27"/>
      <c r="JRC1" s="27"/>
      <c r="JRD1" s="27"/>
      <c r="JRE1" s="27"/>
      <c r="JRF1" s="27"/>
      <c r="JRG1" s="27"/>
      <c r="JRH1" s="27"/>
      <c r="JRI1" s="27"/>
      <c r="JRJ1" s="27"/>
      <c r="JRK1" s="27"/>
      <c r="JRL1" s="27"/>
      <c r="JRM1" s="27"/>
      <c r="JRN1" s="27"/>
      <c r="JRO1" s="27"/>
      <c r="JRP1" s="27"/>
      <c r="JRQ1" s="27"/>
      <c r="JRR1" s="27"/>
      <c r="JRS1" s="27"/>
      <c r="JRT1" s="27"/>
      <c r="JRU1" s="27"/>
      <c r="JRV1" s="27"/>
      <c r="JRW1" s="27"/>
      <c r="JRX1" s="27"/>
      <c r="JRY1" s="27"/>
      <c r="JRZ1" s="27"/>
      <c r="JSA1" s="27"/>
      <c r="JSB1" s="27"/>
      <c r="JSC1" s="27"/>
      <c r="JSD1" s="27"/>
      <c r="JSE1" s="27"/>
      <c r="JSF1" s="27"/>
      <c r="JSG1" s="27"/>
      <c r="JSH1" s="27"/>
      <c r="JSI1" s="27"/>
      <c r="JSJ1" s="27"/>
      <c r="JSK1" s="27"/>
      <c r="JSL1" s="27"/>
      <c r="JSM1" s="27"/>
      <c r="JSN1" s="27"/>
      <c r="JSO1" s="27"/>
      <c r="JSP1" s="27"/>
      <c r="JSQ1" s="27"/>
      <c r="JSR1" s="27"/>
      <c r="JSS1" s="27"/>
      <c r="JST1" s="27"/>
      <c r="JSU1" s="27"/>
      <c r="JSV1" s="27"/>
      <c r="JSW1" s="27"/>
      <c r="JSX1" s="27"/>
      <c r="JSY1" s="27"/>
      <c r="JSZ1" s="27"/>
      <c r="JTA1" s="27"/>
      <c r="JTB1" s="27"/>
      <c r="JTC1" s="27"/>
      <c r="JTD1" s="27"/>
      <c r="JTE1" s="27"/>
      <c r="JTF1" s="27"/>
      <c r="JTG1" s="27"/>
      <c r="JTH1" s="27"/>
      <c r="JTI1" s="27"/>
      <c r="JTJ1" s="27"/>
      <c r="JTK1" s="27"/>
      <c r="JTL1" s="27"/>
      <c r="JTM1" s="27"/>
      <c r="JTN1" s="27"/>
      <c r="JTO1" s="27"/>
      <c r="JTP1" s="27"/>
      <c r="JTQ1" s="27"/>
      <c r="JTR1" s="27"/>
      <c r="JTS1" s="27"/>
      <c r="JTT1" s="27"/>
      <c r="JTU1" s="27"/>
      <c r="JTV1" s="27"/>
      <c r="JTW1" s="27"/>
      <c r="JTX1" s="27"/>
      <c r="JTY1" s="27"/>
      <c r="JTZ1" s="27"/>
      <c r="JUA1" s="27"/>
      <c r="JUB1" s="27"/>
      <c r="JUC1" s="27"/>
      <c r="JUD1" s="27"/>
      <c r="JUE1" s="27"/>
      <c r="JUF1" s="27"/>
      <c r="JUG1" s="27"/>
      <c r="JUH1" s="27"/>
      <c r="JUI1" s="27"/>
      <c r="JUJ1" s="27"/>
      <c r="JUK1" s="27"/>
      <c r="JUL1" s="27"/>
      <c r="JUM1" s="27"/>
      <c r="JUN1" s="27"/>
      <c r="JUO1" s="27"/>
      <c r="JUP1" s="27"/>
      <c r="JUQ1" s="27"/>
      <c r="JUR1" s="27"/>
      <c r="JUS1" s="27"/>
      <c r="JUT1" s="27"/>
      <c r="JUU1" s="27"/>
      <c r="JUV1" s="27"/>
      <c r="JUW1" s="27"/>
      <c r="JUX1" s="27"/>
      <c r="JUY1" s="27"/>
      <c r="JUZ1" s="27"/>
      <c r="JVA1" s="27"/>
      <c r="JVB1" s="27"/>
      <c r="JVC1" s="27"/>
      <c r="JVD1" s="27"/>
      <c r="JVE1" s="27"/>
      <c r="JVF1" s="27"/>
      <c r="JVG1" s="27"/>
      <c r="JVH1" s="27"/>
      <c r="JVI1" s="27"/>
      <c r="JVJ1" s="27"/>
      <c r="JVK1" s="27"/>
      <c r="JVL1" s="27"/>
      <c r="JVM1" s="27"/>
      <c r="JVN1" s="27"/>
      <c r="JVO1" s="27"/>
      <c r="JVP1" s="27"/>
      <c r="JVQ1" s="27"/>
      <c r="JVR1" s="27"/>
      <c r="JVS1" s="27"/>
      <c r="JVT1" s="27"/>
      <c r="JVU1" s="27"/>
      <c r="JVV1" s="27"/>
      <c r="JVW1" s="27"/>
      <c r="JVX1" s="27"/>
      <c r="JVY1" s="27"/>
      <c r="JVZ1" s="27"/>
      <c r="JWA1" s="27"/>
      <c r="JWB1" s="27"/>
      <c r="JWC1" s="27"/>
      <c r="JWD1" s="27"/>
      <c r="JWE1" s="27"/>
      <c r="JWF1" s="27"/>
      <c r="JWG1" s="27"/>
      <c r="JWH1" s="27"/>
      <c r="JWI1" s="27"/>
      <c r="JWJ1" s="27"/>
      <c r="JWK1" s="27"/>
      <c r="JWL1" s="27"/>
      <c r="JWM1" s="27"/>
      <c r="JWN1" s="27"/>
      <c r="JWO1" s="27"/>
      <c r="JWP1" s="27"/>
      <c r="JWQ1" s="27"/>
      <c r="JWR1" s="27"/>
      <c r="JWS1" s="27"/>
      <c r="JWT1" s="27"/>
      <c r="JWU1" s="27"/>
      <c r="JWV1" s="27"/>
      <c r="JWW1" s="27"/>
      <c r="JWX1" s="27"/>
      <c r="JWY1" s="27"/>
      <c r="JWZ1" s="27"/>
      <c r="JXA1" s="27"/>
      <c r="JXB1" s="27"/>
      <c r="JXC1" s="27"/>
      <c r="JXD1" s="27"/>
      <c r="JXE1" s="27"/>
      <c r="JXF1" s="27"/>
      <c r="JXG1" s="27"/>
      <c r="JXH1" s="27"/>
      <c r="JXI1" s="27"/>
      <c r="JXJ1" s="27"/>
      <c r="JXK1" s="27"/>
      <c r="JXL1" s="27"/>
      <c r="JXM1" s="27"/>
      <c r="JXN1" s="27"/>
      <c r="JXO1" s="27"/>
      <c r="JXP1" s="27"/>
      <c r="JXQ1" s="27"/>
      <c r="JXR1" s="27"/>
      <c r="JXS1" s="27"/>
      <c r="JXT1" s="27"/>
      <c r="JXU1" s="27"/>
      <c r="JXV1" s="27"/>
      <c r="JXW1" s="27"/>
      <c r="JXX1" s="27"/>
      <c r="JXY1" s="27"/>
      <c r="JXZ1" s="27"/>
      <c r="JYA1" s="27"/>
      <c r="JYB1" s="27"/>
      <c r="JYC1" s="27"/>
      <c r="JYD1" s="27"/>
      <c r="JYE1" s="27"/>
      <c r="JYF1" s="27"/>
      <c r="JYG1" s="27"/>
      <c r="JYH1" s="27"/>
      <c r="JYI1" s="27"/>
      <c r="JYJ1" s="27"/>
      <c r="JYK1" s="27"/>
      <c r="JYL1" s="27"/>
      <c r="JYM1" s="27"/>
      <c r="JYN1" s="27"/>
      <c r="JYO1" s="27"/>
      <c r="JYP1" s="27"/>
      <c r="JYQ1" s="27"/>
      <c r="JYR1" s="27"/>
      <c r="JYS1" s="27"/>
      <c r="JYT1" s="27"/>
      <c r="JYU1" s="27"/>
      <c r="JYV1" s="27"/>
      <c r="JYW1" s="27"/>
      <c r="JYX1" s="27"/>
      <c r="JYY1" s="27"/>
      <c r="JYZ1" s="27"/>
      <c r="JZA1" s="27"/>
      <c r="JZB1" s="27"/>
      <c r="JZC1" s="27"/>
      <c r="JZD1" s="27"/>
      <c r="JZE1" s="27"/>
      <c r="JZF1" s="27"/>
      <c r="JZG1" s="27"/>
      <c r="JZH1" s="27"/>
      <c r="JZI1" s="27"/>
      <c r="JZJ1" s="27"/>
      <c r="JZK1" s="27"/>
      <c r="JZL1" s="27"/>
      <c r="JZM1" s="27"/>
      <c r="JZN1" s="27"/>
      <c r="JZO1" s="27"/>
      <c r="JZP1" s="27"/>
      <c r="JZQ1" s="27"/>
      <c r="JZR1" s="27"/>
      <c r="JZS1" s="27"/>
      <c r="JZT1" s="27"/>
      <c r="JZU1" s="27"/>
      <c r="JZV1" s="27"/>
      <c r="JZW1" s="27"/>
      <c r="JZX1" s="27"/>
      <c r="JZY1" s="27"/>
      <c r="JZZ1" s="27"/>
      <c r="KAA1" s="27"/>
      <c r="KAB1" s="27"/>
      <c r="KAC1" s="27"/>
      <c r="KAD1" s="27"/>
      <c r="KAE1" s="27"/>
      <c r="KAF1" s="27"/>
      <c r="KAG1" s="27"/>
      <c r="KAH1" s="27"/>
      <c r="KAI1" s="27"/>
      <c r="KAJ1" s="27"/>
      <c r="KAK1" s="27"/>
      <c r="KAL1" s="27"/>
      <c r="KAM1" s="27"/>
      <c r="KAN1" s="27"/>
      <c r="KAO1" s="27"/>
      <c r="KAP1" s="27"/>
      <c r="KAQ1" s="27"/>
      <c r="KAR1" s="27"/>
      <c r="KAS1" s="27"/>
      <c r="KAT1" s="27"/>
      <c r="KAU1" s="27"/>
      <c r="KAV1" s="27"/>
      <c r="KAW1" s="27"/>
      <c r="KAX1" s="27"/>
      <c r="KAY1" s="27"/>
      <c r="KAZ1" s="27"/>
      <c r="KBA1" s="27"/>
      <c r="KBB1" s="27"/>
      <c r="KBC1" s="27"/>
      <c r="KBD1" s="27"/>
      <c r="KBE1" s="27"/>
      <c r="KBF1" s="27"/>
      <c r="KBG1" s="27"/>
      <c r="KBH1" s="27"/>
      <c r="KBI1" s="27"/>
      <c r="KBJ1" s="27"/>
      <c r="KBK1" s="27"/>
      <c r="KBL1" s="27"/>
      <c r="KBM1" s="27"/>
      <c r="KBN1" s="27"/>
      <c r="KBO1" s="27"/>
      <c r="KBP1" s="27"/>
      <c r="KBQ1" s="27"/>
      <c r="KBR1" s="27"/>
      <c r="KBS1" s="27"/>
      <c r="KBT1" s="27"/>
      <c r="KBU1" s="27"/>
      <c r="KBV1" s="27"/>
      <c r="KBW1" s="27"/>
      <c r="KBX1" s="27"/>
      <c r="KBY1" s="27"/>
      <c r="KBZ1" s="27"/>
      <c r="KCA1" s="27"/>
      <c r="KCB1" s="27"/>
      <c r="KCC1" s="27"/>
      <c r="KCD1" s="27"/>
      <c r="KCE1" s="27"/>
      <c r="KCF1" s="27"/>
      <c r="KCG1" s="27"/>
      <c r="KCH1" s="27"/>
      <c r="KCI1" s="27"/>
      <c r="KCJ1" s="27"/>
      <c r="KCK1" s="27"/>
      <c r="KCL1" s="27"/>
      <c r="KCM1" s="27"/>
      <c r="KCN1" s="27"/>
      <c r="KCO1" s="27"/>
      <c r="KCP1" s="27"/>
      <c r="KCQ1" s="27"/>
      <c r="KCR1" s="27"/>
      <c r="KCS1" s="27"/>
      <c r="KCT1" s="27"/>
      <c r="KCU1" s="27"/>
      <c r="KCV1" s="27"/>
      <c r="KCW1" s="27"/>
      <c r="KCX1" s="27"/>
      <c r="KCY1" s="27"/>
      <c r="KCZ1" s="27"/>
      <c r="KDA1" s="27"/>
      <c r="KDB1" s="27"/>
      <c r="KDC1" s="27"/>
      <c r="KDD1" s="27"/>
      <c r="KDE1" s="27"/>
      <c r="KDF1" s="27"/>
      <c r="KDG1" s="27"/>
      <c r="KDH1" s="27"/>
      <c r="KDI1" s="27"/>
      <c r="KDJ1" s="27"/>
      <c r="KDK1" s="27"/>
      <c r="KDL1" s="27"/>
      <c r="KDM1" s="27"/>
      <c r="KDN1" s="27"/>
      <c r="KDO1" s="27"/>
      <c r="KDP1" s="27"/>
      <c r="KDQ1" s="27"/>
      <c r="KDR1" s="27"/>
      <c r="KDS1" s="27"/>
      <c r="KDT1" s="27"/>
      <c r="KDU1" s="27"/>
      <c r="KDV1" s="27"/>
      <c r="KDW1" s="27"/>
      <c r="KDX1" s="27"/>
      <c r="KDY1" s="27"/>
      <c r="KDZ1" s="27"/>
      <c r="KEA1" s="27"/>
      <c r="KEB1" s="27"/>
      <c r="KEC1" s="27"/>
      <c r="KED1" s="27"/>
      <c r="KEE1" s="27"/>
      <c r="KEF1" s="27"/>
      <c r="KEG1" s="27"/>
      <c r="KEH1" s="27"/>
      <c r="KEI1" s="27"/>
      <c r="KEJ1" s="27"/>
      <c r="KEK1" s="27"/>
      <c r="KEL1" s="27"/>
      <c r="KEM1" s="27"/>
      <c r="KEN1" s="27"/>
      <c r="KEO1" s="27"/>
      <c r="KEP1" s="27"/>
      <c r="KEQ1" s="27"/>
      <c r="KER1" s="27"/>
      <c r="KES1" s="27"/>
      <c r="KET1" s="27"/>
      <c r="KEU1" s="27"/>
      <c r="KEV1" s="27"/>
      <c r="KEW1" s="27"/>
      <c r="KEX1" s="27"/>
      <c r="KEY1" s="27"/>
      <c r="KEZ1" s="27"/>
      <c r="KFA1" s="27"/>
      <c r="KFB1" s="27"/>
      <c r="KFC1" s="27"/>
      <c r="KFD1" s="27"/>
      <c r="KFE1" s="27"/>
      <c r="KFF1" s="27"/>
      <c r="KFG1" s="27"/>
      <c r="KFH1" s="27"/>
      <c r="KFI1" s="27"/>
      <c r="KFJ1" s="27"/>
      <c r="KFK1" s="27"/>
      <c r="KFL1" s="27"/>
      <c r="KFM1" s="27"/>
      <c r="KFN1" s="27"/>
      <c r="KFO1" s="27"/>
      <c r="KFP1" s="27"/>
      <c r="KFQ1" s="27"/>
      <c r="KFR1" s="27"/>
      <c r="KFS1" s="27"/>
      <c r="KFT1" s="27"/>
      <c r="KFU1" s="27"/>
      <c r="KFV1" s="27"/>
      <c r="KFW1" s="27"/>
      <c r="KFX1" s="27"/>
      <c r="KFY1" s="27"/>
      <c r="KFZ1" s="27"/>
      <c r="KGA1" s="27"/>
      <c r="KGB1" s="27"/>
      <c r="KGC1" s="27"/>
      <c r="KGD1" s="27"/>
      <c r="KGE1" s="27"/>
      <c r="KGF1" s="27"/>
      <c r="KGG1" s="27"/>
      <c r="KGH1" s="27"/>
      <c r="KGI1" s="27"/>
      <c r="KGJ1" s="27"/>
      <c r="KGK1" s="27"/>
      <c r="KGL1" s="27"/>
      <c r="KGM1" s="27"/>
      <c r="KGN1" s="27"/>
      <c r="KGO1" s="27"/>
      <c r="KGP1" s="27"/>
      <c r="KGQ1" s="27"/>
      <c r="KGR1" s="27"/>
      <c r="KGS1" s="27"/>
      <c r="KGT1" s="27"/>
      <c r="KGU1" s="27"/>
      <c r="KGV1" s="27"/>
      <c r="KGW1" s="27"/>
      <c r="KGX1" s="27"/>
      <c r="KGY1" s="27"/>
      <c r="KGZ1" s="27"/>
      <c r="KHA1" s="27"/>
      <c r="KHB1" s="27"/>
      <c r="KHC1" s="27"/>
      <c r="KHD1" s="27"/>
      <c r="KHE1" s="27"/>
      <c r="KHF1" s="27"/>
      <c r="KHG1" s="27"/>
      <c r="KHH1" s="27"/>
      <c r="KHI1" s="27"/>
      <c r="KHJ1" s="27"/>
      <c r="KHK1" s="27"/>
      <c r="KHL1" s="27"/>
      <c r="KHM1" s="27"/>
      <c r="KHN1" s="27"/>
      <c r="KHO1" s="27"/>
      <c r="KHP1" s="27"/>
      <c r="KHQ1" s="27"/>
      <c r="KHR1" s="27"/>
      <c r="KHS1" s="27"/>
      <c r="KHT1" s="27"/>
      <c r="KHU1" s="27"/>
      <c r="KHV1" s="27"/>
      <c r="KHW1" s="27"/>
      <c r="KHX1" s="27"/>
      <c r="KHY1" s="27"/>
      <c r="KHZ1" s="27"/>
      <c r="KIA1" s="27"/>
      <c r="KIB1" s="27"/>
      <c r="KIC1" s="27"/>
      <c r="KID1" s="27"/>
      <c r="KIE1" s="27"/>
      <c r="KIF1" s="27"/>
      <c r="KIG1" s="27"/>
      <c r="KIH1" s="27"/>
      <c r="KII1" s="27"/>
      <c r="KIJ1" s="27"/>
      <c r="KIK1" s="27"/>
      <c r="KIL1" s="27"/>
      <c r="KIM1" s="27"/>
      <c r="KIN1" s="27"/>
      <c r="KIO1" s="27"/>
      <c r="KIP1" s="27"/>
      <c r="KIQ1" s="27"/>
      <c r="KIR1" s="27"/>
      <c r="KIS1" s="27"/>
      <c r="KIT1" s="27"/>
      <c r="KIU1" s="27"/>
      <c r="KIV1" s="27"/>
      <c r="KIW1" s="27"/>
      <c r="KIX1" s="27"/>
      <c r="KIY1" s="27"/>
      <c r="KIZ1" s="27"/>
      <c r="KJA1" s="27"/>
      <c r="KJB1" s="27"/>
      <c r="KJC1" s="27"/>
      <c r="KJD1" s="27"/>
      <c r="KJE1" s="27"/>
      <c r="KJF1" s="27"/>
      <c r="KJG1" s="27"/>
      <c r="KJH1" s="27"/>
      <c r="KJI1" s="27"/>
      <c r="KJJ1" s="27"/>
      <c r="KJK1" s="27"/>
      <c r="KJL1" s="27"/>
      <c r="KJM1" s="27"/>
      <c r="KJN1" s="27"/>
      <c r="KJO1" s="27"/>
      <c r="KJP1" s="27"/>
      <c r="KJQ1" s="27"/>
      <c r="KJR1" s="27"/>
      <c r="KJS1" s="27"/>
      <c r="KJT1" s="27"/>
      <c r="KJU1" s="27"/>
      <c r="KJV1" s="27"/>
      <c r="KJW1" s="27"/>
      <c r="KJX1" s="27"/>
      <c r="KJY1" s="27"/>
      <c r="KJZ1" s="27"/>
      <c r="KKA1" s="27"/>
      <c r="KKB1" s="27"/>
      <c r="KKC1" s="27"/>
      <c r="KKD1" s="27"/>
      <c r="KKE1" s="27"/>
      <c r="KKF1" s="27"/>
      <c r="KKG1" s="27"/>
      <c r="KKH1" s="27"/>
      <c r="KKI1" s="27"/>
      <c r="KKJ1" s="27"/>
      <c r="KKK1" s="27"/>
      <c r="KKL1" s="27"/>
      <c r="KKM1" s="27"/>
      <c r="KKN1" s="27"/>
      <c r="KKO1" s="27"/>
      <c r="KKP1" s="27"/>
      <c r="KKQ1" s="27"/>
      <c r="KKR1" s="27"/>
      <c r="KKS1" s="27"/>
      <c r="KKT1" s="27"/>
      <c r="KKU1" s="27"/>
      <c r="KKV1" s="27"/>
      <c r="KKW1" s="27"/>
      <c r="KKX1" s="27"/>
      <c r="KKY1" s="27"/>
      <c r="KKZ1" s="27"/>
      <c r="KLA1" s="27"/>
      <c r="KLB1" s="27"/>
      <c r="KLC1" s="27"/>
      <c r="KLD1" s="27"/>
      <c r="KLE1" s="27"/>
      <c r="KLF1" s="27"/>
      <c r="KLG1" s="27"/>
      <c r="KLH1" s="27"/>
      <c r="KLI1" s="27"/>
      <c r="KLJ1" s="27"/>
      <c r="KLK1" s="27"/>
      <c r="KLL1" s="27"/>
      <c r="KLM1" s="27"/>
      <c r="KLN1" s="27"/>
      <c r="KLO1" s="27"/>
      <c r="KLP1" s="27"/>
      <c r="KLQ1" s="27"/>
      <c r="KLR1" s="27"/>
      <c r="KLS1" s="27"/>
      <c r="KLT1" s="27"/>
      <c r="KLU1" s="27"/>
      <c r="KLV1" s="27"/>
      <c r="KLW1" s="27"/>
      <c r="KLX1" s="27"/>
      <c r="KLY1" s="27"/>
      <c r="KLZ1" s="27"/>
      <c r="KMA1" s="27"/>
      <c r="KMB1" s="27"/>
      <c r="KMC1" s="27"/>
      <c r="KMD1" s="27"/>
      <c r="KME1" s="27"/>
      <c r="KMF1" s="27"/>
      <c r="KMG1" s="27"/>
      <c r="KMH1" s="27"/>
      <c r="KMI1" s="27"/>
      <c r="KMJ1" s="27"/>
      <c r="KMK1" s="27"/>
      <c r="KML1" s="27"/>
      <c r="KMM1" s="27"/>
      <c r="KMN1" s="27"/>
      <c r="KMO1" s="27"/>
      <c r="KMP1" s="27"/>
      <c r="KMQ1" s="27"/>
      <c r="KMR1" s="27"/>
      <c r="KMS1" s="27"/>
      <c r="KMT1" s="27"/>
      <c r="KMU1" s="27"/>
      <c r="KMV1" s="27"/>
      <c r="KMW1" s="27"/>
      <c r="KMX1" s="27"/>
      <c r="KMY1" s="27"/>
      <c r="KMZ1" s="27"/>
      <c r="KNA1" s="27"/>
      <c r="KNB1" s="27"/>
      <c r="KNC1" s="27"/>
      <c r="KND1" s="27"/>
      <c r="KNE1" s="27"/>
      <c r="KNF1" s="27"/>
      <c r="KNG1" s="27"/>
      <c r="KNH1" s="27"/>
      <c r="KNI1" s="27"/>
      <c r="KNJ1" s="27"/>
      <c r="KNK1" s="27"/>
      <c r="KNL1" s="27"/>
      <c r="KNM1" s="27"/>
      <c r="KNN1" s="27"/>
      <c r="KNO1" s="27"/>
      <c r="KNP1" s="27"/>
      <c r="KNQ1" s="27"/>
      <c r="KNR1" s="27"/>
      <c r="KNS1" s="27"/>
      <c r="KNT1" s="27"/>
      <c r="KNU1" s="27"/>
      <c r="KNV1" s="27"/>
      <c r="KNW1" s="27"/>
      <c r="KNX1" s="27"/>
      <c r="KNY1" s="27"/>
      <c r="KNZ1" s="27"/>
      <c r="KOA1" s="27"/>
      <c r="KOB1" s="27"/>
      <c r="KOC1" s="27"/>
      <c r="KOD1" s="27"/>
      <c r="KOE1" s="27"/>
      <c r="KOF1" s="27"/>
      <c r="KOG1" s="27"/>
      <c r="KOH1" s="27"/>
      <c r="KOI1" s="27"/>
      <c r="KOJ1" s="27"/>
      <c r="KOK1" s="27"/>
      <c r="KOL1" s="27"/>
      <c r="KOM1" s="27"/>
      <c r="KON1" s="27"/>
      <c r="KOO1" s="27"/>
      <c r="KOP1" s="27"/>
      <c r="KOQ1" s="27"/>
      <c r="KOR1" s="27"/>
      <c r="KOS1" s="27"/>
      <c r="KOT1" s="27"/>
      <c r="KOU1" s="27"/>
      <c r="KOV1" s="27"/>
      <c r="KOW1" s="27"/>
      <c r="KOX1" s="27"/>
      <c r="KOY1" s="27"/>
      <c r="KOZ1" s="27"/>
      <c r="KPA1" s="27"/>
      <c r="KPB1" s="27"/>
      <c r="KPC1" s="27"/>
      <c r="KPD1" s="27"/>
      <c r="KPE1" s="27"/>
      <c r="KPF1" s="27"/>
      <c r="KPG1" s="27"/>
      <c r="KPH1" s="27"/>
      <c r="KPI1" s="27"/>
      <c r="KPJ1" s="27"/>
      <c r="KPK1" s="27"/>
      <c r="KPL1" s="27"/>
      <c r="KPM1" s="27"/>
      <c r="KPN1" s="27"/>
      <c r="KPO1" s="27"/>
      <c r="KPP1" s="27"/>
      <c r="KPQ1" s="27"/>
      <c r="KPR1" s="27"/>
      <c r="KPS1" s="27"/>
      <c r="KPT1" s="27"/>
      <c r="KPU1" s="27"/>
      <c r="KPV1" s="27"/>
      <c r="KPW1" s="27"/>
      <c r="KPX1" s="27"/>
      <c r="KPY1" s="27"/>
      <c r="KPZ1" s="27"/>
      <c r="KQA1" s="27"/>
      <c r="KQB1" s="27"/>
      <c r="KQC1" s="27"/>
      <c r="KQD1" s="27"/>
      <c r="KQE1" s="27"/>
      <c r="KQF1" s="27"/>
      <c r="KQG1" s="27"/>
      <c r="KQH1" s="27"/>
      <c r="KQI1" s="27"/>
      <c r="KQJ1" s="27"/>
      <c r="KQK1" s="27"/>
      <c r="KQL1" s="27"/>
      <c r="KQM1" s="27"/>
      <c r="KQN1" s="27"/>
      <c r="KQO1" s="27"/>
      <c r="KQP1" s="27"/>
      <c r="KQQ1" s="27"/>
      <c r="KQR1" s="27"/>
      <c r="KQS1" s="27"/>
      <c r="KQT1" s="27"/>
      <c r="KQU1" s="27"/>
      <c r="KQV1" s="27"/>
      <c r="KQW1" s="27"/>
      <c r="KQX1" s="27"/>
      <c r="KQY1" s="27"/>
      <c r="KQZ1" s="27"/>
      <c r="KRA1" s="27"/>
      <c r="KRB1" s="27"/>
      <c r="KRC1" s="27"/>
      <c r="KRD1" s="27"/>
      <c r="KRE1" s="27"/>
      <c r="KRF1" s="27"/>
      <c r="KRG1" s="27"/>
      <c r="KRH1" s="27"/>
      <c r="KRI1" s="27"/>
      <c r="KRJ1" s="27"/>
      <c r="KRK1" s="27"/>
      <c r="KRL1" s="27"/>
      <c r="KRM1" s="27"/>
      <c r="KRN1" s="27"/>
      <c r="KRO1" s="27"/>
      <c r="KRP1" s="27"/>
      <c r="KRQ1" s="27"/>
      <c r="KRR1" s="27"/>
      <c r="KRS1" s="27"/>
      <c r="KRT1" s="27"/>
      <c r="KRU1" s="27"/>
      <c r="KRV1" s="27"/>
      <c r="KRW1" s="27"/>
      <c r="KRX1" s="27"/>
      <c r="KRY1" s="27"/>
      <c r="KRZ1" s="27"/>
      <c r="KSA1" s="27"/>
      <c r="KSB1" s="27"/>
      <c r="KSC1" s="27"/>
      <c r="KSD1" s="27"/>
      <c r="KSE1" s="27"/>
      <c r="KSF1" s="27"/>
      <c r="KSG1" s="27"/>
      <c r="KSH1" s="27"/>
      <c r="KSI1" s="27"/>
      <c r="KSJ1" s="27"/>
      <c r="KSK1" s="27"/>
      <c r="KSL1" s="27"/>
      <c r="KSM1" s="27"/>
      <c r="KSN1" s="27"/>
      <c r="KSO1" s="27"/>
      <c r="KSP1" s="27"/>
      <c r="KSQ1" s="27"/>
      <c r="KSR1" s="27"/>
      <c r="KSS1" s="27"/>
      <c r="KST1" s="27"/>
      <c r="KSU1" s="27"/>
      <c r="KSV1" s="27"/>
      <c r="KSW1" s="27"/>
      <c r="KSX1" s="27"/>
      <c r="KSY1" s="27"/>
      <c r="KSZ1" s="27"/>
      <c r="KTA1" s="27"/>
      <c r="KTB1" s="27"/>
      <c r="KTC1" s="27"/>
      <c r="KTD1" s="27"/>
      <c r="KTE1" s="27"/>
      <c r="KTF1" s="27"/>
      <c r="KTG1" s="27"/>
      <c r="KTH1" s="27"/>
      <c r="KTI1" s="27"/>
      <c r="KTJ1" s="27"/>
      <c r="KTK1" s="27"/>
      <c r="KTL1" s="27"/>
      <c r="KTM1" s="27"/>
      <c r="KTN1" s="27"/>
      <c r="KTO1" s="27"/>
      <c r="KTP1" s="27"/>
      <c r="KTQ1" s="27"/>
      <c r="KTR1" s="27"/>
      <c r="KTS1" s="27"/>
      <c r="KTT1" s="27"/>
      <c r="KTU1" s="27"/>
      <c r="KTV1" s="27"/>
      <c r="KTW1" s="27"/>
      <c r="KTX1" s="27"/>
      <c r="KTY1" s="27"/>
      <c r="KTZ1" s="27"/>
      <c r="KUA1" s="27"/>
      <c r="KUB1" s="27"/>
      <c r="KUC1" s="27"/>
      <c r="KUD1" s="27"/>
      <c r="KUE1" s="27"/>
      <c r="KUF1" s="27"/>
      <c r="KUG1" s="27"/>
      <c r="KUH1" s="27"/>
      <c r="KUI1" s="27"/>
      <c r="KUJ1" s="27"/>
      <c r="KUK1" s="27"/>
      <c r="KUL1" s="27"/>
      <c r="KUM1" s="27"/>
      <c r="KUN1" s="27"/>
      <c r="KUO1" s="27"/>
      <c r="KUP1" s="27"/>
      <c r="KUQ1" s="27"/>
      <c r="KUR1" s="27"/>
      <c r="KUS1" s="27"/>
      <c r="KUT1" s="27"/>
      <c r="KUU1" s="27"/>
      <c r="KUV1" s="27"/>
      <c r="KUW1" s="27"/>
      <c r="KUX1" s="27"/>
      <c r="KUY1" s="27"/>
      <c r="KUZ1" s="27"/>
      <c r="KVA1" s="27"/>
      <c r="KVB1" s="27"/>
      <c r="KVC1" s="27"/>
      <c r="KVD1" s="27"/>
      <c r="KVE1" s="27"/>
      <c r="KVF1" s="27"/>
      <c r="KVG1" s="27"/>
      <c r="KVH1" s="27"/>
      <c r="KVI1" s="27"/>
      <c r="KVJ1" s="27"/>
      <c r="KVK1" s="27"/>
      <c r="KVL1" s="27"/>
      <c r="KVM1" s="27"/>
      <c r="KVN1" s="27"/>
      <c r="KVO1" s="27"/>
      <c r="KVP1" s="27"/>
      <c r="KVQ1" s="27"/>
      <c r="KVR1" s="27"/>
      <c r="KVS1" s="27"/>
      <c r="KVT1" s="27"/>
      <c r="KVU1" s="27"/>
      <c r="KVV1" s="27"/>
      <c r="KVW1" s="27"/>
      <c r="KVX1" s="27"/>
      <c r="KVY1" s="27"/>
      <c r="KVZ1" s="27"/>
      <c r="KWA1" s="27"/>
      <c r="KWB1" s="27"/>
      <c r="KWC1" s="27"/>
      <c r="KWD1" s="27"/>
      <c r="KWE1" s="27"/>
      <c r="KWF1" s="27"/>
      <c r="KWG1" s="27"/>
      <c r="KWH1" s="27"/>
      <c r="KWI1" s="27"/>
      <c r="KWJ1" s="27"/>
      <c r="KWK1" s="27"/>
      <c r="KWL1" s="27"/>
      <c r="KWM1" s="27"/>
      <c r="KWN1" s="27"/>
      <c r="KWO1" s="27"/>
      <c r="KWP1" s="27"/>
      <c r="KWQ1" s="27"/>
      <c r="KWR1" s="27"/>
      <c r="KWS1" s="27"/>
      <c r="KWT1" s="27"/>
      <c r="KWU1" s="27"/>
      <c r="KWV1" s="27"/>
      <c r="KWW1" s="27"/>
      <c r="KWX1" s="27"/>
      <c r="KWY1" s="27"/>
      <c r="KWZ1" s="27"/>
      <c r="KXA1" s="27"/>
      <c r="KXB1" s="27"/>
      <c r="KXC1" s="27"/>
      <c r="KXD1" s="27"/>
      <c r="KXE1" s="27"/>
      <c r="KXF1" s="27"/>
      <c r="KXG1" s="27"/>
      <c r="KXH1" s="27"/>
      <c r="KXI1" s="27"/>
      <c r="KXJ1" s="27"/>
      <c r="KXK1" s="27"/>
      <c r="KXL1" s="27"/>
      <c r="KXM1" s="27"/>
      <c r="KXN1" s="27"/>
      <c r="KXO1" s="27"/>
      <c r="KXP1" s="27"/>
      <c r="KXQ1" s="27"/>
      <c r="KXR1" s="27"/>
      <c r="KXS1" s="27"/>
      <c r="KXT1" s="27"/>
      <c r="KXU1" s="27"/>
      <c r="KXV1" s="27"/>
      <c r="KXW1" s="27"/>
      <c r="KXX1" s="27"/>
      <c r="KXY1" s="27"/>
      <c r="KXZ1" s="27"/>
      <c r="KYA1" s="27"/>
      <c r="KYB1" s="27"/>
      <c r="KYC1" s="27"/>
      <c r="KYD1" s="27"/>
      <c r="KYE1" s="27"/>
      <c r="KYF1" s="27"/>
      <c r="KYG1" s="27"/>
      <c r="KYH1" s="27"/>
      <c r="KYI1" s="27"/>
      <c r="KYJ1" s="27"/>
      <c r="KYK1" s="27"/>
      <c r="KYL1" s="27"/>
      <c r="KYM1" s="27"/>
      <c r="KYN1" s="27"/>
      <c r="KYO1" s="27"/>
      <c r="KYP1" s="27"/>
      <c r="KYQ1" s="27"/>
      <c r="KYR1" s="27"/>
      <c r="KYS1" s="27"/>
      <c r="KYT1" s="27"/>
      <c r="KYU1" s="27"/>
      <c r="KYV1" s="27"/>
      <c r="KYW1" s="27"/>
      <c r="KYX1" s="27"/>
      <c r="KYY1" s="27"/>
      <c r="KYZ1" s="27"/>
      <c r="KZA1" s="27"/>
      <c r="KZB1" s="27"/>
      <c r="KZC1" s="27"/>
      <c r="KZD1" s="27"/>
      <c r="KZE1" s="27"/>
      <c r="KZF1" s="27"/>
      <c r="KZG1" s="27"/>
      <c r="KZH1" s="27"/>
      <c r="KZI1" s="27"/>
      <c r="KZJ1" s="27"/>
      <c r="KZK1" s="27"/>
      <c r="KZL1" s="27"/>
      <c r="KZM1" s="27"/>
      <c r="KZN1" s="27"/>
      <c r="KZO1" s="27"/>
      <c r="KZP1" s="27"/>
      <c r="KZQ1" s="27"/>
      <c r="KZR1" s="27"/>
      <c r="KZS1" s="27"/>
      <c r="KZT1" s="27"/>
      <c r="KZU1" s="27"/>
      <c r="KZV1" s="27"/>
      <c r="KZW1" s="27"/>
      <c r="KZX1" s="27"/>
      <c r="KZY1" s="27"/>
      <c r="KZZ1" s="27"/>
      <c r="LAA1" s="27"/>
      <c r="LAB1" s="27"/>
      <c r="LAC1" s="27"/>
      <c r="LAD1" s="27"/>
      <c r="LAE1" s="27"/>
      <c r="LAF1" s="27"/>
      <c r="LAG1" s="27"/>
      <c r="LAH1" s="27"/>
      <c r="LAI1" s="27"/>
      <c r="LAJ1" s="27"/>
      <c r="LAK1" s="27"/>
      <c r="LAL1" s="27"/>
      <c r="LAM1" s="27"/>
      <c r="LAN1" s="27"/>
      <c r="LAO1" s="27"/>
      <c r="LAP1" s="27"/>
      <c r="LAQ1" s="27"/>
      <c r="LAR1" s="27"/>
      <c r="LAS1" s="27"/>
      <c r="LAT1" s="27"/>
      <c r="LAU1" s="27"/>
      <c r="LAV1" s="27"/>
      <c r="LAW1" s="27"/>
      <c r="LAX1" s="27"/>
      <c r="LAY1" s="27"/>
      <c r="LAZ1" s="27"/>
      <c r="LBA1" s="27"/>
      <c r="LBB1" s="27"/>
      <c r="LBC1" s="27"/>
      <c r="LBD1" s="27"/>
      <c r="LBE1" s="27"/>
      <c r="LBF1" s="27"/>
      <c r="LBG1" s="27"/>
      <c r="LBH1" s="27"/>
      <c r="LBI1" s="27"/>
      <c r="LBJ1" s="27"/>
      <c r="LBK1" s="27"/>
      <c r="LBL1" s="27"/>
      <c r="LBM1" s="27"/>
      <c r="LBN1" s="27"/>
      <c r="LBO1" s="27"/>
      <c r="LBP1" s="27"/>
      <c r="LBQ1" s="27"/>
      <c r="LBR1" s="27"/>
      <c r="LBS1" s="27"/>
      <c r="LBT1" s="27"/>
      <c r="LBU1" s="27"/>
      <c r="LBV1" s="27"/>
      <c r="LBW1" s="27"/>
      <c r="LBX1" s="27"/>
      <c r="LBY1" s="27"/>
      <c r="LBZ1" s="27"/>
      <c r="LCA1" s="27"/>
      <c r="LCB1" s="27"/>
      <c r="LCC1" s="27"/>
      <c r="LCD1" s="27"/>
      <c r="LCE1" s="27"/>
      <c r="LCF1" s="27"/>
      <c r="LCG1" s="27"/>
      <c r="LCH1" s="27"/>
      <c r="LCI1" s="27"/>
      <c r="LCJ1" s="27"/>
      <c r="LCK1" s="27"/>
      <c r="LCL1" s="27"/>
      <c r="LCM1" s="27"/>
      <c r="LCN1" s="27"/>
      <c r="LCO1" s="27"/>
      <c r="LCP1" s="27"/>
      <c r="LCQ1" s="27"/>
      <c r="LCR1" s="27"/>
      <c r="LCS1" s="27"/>
      <c r="LCT1" s="27"/>
      <c r="LCU1" s="27"/>
      <c r="LCV1" s="27"/>
      <c r="LCW1" s="27"/>
      <c r="LCX1" s="27"/>
      <c r="LCY1" s="27"/>
      <c r="LCZ1" s="27"/>
      <c r="LDA1" s="27"/>
      <c r="LDB1" s="27"/>
      <c r="LDC1" s="27"/>
      <c r="LDD1" s="27"/>
      <c r="LDE1" s="27"/>
      <c r="LDF1" s="27"/>
      <c r="LDG1" s="27"/>
      <c r="LDH1" s="27"/>
      <c r="LDI1" s="27"/>
      <c r="LDJ1" s="27"/>
      <c r="LDK1" s="27"/>
      <c r="LDL1" s="27"/>
      <c r="LDM1" s="27"/>
      <c r="LDN1" s="27"/>
      <c r="LDO1" s="27"/>
      <c r="LDP1" s="27"/>
      <c r="LDQ1" s="27"/>
      <c r="LDR1" s="27"/>
      <c r="LDS1" s="27"/>
      <c r="LDT1" s="27"/>
      <c r="LDU1" s="27"/>
      <c r="LDV1" s="27"/>
      <c r="LDW1" s="27"/>
      <c r="LDX1" s="27"/>
      <c r="LDY1" s="27"/>
      <c r="LDZ1" s="27"/>
      <c r="LEA1" s="27"/>
      <c r="LEB1" s="27"/>
      <c r="LEC1" s="27"/>
      <c r="LED1" s="27"/>
      <c r="LEE1" s="27"/>
      <c r="LEF1" s="27"/>
      <c r="LEG1" s="27"/>
      <c r="LEH1" s="27"/>
      <c r="LEI1" s="27"/>
      <c r="LEJ1" s="27"/>
      <c r="LEK1" s="27"/>
      <c r="LEL1" s="27"/>
      <c r="LEM1" s="27"/>
      <c r="LEN1" s="27"/>
      <c r="LEO1" s="27"/>
      <c r="LEP1" s="27"/>
      <c r="LEQ1" s="27"/>
      <c r="LER1" s="27"/>
      <c r="LES1" s="27"/>
      <c r="LET1" s="27"/>
      <c r="LEU1" s="27"/>
      <c r="LEV1" s="27"/>
      <c r="LEW1" s="27"/>
      <c r="LEX1" s="27"/>
      <c r="LEY1" s="27"/>
      <c r="LEZ1" s="27"/>
      <c r="LFA1" s="27"/>
      <c r="LFB1" s="27"/>
      <c r="LFC1" s="27"/>
      <c r="LFD1" s="27"/>
      <c r="LFE1" s="27"/>
      <c r="LFF1" s="27"/>
      <c r="LFG1" s="27"/>
      <c r="LFH1" s="27"/>
      <c r="LFI1" s="27"/>
      <c r="LFJ1" s="27"/>
      <c r="LFK1" s="27"/>
      <c r="LFL1" s="27"/>
      <c r="LFM1" s="27"/>
      <c r="LFN1" s="27"/>
      <c r="LFO1" s="27"/>
      <c r="LFP1" s="27"/>
      <c r="LFQ1" s="27"/>
      <c r="LFR1" s="27"/>
      <c r="LFS1" s="27"/>
      <c r="LFT1" s="27"/>
      <c r="LFU1" s="27"/>
      <c r="LFV1" s="27"/>
      <c r="LFW1" s="27"/>
      <c r="LFX1" s="27"/>
      <c r="LFY1" s="27"/>
      <c r="LFZ1" s="27"/>
      <c r="LGA1" s="27"/>
      <c r="LGB1" s="27"/>
      <c r="LGC1" s="27"/>
      <c r="LGD1" s="27"/>
      <c r="LGE1" s="27"/>
      <c r="LGF1" s="27"/>
      <c r="LGG1" s="27"/>
      <c r="LGH1" s="27"/>
      <c r="LGI1" s="27"/>
      <c r="LGJ1" s="27"/>
      <c r="LGK1" s="27"/>
      <c r="LGL1" s="27"/>
      <c r="LGM1" s="27"/>
      <c r="LGN1" s="27"/>
      <c r="LGO1" s="27"/>
      <c r="LGP1" s="27"/>
      <c r="LGQ1" s="27"/>
      <c r="LGR1" s="27"/>
      <c r="LGS1" s="27"/>
      <c r="LGT1" s="27"/>
      <c r="LGU1" s="27"/>
      <c r="LGV1" s="27"/>
      <c r="LGW1" s="27"/>
      <c r="LGX1" s="27"/>
      <c r="LGY1" s="27"/>
      <c r="LGZ1" s="27"/>
      <c r="LHA1" s="27"/>
      <c r="LHB1" s="27"/>
      <c r="LHC1" s="27"/>
      <c r="LHD1" s="27"/>
      <c r="LHE1" s="27"/>
      <c r="LHF1" s="27"/>
      <c r="LHG1" s="27"/>
      <c r="LHH1" s="27"/>
      <c r="LHI1" s="27"/>
      <c r="LHJ1" s="27"/>
      <c r="LHK1" s="27"/>
      <c r="LHL1" s="27"/>
      <c r="LHM1" s="27"/>
      <c r="LHN1" s="27"/>
      <c r="LHO1" s="27"/>
      <c r="LHP1" s="27"/>
      <c r="LHQ1" s="27"/>
      <c r="LHR1" s="27"/>
      <c r="LHS1" s="27"/>
      <c r="LHT1" s="27"/>
      <c r="LHU1" s="27"/>
      <c r="LHV1" s="27"/>
      <c r="LHW1" s="27"/>
      <c r="LHX1" s="27"/>
      <c r="LHY1" s="27"/>
      <c r="LHZ1" s="27"/>
      <c r="LIA1" s="27"/>
      <c r="LIB1" s="27"/>
      <c r="LIC1" s="27"/>
      <c r="LID1" s="27"/>
      <c r="LIE1" s="27"/>
      <c r="LIF1" s="27"/>
      <c r="LIG1" s="27"/>
      <c r="LIH1" s="27"/>
      <c r="LII1" s="27"/>
      <c r="LIJ1" s="27"/>
      <c r="LIK1" s="27"/>
      <c r="LIL1" s="27"/>
      <c r="LIM1" s="27"/>
      <c r="LIN1" s="27"/>
      <c r="LIO1" s="27"/>
      <c r="LIP1" s="27"/>
      <c r="LIQ1" s="27"/>
      <c r="LIR1" s="27"/>
      <c r="LIS1" s="27"/>
      <c r="LIT1" s="27"/>
      <c r="LIU1" s="27"/>
      <c r="LIV1" s="27"/>
      <c r="LIW1" s="27"/>
      <c r="LIX1" s="27"/>
      <c r="LIY1" s="27"/>
      <c r="LIZ1" s="27"/>
      <c r="LJA1" s="27"/>
      <c r="LJB1" s="27"/>
      <c r="LJC1" s="27"/>
      <c r="LJD1" s="27"/>
      <c r="LJE1" s="27"/>
      <c r="LJF1" s="27"/>
      <c r="LJG1" s="27"/>
      <c r="LJH1" s="27"/>
      <c r="LJI1" s="27"/>
      <c r="LJJ1" s="27"/>
      <c r="LJK1" s="27"/>
      <c r="LJL1" s="27"/>
      <c r="LJM1" s="27"/>
      <c r="LJN1" s="27"/>
      <c r="LJO1" s="27"/>
      <c r="LJP1" s="27"/>
      <c r="LJQ1" s="27"/>
      <c r="LJR1" s="27"/>
      <c r="LJS1" s="27"/>
      <c r="LJT1" s="27"/>
      <c r="LJU1" s="27"/>
      <c r="LJV1" s="27"/>
      <c r="LJW1" s="27"/>
      <c r="LJX1" s="27"/>
      <c r="LJY1" s="27"/>
      <c r="LJZ1" s="27"/>
      <c r="LKA1" s="27"/>
      <c r="LKB1" s="27"/>
      <c r="LKC1" s="27"/>
      <c r="LKD1" s="27"/>
      <c r="LKE1" s="27"/>
      <c r="LKF1" s="27"/>
      <c r="LKG1" s="27"/>
      <c r="LKH1" s="27"/>
      <c r="LKI1" s="27"/>
      <c r="LKJ1" s="27"/>
      <c r="LKK1" s="27"/>
      <c r="LKL1" s="27"/>
      <c r="LKM1" s="27"/>
      <c r="LKN1" s="27"/>
      <c r="LKO1" s="27"/>
      <c r="LKP1" s="27"/>
      <c r="LKQ1" s="27"/>
      <c r="LKR1" s="27"/>
      <c r="LKS1" s="27"/>
      <c r="LKT1" s="27"/>
      <c r="LKU1" s="27"/>
      <c r="LKV1" s="27"/>
      <c r="LKW1" s="27"/>
      <c r="LKX1" s="27"/>
      <c r="LKY1" s="27"/>
      <c r="LKZ1" s="27"/>
      <c r="LLA1" s="27"/>
      <c r="LLB1" s="27"/>
      <c r="LLC1" s="27"/>
      <c r="LLD1" s="27"/>
      <c r="LLE1" s="27"/>
      <c r="LLF1" s="27"/>
      <c r="LLG1" s="27"/>
      <c r="LLH1" s="27"/>
      <c r="LLI1" s="27"/>
      <c r="LLJ1" s="27"/>
      <c r="LLK1" s="27"/>
      <c r="LLL1" s="27"/>
      <c r="LLM1" s="27"/>
      <c r="LLN1" s="27"/>
      <c r="LLO1" s="27"/>
      <c r="LLP1" s="27"/>
      <c r="LLQ1" s="27"/>
      <c r="LLR1" s="27"/>
      <c r="LLS1" s="27"/>
      <c r="LLT1" s="27"/>
      <c r="LLU1" s="27"/>
      <c r="LLV1" s="27"/>
      <c r="LLW1" s="27"/>
      <c r="LLX1" s="27"/>
      <c r="LLY1" s="27"/>
      <c r="LLZ1" s="27"/>
      <c r="LMA1" s="27"/>
      <c r="LMB1" s="27"/>
      <c r="LMC1" s="27"/>
      <c r="LMD1" s="27"/>
      <c r="LME1" s="27"/>
      <c r="LMF1" s="27"/>
      <c r="LMG1" s="27"/>
      <c r="LMH1" s="27"/>
      <c r="LMI1" s="27"/>
      <c r="LMJ1" s="27"/>
      <c r="LMK1" s="27"/>
      <c r="LML1" s="27"/>
      <c r="LMM1" s="27"/>
      <c r="LMN1" s="27"/>
      <c r="LMO1" s="27"/>
      <c r="LMP1" s="27"/>
      <c r="LMQ1" s="27"/>
      <c r="LMR1" s="27"/>
      <c r="LMS1" s="27"/>
      <c r="LMT1" s="27"/>
      <c r="LMU1" s="27"/>
      <c r="LMV1" s="27"/>
      <c r="LMW1" s="27"/>
      <c r="LMX1" s="27"/>
      <c r="LMY1" s="27"/>
      <c r="LMZ1" s="27"/>
      <c r="LNA1" s="27"/>
      <c r="LNB1" s="27"/>
      <c r="LNC1" s="27"/>
      <c r="LND1" s="27"/>
      <c r="LNE1" s="27"/>
      <c r="LNF1" s="27"/>
      <c r="LNG1" s="27"/>
      <c r="LNH1" s="27"/>
      <c r="LNI1" s="27"/>
      <c r="LNJ1" s="27"/>
      <c r="LNK1" s="27"/>
      <c r="LNL1" s="27"/>
      <c r="LNM1" s="27"/>
      <c r="LNN1" s="27"/>
      <c r="LNO1" s="27"/>
      <c r="LNP1" s="27"/>
      <c r="LNQ1" s="27"/>
      <c r="LNR1" s="27"/>
      <c r="LNS1" s="27"/>
      <c r="LNT1" s="27"/>
      <c r="LNU1" s="27"/>
      <c r="LNV1" s="27"/>
      <c r="LNW1" s="27"/>
      <c r="LNX1" s="27"/>
      <c r="LNY1" s="27"/>
      <c r="LNZ1" s="27"/>
      <c r="LOA1" s="27"/>
      <c r="LOB1" s="27"/>
      <c r="LOC1" s="27"/>
      <c r="LOD1" s="27"/>
      <c r="LOE1" s="27"/>
      <c r="LOF1" s="27"/>
      <c r="LOG1" s="27"/>
      <c r="LOH1" s="27"/>
      <c r="LOI1" s="27"/>
      <c r="LOJ1" s="27"/>
      <c r="LOK1" s="27"/>
      <c r="LOL1" s="27"/>
      <c r="LOM1" s="27"/>
      <c r="LON1" s="27"/>
      <c r="LOO1" s="27"/>
      <c r="LOP1" s="27"/>
      <c r="LOQ1" s="27"/>
      <c r="LOR1" s="27"/>
      <c r="LOS1" s="27"/>
      <c r="LOT1" s="27"/>
      <c r="LOU1" s="27"/>
      <c r="LOV1" s="27"/>
      <c r="LOW1" s="27"/>
      <c r="LOX1" s="27"/>
      <c r="LOY1" s="27"/>
      <c r="LOZ1" s="27"/>
      <c r="LPA1" s="27"/>
      <c r="LPB1" s="27"/>
      <c r="LPC1" s="27"/>
      <c r="LPD1" s="27"/>
      <c r="LPE1" s="27"/>
      <c r="LPF1" s="27"/>
      <c r="LPG1" s="27"/>
      <c r="LPH1" s="27"/>
      <c r="LPI1" s="27"/>
      <c r="LPJ1" s="27"/>
      <c r="LPK1" s="27"/>
      <c r="LPL1" s="27"/>
      <c r="LPM1" s="27"/>
      <c r="LPN1" s="27"/>
      <c r="LPO1" s="27"/>
      <c r="LPP1" s="27"/>
      <c r="LPQ1" s="27"/>
      <c r="LPR1" s="27"/>
      <c r="LPS1" s="27"/>
      <c r="LPT1" s="27"/>
      <c r="LPU1" s="27"/>
      <c r="LPV1" s="27"/>
      <c r="LPW1" s="27"/>
      <c r="LPX1" s="27"/>
      <c r="LPY1" s="27"/>
      <c r="LPZ1" s="27"/>
      <c r="LQA1" s="27"/>
      <c r="LQB1" s="27"/>
      <c r="LQC1" s="27"/>
      <c r="LQD1" s="27"/>
      <c r="LQE1" s="27"/>
      <c r="LQF1" s="27"/>
      <c r="LQG1" s="27"/>
      <c r="LQH1" s="27"/>
      <c r="LQI1" s="27"/>
      <c r="LQJ1" s="27"/>
      <c r="LQK1" s="27"/>
      <c r="LQL1" s="27"/>
      <c r="LQM1" s="27"/>
      <c r="LQN1" s="27"/>
      <c r="LQO1" s="27"/>
      <c r="LQP1" s="27"/>
      <c r="LQQ1" s="27"/>
      <c r="LQR1" s="27"/>
      <c r="LQS1" s="27"/>
      <c r="LQT1" s="27"/>
      <c r="LQU1" s="27"/>
      <c r="LQV1" s="27"/>
      <c r="LQW1" s="27"/>
      <c r="LQX1" s="27"/>
      <c r="LQY1" s="27"/>
      <c r="LQZ1" s="27"/>
      <c r="LRA1" s="27"/>
      <c r="LRB1" s="27"/>
      <c r="LRC1" s="27"/>
      <c r="LRD1" s="27"/>
      <c r="LRE1" s="27"/>
      <c r="LRF1" s="27"/>
      <c r="LRG1" s="27"/>
      <c r="LRH1" s="27"/>
      <c r="LRI1" s="27"/>
      <c r="LRJ1" s="27"/>
      <c r="LRK1" s="27"/>
      <c r="LRL1" s="27"/>
      <c r="LRM1" s="27"/>
      <c r="LRN1" s="27"/>
      <c r="LRO1" s="27"/>
      <c r="LRP1" s="27"/>
      <c r="LRQ1" s="27"/>
      <c r="LRR1" s="27"/>
      <c r="LRS1" s="27"/>
      <c r="LRT1" s="27"/>
      <c r="LRU1" s="27"/>
      <c r="LRV1" s="27"/>
      <c r="LRW1" s="27"/>
      <c r="LRX1" s="27"/>
      <c r="LRY1" s="27"/>
      <c r="LRZ1" s="27"/>
      <c r="LSA1" s="27"/>
      <c r="LSB1" s="27"/>
      <c r="LSC1" s="27"/>
      <c r="LSD1" s="27"/>
      <c r="LSE1" s="27"/>
      <c r="LSF1" s="27"/>
      <c r="LSG1" s="27"/>
      <c r="LSH1" s="27"/>
      <c r="LSI1" s="27"/>
      <c r="LSJ1" s="27"/>
      <c r="LSK1" s="27"/>
      <c r="LSL1" s="27"/>
      <c r="LSM1" s="27"/>
      <c r="LSN1" s="27"/>
      <c r="LSO1" s="27"/>
      <c r="LSP1" s="27"/>
      <c r="LSQ1" s="27"/>
      <c r="LSR1" s="27"/>
      <c r="LSS1" s="27"/>
      <c r="LST1" s="27"/>
      <c r="LSU1" s="27"/>
      <c r="LSV1" s="27"/>
      <c r="LSW1" s="27"/>
      <c r="LSX1" s="27"/>
      <c r="LSY1" s="27"/>
      <c r="LSZ1" s="27"/>
      <c r="LTA1" s="27"/>
      <c r="LTB1" s="27"/>
      <c r="LTC1" s="27"/>
      <c r="LTD1" s="27"/>
      <c r="LTE1" s="27"/>
      <c r="LTF1" s="27"/>
      <c r="LTG1" s="27"/>
      <c r="LTH1" s="27"/>
      <c r="LTI1" s="27"/>
      <c r="LTJ1" s="27"/>
      <c r="LTK1" s="27"/>
      <c r="LTL1" s="27"/>
      <c r="LTM1" s="27"/>
      <c r="LTN1" s="27"/>
      <c r="LTO1" s="27"/>
      <c r="LTP1" s="27"/>
      <c r="LTQ1" s="27"/>
      <c r="LTR1" s="27"/>
      <c r="LTS1" s="27"/>
      <c r="LTT1" s="27"/>
      <c r="LTU1" s="27"/>
      <c r="LTV1" s="27"/>
      <c r="LTW1" s="27"/>
      <c r="LTX1" s="27"/>
      <c r="LTY1" s="27"/>
      <c r="LTZ1" s="27"/>
      <c r="LUA1" s="27"/>
      <c r="LUB1" s="27"/>
      <c r="LUC1" s="27"/>
      <c r="LUD1" s="27"/>
      <c r="LUE1" s="27"/>
      <c r="LUF1" s="27"/>
      <c r="LUG1" s="27"/>
      <c r="LUH1" s="27"/>
      <c r="LUI1" s="27"/>
      <c r="LUJ1" s="27"/>
      <c r="LUK1" s="27"/>
      <c r="LUL1" s="27"/>
      <c r="LUM1" s="27"/>
      <c r="LUN1" s="27"/>
      <c r="LUO1" s="27"/>
      <c r="LUP1" s="27"/>
      <c r="LUQ1" s="27"/>
      <c r="LUR1" s="27"/>
      <c r="LUS1" s="27"/>
      <c r="LUT1" s="27"/>
      <c r="LUU1" s="27"/>
      <c r="LUV1" s="27"/>
      <c r="LUW1" s="27"/>
      <c r="LUX1" s="27"/>
      <c r="LUY1" s="27"/>
      <c r="LUZ1" s="27"/>
      <c r="LVA1" s="27"/>
      <c r="LVB1" s="27"/>
      <c r="LVC1" s="27"/>
      <c r="LVD1" s="27"/>
      <c r="LVE1" s="27"/>
      <c r="LVF1" s="27"/>
      <c r="LVG1" s="27"/>
      <c r="LVH1" s="27"/>
      <c r="LVI1" s="27"/>
      <c r="LVJ1" s="27"/>
      <c r="LVK1" s="27"/>
      <c r="LVL1" s="27"/>
      <c r="LVM1" s="27"/>
      <c r="LVN1" s="27"/>
      <c r="LVO1" s="27"/>
      <c r="LVP1" s="27"/>
      <c r="LVQ1" s="27"/>
      <c r="LVR1" s="27"/>
      <c r="LVS1" s="27"/>
      <c r="LVT1" s="27"/>
      <c r="LVU1" s="27"/>
      <c r="LVV1" s="27"/>
      <c r="LVW1" s="27"/>
      <c r="LVX1" s="27"/>
      <c r="LVY1" s="27"/>
      <c r="LVZ1" s="27"/>
      <c r="LWA1" s="27"/>
      <c r="LWB1" s="27"/>
      <c r="LWC1" s="27"/>
      <c r="LWD1" s="27"/>
      <c r="LWE1" s="27"/>
      <c r="LWF1" s="27"/>
      <c r="LWG1" s="27"/>
      <c r="LWH1" s="27"/>
      <c r="LWI1" s="27"/>
      <c r="LWJ1" s="27"/>
      <c r="LWK1" s="27"/>
      <c r="LWL1" s="27"/>
      <c r="LWM1" s="27"/>
      <c r="LWN1" s="27"/>
      <c r="LWO1" s="27"/>
      <c r="LWP1" s="27"/>
      <c r="LWQ1" s="27"/>
      <c r="LWR1" s="27"/>
      <c r="LWS1" s="27"/>
      <c r="LWT1" s="27"/>
      <c r="LWU1" s="27"/>
      <c r="LWV1" s="27"/>
      <c r="LWW1" s="27"/>
      <c r="LWX1" s="27"/>
      <c r="LWY1" s="27"/>
      <c r="LWZ1" s="27"/>
      <c r="LXA1" s="27"/>
      <c r="LXB1" s="27"/>
      <c r="LXC1" s="27"/>
      <c r="LXD1" s="27"/>
      <c r="LXE1" s="27"/>
      <c r="LXF1" s="27"/>
      <c r="LXG1" s="27"/>
      <c r="LXH1" s="27"/>
      <c r="LXI1" s="27"/>
      <c r="LXJ1" s="27"/>
      <c r="LXK1" s="27"/>
      <c r="LXL1" s="27"/>
      <c r="LXM1" s="27"/>
      <c r="LXN1" s="27"/>
      <c r="LXO1" s="27"/>
      <c r="LXP1" s="27"/>
      <c r="LXQ1" s="27"/>
      <c r="LXR1" s="27"/>
      <c r="LXS1" s="27"/>
      <c r="LXT1" s="27"/>
      <c r="LXU1" s="27"/>
      <c r="LXV1" s="27"/>
      <c r="LXW1" s="27"/>
      <c r="LXX1" s="27"/>
      <c r="LXY1" s="27"/>
      <c r="LXZ1" s="27"/>
      <c r="LYA1" s="27"/>
      <c r="LYB1" s="27"/>
      <c r="LYC1" s="27"/>
      <c r="LYD1" s="27"/>
      <c r="LYE1" s="27"/>
      <c r="LYF1" s="27"/>
      <c r="LYG1" s="27"/>
      <c r="LYH1" s="27"/>
      <c r="LYI1" s="27"/>
      <c r="LYJ1" s="27"/>
      <c r="LYK1" s="27"/>
      <c r="LYL1" s="27"/>
      <c r="LYM1" s="27"/>
      <c r="LYN1" s="27"/>
      <c r="LYO1" s="27"/>
      <c r="LYP1" s="27"/>
      <c r="LYQ1" s="27"/>
      <c r="LYR1" s="27"/>
      <c r="LYS1" s="27"/>
      <c r="LYT1" s="27"/>
      <c r="LYU1" s="27"/>
      <c r="LYV1" s="27"/>
      <c r="LYW1" s="27"/>
      <c r="LYX1" s="27"/>
      <c r="LYY1" s="27"/>
      <c r="LYZ1" s="27"/>
      <c r="LZA1" s="27"/>
      <c r="LZB1" s="27"/>
      <c r="LZC1" s="27"/>
      <c r="LZD1" s="27"/>
      <c r="LZE1" s="27"/>
      <c r="LZF1" s="27"/>
      <c r="LZG1" s="27"/>
      <c r="LZH1" s="27"/>
      <c r="LZI1" s="27"/>
      <c r="LZJ1" s="27"/>
      <c r="LZK1" s="27"/>
      <c r="LZL1" s="27"/>
      <c r="LZM1" s="27"/>
      <c r="LZN1" s="27"/>
      <c r="LZO1" s="27"/>
      <c r="LZP1" s="27"/>
      <c r="LZQ1" s="27"/>
      <c r="LZR1" s="27"/>
      <c r="LZS1" s="27"/>
      <c r="LZT1" s="27"/>
      <c r="LZU1" s="27"/>
      <c r="LZV1" s="27"/>
      <c r="LZW1" s="27"/>
      <c r="LZX1" s="27"/>
      <c r="LZY1" s="27"/>
      <c r="LZZ1" s="27"/>
      <c r="MAA1" s="27"/>
      <c r="MAB1" s="27"/>
      <c r="MAC1" s="27"/>
      <c r="MAD1" s="27"/>
      <c r="MAE1" s="27"/>
      <c r="MAF1" s="27"/>
      <c r="MAG1" s="27"/>
      <c r="MAH1" s="27"/>
      <c r="MAI1" s="27"/>
      <c r="MAJ1" s="27"/>
      <c r="MAK1" s="27"/>
      <c r="MAL1" s="27"/>
      <c r="MAM1" s="27"/>
      <c r="MAN1" s="27"/>
      <c r="MAO1" s="27"/>
      <c r="MAP1" s="27"/>
      <c r="MAQ1" s="27"/>
      <c r="MAR1" s="27"/>
      <c r="MAS1" s="27"/>
      <c r="MAT1" s="27"/>
      <c r="MAU1" s="27"/>
      <c r="MAV1" s="27"/>
      <c r="MAW1" s="27"/>
      <c r="MAX1" s="27"/>
      <c r="MAY1" s="27"/>
      <c r="MAZ1" s="27"/>
      <c r="MBA1" s="27"/>
      <c r="MBB1" s="27"/>
      <c r="MBC1" s="27"/>
      <c r="MBD1" s="27"/>
      <c r="MBE1" s="27"/>
      <c r="MBF1" s="27"/>
      <c r="MBG1" s="27"/>
      <c r="MBH1" s="27"/>
      <c r="MBI1" s="27"/>
      <c r="MBJ1" s="27"/>
      <c r="MBK1" s="27"/>
      <c r="MBL1" s="27"/>
      <c r="MBM1" s="27"/>
      <c r="MBN1" s="27"/>
      <c r="MBO1" s="27"/>
      <c r="MBP1" s="27"/>
      <c r="MBQ1" s="27"/>
      <c r="MBR1" s="27"/>
      <c r="MBS1" s="27"/>
      <c r="MBT1" s="27"/>
      <c r="MBU1" s="27"/>
      <c r="MBV1" s="27"/>
      <c r="MBW1" s="27"/>
      <c r="MBX1" s="27"/>
      <c r="MBY1" s="27"/>
      <c r="MBZ1" s="27"/>
      <c r="MCA1" s="27"/>
      <c r="MCB1" s="27"/>
      <c r="MCC1" s="27"/>
      <c r="MCD1" s="27"/>
      <c r="MCE1" s="27"/>
      <c r="MCF1" s="27"/>
      <c r="MCG1" s="27"/>
      <c r="MCH1" s="27"/>
      <c r="MCI1" s="27"/>
      <c r="MCJ1" s="27"/>
      <c r="MCK1" s="27"/>
      <c r="MCL1" s="27"/>
      <c r="MCM1" s="27"/>
      <c r="MCN1" s="27"/>
      <c r="MCO1" s="27"/>
      <c r="MCP1" s="27"/>
      <c r="MCQ1" s="27"/>
      <c r="MCR1" s="27"/>
      <c r="MCS1" s="27"/>
      <c r="MCT1" s="27"/>
      <c r="MCU1" s="27"/>
      <c r="MCV1" s="27"/>
      <c r="MCW1" s="27"/>
      <c r="MCX1" s="27"/>
      <c r="MCY1" s="27"/>
      <c r="MCZ1" s="27"/>
      <c r="MDA1" s="27"/>
      <c r="MDB1" s="27"/>
      <c r="MDC1" s="27"/>
      <c r="MDD1" s="27"/>
      <c r="MDE1" s="27"/>
      <c r="MDF1" s="27"/>
      <c r="MDG1" s="27"/>
      <c r="MDH1" s="27"/>
      <c r="MDI1" s="27"/>
      <c r="MDJ1" s="27"/>
      <c r="MDK1" s="27"/>
      <c r="MDL1" s="27"/>
      <c r="MDM1" s="27"/>
      <c r="MDN1" s="27"/>
      <c r="MDO1" s="27"/>
      <c r="MDP1" s="27"/>
      <c r="MDQ1" s="27"/>
      <c r="MDR1" s="27"/>
      <c r="MDS1" s="27"/>
      <c r="MDT1" s="27"/>
      <c r="MDU1" s="27"/>
      <c r="MDV1" s="27"/>
      <c r="MDW1" s="27"/>
      <c r="MDX1" s="27"/>
      <c r="MDY1" s="27"/>
      <c r="MDZ1" s="27"/>
      <c r="MEA1" s="27"/>
      <c r="MEB1" s="27"/>
      <c r="MEC1" s="27"/>
      <c r="MED1" s="27"/>
      <c r="MEE1" s="27"/>
      <c r="MEF1" s="27"/>
      <c r="MEG1" s="27"/>
      <c r="MEH1" s="27"/>
      <c r="MEI1" s="27"/>
      <c r="MEJ1" s="27"/>
      <c r="MEK1" s="27"/>
      <c r="MEL1" s="27"/>
      <c r="MEM1" s="27"/>
      <c r="MEN1" s="27"/>
      <c r="MEO1" s="27"/>
      <c r="MEP1" s="27"/>
      <c r="MEQ1" s="27"/>
      <c r="MER1" s="27"/>
      <c r="MES1" s="27"/>
      <c r="MET1" s="27"/>
      <c r="MEU1" s="27"/>
      <c r="MEV1" s="27"/>
      <c r="MEW1" s="27"/>
      <c r="MEX1" s="27"/>
      <c r="MEY1" s="27"/>
      <c r="MEZ1" s="27"/>
      <c r="MFA1" s="27"/>
      <c r="MFB1" s="27"/>
      <c r="MFC1" s="27"/>
      <c r="MFD1" s="27"/>
      <c r="MFE1" s="27"/>
      <c r="MFF1" s="27"/>
      <c r="MFG1" s="27"/>
      <c r="MFH1" s="27"/>
      <c r="MFI1" s="27"/>
      <c r="MFJ1" s="27"/>
      <c r="MFK1" s="27"/>
      <c r="MFL1" s="27"/>
      <c r="MFM1" s="27"/>
      <c r="MFN1" s="27"/>
      <c r="MFO1" s="27"/>
      <c r="MFP1" s="27"/>
      <c r="MFQ1" s="27"/>
      <c r="MFR1" s="27"/>
      <c r="MFS1" s="27"/>
      <c r="MFT1" s="27"/>
      <c r="MFU1" s="27"/>
      <c r="MFV1" s="27"/>
      <c r="MFW1" s="27"/>
      <c r="MFX1" s="27"/>
      <c r="MFY1" s="27"/>
      <c r="MFZ1" s="27"/>
      <c r="MGA1" s="27"/>
      <c r="MGB1" s="27"/>
      <c r="MGC1" s="27"/>
      <c r="MGD1" s="27"/>
      <c r="MGE1" s="27"/>
      <c r="MGF1" s="27"/>
      <c r="MGG1" s="27"/>
      <c r="MGH1" s="27"/>
      <c r="MGI1" s="27"/>
      <c r="MGJ1" s="27"/>
      <c r="MGK1" s="27"/>
      <c r="MGL1" s="27"/>
      <c r="MGM1" s="27"/>
      <c r="MGN1" s="27"/>
      <c r="MGO1" s="27"/>
      <c r="MGP1" s="27"/>
      <c r="MGQ1" s="27"/>
      <c r="MGR1" s="27"/>
      <c r="MGS1" s="27"/>
      <c r="MGT1" s="27"/>
      <c r="MGU1" s="27"/>
      <c r="MGV1" s="27"/>
      <c r="MGW1" s="27"/>
      <c r="MGX1" s="27"/>
      <c r="MGY1" s="27"/>
      <c r="MGZ1" s="27"/>
      <c r="MHA1" s="27"/>
      <c r="MHB1" s="27"/>
      <c r="MHC1" s="27"/>
      <c r="MHD1" s="27"/>
      <c r="MHE1" s="27"/>
      <c r="MHF1" s="27"/>
      <c r="MHG1" s="27"/>
      <c r="MHH1" s="27"/>
      <c r="MHI1" s="27"/>
      <c r="MHJ1" s="27"/>
      <c r="MHK1" s="27"/>
      <c r="MHL1" s="27"/>
      <c r="MHM1" s="27"/>
      <c r="MHN1" s="27"/>
      <c r="MHO1" s="27"/>
      <c r="MHP1" s="27"/>
      <c r="MHQ1" s="27"/>
      <c r="MHR1" s="27"/>
      <c r="MHS1" s="27"/>
      <c r="MHT1" s="27"/>
      <c r="MHU1" s="27"/>
      <c r="MHV1" s="27"/>
      <c r="MHW1" s="27"/>
      <c r="MHX1" s="27"/>
      <c r="MHY1" s="27"/>
      <c r="MHZ1" s="27"/>
      <c r="MIA1" s="27"/>
      <c r="MIB1" s="27"/>
      <c r="MIC1" s="27"/>
      <c r="MID1" s="27"/>
      <c r="MIE1" s="27"/>
      <c r="MIF1" s="27"/>
      <c r="MIG1" s="27"/>
      <c r="MIH1" s="27"/>
      <c r="MII1" s="27"/>
      <c r="MIJ1" s="27"/>
      <c r="MIK1" s="27"/>
      <c r="MIL1" s="27"/>
      <c r="MIM1" s="27"/>
      <c r="MIN1" s="27"/>
      <c r="MIO1" s="27"/>
      <c r="MIP1" s="27"/>
      <c r="MIQ1" s="27"/>
      <c r="MIR1" s="27"/>
      <c r="MIS1" s="27"/>
      <c r="MIT1" s="27"/>
      <c r="MIU1" s="27"/>
      <c r="MIV1" s="27"/>
      <c r="MIW1" s="27"/>
      <c r="MIX1" s="27"/>
      <c r="MIY1" s="27"/>
      <c r="MIZ1" s="27"/>
      <c r="MJA1" s="27"/>
      <c r="MJB1" s="27"/>
      <c r="MJC1" s="27"/>
      <c r="MJD1" s="27"/>
      <c r="MJE1" s="27"/>
      <c r="MJF1" s="27"/>
      <c r="MJG1" s="27"/>
      <c r="MJH1" s="27"/>
      <c r="MJI1" s="27"/>
      <c r="MJJ1" s="27"/>
      <c r="MJK1" s="27"/>
      <c r="MJL1" s="27"/>
      <c r="MJM1" s="27"/>
      <c r="MJN1" s="27"/>
      <c r="MJO1" s="27"/>
      <c r="MJP1" s="27"/>
      <c r="MJQ1" s="27"/>
      <c r="MJR1" s="27"/>
      <c r="MJS1" s="27"/>
      <c r="MJT1" s="27"/>
      <c r="MJU1" s="27"/>
      <c r="MJV1" s="27"/>
      <c r="MJW1" s="27"/>
      <c r="MJX1" s="27"/>
      <c r="MJY1" s="27"/>
      <c r="MJZ1" s="27"/>
      <c r="MKA1" s="27"/>
      <c r="MKB1" s="27"/>
      <c r="MKC1" s="27"/>
      <c r="MKD1" s="27"/>
      <c r="MKE1" s="27"/>
      <c r="MKF1" s="27"/>
      <c r="MKG1" s="27"/>
      <c r="MKH1" s="27"/>
      <c r="MKI1" s="27"/>
      <c r="MKJ1" s="27"/>
      <c r="MKK1" s="27"/>
      <c r="MKL1" s="27"/>
      <c r="MKM1" s="27"/>
      <c r="MKN1" s="27"/>
      <c r="MKO1" s="27"/>
      <c r="MKP1" s="27"/>
      <c r="MKQ1" s="27"/>
      <c r="MKR1" s="27"/>
      <c r="MKS1" s="27"/>
      <c r="MKT1" s="27"/>
      <c r="MKU1" s="27"/>
      <c r="MKV1" s="27"/>
      <c r="MKW1" s="27"/>
      <c r="MKX1" s="27"/>
      <c r="MKY1" s="27"/>
      <c r="MKZ1" s="27"/>
      <c r="MLA1" s="27"/>
      <c r="MLB1" s="27"/>
      <c r="MLC1" s="27"/>
      <c r="MLD1" s="27"/>
      <c r="MLE1" s="27"/>
      <c r="MLF1" s="27"/>
      <c r="MLG1" s="27"/>
      <c r="MLH1" s="27"/>
      <c r="MLI1" s="27"/>
      <c r="MLJ1" s="27"/>
      <c r="MLK1" s="27"/>
      <c r="MLL1" s="27"/>
      <c r="MLM1" s="27"/>
      <c r="MLN1" s="27"/>
      <c r="MLO1" s="27"/>
      <c r="MLP1" s="27"/>
      <c r="MLQ1" s="27"/>
      <c r="MLR1" s="27"/>
      <c r="MLS1" s="27"/>
      <c r="MLT1" s="27"/>
      <c r="MLU1" s="27"/>
      <c r="MLV1" s="27"/>
      <c r="MLW1" s="27"/>
      <c r="MLX1" s="27"/>
      <c r="MLY1" s="27"/>
      <c r="MLZ1" s="27"/>
      <c r="MMA1" s="27"/>
      <c r="MMB1" s="27"/>
      <c r="MMC1" s="27"/>
      <c r="MMD1" s="27"/>
      <c r="MME1" s="27"/>
      <c r="MMF1" s="27"/>
      <c r="MMG1" s="27"/>
      <c r="MMH1" s="27"/>
      <c r="MMI1" s="27"/>
      <c r="MMJ1" s="27"/>
      <c r="MMK1" s="27"/>
      <c r="MML1" s="27"/>
      <c r="MMM1" s="27"/>
      <c r="MMN1" s="27"/>
      <c r="MMO1" s="27"/>
      <c r="MMP1" s="27"/>
      <c r="MMQ1" s="27"/>
      <c r="MMR1" s="27"/>
      <c r="MMS1" s="27"/>
      <c r="MMT1" s="27"/>
      <c r="MMU1" s="27"/>
      <c r="MMV1" s="27"/>
      <c r="MMW1" s="27"/>
      <c r="MMX1" s="27"/>
      <c r="MMY1" s="27"/>
      <c r="MMZ1" s="27"/>
      <c r="MNA1" s="27"/>
      <c r="MNB1" s="27"/>
      <c r="MNC1" s="27"/>
      <c r="MND1" s="27"/>
      <c r="MNE1" s="27"/>
      <c r="MNF1" s="27"/>
      <c r="MNG1" s="27"/>
      <c r="MNH1" s="27"/>
      <c r="MNI1" s="27"/>
      <c r="MNJ1" s="27"/>
      <c r="MNK1" s="27"/>
      <c r="MNL1" s="27"/>
      <c r="MNM1" s="27"/>
      <c r="MNN1" s="27"/>
      <c r="MNO1" s="27"/>
      <c r="MNP1" s="27"/>
      <c r="MNQ1" s="27"/>
      <c r="MNR1" s="27"/>
      <c r="MNS1" s="27"/>
      <c r="MNT1" s="27"/>
      <c r="MNU1" s="27"/>
      <c r="MNV1" s="27"/>
      <c r="MNW1" s="27"/>
      <c r="MNX1" s="27"/>
      <c r="MNY1" s="27"/>
      <c r="MNZ1" s="27"/>
      <c r="MOA1" s="27"/>
      <c r="MOB1" s="27"/>
      <c r="MOC1" s="27"/>
      <c r="MOD1" s="27"/>
      <c r="MOE1" s="27"/>
      <c r="MOF1" s="27"/>
      <c r="MOG1" s="27"/>
      <c r="MOH1" s="27"/>
      <c r="MOI1" s="27"/>
      <c r="MOJ1" s="27"/>
      <c r="MOK1" s="27"/>
      <c r="MOL1" s="27"/>
      <c r="MOM1" s="27"/>
      <c r="MON1" s="27"/>
      <c r="MOO1" s="27"/>
      <c r="MOP1" s="27"/>
      <c r="MOQ1" s="27"/>
      <c r="MOR1" s="27"/>
      <c r="MOS1" s="27"/>
      <c r="MOT1" s="27"/>
      <c r="MOU1" s="27"/>
      <c r="MOV1" s="27"/>
      <c r="MOW1" s="27"/>
      <c r="MOX1" s="27"/>
      <c r="MOY1" s="27"/>
      <c r="MOZ1" s="27"/>
      <c r="MPA1" s="27"/>
      <c r="MPB1" s="27"/>
      <c r="MPC1" s="27"/>
      <c r="MPD1" s="27"/>
      <c r="MPE1" s="27"/>
      <c r="MPF1" s="27"/>
      <c r="MPG1" s="27"/>
      <c r="MPH1" s="27"/>
      <c r="MPI1" s="27"/>
      <c r="MPJ1" s="27"/>
      <c r="MPK1" s="27"/>
      <c r="MPL1" s="27"/>
      <c r="MPM1" s="27"/>
      <c r="MPN1" s="27"/>
      <c r="MPO1" s="27"/>
      <c r="MPP1" s="27"/>
      <c r="MPQ1" s="27"/>
      <c r="MPR1" s="27"/>
      <c r="MPS1" s="27"/>
      <c r="MPT1" s="27"/>
      <c r="MPU1" s="27"/>
      <c r="MPV1" s="27"/>
      <c r="MPW1" s="27"/>
      <c r="MPX1" s="27"/>
      <c r="MPY1" s="27"/>
      <c r="MPZ1" s="27"/>
      <c r="MQA1" s="27"/>
      <c r="MQB1" s="27"/>
      <c r="MQC1" s="27"/>
      <c r="MQD1" s="27"/>
      <c r="MQE1" s="27"/>
      <c r="MQF1" s="27"/>
      <c r="MQG1" s="27"/>
      <c r="MQH1" s="27"/>
      <c r="MQI1" s="27"/>
      <c r="MQJ1" s="27"/>
      <c r="MQK1" s="27"/>
      <c r="MQL1" s="27"/>
      <c r="MQM1" s="27"/>
      <c r="MQN1" s="27"/>
      <c r="MQO1" s="27"/>
      <c r="MQP1" s="27"/>
      <c r="MQQ1" s="27"/>
      <c r="MQR1" s="27"/>
      <c r="MQS1" s="27"/>
      <c r="MQT1" s="27"/>
      <c r="MQU1" s="27"/>
      <c r="MQV1" s="27"/>
      <c r="MQW1" s="27"/>
      <c r="MQX1" s="27"/>
      <c r="MQY1" s="27"/>
      <c r="MQZ1" s="27"/>
      <c r="MRA1" s="27"/>
      <c r="MRB1" s="27"/>
      <c r="MRC1" s="27"/>
      <c r="MRD1" s="27"/>
      <c r="MRE1" s="27"/>
      <c r="MRF1" s="27"/>
      <c r="MRG1" s="27"/>
      <c r="MRH1" s="27"/>
      <c r="MRI1" s="27"/>
      <c r="MRJ1" s="27"/>
      <c r="MRK1" s="27"/>
      <c r="MRL1" s="27"/>
      <c r="MRM1" s="27"/>
      <c r="MRN1" s="27"/>
      <c r="MRO1" s="27"/>
      <c r="MRP1" s="27"/>
      <c r="MRQ1" s="27"/>
      <c r="MRR1" s="27"/>
      <c r="MRS1" s="27"/>
      <c r="MRT1" s="27"/>
      <c r="MRU1" s="27"/>
      <c r="MRV1" s="27"/>
      <c r="MRW1" s="27"/>
      <c r="MRX1" s="27"/>
      <c r="MRY1" s="27"/>
      <c r="MRZ1" s="27"/>
      <c r="MSA1" s="27"/>
      <c r="MSB1" s="27"/>
      <c r="MSC1" s="27"/>
      <c r="MSD1" s="27"/>
      <c r="MSE1" s="27"/>
      <c r="MSF1" s="27"/>
      <c r="MSG1" s="27"/>
      <c r="MSH1" s="27"/>
      <c r="MSI1" s="27"/>
      <c r="MSJ1" s="27"/>
      <c r="MSK1" s="27"/>
      <c r="MSL1" s="27"/>
      <c r="MSM1" s="27"/>
      <c r="MSN1" s="27"/>
      <c r="MSO1" s="27"/>
      <c r="MSP1" s="27"/>
      <c r="MSQ1" s="27"/>
      <c r="MSR1" s="27"/>
      <c r="MSS1" s="27"/>
      <c r="MST1" s="27"/>
      <c r="MSU1" s="27"/>
      <c r="MSV1" s="27"/>
      <c r="MSW1" s="27"/>
      <c r="MSX1" s="27"/>
      <c r="MSY1" s="27"/>
      <c r="MSZ1" s="27"/>
      <c r="MTA1" s="27"/>
      <c r="MTB1" s="27"/>
      <c r="MTC1" s="27"/>
      <c r="MTD1" s="27"/>
      <c r="MTE1" s="27"/>
      <c r="MTF1" s="27"/>
      <c r="MTG1" s="27"/>
      <c r="MTH1" s="27"/>
      <c r="MTI1" s="27"/>
      <c r="MTJ1" s="27"/>
      <c r="MTK1" s="27"/>
      <c r="MTL1" s="27"/>
      <c r="MTM1" s="27"/>
      <c r="MTN1" s="27"/>
      <c r="MTO1" s="27"/>
      <c r="MTP1" s="27"/>
      <c r="MTQ1" s="27"/>
      <c r="MTR1" s="27"/>
      <c r="MTS1" s="27"/>
      <c r="MTT1" s="27"/>
      <c r="MTU1" s="27"/>
      <c r="MTV1" s="27"/>
      <c r="MTW1" s="27"/>
      <c r="MTX1" s="27"/>
      <c r="MTY1" s="27"/>
      <c r="MTZ1" s="27"/>
      <c r="MUA1" s="27"/>
      <c r="MUB1" s="27"/>
      <c r="MUC1" s="27"/>
      <c r="MUD1" s="27"/>
      <c r="MUE1" s="27"/>
      <c r="MUF1" s="27"/>
      <c r="MUG1" s="27"/>
      <c r="MUH1" s="27"/>
      <c r="MUI1" s="27"/>
      <c r="MUJ1" s="27"/>
      <c r="MUK1" s="27"/>
      <c r="MUL1" s="27"/>
      <c r="MUM1" s="27"/>
      <c r="MUN1" s="27"/>
      <c r="MUO1" s="27"/>
      <c r="MUP1" s="27"/>
      <c r="MUQ1" s="27"/>
      <c r="MUR1" s="27"/>
      <c r="MUS1" s="27"/>
      <c r="MUT1" s="27"/>
      <c r="MUU1" s="27"/>
      <c r="MUV1" s="27"/>
      <c r="MUW1" s="27"/>
      <c r="MUX1" s="27"/>
      <c r="MUY1" s="27"/>
      <c r="MUZ1" s="27"/>
      <c r="MVA1" s="27"/>
      <c r="MVB1" s="27"/>
      <c r="MVC1" s="27"/>
      <c r="MVD1" s="27"/>
      <c r="MVE1" s="27"/>
      <c r="MVF1" s="27"/>
      <c r="MVG1" s="27"/>
      <c r="MVH1" s="27"/>
      <c r="MVI1" s="27"/>
      <c r="MVJ1" s="27"/>
      <c r="MVK1" s="27"/>
      <c r="MVL1" s="27"/>
      <c r="MVM1" s="27"/>
      <c r="MVN1" s="27"/>
      <c r="MVO1" s="27"/>
      <c r="MVP1" s="27"/>
      <c r="MVQ1" s="27"/>
      <c r="MVR1" s="27"/>
      <c r="MVS1" s="27"/>
      <c r="MVT1" s="27"/>
      <c r="MVU1" s="27"/>
      <c r="MVV1" s="27"/>
      <c r="MVW1" s="27"/>
      <c r="MVX1" s="27"/>
      <c r="MVY1" s="27"/>
      <c r="MVZ1" s="27"/>
      <c r="MWA1" s="27"/>
      <c r="MWB1" s="27"/>
      <c r="MWC1" s="27"/>
      <c r="MWD1" s="27"/>
      <c r="MWE1" s="27"/>
      <c r="MWF1" s="27"/>
      <c r="MWG1" s="27"/>
      <c r="MWH1" s="27"/>
      <c r="MWI1" s="27"/>
      <c r="MWJ1" s="27"/>
      <c r="MWK1" s="27"/>
      <c r="MWL1" s="27"/>
      <c r="MWM1" s="27"/>
      <c r="MWN1" s="27"/>
      <c r="MWO1" s="27"/>
      <c r="MWP1" s="27"/>
      <c r="MWQ1" s="27"/>
      <c r="MWR1" s="27"/>
      <c r="MWS1" s="27"/>
      <c r="MWT1" s="27"/>
      <c r="MWU1" s="27"/>
      <c r="MWV1" s="27"/>
      <c r="MWW1" s="27"/>
      <c r="MWX1" s="27"/>
      <c r="MWY1" s="27"/>
      <c r="MWZ1" s="27"/>
      <c r="MXA1" s="27"/>
      <c r="MXB1" s="27"/>
      <c r="MXC1" s="27"/>
      <c r="MXD1" s="27"/>
      <c r="MXE1" s="27"/>
      <c r="MXF1" s="27"/>
      <c r="MXG1" s="27"/>
      <c r="MXH1" s="27"/>
      <c r="MXI1" s="27"/>
      <c r="MXJ1" s="27"/>
      <c r="MXK1" s="27"/>
      <c r="MXL1" s="27"/>
      <c r="MXM1" s="27"/>
      <c r="MXN1" s="27"/>
      <c r="MXO1" s="27"/>
      <c r="MXP1" s="27"/>
      <c r="MXQ1" s="27"/>
      <c r="MXR1" s="27"/>
      <c r="MXS1" s="27"/>
      <c r="MXT1" s="27"/>
      <c r="MXU1" s="27"/>
      <c r="MXV1" s="27"/>
      <c r="MXW1" s="27"/>
      <c r="MXX1" s="27"/>
      <c r="MXY1" s="27"/>
      <c r="MXZ1" s="27"/>
      <c r="MYA1" s="27"/>
      <c r="MYB1" s="27"/>
      <c r="MYC1" s="27"/>
      <c r="MYD1" s="27"/>
      <c r="MYE1" s="27"/>
      <c r="MYF1" s="27"/>
      <c r="MYG1" s="27"/>
      <c r="MYH1" s="27"/>
      <c r="MYI1" s="27"/>
      <c r="MYJ1" s="27"/>
      <c r="MYK1" s="27"/>
      <c r="MYL1" s="27"/>
      <c r="MYM1" s="27"/>
      <c r="MYN1" s="27"/>
      <c r="MYO1" s="27"/>
      <c r="MYP1" s="27"/>
      <c r="MYQ1" s="27"/>
      <c r="MYR1" s="27"/>
      <c r="MYS1" s="27"/>
      <c r="MYT1" s="27"/>
      <c r="MYU1" s="27"/>
      <c r="MYV1" s="27"/>
      <c r="MYW1" s="27"/>
      <c r="MYX1" s="27"/>
      <c r="MYY1" s="27"/>
      <c r="MYZ1" s="27"/>
      <c r="MZA1" s="27"/>
      <c r="MZB1" s="27"/>
      <c r="MZC1" s="27"/>
      <c r="MZD1" s="27"/>
      <c r="MZE1" s="27"/>
      <c r="MZF1" s="27"/>
      <c r="MZG1" s="27"/>
      <c r="MZH1" s="27"/>
      <c r="MZI1" s="27"/>
      <c r="MZJ1" s="27"/>
      <c r="MZK1" s="27"/>
      <c r="MZL1" s="27"/>
      <c r="MZM1" s="27"/>
      <c r="MZN1" s="27"/>
      <c r="MZO1" s="27"/>
      <c r="MZP1" s="27"/>
      <c r="MZQ1" s="27"/>
      <c r="MZR1" s="27"/>
      <c r="MZS1" s="27"/>
      <c r="MZT1" s="27"/>
      <c r="MZU1" s="27"/>
      <c r="MZV1" s="27"/>
      <c r="MZW1" s="27"/>
      <c r="MZX1" s="27"/>
      <c r="MZY1" s="27"/>
      <c r="MZZ1" s="27"/>
      <c r="NAA1" s="27"/>
      <c r="NAB1" s="27"/>
      <c r="NAC1" s="27"/>
      <c r="NAD1" s="27"/>
      <c r="NAE1" s="27"/>
      <c r="NAF1" s="27"/>
      <c r="NAG1" s="27"/>
      <c r="NAH1" s="27"/>
      <c r="NAI1" s="27"/>
      <c r="NAJ1" s="27"/>
      <c r="NAK1" s="27"/>
      <c r="NAL1" s="27"/>
      <c r="NAM1" s="27"/>
      <c r="NAN1" s="27"/>
      <c r="NAO1" s="27"/>
      <c r="NAP1" s="27"/>
      <c r="NAQ1" s="27"/>
      <c r="NAR1" s="27"/>
      <c r="NAS1" s="27"/>
      <c r="NAT1" s="27"/>
      <c r="NAU1" s="27"/>
      <c r="NAV1" s="27"/>
      <c r="NAW1" s="27"/>
      <c r="NAX1" s="27"/>
      <c r="NAY1" s="27"/>
      <c r="NAZ1" s="27"/>
      <c r="NBA1" s="27"/>
      <c r="NBB1" s="27"/>
      <c r="NBC1" s="27"/>
      <c r="NBD1" s="27"/>
      <c r="NBE1" s="27"/>
      <c r="NBF1" s="27"/>
      <c r="NBG1" s="27"/>
      <c r="NBH1" s="27"/>
      <c r="NBI1" s="27"/>
      <c r="NBJ1" s="27"/>
      <c r="NBK1" s="27"/>
      <c r="NBL1" s="27"/>
      <c r="NBM1" s="27"/>
      <c r="NBN1" s="27"/>
      <c r="NBO1" s="27"/>
      <c r="NBP1" s="27"/>
      <c r="NBQ1" s="27"/>
      <c r="NBR1" s="27"/>
      <c r="NBS1" s="27"/>
      <c r="NBT1" s="27"/>
      <c r="NBU1" s="27"/>
      <c r="NBV1" s="27"/>
      <c r="NBW1" s="27"/>
      <c r="NBX1" s="27"/>
      <c r="NBY1" s="27"/>
      <c r="NBZ1" s="27"/>
      <c r="NCA1" s="27"/>
      <c r="NCB1" s="27"/>
      <c r="NCC1" s="27"/>
      <c r="NCD1" s="27"/>
      <c r="NCE1" s="27"/>
      <c r="NCF1" s="27"/>
      <c r="NCG1" s="27"/>
      <c r="NCH1" s="27"/>
      <c r="NCI1" s="27"/>
      <c r="NCJ1" s="27"/>
      <c r="NCK1" s="27"/>
      <c r="NCL1" s="27"/>
      <c r="NCM1" s="27"/>
      <c r="NCN1" s="27"/>
      <c r="NCO1" s="27"/>
      <c r="NCP1" s="27"/>
      <c r="NCQ1" s="27"/>
      <c r="NCR1" s="27"/>
      <c r="NCS1" s="27"/>
      <c r="NCT1" s="27"/>
      <c r="NCU1" s="27"/>
      <c r="NCV1" s="27"/>
      <c r="NCW1" s="27"/>
      <c r="NCX1" s="27"/>
      <c r="NCY1" s="27"/>
      <c r="NCZ1" s="27"/>
      <c r="NDA1" s="27"/>
      <c r="NDB1" s="27"/>
      <c r="NDC1" s="27"/>
      <c r="NDD1" s="27"/>
      <c r="NDE1" s="27"/>
      <c r="NDF1" s="27"/>
      <c r="NDG1" s="27"/>
      <c r="NDH1" s="27"/>
      <c r="NDI1" s="27"/>
      <c r="NDJ1" s="27"/>
      <c r="NDK1" s="27"/>
      <c r="NDL1" s="27"/>
      <c r="NDM1" s="27"/>
      <c r="NDN1" s="27"/>
      <c r="NDO1" s="27"/>
      <c r="NDP1" s="27"/>
      <c r="NDQ1" s="27"/>
      <c r="NDR1" s="27"/>
      <c r="NDS1" s="27"/>
      <c r="NDT1" s="27"/>
      <c r="NDU1" s="27"/>
      <c r="NDV1" s="27"/>
      <c r="NDW1" s="27"/>
      <c r="NDX1" s="27"/>
      <c r="NDY1" s="27"/>
      <c r="NDZ1" s="27"/>
      <c r="NEA1" s="27"/>
      <c r="NEB1" s="27"/>
      <c r="NEC1" s="27"/>
      <c r="NED1" s="27"/>
      <c r="NEE1" s="27"/>
      <c r="NEF1" s="27"/>
      <c r="NEG1" s="27"/>
      <c r="NEH1" s="27"/>
      <c r="NEI1" s="27"/>
      <c r="NEJ1" s="27"/>
      <c r="NEK1" s="27"/>
      <c r="NEL1" s="27"/>
      <c r="NEM1" s="27"/>
      <c r="NEN1" s="27"/>
      <c r="NEO1" s="27"/>
      <c r="NEP1" s="27"/>
      <c r="NEQ1" s="27"/>
      <c r="NER1" s="27"/>
      <c r="NES1" s="27"/>
      <c r="NET1" s="27"/>
      <c r="NEU1" s="27"/>
      <c r="NEV1" s="27"/>
      <c r="NEW1" s="27"/>
      <c r="NEX1" s="27"/>
      <c r="NEY1" s="27"/>
      <c r="NEZ1" s="27"/>
      <c r="NFA1" s="27"/>
      <c r="NFB1" s="27"/>
      <c r="NFC1" s="27"/>
      <c r="NFD1" s="27"/>
      <c r="NFE1" s="27"/>
      <c r="NFF1" s="27"/>
      <c r="NFG1" s="27"/>
      <c r="NFH1" s="27"/>
      <c r="NFI1" s="27"/>
      <c r="NFJ1" s="27"/>
      <c r="NFK1" s="27"/>
      <c r="NFL1" s="27"/>
      <c r="NFM1" s="27"/>
      <c r="NFN1" s="27"/>
      <c r="NFO1" s="27"/>
      <c r="NFP1" s="27"/>
      <c r="NFQ1" s="27"/>
      <c r="NFR1" s="27"/>
      <c r="NFS1" s="27"/>
      <c r="NFT1" s="27"/>
      <c r="NFU1" s="27"/>
      <c r="NFV1" s="27"/>
      <c r="NFW1" s="27"/>
      <c r="NFX1" s="27"/>
      <c r="NFY1" s="27"/>
      <c r="NFZ1" s="27"/>
      <c r="NGA1" s="27"/>
      <c r="NGB1" s="27"/>
      <c r="NGC1" s="27"/>
      <c r="NGD1" s="27"/>
      <c r="NGE1" s="27"/>
      <c r="NGF1" s="27"/>
      <c r="NGG1" s="27"/>
      <c r="NGH1" s="27"/>
      <c r="NGI1" s="27"/>
      <c r="NGJ1" s="27"/>
      <c r="NGK1" s="27"/>
      <c r="NGL1" s="27"/>
      <c r="NGM1" s="27"/>
      <c r="NGN1" s="27"/>
      <c r="NGO1" s="27"/>
      <c r="NGP1" s="27"/>
      <c r="NGQ1" s="27"/>
      <c r="NGR1" s="27"/>
      <c r="NGS1" s="27"/>
      <c r="NGT1" s="27"/>
      <c r="NGU1" s="27"/>
      <c r="NGV1" s="27"/>
      <c r="NGW1" s="27"/>
      <c r="NGX1" s="27"/>
      <c r="NGY1" s="27"/>
      <c r="NGZ1" s="27"/>
      <c r="NHA1" s="27"/>
      <c r="NHB1" s="27"/>
      <c r="NHC1" s="27"/>
      <c r="NHD1" s="27"/>
      <c r="NHE1" s="27"/>
      <c r="NHF1" s="27"/>
      <c r="NHG1" s="27"/>
      <c r="NHH1" s="27"/>
      <c r="NHI1" s="27"/>
      <c r="NHJ1" s="27"/>
      <c r="NHK1" s="27"/>
      <c r="NHL1" s="27"/>
      <c r="NHM1" s="27"/>
      <c r="NHN1" s="27"/>
      <c r="NHO1" s="27"/>
      <c r="NHP1" s="27"/>
      <c r="NHQ1" s="27"/>
      <c r="NHR1" s="27"/>
      <c r="NHS1" s="27"/>
      <c r="NHT1" s="27"/>
      <c r="NHU1" s="27"/>
      <c r="NHV1" s="27"/>
      <c r="NHW1" s="27"/>
      <c r="NHX1" s="27"/>
      <c r="NHY1" s="27"/>
      <c r="NHZ1" s="27"/>
      <c r="NIA1" s="27"/>
      <c r="NIB1" s="27"/>
      <c r="NIC1" s="27"/>
      <c r="NID1" s="27"/>
      <c r="NIE1" s="27"/>
      <c r="NIF1" s="27"/>
      <c r="NIG1" s="27"/>
      <c r="NIH1" s="27"/>
      <c r="NII1" s="27"/>
      <c r="NIJ1" s="27"/>
      <c r="NIK1" s="27"/>
      <c r="NIL1" s="27"/>
      <c r="NIM1" s="27"/>
      <c r="NIN1" s="27"/>
      <c r="NIO1" s="27"/>
      <c r="NIP1" s="27"/>
      <c r="NIQ1" s="27"/>
      <c r="NIR1" s="27"/>
      <c r="NIS1" s="27"/>
      <c r="NIT1" s="27"/>
      <c r="NIU1" s="27"/>
      <c r="NIV1" s="27"/>
      <c r="NIW1" s="27"/>
      <c r="NIX1" s="27"/>
      <c r="NIY1" s="27"/>
      <c r="NIZ1" s="27"/>
      <c r="NJA1" s="27"/>
      <c r="NJB1" s="27"/>
      <c r="NJC1" s="27"/>
      <c r="NJD1" s="27"/>
      <c r="NJE1" s="27"/>
      <c r="NJF1" s="27"/>
      <c r="NJG1" s="27"/>
      <c r="NJH1" s="27"/>
      <c r="NJI1" s="27"/>
      <c r="NJJ1" s="27"/>
      <c r="NJK1" s="27"/>
      <c r="NJL1" s="27"/>
      <c r="NJM1" s="27"/>
      <c r="NJN1" s="27"/>
      <c r="NJO1" s="27"/>
      <c r="NJP1" s="27"/>
      <c r="NJQ1" s="27"/>
      <c r="NJR1" s="27"/>
      <c r="NJS1" s="27"/>
      <c r="NJT1" s="27"/>
      <c r="NJU1" s="27"/>
      <c r="NJV1" s="27"/>
      <c r="NJW1" s="27"/>
      <c r="NJX1" s="27"/>
      <c r="NJY1" s="27"/>
      <c r="NJZ1" s="27"/>
      <c r="NKA1" s="27"/>
      <c r="NKB1" s="27"/>
      <c r="NKC1" s="27"/>
      <c r="NKD1" s="27"/>
      <c r="NKE1" s="27"/>
      <c r="NKF1" s="27"/>
      <c r="NKG1" s="27"/>
      <c r="NKH1" s="27"/>
      <c r="NKI1" s="27"/>
      <c r="NKJ1" s="27"/>
      <c r="NKK1" s="27"/>
      <c r="NKL1" s="27"/>
      <c r="NKM1" s="27"/>
      <c r="NKN1" s="27"/>
      <c r="NKO1" s="27"/>
      <c r="NKP1" s="27"/>
      <c r="NKQ1" s="27"/>
      <c r="NKR1" s="27"/>
      <c r="NKS1" s="27"/>
      <c r="NKT1" s="27"/>
      <c r="NKU1" s="27"/>
      <c r="NKV1" s="27"/>
      <c r="NKW1" s="27"/>
      <c r="NKX1" s="27"/>
      <c r="NKY1" s="27"/>
      <c r="NKZ1" s="27"/>
      <c r="NLA1" s="27"/>
      <c r="NLB1" s="27"/>
      <c r="NLC1" s="27"/>
      <c r="NLD1" s="27"/>
      <c r="NLE1" s="27"/>
      <c r="NLF1" s="27"/>
      <c r="NLG1" s="27"/>
      <c r="NLH1" s="27"/>
      <c r="NLI1" s="27"/>
      <c r="NLJ1" s="27"/>
      <c r="NLK1" s="27"/>
      <c r="NLL1" s="27"/>
      <c r="NLM1" s="27"/>
      <c r="NLN1" s="27"/>
      <c r="NLO1" s="27"/>
      <c r="NLP1" s="27"/>
      <c r="NLQ1" s="27"/>
      <c r="NLR1" s="27"/>
      <c r="NLS1" s="27"/>
      <c r="NLT1" s="27"/>
      <c r="NLU1" s="27"/>
      <c r="NLV1" s="27"/>
      <c r="NLW1" s="27"/>
      <c r="NLX1" s="27"/>
      <c r="NLY1" s="27"/>
      <c r="NLZ1" s="27"/>
      <c r="NMA1" s="27"/>
      <c r="NMB1" s="27"/>
      <c r="NMC1" s="27"/>
      <c r="NMD1" s="27"/>
      <c r="NME1" s="27"/>
      <c r="NMF1" s="27"/>
      <c r="NMG1" s="27"/>
      <c r="NMH1" s="27"/>
      <c r="NMI1" s="27"/>
      <c r="NMJ1" s="27"/>
      <c r="NMK1" s="27"/>
      <c r="NML1" s="27"/>
      <c r="NMM1" s="27"/>
      <c r="NMN1" s="27"/>
      <c r="NMO1" s="27"/>
      <c r="NMP1" s="27"/>
      <c r="NMQ1" s="27"/>
      <c r="NMR1" s="27"/>
      <c r="NMS1" s="27"/>
      <c r="NMT1" s="27"/>
      <c r="NMU1" s="27"/>
      <c r="NMV1" s="27"/>
      <c r="NMW1" s="27"/>
      <c r="NMX1" s="27"/>
      <c r="NMY1" s="27"/>
      <c r="NMZ1" s="27"/>
      <c r="NNA1" s="27"/>
      <c r="NNB1" s="27"/>
      <c r="NNC1" s="27"/>
      <c r="NND1" s="27"/>
      <c r="NNE1" s="27"/>
      <c r="NNF1" s="27"/>
      <c r="NNG1" s="27"/>
      <c r="NNH1" s="27"/>
      <c r="NNI1" s="27"/>
      <c r="NNJ1" s="27"/>
      <c r="NNK1" s="27"/>
      <c r="NNL1" s="27"/>
      <c r="NNM1" s="27"/>
      <c r="NNN1" s="27"/>
      <c r="NNO1" s="27"/>
      <c r="NNP1" s="27"/>
      <c r="NNQ1" s="27"/>
      <c r="NNR1" s="27"/>
      <c r="NNS1" s="27"/>
      <c r="NNT1" s="27"/>
      <c r="NNU1" s="27"/>
      <c r="NNV1" s="27"/>
      <c r="NNW1" s="27"/>
      <c r="NNX1" s="27"/>
      <c r="NNY1" s="27"/>
      <c r="NNZ1" s="27"/>
      <c r="NOA1" s="27"/>
      <c r="NOB1" s="27"/>
      <c r="NOC1" s="27"/>
      <c r="NOD1" s="27"/>
      <c r="NOE1" s="27"/>
      <c r="NOF1" s="27"/>
      <c r="NOG1" s="27"/>
      <c r="NOH1" s="27"/>
      <c r="NOI1" s="27"/>
      <c r="NOJ1" s="27"/>
      <c r="NOK1" s="27"/>
      <c r="NOL1" s="27"/>
      <c r="NOM1" s="27"/>
      <c r="NON1" s="27"/>
      <c r="NOO1" s="27"/>
      <c r="NOP1" s="27"/>
      <c r="NOQ1" s="27"/>
      <c r="NOR1" s="27"/>
      <c r="NOS1" s="27"/>
      <c r="NOT1" s="27"/>
      <c r="NOU1" s="27"/>
      <c r="NOV1" s="27"/>
      <c r="NOW1" s="27"/>
      <c r="NOX1" s="27"/>
      <c r="NOY1" s="27"/>
      <c r="NOZ1" s="27"/>
      <c r="NPA1" s="27"/>
      <c r="NPB1" s="27"/>
      <c r="NPC1" s="27"/>
      <c r="NPD1" s="27"/>
      <c r="NPE1" s="27"/>
      <c r="NPF1" s="27"/>
      <c r="NPG1" s="27"/>
      <c r="NPH1" s="27"/>
      <c r="NPI1" s="27"/>
      <c r="NPJ1" s="27"/>
      <c r="NPK1" s="27"/>
      <c r="NPL1" s="27"/>
      <c r="NPM1" s="27"/>
      <c r="NPN1" s="27"/>
      <c r="NPO1" s="27"/>
      <c r="NPP1" s="27"/>
      <c r="NPQ1" s="27"/>
      <c r="NPR1" s="27"/>
      <c r="NPS1" s="27"/>
      <c r="NPT1" s="27"/>
      <c r="NPU1" s="27"/>
      <c r="NPV1" s="27"/>
      <c r="NPW1" s="27"/>
      <c r="NPX1" s="27"/>
      <c r="NPY1" s="27"/>
      <c r="NPZ1" s="27"/>
      <c r="NQA1" s="27"/>
      <c r="NQB1" s="27"/>
      <c r="NQC1" s="27"/>
      <c r="NQD1" s="27"/>
      <c r="NQE1" s="27"/>
      <c r="NQF1" s="27"/>
      <c r="NQG1" s="27"/>
      <c r="NQH1" s="27"/>
      <c r="NQI1" s="27"/>
      <c r="NQJ1" s="27"/>
      <c r="NQK1" s="27"/>
      <c r="NQL1" s="27"/>
      <c r="NQM1" s="27"/>
      <c r="NQN1" s="27"/>
      <c r="NQO1" s="27"/>
      <c r="NQP1" s="27"/>
      <c r="NQQ1" s="27"/>
      <c r="NQR1" s="27"/>
      <c r="NQS1" s="27"/>
      <c r="NQT1" s="27"/>
      <c r="NQU1" s="27"/>
      <c r="NQV1" s="27"/>
      <c r="NQW1" s="27"/>
      <c r="NQX1" s="27"/>
      <c r="NQY1" s="27"/>
      <c r="NQZ1" s="27"/>
      <c r="NRA1" s="27"/>
      <c r="NRB1" s="27"/>
      <c r="NRC1" s="27"/>
      <c r="NRD1" s="27"/>
      <c r="NRE1" s="27"/>
      <c r="NRF1" s="27"/>
      <c r="NRG1" s="27"/>
      <c r="NRH1" s="27"/>
      <c r="NRI1" s="27"/>
      <c r="NRJ1" s="27"/>
      <c r="NRK1" s="27"/>
      <c r="NRL1" s="27"/>
      <c r="NRM1" s="27"/>
      <c r="NRN1" s="27"/>
      <c r="NRO1" s="27"/>
      <c r="NRP1" s="27"/>
      <c r="NRQ1" s="27"/>
      <c r="NRR1" s="27"/>
      <c r="NRS1" s="27"/>
      <c r="NRT1" s="27"/>
      <c r="NRU1" s="27"/>
      <c r="NRV1" s="27"/>
      <c r="NRW1" s="27"/>
      <c r="NRX1" s="27"/>
      <c r="NRY1" s="27"/>
      <c r="NRZ1" s="27"/>
      <c r="NSA1" s="27"/>
      <c r="NSB1" s="27"/>
      <c r="NSC1" s="27"/>
      <c r="NSD1" s="27"/>
      <c r="NSE1" s="27"/>
      <c r="NSF1" s="27"/>
      <c r="NSG1" s="27"/>
      <c r="NSH1" s="27"/>
      <c r="NSI1" s="27"/>
      <c r="NSJ1" s="27"/>
      <c r="NSK1" s="27"/>
      <c r="NSL1" s="27"/>
      <c r="NSM1" s="27"/>
      <c r="NSN1" s="27"/>
      <c r="NSO1" s="27"/>
      <c r="NSP1" s="27"/>
      <c r="NSQ1" s="27"/>
      <c r="NSR1" s="27"/>
      <c r="NSS1" s="27"/>
      <c r="NST1" s="27"/>
      <c r="NSU1" s="27"/>
      <c r="NSV1" s="27"/>
      <c r="NSW1" s="27"/>
      <c r="NSX1" s="27"/>
      <c r="NSY1" s="27"/>
      <c r="NSZ1" s="27"/>
      <c r="NTA1" s="27"/>
      <c r="NTB1" s="27"/>
      <c r="NTC1" s="27"/>
      <c r="NTD1" s="27"/>
      <c r="NTE1" s="27"/>
      <c r="NTF1" s="27"/>
      <c r="NTG1" s="27"/>
      <c r="NTH1" s="27"/>
      <c r="NTI1" s="27"/>
      <c r="NTJ1" s="27"/>
      <c r="NTK1" s="27"/>
      <c r="NTL1" s="27"/>
      <c r="NTM1" s="27"/>
      <c r="NTN1" s="27"/>
      <c r="NTO1" s="27"/>
      <c r="NTP1" s="27"/>
      <c r="NTQ1" s="27"/>
      <c r="NTR1" s="27"/>
      <c r="NTS1" s="27"/>
      <c r="NTT1" s="27"/>
      <c r="NTU1" s="27"/>
      <c r="NTV1" s="27"/>
      <c r="NTW1" s="27"/>
      <c r="NTX1" s="27"/>
      <c r="NTY1" s="27"/>
      <c r="NTZ1" s="27"/>
      <c r="NUA1" s="27"/>
      <c r="NUB1" s="27"/>
      <c r="NUC1" s="27"/>
      <c r="NUD1" s="27"/>
      <c r="NUE1" s="27"/>
      <c r="NUF1" s="27"/>
      <c r="NUG1" s="27"/>
      <c r="NUH1" s="27"/>
      <c r="NUI1" s="27"/>
      <c r="NUJ1" s="27"/>
      <c r="NUK1" s="27"/>
      <c r="NUL1" s="27"/>
      <c r="NUM1" s="27"/>
      <c r="NUN1" s="27"/>
      <c r="NUO1" s="27"/>
      <c r="NUP1" s="27"/>
      <c r="NUQ1" s="27"/>
      <c r="NUR1" s="27"/>
      <c r="NUS1" s="27"/>
      <c r="NUT1" s="27"/>
      <c r="NUU1" s="27"/>
      <c r="NUV1" s="27"/>
      <c r="NUW1" s="27"/>
      <c r="NUX1" s="27"/>
      <c r="NUY1" s="27"/>
      <c r="NUZ1" s="27"/>
      <c r="NVA1" s="27"/>
      <c r="NVB1" s="27"/>
      <c r="NVC1" s="27"/>
      <c r="NVD1" s="27"/>
      <c r="NVE1" s="27"/>
      <c r="NVF1" s="27"/>
      <c r="NVG1" s="27"/>
      <c r="NVH1" s="27"/>
      <c r="NVI1" s="27"/>
      <c r="NVJ1" s="27"/>
      <c r="NVK1" s="27"/>
      <c r="NVL1" s="27"/>
      <c r="NVM1" s="27"/>
      <c r="NVN1" s="27"/>
      <c r="NVO1" s="27"/>
      <c r="NVP1" s="27"/>
      <c r="NVQ1" s="27"/>
      <c r="NVR1" s="27"/>
      <c r="NVS1" s="27"/>
      <c r="NVT1" s="27"/>
      <c r="NVU1" s="27"/>
      <c r="NVV1" s="27"/>
      <c r="NVW1" s="27"/>
      <c r="NVX1" s="27"/>
      <c r="NVY1" s="27"/>
      <c r="NVZ1" s="27"/>
      <c r="NWA1" s="27"/>
      <c r="NWB1" s="27"/>
      <c r="NWC1" s="27"/>
      <c r="NWD1" s="27"/>
      <c r="NWE1" s="27"/>
      <c r="NWF1" s="27"/>
      <c r="NWG1" s="27"/>
      <c r="NWH1" s="27"/>
      <c r="NWI1" s="27"/>
      <c r="NWJ1" s="27"/>
      <c r="NWK1" s="27"/>
      <c r="NWL1" s="27"/>
      <c r="NWM1" s="27"/>
      <c r="NWN1" s="27"/>
      <c r="NWO1" s="27"/>
      <c r="NWP1" s="27"/>
      <c r="NWQ1" s="27"/>
      <c r="NWR1" s="27"/>
      <c r="NWS1" s="27"/>
      <c r="NWT1" s="27"/>
      <c r="NWU1" s="27"/>
      <c r="NWV1" s="27"/>
      <c r="NWW1" s="27"/>
      <c r="NWX1" s="27"/>
      <c r="NWY1" s="27"/>
      <c r="NWZ1" s="27"/>
      <c r="NXA1" s="27"/>
      <c r="NXB1" s="27"/>
      <c r="NXC1" s="27"/>
      <c r="NXD1" s="27"/>
      <c r="NXE1" s="27"/>
      <c r="NXF1" s="27"/>
      <c r="NXG1" s="27"/>
      <c r="NXH1" s="27"/>
      <c r="NXI1" s="27"/>
      <c r="NXJ1" s="27"/>
      <c r="NXK1" s="27"/>
      <c r="NXL1" s="27"/>
      <c r="NXM1" s="27"/>
      <c r="NXN1" s="27"/>
      <c r="NXO1" s="27"/>
      <c r="NXP1" s="27"/>
      <c r="NXQ1" s="27"/>
      <c r="NXR1" s="27"/>
      <c r="NXS1" s="27"/>
      <c r="NXT1" s="27"/>
      <c r="NXU1" s="27"/>
      <c r="NXV1" s="27"/>
      <c r="NXW1" s="27"/>
      <c r="NXX1" s="27"/>
      <c r="NXY1" s="27"/>
      <c r="NXZ1" s="27"/>
      <c r="NYA1" s="27"/>
      <c r="NYB1" s="27"/>
      <c r="NYC1" s="27"/>
      <c r="NYD1" s="27"/>
      <c r="NYE1" s="27"/>
      <c r="NYF1" s="27"/>
      <c r="NYG1" s="27"/>
      <c r="NYH1" s="27"/>
      <c r="NYI1" s="27"/>
      <c r="NYJ1" s="27"/>
      <c r="NYK1" s="27"/>
      <c r="NYL1" s="27"/>
      <c r="NYM1" s="27"/>
      <c r="NYN1" s="27"/>
      <c r="NYO1" s="27"/>
      <c r="NYP1" s="27"/>
      <c r="NYQ1" s="27"/>
      <c r="NYR1" s="27"/>
      <c r="NYS1" s="27"/>
      <c r="NYT1" s="27"/>
      <c r="NYU1" s="27"/>
      <c r="NYV1" s="27"/>
      <c r="NYW1" s="27"/>
      <c r="NYX1" s="27"/>
      <c r="NYY1" s="27"/>
      <c r="NYZ1" s="27"/>
      <c r="NZA1" s="27"/>
      <c r="NZB1" s="27"/>
      <c r="NZC1" s="27"/>
      <c r="NZD1" s="27"/>
      <c r="NZE1" s="27"/>
      <c r="NZF1" s="27"/>
      <c r="NZG1" s="27"/>
      <c r="NZH1" s="27"/>
      <c r="NZI1" s="27"/>
      <c r="NZJ1" s="27"/>
      <c r="NZK1" s="27"/>
      <c r="NZL1" s="27"/>
      <c r="NZM1" s="27"/>
      <c r="NZN1" s="27"/>
      <c r="NZO1" s="27"/>
      <c r="NZP1" s="27"/>
      <c r="NZQ1" s="27"/>
      <c r="NZR1" s="27"/>
      <c r="NZS1" s="27"/>
      <c r="NZT1" s="27"/>
      <c r="NZU1" s="27"/>
      <c r="NZV1" s="27"/>
      <c r="NZW1" s="27"/>
      <c r="NZX1" s="27"/>
      <c r="NZY1" s="27"/>
      <c r="NZZ1" s="27"/>
      <c r="OAA1" s="27"/>
      <c r="OAB1" s="27"/>
      <c r="OAC1" s="27"/>
      <c r="OAD1" s="27"/>
      <c r="OAE1" s="27"/>
      <c r="OAF1" s="27"/>
      <c r="OAG1" s="27"/>
      <c r="OAH1" s="27"/>
      <c r="OAI1" s="27"/>
      <c r="OAJ1" s="27"/>
      <c r="OAK1" s="27"/>
      <c r="OAL1" s="27"/>
      <c r="OAM1" s="27"/>
      <c r="OAN1" s="27"/>
      <c r="OAO1" s="27"/>
      <c r="OAP1" s="27"/>
      <c r="OAQ1" s="27"/>
      <c r="OAR1" s="27"/>
      <c r="OAS1" s="27"/>
      <c r="OAT1" s="27"/>
      <c r="OAU1" s="27"/>
      <c r="OAV1" s="27"/>
      <c r="OAW1" s="27"/>
      <c r="OAX1" s="27"/>
      <c r="OAY1" s="27"/>
      <c r="OAZ1" s="27"/>
      <c r="OBA1" s="27"/>
      <c r="OBB1" s="27"/>
      <c r="OBC1" s="27"/>
      <c r="OBD1" s="27"/>
      <c r="OBE1" s="27"/>
      <c r="OBF1" s="27"/>
      <c r="OBG1" s="27"/>
      <c r="OBH1" s="27"/>
      <c r="OBI1" s="27"/>
      <c r="OBJ1" s="27"/>
      <c r="OBK1" s="27"/>
      <c r="OBL1" s="27"/>
      <c r="OBM1" s="27"/>
      <c r="OBN1" s="27"/>
      <c r="OBO1" s="27"/>
      <c r="OBP1" s="27"/>
      <c r="OBQ1" s="27"/>
      <c r="OBR1" s="27"/>
      <c r="OBS1" s="27"/>
      <c r="OBT1" s="27"/>
      <c r="OBU1" s="27"/>
      <c r="OBV1" s="27"/>
      <c r="OBW1" s="27"/>
      <c r="OBX1" s="27"/>
      <c r="OBY1" s="27"/>
      <c r="OBZ1" s="27"/>
      <c r="OCA1" s="27"/>
      <c r="OCB1" s="27"/>
      <c r="OCC1" s="27"/>
      <c r="OCD1" s="27"/>
      <c r="OCE1" s="27"/>
      <c r="OCF1" s="27"/>
      <c r="OCG1" s="27"/>
      <c r="OCH1" s="27"/>
      <c r="OCI1" s="27"/>
      <c r="OCJ1" s="27"/>
      <c r="OCK1" s="27"/>
      <c r="OCL1" s="27"/>
      <c r="OCM1" s="27"/>
      <c r="OCN1" s="27"/>
      <c r="OCO1" s="27"/>
      <c r="OCP1" s="27"/>
      <c r="OCQ1" s="27"/>
      <c r="OCR1" s="27"/>
      <c r="OCS1" s="27"/>
      <c r="OCT1" s="27"/>
      <c r="OCU1" s="27"/>
      <c r="OCV1" s="27"/>
      <c r="OCW1" s="27"/>
      <c r="OCX1" s="27"/>
      <c r="OCY1" s="27"/>
      <c r="OCZ1" s="27"/>
      <c r="ODA1" s="27"/>
      <c r="ODB1" s="27"/>
      <c r="ODC1" s="27"/>
      <c r="ODD1" s="27"/>
      <c r="ODE1" s="27"/>
      <c r="ODF1" s="27"/>
      <c r="ODG1" s="27"/>
      <c r="ODH1" s="27"/>
      <c r="ODI1" s="27"/>
      <c r="ODJ1" s="27"/>
      <c r="ODK1" s="27"/>
      <c r="ODL1" s="27"/>
      <c r="ODM1" s="27"/>
      <c r="ODN1" s="27"/>
      <c r="ODO1" s="27"/>
      <c r="ODP1" s="27"/>
      <c r="ODQ1" s="27"/>
      <c r="ODR1" s="27"/>
      <c r="ODS1" s="27"/>
      <c r="ODT1" s="27"/>
      <c r="ODU1" s="27"/>
      <c r="ODV1" s="27"/>
      <c r="ODW1" s="27"/>
      <c r="ODX1" s="27"/>
      <c r="ODY1" s="27"/>
      <c r="ODZ1" s="27"/>
      <c r="OEA1" s="27"/>
      <c r="OEB1" s="27"/>
      <c r="OEC1" s="27"/>
      <c r="OED1" s="27"/>
      <c r="OEE1" s="27"/>
      <c r="OEF1" s="27"/>
      <c r="OEG1" s="27"/>
      <c r="OEH1" s="27"/>
      <c r="OEI1" s="27"/>
      <c r="OEJ1" s="27"/>
      <c r="OEK1" s="27"/>
      <c r="OEL1" s="27"/>
      <c r="OEM1" s="27"/>
      <c r="OEN1" s="27"/>
      <c r="OEO1" s="27"/>
      <c r="OEP1" s="27"/>
      <c r="OEQ1" s="27"/>
      <c r="OER1" s="27"/>
      <c r="OES1" s="27"/>
      <c r="OET1" s="27"/>
      <c r="OEU1" s="27"/>
      <c r="OEV1" s="27"/>
      <c r="OEW1" s="27"/>
      <c r="OEX1" s="27"/>
      <c r="OEY1" s="27"/>
      <c r="OEZ1" s="27"/>
      <c r="OFA1" s="27"/>
      <c r="OFB1" s="27"/>
      <c r="OFC1" s="27"/>
      <c r="OFD1" s="27"/>
      <c r="OFE1" s="27"/>
      <c r="OFF1" s="27"/>
      <c r="OFG1" s="27"/>
      <c r="OFH1" s="27"/>
      <c r="OFI1" s="27"/>
      <c r="OFJ1" s="27"/>
      <c r="OFK1" s="27"/>
      <c r="OFL1" s="27"/>
      <c r="OFM1" s="27"/>
      <c r="OFN1" s="27"/>
      <c r="OFO1" s="27"/>
      <c r="OFP1" s="27"/>
      <c r="OFQ1" s="27"/>
      <c r="OFR1" s="27"/>
      <c r="OFS1" s="27"/>
      <c r="OFT1" s="27"/>
      <c r="OFU1" s="27"/>
      <c r="OFV1" s="27"/>
      <c r="OFW1" s="27"/>
      <c r="OFX1" s="27"/>
      <c r="OFY1" s="27"/>
      <c r="OFZ1" s="27"/>
      <c r="OGA1" s="27"/>
      <c r="OGB1" s="27"/>
      <c r="OGC1" s="27"/>
      <c r="OGD1" s="27"/>
      <c r="OGE1" s="27"/>
      <c r="OGF1" s="27"/>
      <c r="OGG1" s="27"/>
      <c r="OGH1" s="27"/>
      <c r="OGI1" s="27"/>
      <c r="OGJ1" s="27"/>
      <c r="OGK1" s="27"/>
      <c r="OGL1" s="27"/>
      <c r="OGM1" s="27"/>
      <c r="OGN1" s="27"/>
      <c r="OGO1" s="27"/>
      <c r="OGP1" s="27"/>
      <c r="OGQ1" s="27"/>
      <c r="OGR1" s="27"/>
      <c r="OGS1" s="27"/>
      <c r="OGT1" s="27"/>
      <c r="OGU1" s="27"/>
      <c r="OGV1" s="27"/>
      <c r="OGW1" s="27"/>
      <c r="OGX1" s="27"/>
      <c r="OGY1" s="27"/>
      <c r="OGZ1" s="27"/>
      <c r="OHA1" s="27"/>
      <c r="OHB1" s="27"/>
      <c r="OHC1" s="27"/>
      <c r="OHD1" s="27"/>
      <c r="OHE1" s="27"/>
      <c r="OHF1" s="27"/>
      <c r="OHG1" s="27"/>
      <c r="OHH1" s="27"/>
      <c r="OHI1" s="27"/>
      <c r="OHJ1" s="27"/>
      <c r="OHK1" s="27"/>
      <c r="OHL1" s="27"/>
      <c r="OHM1" s="27"/>
      <c r="OHN1" s="27"/>
      <c r="OHO1" s="27"/>
      <c r="OHP1" s="27"/>
      <c r="OHQ1" s="27"/>
      <c r="OHR1" s="27"/>
      <c r="OHS1" s="27"/>
      <c r="OHT1" s="27"/>
      <c r="OHU1" s="27"/>
      <c r="OHV1" s="27"/>
      <c r="OHW1" s="27"/>
      <c r="OHX1" s="27"/>
      <c r="OHY1" s="27"/>
      <c r="OHZ1" s="27"/>
      <c r="OIA1" s="27"/>
      <c r="OIB1" s="27"/>
      <c r="OIC1" s="27"/>
      <c r="OID1" s="27"/>
      <c r="OIE1" s="27"/>
      <c r="OIF1" s="27"/>
      <c r="OIG1" s="27"/>
      <c r="OIH1" s="27"/>
      <c r="OII1" s="27"/>
      <c r="OIJ1" s="27"/>
      <c r="OIK1" s="27"/>
      <c r="OIL1" s="27"/>
      <c r="OIM1" s="27"/>
      <c r="OIN1" s="27"/>
      <c r="OIO1" s="27"/>
      <c r="OIP1" s="27"/>
      <c r="OIQ1" s="27"/>
      <c r="OIR1" s="27"/>
      <c r="OIS1" s="27"/>
      <c r="OIT1" s="27"/>
      <c r="OIU1" s="27"/>
      <c r="OIV1" s="27"/>
      <c r="OIW1" s="27"/>
      <c r="OIX1" s="27"/>
      <c r="OIY1" s="27"/>
      <c r="OIZ1" s="27"/>
      <c r="OJA1" s="27"/>
      <c r="OJB1" s="27"/>
      <c r="OJC1" s="27"/>
      <c r="OJD1" s="27"/>
      <c r="OJE1" s="27"/>
      <c r="OJF1" s="27"/>
      <c r="OJG1" s="27"/>
      <c r="OJH1" s="27"/>
      <c r="OJI1" s="27"/>
      <c r="OJJ1" s="27"/>
      <c r="OJK1" s="27"/>
      <c r="OJL1" s="27"/>
      <c r="OJM1" s="27"/>
      <c r="OJN1" s="27"/>
      <c r="OJO1" s="27"/>
      <c r="OJP1" s="27"/>
      <c r="OJQ1" s="27"/>
      <c r="OJR1" s="27"/>
      <c r="OJS1" s="27"/>
      <c r="OJT1" s="27"/>
      <c r="OJU1" s="27"/>
      <c r="OJV1" s="27"/>
      <c r="OJW1" s="27"/>
      <c r="OJX1" s="27"/>
      <c r="OJY1" s="27"/>
      <c r="OJZ1" s="27"/>
      <c r="OKA1" s="27"/>
      <c r="OKB1" s="27"/>
      <c r="OKC1" s="27"/>
      <c r="OKD1" s="27"/>
      <c r="OKE1" s="27"/>
      <c r="OKF1" s="27"/>
      <c r="OKG1" s="27"/>
      <c r="OKH1" s="27"/>
      <c r="OKI1" s="27"/>
      <c r="OKJ1" s="27"/>
      <c r="OKK1" s="27"/>
      <c r="OKL1" s="27"/>
      <c r="OKM1" s="27"/>
      <c r="OKN1" s="27"/>
      <c r="OKO1" s="27"/>
      <c r="OKP1" s="27"/>
      <c r="OKQ1" s="27"/>
      <c r="OKR1" s="27"/>
      <c r="OKS1" s="27"/>
      <c r="OKT1" s="27"/>
      <c r="OKU1" s="27"/>
      <c r="OKV1" s="27"/>
      <c r="OKW1" s="27"/>
      <c r="OKX1" s="27"/>
      <c r="OKY1" s="27"/>
      <c r="OKZ1" s="27"/>
      <c r="OLA1" s="27"/>
      <c r="OLB1" s="27"/>
      <c r="OLC1" s="27"/>
      <c r="OLD1" s="27"/>
      <c r="OLE1" s="27"/>
      <c r="OLF1" s="27"/>
      <c r="OLG1" s="27"/>
      <c r="OLH1" s="27"/>
      <c r="OLI1" s="27"/>
      <c r="OLJ1" s="27"/>
      <c r="OLK1" s="27"/>
      <c r="OLL1" s="27"/>
      <c r="OLM1" s="27"/>
      <c r="OLN1" s="27"/>
      <c r="OLO1" s="27"/>
      <c r="OLP1" s="27"/>
      <c r="OLQ1" s="27"/>
      <c r="OLR1" s="27"/>
      <c r="OLS1" s="27"/>
      <c r="OLT1" s="27"/>
      <c r="OLU1" s="27"/>
      <c r="OLV1" s="27"/>
      <c r="OLW1" s="27"/>
      <c r="OLX1" s="27"/>
      <c r="OLY1" s="27"/>
      <c r="OLZ1" s="27"/>
      <c r="OMA1" s="27"/>
      <c r="OMB1" s="27"/>
      <c r="OMC1" s="27"/>
      <c r="OMD1" s="27"/>
      <c r="OME1" s="27"/>
      <c r="OMF1" s="27"/>
      <c r="OMG1" s="27"/>
      <c r="OMH1" s="27"/>
      <c r="OMI1" s="27"/>
      <c r="OMJ1" s="27"/>
      <c r="OMK1" s="27"/>
      <c r="OML1" s="27"/>
      <c r="OMM1" s="27"/>
      <c r="OMN1" s="27"/>
      <c r="OMO1" s="27"/>
      <c r="OMP1" s="27"/>
      <c r="OMQ1" s="27"/>
      <c r="OMR1" s="27"/>
      <c r="OMS1" s="27"/>
      <c r="OMT1" s="27"/>
      <c r="OMU1" s="27"/>
      <c r="OMV1" s="27"/>
      <c r="OMW1" s="27"/>
      <c r="OMX1" s="27"/>
      <c r="OMY1" s="27"/>
      <c r="OMZ1" s="27"/>
      <c r="ONA1" s="27"/>
      <c r="ONB1" s="27"/>
      <c r="ONC1" s="27"/>
      <c r="OND1" s="27"/>
      <c r="ONE1" s="27"/>
      <c r="ONF1" s="27"/>
      <c r="ONG1" s="27"/>
      <c r="ONH1" s="27"/>
      <c r="ONI1" s="27"/>
      <c r="ONJ1" s="27"/>
      <c r="ONK1" s="27"/>
      <c r="ONL1" s="27"/>
      <c r="ONM1" s="27"/>
      <c r="ONN1" s="27"/>
      <c r="ONO1" s="27"/>
      <c r="ONP1" s="27"/>
      <c r="ONQ1" s="27"/>
      <c r="ONR1" s="27"/>
      <c r="ONS1" s="27"/>
      <c r="ONT1" s="27"/>
      <c r="ONU1" s="27"/>
      <c r="ONV1" s="27"/>
      <c r="ONW1" s="27"/>
      <c r="ONX1" s="27"/>
      <c r="ONY1" s="27"/>
      <c r="ONZ1" s="27"/>
      <c r="OOA1" s="27"/>
      <c r="OOB1" s="27"/>
      <c r="OOC1" s="27"/>
      <c r="OOD1" s="27"/>
      <c r="OOE1" s="27"/>
      <c r="OOF1" s="27"/>
      <c r="OOG1" s="27"/>
      <c r="OOH1" s="27"/>
      <c r="OOI1" s="27"/>
      <c r="OOJ1" s="27"/>
      <c r="OOK1" s="27"/>
      <c r="OOL1" s="27"/>
      <c r="OOM1" s="27"/>
      <c r="OON1" s="27"/>
      <c r="OOO1" s="27"/>
      <c r="OOP1" s="27"/>
      <c r="OOQ1" s="27"/>
      <c r="OOR1" s="27"/>
      <c r="OOS1" s="27"/>
      <c r="OOT1" s="27"/>
      <c r="OOU1" s="27"/>
      <c r="OOV1" s="27"/>
      <c r="OOW1" s="27"/>
      <c r="OOX1" s="27"/>
      <c r="OOY1" s="27"/>
      <c r="OOZ1" s="27"/>
      <c r="OPA1" s="27"/>
      <c r="OPB1" s="27"/>
      <c r="OPC1" s="27"/>
      <c r="OPD1" s="27"/>
      <c r="OPE1" s="27"/>
      <c r="OPF1" s="27"/>
      <c r="OPG1" s="27"/>
      <c r="OPH1" s="27"/>
      <c r="OPI1" s="27"/>
      <c r="OPJ1" s="27"/>
      <c r="OPK1" s="27"/>
      <c r="OPL1" s="27"/>
      <c r="OPM1" s="27"/>
      <c r="OPN1" s="27"/>
      <c r="OPO1" s="27"/>
      <c r="OPP1" s="27"/>
      <c r="OPQ1" s="27"/>
      <c r="OPR1" s="27"/>
      <c r="OPS1" s="27"/>
      <c r="OPT1" s="27"/>
      <c r="OPU1" s="27"/>
      <c r="OPV1" s="27"/>
      <c r="OPW1" s="27"/>
      <c r="OPX1" s="27"/>
      <c r="OPY1" s="27"/>
      <c r="OPZ1" s="27"/>
      <c r="OQA1" s="27"/>
      <c r="OQB1" s="27"/>
      <c r="OQC1" s="27"/>
      <c r="OQD1" s="27"/>
      <c r="OQE1" s="27"/>
      <c r="OQF1" s="27"/>
      <c r="OQG1" s="27"/>
      <c r="OQH1" s="27"/>
      <c r="OQI1" s="27"/>
      <c r="OQJ1" s="27"/>
      <c r="OQK1" s="27"/>
      <c r="OQL1" s="27"/>
      <c r="OQM1" s="27"/>
      <c r="OQN1" s="27"/>
      <c r="OQO1" s="27"/>
      <c r="OQP1" s="27"/>
      <c r="OQQ1" s="27"/>
      <c r="OQR1" s="27"/>
      <c r="OQS1" s="27"/>
      <c r="OQT1" s="27"/>
      <c r="OQU1" s="27"/>
      <c r="OQV1" s="27"/>
      <c r="OQW1" s="27"/>
      <c r="OQX1" s="27"/>
      <c r="OQY1" s="27"/>
      <c r="OQZ1" s="27"/>
      <c r="ORA1" s="27"/>
      <c r="ORB1" s="27"/>
      <c r="ORC1" s="27"/>
      <c r="ORD1" s="27"/>
      <c r="ORE1" s="27"/>
      <c r="ORF1" s="27"/>
      <c r="ORG1" s="27"/>
      <c r="ORH1" s="27"/>
      <c r="ORI1" s="27"/>
      <c r="ORJ1" s="27"/>
      <c r="ORK1" s="27"/>
      <c r="ORL1" s="27"/>
      <c r="ORM1" s="27"/>
      <c r="ORN1" s="27"/>
      <c r="ORO1" s="27"/>
      <c r="ORP1" s="27"/>
      <c r="ORQ1" s="27"/>
      <c r="ORR1" s="27"/>
      <c r="ORS1" s="27"/>
      <c r="ORT1" s="27"/>
      <c r="ORU1" s="27"/>
      <c r="ORV1" s="27"/>
      <c r="ORW1" s="27"/>
      <c r="ORX1" s="27"/>
      <c r="ORY1" s="27"/>
      <c r="ORZ1" s="27"/>
      <c r="OSA1" s="27"/>
      <c r="OSB1" s="27"/>
      <c r="OSC1" s="27"/>
      <c r="OSD1" s="27"/>
      <c r="OSE1" s="27"/>
      <c r="OSF1" s="27"/>
      <c r="OSG1" s="27"/>
      <c r="OSH1" s="27"/>
      <c r="OSI1" s="27"/>
      <c r="OSJ1" s="27"/>
      <c r="OSK1" s="27"/>
      <c r="OSL1" s="27"/>
      <c r="OSM1" s="27"/>
      <c r="OSN1" s="27"/>
      <c r="OSO1" s="27"/>
      <c r="OSP1" s="27"/>
      <c r="OSQ1" s="27"/>
      <c r="OSR1" s="27"/>
      <c r="OSS1" s="27"/>
      <c r="OST1" s="27"/>
      <c r="OSU1" s="27"/>
      <c r="OSV1" s="27"/>
      <c r="OSW1" s="27"/>
      <c r="OSX1" s="27"/>
      <c r="OSY1" s="27"/>
      <c r="OSZ1" s="27"/>
      <c r="OTA1" s="27"/>
      <c r="OTB1" s="27"/>
      <c r="OTC1" s="27"/>
      <c r="OTD1" s="27"/>
      <c r="OTE1" s="27"/>
      <c r="OTF1" s="27"/>
      <c r="OTG1" s="27"/>
      <c r="OTH1" s="27"/>
      <c r="OTI1" s="27"/>
      <c r="OTJ1" s="27"/>
      <c r="OTK1" s="27"/>
      <c r="OTL1" s="27"/>
      <c r="OTM1" s="27"/>
      <c r="OTN1" s="27"/>
      <c r="OTO1" s="27"/>
      <c r="OTP1" s="27"/>
      <c r="OTQ1" s="27"/>
      <c r="OTR1" s="27"/>
      <c r="OTS1" s="27"/>
      <c r="OTT1" s="27"/>
      <c r="OTU1" s="27"/>
      <c r="OTV1" s="27"/>
      <c r="OTW1" s="27"/>
      <c r="OTX1" s="27"/>
      <c r="OTY1" s="27"/>
      <c r="OTZ1" s="27"/>
      <c r="OUA1" s="27"/>
      <c r="OUB1" s="27"/>
      <c r="OUC1" s="27"/>
      <c r="OUD1" s="27"/>
      <c r="OUE1" s="27"/>
      <c r="OUF1" s="27"/>
      <c r="OUG1" s="27"/>
      <c r="OUH1" s="27"/>
      <c r="OUI1" s="27"/>
      <c r="OUJ1" s="27"/>
      <c r="OUK1" s="27"/>
      <c r="OUL1" s="27"/>
      <c r="OUM1" s="27"/>
      <c r="OUN1" s="27"/>
      <c r="OUO1" s="27"/>
      <c r="OUP1" s="27"/>
      <c r="OUQ1" s="27"/>
      <c r="OUR1" s="27"/>
      <c r="OUS1" s="27"/>
      <c r="OUT1" s="27"/>
      <c r="OUU1" s="27"/>
      <c r="OUV1" s="27"/>
      <c r="OUW1" s="27"/>
      <c r="OUX1" s="27"/>
      <c r="OUY1" s="27"/>
      <c r="OUZ1" s="27"/>
      <c r="OVA1" s="27"/>
      <c r="OVB1" s="27"/>
      <c r="OVC1" s="27"/>
      <c r="OVD1" s="27"/>
      <c r="OVE1" s="27"/>
      <c r="OVF1" s="27"/>
      <c r="OVG1" s="27"/>
      <c r="OVH1" s="27"/>
      <c r="OVI1" s="27"/>
      <c r="OVJ1" s="27"/>
      <c r="OVK1" s="27"/>
      <c r="OVL1" s="27"/>
      <c r="OVM1" s="27"/>
      <c r="OVN1" s="27"/>
      <c r="OVO1" s="27"/>
      <c r="OVP1" s="27"/>
      <c r="OVQ1" s="27"/>
      <c r="OVR1" s="27"/>
      <c r="OVS1" s="27"/>
      <c r="OVT1" s="27"/>
      <c r="OVU1" s="27"/>
      <c r="OVV1" s="27"/>
      <c r="OVW1" s="27"/>
      <c r="OVX1" s="27"/>
      <c r="OVY1" s="27"/>
      <c r="OVZ1" s="27"/>
      <c r="OWA1" s="27"/>
      <c r="OWB1" s="27"/>
      <c r="OWC1" s="27"/>
      <c r="OWD1" s="27"/>
      <c r="OWE1" s="27"/>
      <c r="OWF1" s="27"/>
      <c r="OWG1" s="27"/>
      <c r="OWH1" s="27"/>
      <c r="OWI1" s="27"/>
      <c r="OWJ1" s="27"/>
      <c r="OWK1" s="27"/>
      <c r="OWL1" s="27"/>
      <c r="OWM1" s="27"/>
      <c r="OWN1" s="27"/>
      <c r="OWO1" s="27"/>
      <c r="OWP1" s="27"/>
      <c r="OWQ1" s="27"/>
      <c r="OWR1" s="27"/>
      <c r="OWS1" s="27"/>
      <c r="OWT1" s="27"/>
      <c r="OWU1" s="27"/>
      <c r="OWV1" s="27"/>
      <c r="OWW1" s="27"/>
      <c r="OWX1" s="27"/>
      <c r="OWY1" s="27"/>
      <c r="OWZ1" s="27"/>
      <c r="OXA1" s="27"/>
      <c r="OXB1" s="27"/>
      <c r="OXC1" s="27"/>
      <c r="OXD1" s="27"/>
      <c r="OXE1" s="27"/>
      <c r="OXF1" s="27"/>
      <c r="OXG1" s="27"/>
      <c r="OXH1" s="27"/>
      <c r="OXI1" s="27"/>
      <c r="OXJ1" s="27"/>
      <c r="OXK1" s="27"/>
      <c r="OXL1" s="27"/>
      <c r="OXM1" s="27"/>
      <c r="OXN1" s="27"/>
      <c r="OXO1" s="27"/>
      <c r="OXP1" s="27"/>
      <c r="OXQ1" s="27"/>
      <c r="OXR1" s="27"/>
      <c r="OXS1" s="27"/>
      <c r="OXT1" s="27"/>
      <c r="OXU1" s="27"/>
      <c r="OXV1" s="27"/>
      <c r="OXW1" s="27"/>
      <c r="OXX1" s="27"/>
      <c r="OXY1" s="27"/>
      <c r="OXZ1" s="27"/>
      <c r="OYA1" s="27"/>
      <c r="OYB1" s="27"/>
      <c r="OYC1" s="27"/>
      <c r="OYD1" s="27"/>
      <c r="OYE1" s="27"/>
      <c r="OYF1" s="27"/>
      <c r="OYG1" s="27"/>
      <c r="OYH1" s="27"/>
      <c r="OYI1" s="27"/>
      <c r="OYJ1" s="27"/>
      <c r="OYK1" s="27"/>
      <c r="OYL1" s="27"/>
      <c r="OYM1" s="27"/>
      <c r="OYN1" s="27"/>
      <c r="OYO1" s="27"/>
      <c r="OYP1" s="27"/>
      <c r="OYQ1" s="27"/>
      <c r="OYR1" s="27"/>
      <c r="OYS1" s="27"/>
      <c r="OYT1" s="27"/>
      <c r="OYU1" s="27"/>
      <c r="OYV1" s="27"/>
      <c r="OYW1" s="27"/>
      <c r="OYX1" s="27"/>
      <c r="OYY1" s="27"/>
      <c r="OYZ1" s="27"/>
      <c r="OZA1" s="27"/>
      <c r="OZB1" s="27"/>
      <c r="OZC1" s="27"/>
      <c r="OZD1" s="27"/>
      <c r="OZE1" s="27"/>
      <c r="OZF1" s="27"/>
      <c r="OZG1" s="27"/>
      <c r="OZH1" s="27"/>
      <c r="OZI1" s="27"/>
      <c r="OZJ1" s="27"/>
      <c r="OZK1" s="27"/>
      <c r="OZL1" s="27"/>
      <c r="OZM1" s="27"/>
      <c r="OZN1" s="27"/>
      <c r="OZO1" s="27"/>
      <c r="OZP1" s="27"/>
      <c r="OZQ1" s="27"/>
      <c r="OZR1" s="27"/>
      <c r="OZS1" s="27"/>
      <c r="OZT1" s="27"/>
      <c r="OZU1" s="27"/>
      <c r="OZV1" s="27"/>
      <c r="OZW1" s="27"/>
      <c r="OZX1" s="27"/>
      <c r="OZY1" s="27"/>
      <c r="OZZ1" s="27"/>
      <c r="PAA1" s="27"/>
      <c r="PAB1" s="27"/>
      <c r="PAC1" s="27"/>
      <c r="PAD1" s="27"/>
      <c r="PAE1" s="27"/>
      <c r="PAF1" s="27"/>
      <c r="PAG1" s="27"/>
      <c r="PAH1" s="27"/>
      <c r="PAI1" s="27"/>
      <c r="PAJ1" s="27"/>
      <c r="PAK1" s="27"/>
      <c r="PAL1" s="27"/>
      <c r="PAM1" s="27"/>
      <c r="PAN1" s="27"/>
      <c r="PAO1" s="27"/>
      <c r="PAP1" s="27"/>
      <c r="PAQ1" s="27"/>
      <c r="PAR1" s="27"/>
      <c r="PAS1" s="27"/>
      <c r="PAT1" s="27"/>
      <c r="PAU1" s="27"/>
      <c r="PAV1" s="27"/>
      <c r="PAW1" s="27"/>
      <c r="PAX1" s="27"/>
      <c r="PAY1" s="27"/>
      <c r="PAZ1" s="27"/>
      <c r="PBA1" s="27"/>
      <c r="PBB1" s="27"/>
      <c r="PBC1" s="27"/>
      <c r="PBD1" s="27"/>
      <c r="PBE1" s="27"/>
      <c r="PBF1" s="27"/>
      <c r="PBG1" s="27"/>
      <c r="PBH1" s="27"/>
      <c r="PBI1" s="27"/>
      <c r="PBJ1" s="27"/>
      <c r="PBK1" s="27"/>
      <c r="PBL1" s="27"/>
      <c r="PBM1" s="27"/>
      <c r="PBN1" s="27"/>
      <c r="PBO1" s="27"/>
      <c r="PBP1" s="27"/>
      <c r="PBQ1" s="27"/>
      <c r="PBR1" s="27"/>
      <c r="PBS1" s="27"/>
      <c r="PBT1" s="27"/>
      <c r="PBU1" s="27"/>
      <c r="PBV1" s="27"/>
      <c r="PBW1" s="27"/>
      <c r="PBX1" s="27"/>
      <c r="PBY1" s="27"/>
      <c r="PBZ1" s="27"/>
      <c r="PCA1" s="27"/>
      <c r="PCB1" s="27"/>
      <c r="PCC1" s="27"/>
      <c r="PCD1" s="27"/>
      <c r="PCE1" s="27"/>
      <c r="PCF1" s="27"/>
      <c r="PCG1" s="27"/>
      <c r="PCH1" s="27"/>
      <c r="PCI1" s="27"/>
      <c r="PCJ1" s="27"/>
      <c r="PCK1" s="27"/>
      <c r="PCL1" s="27"/>
      <c r="PCM1" s="27"/>
      <c r="PCN1" s="27"/>
      <c r="PCO1" s="27"/>
      <c r="PCP1" s="27"/>
      <c r="PCQ1" s="27"/>
      <c r="PCR1" s="27"/>
      <c r="PCS1" s="27"/>
      <c r="PCT1" s="27"/>
      <c r="PCU1" s="27"/>
      <c r="PCV1" s="27"/>
      <c r="PCW1" s="27"/>
      <c r="PCX1" s="27"/>
      <c r="PCY1" s="27"/>
      <c r="PCZ1" s="27"/>
      <c r="PDA1" s="27"/>
      <c r="PDB1" s="27"/>
      <c r="PDC1" s="27"/>
      <c r="PDD1" s="27"/>
      <c r="PDE1" s="27"/>
      <c r="PDF1" s="27"/>
      <c r="PDG1" s="27"/>
      <c r="PDH1" s="27"/>
      <c r="PDI1" s="27"/>
      <c r="PDJ1" s="27"/>
      <c r="PDK1" s="27"/>
      <c r="PDL1" s="27"/>
      <c r="PDM1" s="27"/>
      <c r="PDN1" s="27"/>
      <c r="PDO1" s="27"/>
      <c r="PDP1" s="27"/>
      <c r="PDQ1" s="27"/>
      <c r="PDR1" s="27"/>
      <c r="PDS1" s="27"/>
      <c r="PDT1" s="27"/>
      <c r="PDU1" s="27"/>
      <c r="PDV1" s="27"/>
      <c r="PDW1" s="27"/>
      <c r="PDX1" s="27"/>
      <c r="PDY1" s="27"/>
      <c r="PDZ1" s="27"/>
      <c r="PEA1" s="27"/>
      <c r="PEB1" s="27"/>
      <c r="PEC1" s="27"/>
      <c r="PED1" s="27"/>
      <c r="PEE1" s="27"/>
      <c r="PEF1" s="27"/>
      <c r="PEG1" s="27"/>
      <c r="PEH1" s="27"/>
      <c r="PEI1" s="27"/>
      <c r="PEJ1" s="27"/>
      <c r="PEK1" s="27"/>
      <c r="PEL1" s="27"/>
      <c r="PEM1" s="27"/>
      <c r="PEN1" s="27"/>
      <c r="PEO1" s="27"/>
      <c r="PEP1" s="27"/>
      <c r="PEQ1" s="27"/>
      <c r="PER1" s="27"/>
      <c r="PES1" s="27"/>
      <c r="PET1" s="27"/>
      <c r="PEU1" s="27"/>
      <c r="PEV1" s="27"/>
      <c r="PEW1" s="27"/>
      <c r="PEX1" s="27"/>
      <c r="PEY1" s="27"/>
      <c r="PEZ1" s="27"/>
      <c r="PFA1" s="27"/>
      <c r="PFB1" s="27"/>
      <c r="PFC1" s="27"/>
      <c r="PFD1" s="27"/>
      <c r="PFE1" s="27"/>
      <c r="PFF1" s="27"/>
      <c r="PFG1" s="27"/>
      <c r="PFH1" s="27"/>
      <c r="PFI1" s="27"/>
      <c r="PFJ1" s="27"/>
      <c r="PFK1" s="27"/>
      <c r="PFL1" s="27"/>
      <c r="PFM1" s="27"/>
      <c r="PFN1" s="27"/>
      <c r="PFO1" s="27"/>
      <c r="PFP1" s="27"/>
      <c r="PFQ1" s="27"/>
      <c r="PFR1" s="27"/>
      <c r="PFS1" s="27"/>
      <c r="PFT1" s="27"/>
      <c r="PFU1" s="27"/>
      <c r="PFV1" s="27"/>
      <c r="PFW1" s="27"/>
      <c r="PFX1" s="27"/>
      <c r="PFY1" s="27"/>
      <c r="PFZ1" s="27"/>
      <c r="PGA1" s="27"/>
      <c r="PGB1" s="27"/>
      <c r="PGC1" s="27"/>
      <c r="PGD1" s="27"/>
      <c r="PGE1" s="27"/>
      <c r="PGF1" s="27"/>
      <c r="PGG1" s="27"/>
      <c r="PGH1" s="27"/>
      <c r="PGI1" s="27"/>
      <c r="PGJ1" s="27"/>
      <c r="PGK1" s="27"/>
      <c r="PGL1" s="27"/>
      <c r="PGM1" s="27"/>
      <c r="PGN1" s="27"/>
      <c r="PGO1" s="27"/>
      <c r="PGP1" s="27"/>
      <c r="PGQ1" s="27"/>
      <c r="PGR1" s="27"/>
      <c r="PGS1" s="27"/>
      <c r="PGT1" s="27"/>
      <c r="PGU1" s="27"/>
      <c r="PGV1" s="27"/>
      <c r="PGW1" s="27"/>
      <c r="PGX1" s="27"/>
      <c r="PGY1" s="27"/>
      <c r="PGZ1" s="27"/>
      <c r="PHA1" s="27"/>
      <c r="PHB1" s="27"/>
      <c r="PHC1" s="27"/>
      <c r="PHD1" s="27"/>
      <c r="PHE1" s="27"/>
      <c r="PHF1" s="27"/>
      <c r="PHG1" s="27"/>
      <c r="PHH1" s="27"/>
      <c r="PHI1" s="27"/>
      <c r="PHJ1" s="27"/>
      <c r="PHK1" s="27"/>
      <c r="PHL1" s="27"/>
      <c r="PHM1" s="27"/>
      <c r="PHN1" s="27"/>
      <c r="PHO1" s="27"/>
      <c r="PHP1" s="27"/>
      <c r="PHQ1" s="27"/>
      <c r="PHR1" s="27"/>
      <c r="PHS1" s="27"/>
      <c r="PHT1" s="27"/>
      <c r="PHU1" s="27"/>
      <c r="PHV1" s="27"/>
      <c r="PHW1" s="27"/>
      <c r="PHX1" s="27"/>
      <c r="PHY1" s="27"/>
      <c r="PHZ1" s="27"/>
      <c r="PIA1" s="27"/>
      <c r="PIB1" s="27"/>
      <c r="PIC1" s="27"/>
      <c r="PID1" s="27"/>
      <c r="PIE1" s="27"/>
      <c r="PIF1" s="27"/>
      <c r="PIG1" s="27"/>
      <c r="PIH1" s="27"/>
      <c r="PII1" s="27"/>
      <c r="PIJ1" s="27"/>
      <c r="PIK1" s="27"/>
      <c r="PIL1" s="27"/>
      <c r="PIM1" s="27"/>
      <c r="PIN1" s="27"/>
      <c r="PIO1" s="27"/>
      <c r="PIP1" s="27"/>
      <c r="PIQ1" s="27"/>
      <c r="PIR1" s="27"/>
      <c r="PIS1" s="27"/>
      <c r="PIT1" s="27"/>
      <c r="PIU1" s="27"/>
      <c r="PIV1" s="27"/>
      <c r="PIW1" s="27"/>
      <c r="PIX1" s="27"/>
      <c r="PIY1" s="27"/>
      <c r="PIZ1" s="27"/>
      <c r="PJA1" s="27"/>
      <c r="PJB1" s="27"/>
      <c r="PJC1" s="27"/>
      <c r="PJD1" s="27"/>
      <c r="PJE1" s="27"/>
      <c r="PJF1" s="27"/>
      <c r="PJG1" s="27"/>
      <c r="PJH1" s="27"/>
      <c r="PJI1" s="27"/>
      <c r="PJJ1" s="27"/>
      <c r="PJK1" s="27"/>
      <c r="PJL1" s="27"/>
      <c r="PJM1" s="27"/>
      <c r="PJN1" s="27"/>
      <c r="PJO1" s="27"/>
      <c r="PJP1" s="27"/>
      <c r="PJQ1" s="27"/>
      <c r="PJR1" s="27"/>
      <c r="PJS1" s="27"/>
      <c r="PJT1" s="27"/>
      <c r="PJU1" s="27"/>
      <c r="PJV1" s="27"/>
      <c r="PJW1" s="27"/>
      <c r="PJX1" s="27"/>
      <c r="PJY1" s="27"/>
      <c r="PJZ1" s="27"/>
      <c r="PKA1" s="27"/>
      <c r="PKB1" s="27"/>
      <c r="PKC1" s="27"/>
      <c r="PKD1" s="27"/>
      <c r="PKE1" s="27"/>
      <c r="PKF1" s="27"/>
      <c r="PKG1" s="27"/>
      <c r="PKH1" s="27"/>
      <c r="PKI1" s="27"/>
      <c r="PKJ1" s="27"/>
      <c r="PKK1" s="27"/>
      <c r="PKL1" s="27"/>
      <c r="PKM1" s="27"/>
      <c r="PKN1" s="27"/>
      <c r="PKO1" s="27"/>
      <c r="PKP1" s="27"/>
      <c r="PKQ1" s="27"/>
      <c r="PKR1" s="27"/>
      <c r="PKS1" s="27"/>
      <c r="PKT1" s="27"/>
      <c r="PKU1" s="27"/>
      <c r="PKV1" s="27"/>
      <c r="PKW1" s="27"/>
      <c r="PKX1" s="27"/>
      <c r="PKY1" s="27"/>
      <c r="PKZ1" s="27"/>
      <c r="PLA1" s="27"/>
      <c r="PLB1" s="27"/>
      <c r="PLC1" s="27"/>
      <c r="PLD1" s="27"/>
      <c r="PLE1" s="27"/>
      <c r="PLF1" s="27"/>
      <c r="PLG1" s="27"/>
      <c r="PLH1" s="27"/>
      <c r="PLI1" s="27"/>
      <c r="PLJ1" s="27"/>
      <c r="PLK1" s="27"/>
      <c r="PLL1" s="27"/>
      <c r="PLM1" s="27"/>
      <c r="PLN1" s="27"/>
      <c r="PLO1" s="27"/>
      <c r="PLP1" s="27"/>
      <c r="PLQ1" s="27"/>
      <c r="PLR1" s="27"/>
      <c r="PLS1" s="27"/>
      <c r="PLT1" s="27"/>
      <c r="PLU1" s="27"/>
      <c r="PLV1" s="27"/>
      <c r="PLW1" s="27"/>
      <c r="PLX1" s="27"/>
      <c r="PLY1" s="27"/>
      <c r="PLZ1" s="27"/>
      <c r="PMA1" s="27"/>
      <c r="PMB1" s="27"/>
      <c r="PMC1" s="27"/>
      <c r="PMD1" s="27"/>
      <c r="PME1" s="27"/>
      <c r="PMF1" s="27"/>
      <c r="PMG1" s="27"/>
      <c r="PMH1" s="27"/>
      <c r="PMI1" s="27"/>
      <c r="PMJ1" s="27"/>
      <c r="PMK1" s="27"/>
      <c r="PML1" s="27"/>
      <c r="PMM1" s="27"/>
      <c r="PMN1" s="27"/>
      <c r="PMO1" s="27"/>
      <c r="PMP1" s="27"/>
      <c r="PMQ1" s="27"/>
      <c r="PMR1" s="27"/>
      <c r="PMS1" s="27"/>
      <c r="PMT1" s="27"/>
      <c r="PMU1" s="27"/>
      <c r="PMV1" s="27"/>
      <c r="PMW1" s="27"/>
      <c r="PMX1" s="27"/>
      <c r="PMY1" s="27"/>
      <c r="PMZ1" s="27"/>
      <c r="PNA1" s="27"/>
      <c r="PNB1" s="27"/>
      <c r="PNC1" s="27"/>
      <c r="PND1" s="27"/>
      <c r="PNE1" s="27"/>
      <c r="PNF1" s="27"/>
      <c r="PNG1" s="27"/>
      <c r="PNH1" s="27"/>
      <c r="PNI1" s="27"/>
      <c r="PNJ1" s="27"/>
      <c r="PNK1" s="27"/>
      <c r="PNL1" s="27"/>
      <c r="PNM1" s="27"/>
      <c r="PNN1" s="27"/>
      <c r="PNO1" s="27"/>
      <c r="PNP1" s="27"/>
      <c r="PNQ1" s="27"/>
      <c r="PNR1" s="27"/>
      <c r="PNS1" s="27"/>
      <c r="PNT1" s="27"/>
      <c r="PNU1" s="27"/>
      <c r="PNV1" s="27"/>
      <c r="PNW1" s="27"/>
      <c r="PNX1" s="27"/>
      <c r="PNY1" s="27"/>
      <c r="PNZ1" s="27"/>
      <c r="POA1" s="27"/>
      <c r="POB1" s="27"/>
      <c r="POC1" s="27"/>
      <c r="POD1" s="27"/>
      <c r="POE1" s="27"/>
      <c r="POF1" s="27"/>
      <c r="POG1" s="27"/>
      <c r="POH1" s="27"/>
      <c r="POI1" s="27"/>
      <c r="POJ1" s="27"/>
      <c r="POK1" s="27"/>
      <c r="POL1" s="27"/>
      <c r="POM1" s="27"/>
      <c r="PON1" s="27"/>
      <c r="POO1" s="27"/>
      <c r="POP1" s="27"/>
      <c r="POQ1" s="27"/>
      <c r="POR1" s="27"/>
      <c r="POS1" s="27"/>
      <c r="POT1" s="27"/>
      <c r="POU1" s="27"/>
      <c r="POV1" s="27"/>
      <c r="POW1" s="27"/>
      <c r="POX1" s="27"/>
      <c r="POY1" s="27"/>
      <c r="POZ1" s="27"/>
      <c r="PPA1" s="27"/>
      <c r="PPB1" s="27"/>
      <c r="PPC1" s="27"/>
      <c r="PPD1" s="27"/>
      <c r="PPE1" s="27"/>
      <c r="PPF1" s="27"/>
      <c r="PPG1" s="27"/>
      <c r="PPH1" s="27"/>
      <c r="PPI1" s="27"/>
      <c r="PPJ1" s="27"/>
      <c r="PPK1" s="27"/>
      <c r="PPL1" s="27"/>
      <c r="PPM1" s="27"/>
      <c r="PPN1" s="27"/>
      <c r="PPO1" s="27"/>
      <c r="PPP1" s="27"/>
      <c r="PPQ1" s="27"/>
      <c r="PPR1" s="27"/>
      <c r="PPS1" s="27"/>
      <c r="PPT1" s="27"/>
      <c r="PPU1" s="27"/>
      <c r="PPV1" s="27"/>
      <c r="PPW1" s="27"/>
      <c r="PPX1" s="27"/>
      <c r="PPY1" s="27"/>
      <c r="PPZ1" s="27"/>
      <c r="PQA1" s="27"/>
      <c r="PQB1" s="27"/>
      <c r="PQC1" s="27"/>
      <c r="PQD1" s="27"/>
      <c r="PQE1" s="27"/>
      <c r="PQF1" s="27"/>
      <c r="PQG1" s="27"/>
      <c r="PQH1" s="27"/>
      <c r="PQI1" s="27"/>
      <c r="PQJ1" s="27"/>
      <c r="PQK1" s="27"/>
      <c r="PQL1" s="27"/>
      <c r="PQM1" s="27"/>
      <c r="PQN1" s="27"/>
      <c r="PQO1" s="27"/>
      <c r="PQP1" s="27"/>
      <c r="PQQ1" s="27"/>
      <c r="PQR1" s="27"/>
      <c r="PQS1" s="27"/>
      <c r="PQT1" s="27"/>
      <c r="PQU1" s="27"/>
      <c r="PQV1" s="27"/>
      <c r="PQW1" s="27"/>
      <c r="PQX1" s="27"/>
      <c r="PQY1" s="27"/>
      <c r="PQZ1" s="27"/>
      <c r="PRA1" s="27"/>
      <c r="PRB1" s="27"/>
      <c r="PRC1" s="27"/>
      <c r="PRD1" s="27"/>
      <c r="PRE1" s="27"/>
      <c r="PRF1" s="27"/>
      <c r="PRG1" s="27"/>
      <c r="PRH1" s="27"/>
      <c r="PRI1" s="27"/>
      <c r="PRJ1" s="27"/>
      <c r="PRK1" s="27"/>
      <c r="PRL1" s="27"/>
      <c r="PRM1" s="27"/>
      <c r="PRN1" s="27"/>
      <c r="PRO1" s="27"/>
      <c r="PRP1" s="27"/>
      <c r="PRQ1" s="27"/>
      <c r="PRR1" s="27"/>
      <c r="PRS1" s="27"/>
      <c r="PRT1" s="27"/>
      <c r="PRU1" s="27"/>
      <c r="PRV1" s="27"/>
      <c r="PRW1" s="27"/>
      <c r="PRX1" s="27"/>
      <c r="PRY1" s="27"/>
      <c r="PRZ1" s="27"/>
      <c r="PSA1" s="27"/>
      <c r="PSB1" s="27"/>
      <c r="PSC1" s="27"/>
      <c r="PSD1" s="27"/>
      <c r="PSE1" s="27"/>
      <c r="PSF1" s="27"/>
      <c r="PSG1" s="27"/>
      <c r="PSH1" s="27"/>
      <c r="PSI1" s="27"/>
      <c r="PSJ1" s="27"/>
      <c r="PSK1" s="27"/>
      <c r="PSL1" s="27"/>
      <c r="PSM1" s="27"/>
      <c r="PSN1" s="27"/>
      <c r="PSO1" s="27"/>
      <c r="PSP1" s="27"/>
      <c r="PSQ1" s="27"/>
      <c r="PSR1" s="27"/>
      <c r="PSS1" s="27"/>
      <c r="PST1" s="27"/>
      <c r="PSU1" s="27"/>
      <c r="PSV1" s="27"/>
      <c r="PSW1" s="27"/>
      <c r="PSX1" s="27"/>
      <c r="PSY1" s="27"/>
      <c r="PSZ1" s="27"/>
      <c r="PTA1" s="27"/>
      <c r="PTB1" s="27"/>
      <c r="PTC1" s="27"/>
      <c r="PTD1" s="27"/>
      <c r="PTE1" s="27"/>
      <c r="PTF1" s="27"/>
      <c r="PTG1" s="27"/>
      <c r="PTH1" s="27"/>
      <c r="PTI1" s="27"/>
      <c r="PTJ1" s="27"/>
      <c r="PTK1" s="27"/>
      <c r="PTL1" s="27"/>
      <c r="PTM1" s="27"/>
      <c r="PTN1" s="27"/>
      <c r="PTO1" s="27"/>
      <c r="PTP1" s="27"/>
      <c r="PTQ1" s="27"/>
      <c r="PTR1" s="27"/>
      <c r="PTS1" s="27"/>
      <c r="PTT1" s="27"/>
      <c r="PTU1" s="27"/>
      <c r="PTV1" s="27"/>
      <c r="PTW1" s="27"/>
      <c r="PTX1" s="27"/>
      <c r="PTY1" s="27"/>
      <c r="PTZ1" s="27"/>
      <c r="PUA1" s="27"/>
      <c r="PUB1" s="27"/>
      <c r="PUC1" s="27"/>
      <c r="PUD1" s="27"/>
      <c r="PUE1" s="27"/>
      <c r="PUF1" s="27"/>
      <c r="PUG1" s="27"/>
      <c r="PUH1" s="27"/>
      <c r="PUI1" s="27"/>
      <c r="PUJ1" s="27"/>
      <c r="PUK1" s="27"/>
      <c r="PUL1" s="27"/>
      <c r="PUM1" s="27"/>
      <c r="PUN1" s="27"/>
      <c r="PUO1" s="27"/>
      <c r="PUP1" s="27"/>
      <c r="PUQ1" s="27"/>
      <c r="PUR1" s="27"/>
      <c r="PUS1" s="27"/>
      <c r="PUT1" s="27"/>
      <c r="PUU1" s="27"/>
      <c r="PUV1" s="27"/>
      <c r="PUW1" s="27"/>
      <c r="PUX1" s="27"/>
      <c r="PUY1" s="27"/>
      <c r="PUZ1" s="27"/>
      <c r="PVA1" s="27"/>
      <c r="PVB1" s="27"/>
      <c r="PVC1" s="27"/>
      <c r="PVD1" s="27"/>
      <c r="PVE1" s="27"/>
      <c r="PVF1" s="27"/>
      <c r="PVG1" s="27"/>
      <c r="PVH1" s="27"/>
      <c r="PVI1" s="27"/>
      <c r="PVJ1" s="27"/>
      <c r="PVK1" s="27"/>
      <c r="PVL1" s="27"/>
      <c r="PVM1" s="27"/>
      <c r="PVN1" s="27"/>
      <c r="PVO1" s="27"/>
      <c r="PVP1" s="27"/>
      <c r="PVQ1" s="27"/>
      <c r="PVR1" s="27"/>
      <c r="PVS1" s="27"/>
      <c r="PVT1" s="27"/>
      <c r="PVU1" s="27"/>
      <c r="PVV1" s="27"/>
      <c r="PVW1" s="27"/>
      <c r="PVX1" s="27"/>
      <c r="PVY1" s="27"/>
      <c r="PVZ1" s="27"/>
      <c r="PWA1" s="27"/>
      <c r="PWB1" s="27"/>
      <c r="PWC1" s="27"/>
      <c r="PWD1" s="27"/>
      <c r="PWE1" s="27"/>
      <c r="PWF1" s="27"/>
      <c r="PWG1" s="27"/>
      <c r="PWH1" s="27"/>
      <c r="PWI1" s="27"/>
      <c r="PWJ1" s="27"/>
      <c r="PWK1" s="27"/>
      <c r="PWL1" s="27"/>
      <c r="PWM1" s="27"/>
      <c r="PWN1" s="27"/>
      <c r="PWO1" s="27"/>
      <c r="PWP1" s="27"/>
      <c r="PWQ1" s="27"/>
      <c r="PWR1" s="27"/>
      <c r="PWS1" s="27"/>
      <c r="PWT1" s="27"/>
      <c r="PWU1" s="27"/>
      <c r="PWV1" s="27"/>
      <c r="PWW1" s="27"/>
      <c r="PWX1" s="27"/>
      <c r="PWY1" s="27"/>
      <c r="PWZ1" s="27"/>
      <c r="PXA1" s="27"/>
      <c r="PXB1" s="27"/>
      <c r="PXC1" s="27"/>
      <c r="PXD1" s="27"/>
      <c r="PXE1" s="27"/>
      <c r="PXF1" s="27"/>
      <c r="PXG1" s="27"/>
      <c r="PXH1" s="27"/>
      <c r="PXI1" s="27"/>
      <c r="PXJ1" s="27"/>
      <c r="PXK1" s="27"/>
      <c r="PXL1" s="27"/>
      <c r="PXM1" s="27"/>
      <c r="PXN1" s="27"/>
      <c r="PXO1" s="27"/>
      <c r="PXP1" s="27"/>
      <c r="PXQ1" s="27"/>
      <c r="PXR1" s="27"/>
      <c r="PXS1" s="27"/>
      <c r="PXT1" s="27"/>
      <c r="PXU1" s="27"/>
      <c r="PXV1" s="27"/>
      <c r="PXW1" s="27"/>
      <c r="PXX1" s="27"/>
      <c r="PXY1" s="27"/>
      <c r="PXZ1" s="27"/>
      <c r="PYA1" s="27"/>
      <c r="PYB1" s="27"/>
      <c r="PYC1" s="27"/>
      <c r="PYD1" s="27"/>
      <c r="PYE1" s="27"/>
      <c r="PYF1" s="27"/>
      <c r="PYG1" s="27"/>
      <c r="PYH1" s="27"/>
      <c r="PYI1" s="27"/>
      <c r="PYJ1" s="27"/>
      <c r="PYK1" s="27"/>
      <c r="PYL1" s="27"/>
      <c r="PYM1" s="27"/>
      <c r="PYN1" s="27"/>
      <c r="PYO1" s="27"/>
      <c r="PYP1" s="27"/>
      <c r="PYQ1" s="27"/>
      <c r="PYR1" s="27"/>
      <c r="PYS1" s="27"/>
      <c r="PYT1" s="27"/>
      <c r="PYU1" s="27"/>
      <c r="PYV1" s="27"/>
      <c r="PYW1" s="27"/>
      <c r="PYX1" s="27"/>
      <c r="PYY1" s="27"/>
      <c r="PYZ1" s="27"/>
      <c r="PZA1" s="27"/>
      <c r="PZB1" s="27"/>
      <c r="PZC1" s="27"/>
      <c r="PZD1" s="27"/>
      <c r="PZE1" s="27"/>
      <c r="PZF1" s="27"/>
      <c r="PZG1" s="27"/>
      <c r="PZH1" s="27"/>
      <c r="PZI1" s="27"/>
      <c r="PZJ1" s="27"/>
      <c r="PZK1" s="27"/>
      <c r="PZL1" s="27"/>
      <c r="PZM1" s="27"/>
      <c r="PZN1" s="27"/>
      <c r="PZO1" s="27"/>
      <c r="PZP1" s="27"/>
      <c r="PZQ1" s="27"/>
      <c r="PZR1" s="27"/>
      <c r="PZS1" s="27"/>
      <c r="PZT1" s="27"/>
      <c r="PZU1" s="27"/>
      <c r="PZV1" s="27"/>
      <c r="PZW1" s="27"/>
      <c r="PZX1" s="27"/>
      <c r="PZY1" s="27"/>
      <c r="PZZ1" s="27"/>
      <c r="QAA1" s="27"/>
      <c r="QAB1" s="27"/>
      <c r="QAC1" s="27"/>
      <c r="QAD1" s="27"/>
      <c r="QAE1" s="27"/>
      <c r="QAF1" s="27"/>
      <c r="QAG1" s="27"/>
      <c r="QAH1" s="27"/>
      <c r="QAI1" s="27"/>
      <c r="QAJ1" s="27"/>
      <c r="QAK1" s="27"/>
      <c r="QAL1" s="27"/>
      <c r="QAM1" s="27"/>
      <c r="QAN1" s="27"/>
      <c r="QAO1" s="27"/>
      <c r="QAP1" s="27"/>
      <c r="QAQ1" s="27"/>
      <c r="QAR1" s="27"/>
      <c r="QAS1" s="27"/>
      <c r="QAT1" s="27"/>
      <c r="QAU1" s="27"/>
      <c r="QAV1" s="27"/>
      <c r="QAW1" s="27"/>
      <c r="QAX1" s="27"/>
      <c r="QAY1" s="27"/>
      <c r="QAZ1" s="27"/>
      <c r="QBA1" s="27"/>
      <c r="QBB1" s="27"/>
      <c r="QBC1" s="27"/>
      <c r="QBD1" s="27"/>
      <c r="QBE1" s="27"/>
      <c r="QBF1" s="27"/>
      <c r="QBG1" s="27"/>
      <c r="QBH1" s="27"/>
      <c r="QBI1" s="27"/>
      <c r="QBJ1" s="27"/>
      <c r="QBK1" s="27"/>
      <c r="QBL1" s="27"/>
      <c r="QBM1" s="27"/>
      <c r="QBN1" s="27"/>
      <c r="QBO1" s="27"/>
      <c r="QBP1" s="27"/>
      <c r="QBQ1" s="27"/>
      <c r="QBR1" s="27"/>
      <c r="QBS1" s="27"/>
      <c r="QBT1" s="27"/>
      <c r="QBU1" s="27"/>
      <c r="QBV1" s="27"/>
      <c r="QBW1" s="27"/>
      <c r="QBX1" s="27"/>
      <c r="QBY1" s="27"/>
      <c r="QBZ1" s="27"/>
      <c r="QCA1" s="27"/>
      <c r="QCB1" s="27"/>
      <c r="QCC1" s="27"/>
      <c r="QCD1" s="27"/>
      <c r="QCE1" s="27"/>
      <c r="QCF1" s="27"/>
      <c r="QCG1" s="27"/>
      <c r="QCH1" s="27"/>
      <c r="QCI1" s="27"/>
      <c r="QCJ1" s="27"/>
      <c r="QCK1" s="27"/>
      <c r="QCL1" s="27"/>
      <c r="QCM1" s="27"/>
      <c r="QCN1" s="27"/>
      <c r="QCO1" s="27"/>
      <c r="QCP1" s="27"/>
      <c r="QCQ1" s="27"/>
      <c r="QCR1" s="27"/>
      <c r="QCS1" s="27"/>
      <c r="QCT1" s="27"/>
      <c r="QCU1" s="27"/>
      <c r="QCV1" s="27"/>
      <c r="QCW1" s="27"/>
      <c r="QCX1" s="27"/>
      <c r="QCY1" s="27"/>
      <c r="QCZ1" s="27"/>
      <c r="QDA1" s="27"/>
      <c r="QDB1" s="27"/>
      <c r="QDC1" s="27"/>
      <c r="QDD1" s="27"/>
      <c r="QDE1" s="27"/>
      <c r="QDF1" s="27"/>
      <c r="QDG1" s="27"/>
      <c r="QDH1" s="27"/>
      <c r="QDI1" s="27"/>
      <c r="QDJ1" s="27"/>
      <c r="QDK1" s="27"/>
      <c r="QDL1" s="27"/>
      <c r="QDM1" s="27"/>
      <c r="QDN1" s="27"/>
      <c r="QDO1" s="27"/>
      <c r="QDP1" s="27"/>
      <c r="QDQ1" s="27"/>
      <c r="QDR1" s="27"/>
      <c r="QDS1" s="27"/>
      <c r="QDT1" s="27"/>
      <c r="QDU1" s="27"/>
      <c r="QDV1" s="27"/>
      <c r="QDW1" s="27"/>
      <c r="QDX1" s="27"/>
      <c r="QDY1" s="27"/>
      <c r="QDZ1" s="27"/>
      <c r="QEA1" s="27"/>
      <c r="QEB1" s="27"/>
      <c r="QEC1" s="27"/>
      <c r="QED1" s="27"/>
      <c r="QEE1" s="27"/>
      <c r="QEF1" s="27"/>
      <c r="QEG1" s="27"/>
      <c r="QEH1" s="27"/>
      <c r="QEI1" s="27"/>
      <c r="QEJ1" s="27"/>
      <c r="QEK1" s="27"/>
      <c r="QEL1" s="27"/>
      <c r="QEM1" s="27"/>
      <c r="QEN1" s="27"/>
      <c r="QEO1" s="27"/>
      <c r="QEP1" s="27"/>
      <c r="QEQ1" s="27"/>
      <c r="QER1" s="27"/>
      <c r="QES1" s="27"/>
      <c r="QET1" s="27"/>
      <c r="QEU1" s="27"/>
      <c r="QEV1" s="27"/>
      <c r="QEW1" s="27"/>
      <c r="QEX1" s="27"/>
      <c r="QEY1" s="27"/>
      <c r="QEZ1" s="27"/>
      <c r="QFA1" s="27"/>
      <c r="QFB1" s="27"/>
      <c r="QFC1" s="27"/>
      <c r="QFD1" s="27"/>
      <c r="QFE1" s="27"/>
      <c r="QFF1" s="27"/>
      <c r="QFG1" s="27"/>
      <c r="QFH1" s="27"/>
      <c r="QFI1" s="27"/>
      <c r="QFJ1" s="27"/>
      <c r="QFK1" s="27"/>
      <c r="QFL1" s="27"/>
      <c r="QFM1" s="27"/>
      <c r="QFN1" s="27"/>
      <c r="QFO1" s="27"/>
      <c r="QFP1" s="27"/>
      <c r="QFQ1" s="27"/>
      <c r="QFR1" s="27"/>
      <c r="QFS1" s="27"/>
      <c r="QFT1" s="27"/>
      <c r="QFU1" s="27"/>
      <c r="QFV1" s="27"/>
      <c r="QFW1" s="27"/>
      <c r="QFX1" s="27"/>
      <c r="QFY1" s="27"/>
      <c r="QFZ1" s="27"/>
      <c r="QGA1" s="27"/>
      <c r="QGB1" s="27"/>
      <c r="QGC1" s="27"/>
      <c r="QGD1" s="27"/>
      <c r="QGE1" s="27"/>
      <c r="QGF1" s="27"/>
      <c r="QGG1" s="27"/>
      <c r="QGH1" s="27"/>
      <c r="QGI1" s="27"/>
      <c r="QGJ1" s="27"/>
      <c r="QGK1" s="27"/>
      <c r="QGL1" s="27"/>
      <c r="QGM1" s="27"/>
      <c r="QGN1" s="27"/>
      <c r="QGO1" s="27"/>
      <c r="QGP1" s="27"/>
      <c r="QGQ1" s="27"/>
      <c r="QGR1" s="27"/>
      <c r="QGS1" s="27"/>
      <c r="QGT1" s="27"/>
      <c r="QGU1" s="27"/>
      <c r="QGV1" s="27"/>
      <c r="QGW1" s="27"/>
      <c r="QGX1" s="27"/>
      <c r="QGY1" s="27"/>
      <c r="QGZ1" s="27"/>
      <c r="QHA1" s="27"/>
      <c r="QHB1" s="27"/>
      <c r="QHC1" s="27"/>
      <c r="QHD1" s="27"/>
      <c r="QHE1" s="27"/>
      <c r="QHF1" s="27"/>
      <c r="QHG1" s="27"/>
      <c r="QHH1" s="27"/>
      <c r="QHI1" s="27"/>
      <c r="QHJ1" s="27"/>
      <c r="QHK1" s="27"/>
      <c r="QHL1" s="27"/>
      <c r="QHM1" s="27"/>
      <c r="QHN1" s="27"/>
      <c r="QHO1" s="27"/>
      <c r="QHP1" s="27"/>
      <c r="QHQ1" s="27"/>
      <c r="QHR1" s="27"/>
      <c r="QHS1" s="27"/>
      <c r="QHT1" s="27"/>
      <c r="QHU1" s="27"/>
      <c r="QHV1" s="27"/>
      <c r="QHW1" s="27"/>
      <c r="QHX1" s="27"/>
      <c r="QHY1" s="27"/>
      <c r="QHZ1" s="27"/>
      <c r="QIA1" s="27"/>
      <c r="QIB1" s="27"/>
      <c r="QIC1" s="27"/>
      <c r="QID1" s="27"/>
      <c r="QIE1" s="27"/>
      <c r="QIF1" s="27"/>
      <c r="QIG1" s="27"/>
      <c r="QIH1" s="27"/>
      <c r="QII1" s="27"/>
      <c r="QIJ1" s="27"/>
      <c r="QIK1" s="27"/>
      <c r="QIL1" s="27"/>
      <c r="QIM1" s="27"/>
      <c r="QIN1" s="27"/>
      <c r="QIO1" s="27"/>
      <c r="QIP1" s="27"/>
      <c r="QIQ1" s="27"/>
      <c r="QIR1" s="27"/>
      <c r="QIS1" s="27"/>
      <c r="QIT1" s="27"/>
      <c r="QIU1" s="27"/>
      <c r="QIV1" s="27"/>
      <c r="QIW1" s="27"/>
      <c r="QIX1" s="27"/>
      <c r="QIY1" s="27"/>
      <c r="QIZ1" s="27"/>
      <c r="QJA1" s="27"/>
      <c r="QJB1" s="27"/>
      <c r="QJC1" s="27"/>
      <c r="QJD1" s="27"/>
      <c r="QJE1" s="27"/>
      <c r="QJF1" s="27"/>
      <c r="QJG1" s="27"/>
      <c r="QJH1" s="27"/>
      <c r="QJI1" s="27"/>
      <c r="QJJ1" s="27"/>
      <c r="QJK1" s="27"/>
      <c r="QJL1" s="27"/>
      <c r="QJM1" s="27"/>
      <c r="QJN1" s="27"/>
      <c r="QJO1" s="27"/>
      <c r="QJP1" s="27"/>
      <c r="QJQ1" s="27"/>
      <c r="QJR1" s="27"/>
      <c r="QJS1" s="27"/>
      <c r="QJT1" s="27"/>
      <c r="QJU1" s="27"/>
      <c r="QJV1" s="27"/>
      <c r="QJW1" s="27"/>
      <c r="QJX1" s="27"/>
      <c r="QJY1" s="27"/>
      <c r="QJZ1" s="27"/>
      <c r="QKA1" s="27"/>
      <c r="QKB1" s="27"/>
      <c r="QKC1" s="27"/>
      <c r="QKD1" s="27"/>
      <c r="QKE1" s="27"/>
      <c r="QKF1" s="27"/>
      <c r="QKG1" s="27"/>
      <c r="QKH1" s="27"/>
      <c r="QKI1" s="27"/>
      <c r="QKJ1" s="27"/>
      <c r="QKK1" s="27"/>
      <c r="QKL1" s="27"/>
      <c r="QKM1" s="27"/>
      <c r="QKN1" s="27"/>
      <c r="QKO1" s="27"/>
      <c r="QKP1" s="27"/>
      <c r="QKQ1" s="27"/>
      <c r="QKR1" s="27"/>
      <c r="QKS1" s="27"/>
      <c r="QKT1" s="27"/>
      <c r="QKU1" s="27"/>
      <c r="QKV1" s="27"/>
      <c r="QKW1" s="27"/>
      <c r="QKX1" s="27"/>
      <c r="QKY1" s="27"/>
      <c r="QKZ1" s="27"/>
      <c r="QLA1" s="27"/>
      <c r="QLB1" s="27"/>
      <c r="QLC1" s="27"/>
      <c r="QLD1" s="27"/>
      <c r="QLE1" s="27"/>
      <c r="QLF1" s="27"/>
      <c r="QLG1" s="27"/>
      <c r="QLH1" s="27"/>
      <c r="QLI1" s="27"/>
      <c r="QLJ1" s="27"/>
      <c r="QLK1" s="27"/>
      <c r="QLL1" s="27"/>
      <c r="QLM1" s="27"/>
      <c r="QLN1" s="27"/>
      <c r="QLO1" s="27"/>
      <c r="QLP1" s="27"/>
      <c r="QLQ1" s="27"/>
      <c r="QLR1" s="27"/>
      <c r="QLS1" s="27"/>
      <c r="QLT1" s="27"/>
      <c r="QLU1" s="27"/>
      <c r="QLV1" s="27"/>
      <c r="QLW1" s="27"/>
      <c r="QLX1" s="27"/>
      <c r="QLY1" s="27"/>
      <c r="QLZ1" s="27"/>
      <c r="QMA1" s="27"/>
      <c r="QMB1" s="27"/>
      <c r="QMC1" s="27"/>
      <c r="QMD1" s="27"/>
      <c r="QME1" s="27"/>
      <c r="QMF1" s="27"/>
      <c r="QMG1" s="27"/>
      <c r="QMH1" s="27"/>
      <c r="QMI1" s="27"/>
      <c r="QMJ1" s="27"/>
      <c r="QMK1" s="27"/>
      <c r="QML1" s="27"/>
      <c r="QMM1" s="27"/>
      <c r="QMN1" s="27"/>
      <c r="QMO1" s="27"/>
      <c r="QMP1" s="27"/>
      <c r="QMQ1" s="27"/>
      <c r="QMR1" s="27"/>
      <c r="QMS1" s="27"/>
      <c r="QMT1" s="27"/>
      <c r="QMU1" s="27"/>
      <c r="QMV1" s="27"/>
      <c r="QMW1" s="27"/>
      <c r="QMX1" s="27"/>
      <c r="QMY1" s="27"/>
      <c r="QMZ1" s="27"/>
      <c r="QNA1" s="27"/>
      <c r="QNB1" s="27"/>
      <c r="QNC1" s="27"/>
      <c r="QND1" s="27"/>
      <c r="QNE1" s="27"/>
      <c r="QNF1" s="27"/>
      <c r="QNG1" s="27"/>
      <c r="QNH1" s="27"/>
      <c r="QNI1" s="27"/>
      <c r="QNJ1" s="27"/>
      <c r="QNK1" s="27"/>
      <c r="QNL1" s="27"/>
      <c r="QNM1" s="27"/>
      <c r="QNN1" s="27"/>
      <c r="QNO1" s="27"/>
      <c r="QNP1" s="27"/>
      <c r="QNQ1" s="27"/>
      <c r="QNR1" s="27"/>
      <c r="QNS1" s="27"/>
      <c r="QNT1" s="27"/>
      <c r="QNU1" s="27"/>
      <c r="QNV1" s="27"/>
      <c r="QNW1" s="27"/>
      <c r="QNX1" s="27"/>
      <c r="QNY1" s="27"/>
      <c r="QNZ1" s="27"/>
      <c r="QOA1" s="27"/>
      <c r="QOB1" s="27"/>
      <c r="QOC1" s="27"/>
      <c r="QOD1" s="27"/>
      <c r="QOE1" s="27"/>
      <c r="QOF1" s="27"/>
      <c r="QOG1" s="27"/>
      <c r="QOH1" s="27"/>
      <c r="QOI1" s="27"/>
      <c r="QOJ1" s="27"/>
      <c r="QOK1" s="27"/>
      <c r="QOL1" s="27"/>
      <c r="QOM1" s="27"/>
      <c r="QON1" s="27"/>
      <c r="QOO1" s="27"/>
      <c r="QOP1" s="27"/>
      <c r="QOQ1" s="27"/>
      <c r="QOR1" s="27"/>
      <c r="QOS1" s="27"/>
      <c r="QOT1" s="27"/>
      <c r="QOU1" s="27"/>
      <c r="QOV1" s="27"/>
      <c r="QOW1" s="27"/>
      <c r="QOX1" s="27"/>
      <c r="QOY1" s="27"/>
      <c r="QOZ1" s="27"/>
      <c r="QPA1" s="27"/>
      <c r="QPB1" s="27"/>
      <c r="QPC1" s="27"/>
      <c r="QPD1" s="27"/>
      <c r="QPE1" s="27"/>
      <c r="QPF1" s="27"/>
      <c r="QPG1" s="27"/>
      <c r="QPH1" s="27"/>
      <c r="QPI1" s="27"/>
      <c r="QPJ1" s="27"/>
      <c r="QPK1" s="27"/>
      <c r="QPL1" s="27"/>
      <c r="QPM1" s="27"/>
      <c r="QPN1" s="27"/>
      <c r="QPO1" s="27"/>
      <c r="QPP1" s="27"/>
      <c r="QPQ1" s="27"/>
      <c r="QPR1" s="27"/>
      <c r="QPS1" s="27"/>
      <c r="QPT1" s="27"/>
      <c r="QPU1" s="27"/>
      <c r="QPV1" s="27"/>
      <c r="QPW1" s="27"/>
      <c r="QPX1" s="27"/>
      <c r="QPY1" s="27"/>
      <c r="QPZ1" s="27"/>
      <c r="QQA1" s="27"/>
      <c r="QQB1" s="27"/>
      <c r="QQC1" s="27"/>
      <c r="QQD1" s="27"/>
      <c r="QQE1" s="27"/>
      <c r="QQF1" s="27"/>
      <c r="QQG1" s="27"/>
      <c r="QQH1" s="27"/>
      <c r="QQI1" s="27"/>
      <c r="QQJ1" s="27"/>
      <c r="QQK1" s="27"/>
      <c r="QQL1" s="27"/>
      <c r="QQM1" s="27"/>
      <c r="QQN1" s="27"/>
      <c r="QQO1" s="27"/>
      <c r="QQP1" s="27"/>
      <c r="QQQ1" s="27"/>
      <c r="QQR1" s="27"/>
      <c r="QQS1" s="27"/>
      <c r="QQT1" s="27"/>
      <c r="QQU1" s="27"/>
      <c r="QQV1" s="27"/>
      <c r="QQW1" s="27"/>
      <c r="QQX1" s="27"/>
      <c r="QQY1" s="27"/>
      <c r="QQZ1" s="27"/>
      <c r="QRA1" s="27"/>
      <c r="QRB1" s="27"/>
      <c r="QRC1" s="27"/>
      <c r="QRD1" s="27"/>
      <c r="QRE1" s="27"/>
      <c r="QRF1" s="27"/>
      <c r="QRG1" s="27"/>
      <c r="QRH1" s="27"/>
      <c r="QRI1" s="27"/>
      <c r="QRJ1" s="27"/>
      <c r="QRK1" s="27"/>
      <c r="QRL1" s="27"/>
      <c r="QRM1" s="27"/>
      <c r="QRN1" s="27"/>
      <c r="QRO1" s="27"/>
      <c r="QRP1" s="27"/>
      <c r="QRQ1" s="27"/>
      <c r="QRR1" s="27"/>
      <c r="QRS1" s="27"/>
      <c r="QRT1" s="27"/>
      <c r="QRU1" s="27"/>
      <c r="QRV1" s="27"/>
      <c r="QRW1" s="27"/>
      <c r="QRX1" s="27"/>
      <c r="QRY1" s="27"/>
      <c r="QRZ1" s="27"/>
      <c r="QSA1" s="27"/>
      <c r="QSB1" s="27"/>
      <c r="QSC1" s="27"/>
      <c r="QSD1" s="27"/>
      <c r="QSE1" s="27"/>
      <c r="QSF1" s="27"/>
      <c r="QSG1" s="27"/>
      <c r="QSH1" s="27"/>
      <c r="QSI1" s="27"/>
      <c r="QSJ1" s="27"/>
      <c r="QSK1" s="27"/>
      <c r="QSL1" s="27"/>
      <c r="QSM1" s="27"/>
      <c r="QSN1" s="27"/>
      <c r="QSO1" s="27"/>
      <c r="QSP1" s="27"/>
      <c r="QSQ1" s="27"/>
      <c r="QSR1" s="27"/>
      <c r="QSS1" s="27"/>
      <c r="QST1" s="27"/>
      <c r="QSU1" s="27"/>
      <c r="QSV1" s="27"/>
      <c r="QSW1" s="27"/>
      <c r="QSX1" s="27"/>
      <c r="QSY1" s="27"/>
      <c r="QSZ1" s="27"/>
      <c r="QTA1" s="27"/>
      <c r="QTB1" s="27"/>
      <c r="QTC1" s="27"/>
      <c r="QTD1" s="27"/>
      <c r="QTE1" s="27"/>
      <c r="QTF1" s="27"/>
      <c r="QTG1" s="27"/>
      <c r="QTH1" s="27"/>
      <c r="QTI1" s="27"/>
      <c r="QTJ1" s="27"/>
      <c r="QTK1" s="27"/>
      <c r="QTL1" s="27"/>
      <c r="QTM1" s="27"/>
      <c r="QTN1" s="27"/>
      <c r="QTO1" s="27"/>
      <c r="QTP1" s="27"/>
      <c r="QTQ1" s="27"/>
      <c r="QTR1" s="27"/>
      <c r="QTS1" s="27"/>
      <c r="QTT1" s="27"/>
      <c r="QTU1" s="27"/>
      <c r="QTV1" s="27"/>
      <c r="QTW1" s="27"/>
      <c r="QTX1" s="27"/>
      <c r="QTY1" s="27"/>
      <c r="QTZ1" s="27"/>
      <c r="QUA1" s="27"/>
      <c r="QUB1" s="27"/>
      <c r="QUC1" s="27"/>
      <c r="QUD1" s="27"/>
      <c r="QUE1" s="27"/>
      <c r="QUF1" s="27"/>
      <c r="QUG1" s="27"/>
      <c r="QUH1" s="27"/>
      <c r="QUI1" s="27"/>
      <c r="QUJ1" s="27"/>
      <c r="QUK1" s="27"/>
      <c r="QUL1" s="27"/>
      <c r="QUM1" s="27"/>
      <c r="QUN1" s="27"/>
      <c r="QUO1" s="27"/>
      <c r="QUP1" s="27"/>
      <c r="QUQ1" s="27"/>
      <c r="QUR1" s="27"/>
      <c r="QUS1" s="27"/>
      <c r="QUT1" s="27"/>
      <c r="QUU1" s="27"/>
      <c r="QUV1" s="27"/>
      <c r="QUW1" s="27"/>
      <c r="QUX1" s="27"/>
      <c r="QUY1" s="27"/>
      <c r="QUZ1" s="27"/>
      <c r="QVA1" s="27"/>
      <c r="QVB1" s="27"/>
      <c r="QVC1" s="27"/>
      <c r="QVD1" s="27"/>
      <c r="QVE1" s="27"/>
      <c r="QVF1" s="27"/>
      <c r="QVG1" s="27"/>
      <c r="QVH1" s="27"/>
      <c r="QVI1" s="27"/>
      <c r="QVJ1" s="27"/>
      <c r="QVK1" s="27"/>
      <c r="QVL1" s="27"/>
      <c r="QVM1" s="27"/>
      <c r="QVN1" s="27"/>
      <c r="QVO1" s="27"/>
      <c r="QVP1" s="27"/>
      <c r="QVQ1" s="27"/>
      <c r="QVR1" s="27"/>
      <c r="QVS1" s="27"/>
      <c r="QVT1" s="27"/>
      <c r="QVU1" s="27"/>
      <c r="QVV1" s="27"/>
      <c r="QVW1" s="27"/>
      <c r="QVX1" s="27"/>
      <c r="QVY1" s="27"/>
      <c r="QVZ1" s="27"/>
      <c r="QWA1" s="27"/>
      <c r="QWB1" s="27"/>
      <c r="QWC1" s="27"/>
      <c r="QWD1" s="27"/>
      <c r="QWE1" s="27"/>
      <c r="QWF1" s="27"/>
      <c r="QWG1" s="27"/>
      <c r="QWH1" s="27"/>
      <c r="QWI1" s="27"/>
      <c r="QWJ1" s="27"/>
      <c r="QWK1" s="27"/>
      <c r="QWL1" s="27"/>
      <c r="QWM1" s="27"/>
      <c r="QWN1" s="27"/>
      <c r="QWO1" s="27"/>
      <c r="QWP1" s="27"/>
      <c r="QWQ1" s="27"/>
      <c r="QWR1" s="27"/>
      <c r="QWS1" s="27"/>
      <c r="QWT1" s="27"/>
      <c r="QWU1" s="27"/>
      <c r="QWV1" s="27"/>
      <c r="QWW1" s="27"/>
      <c r="QWX1" s="27"/>
      <c r="QWY1" s="27"/>
      <c r="QWZ1" s="27"/>
      <c r="QXA1" s="27"/>
      <c r="QXB1" s="27"/>
      <c r="QXC1" s="27"/>
      <c r="QXD1" s="27"/>
      <c r="QXE1" s="27"/>
      <c r="QXF1" s="27"/>
      <c r="QXG1" s="27"/>
      <c r="QXH1" s="27"/>
      <c r="QXI1" s="27"/>
      <c r="QXJ1" s="27"/>
      <c r="QXK1" s="27"/>
      <c r="QXL1" s="27"/>
      <c r="QXM1" s="27"/>
      <c r="QXN1" s="27"/>
      <c r="QXO1" s="27"/>
      <c r="QXP1" s="27"/>
      <c r="QXQ1" s="27"/>
      <c r="QXR1" s="27"/>
      <c r="QXS1" s="27"/>
      <c r="QXT1" s="27"/>
      <c r="QXU1" s="27"/>
      <c r="QXV1" s="27"/>
      <c r="QXW1" s="27"/>
      <c r="QXX1" s="27"/>
      <c r="QXY1" s="27"/>
      <c r="QXZ1" s="27"/>
      <c r="QYA1" s="27"/>
      <c r="QYB1" s="27"/>
      <c r="QYC1" s="27"/>
      <c r="QYD1" s="27"/>
      <c r="QYE1" s="27"/>
      <c r="QYF1" s="27"/>
      <c r="QYG1" s="27"/>
      <c r="QYH1" s="27"/>
      <c r="QYI1" s="27"/>
      <c r="QYJ1" s="27"/>
      <c r="QYK1" s="27"/>
      <c r="QYL1" s="27"/>
      <c r="QYM1" s="27"/>
      <c r="QYN1" s="27"/>
      <c r="QYO1" s="27"/>
      <c r="QYP1" s="27"/>
      <c r="QYQ1" s="27"/>
      <c r="QYR1" s="27"/>
      <c r="QYS1" s="27"/>
      <c r="QYT1" s="27"/>
      <c r="QYU1" s="27"/>
      <c r="QYV1" s="27"/>
      <c r="QYW1" s="27"/>
      <c r="QYX1" s="27"/>
      <c r="QYY1" s="27"/>
      <c r="QYZ1" s="27"/>
      <c r="QZA1" s="27"/>
      <c r="QZB1" s="27"/>
      <c r="QZC1" s="27"/>
      <c r="QZD1" s="27"/>
      <c r="QZE1" s="27"/>
      <c r="QZF1" s="27"/>
      <c r="QZG1" s="27"/>
      <c r="QZH1" s="27"/>
      <c r="QZI1" s="27"/>
      <c r="QZJ1" s="27"/>
      <c r="QZK1" s="27"/>
      <c r="QZL1" s="27"/>
      <c r="QZM1" s="27"/>
      <c r="QZN1" s="27"/>
      <c r="QZO1" s="27"/>
      <c r="QZP1" s="27"/>
      <c r="QZQ1" s="27"/>
      <c r="QZR1" s="27"/>
      <c r="QZS1" s="27"/>
      <c r="QZT1" s="27"/>
      <c r="QZU1" s="27"/>
      <c r="QZV1" s="27"/>
      <c r="QZW1" s="27"/>
      <c r="QZX1" s="27"/>
      <c r="QZY1" s="27"/>
      <c r="QZZ1" s="27"/>
      <c r="RAA1" s="27"/>
      <c r="RAB1" s="27"/>
      <c r="RAC1" s="27"/>
      <c r="RAD1" s="27"/>
      <c r="RAE1" s="27"/>
      <c r="RAF1" s="27"/>
      <c r="RAG1" s="27"/>
      <c r="RAH1" s="27"/>
      <c r="RAI1" s="27"/>
      <c r="RAJ1" s="27"/>
      <c r="RAK1" s="27"/>
      <c r="RAL1" s="27"/>
      <c r="RAM1" s="27"/>
      <c r="RAN1" s="27"/>
      <c r="RAO1" s="27"/>
      <c r="RAP1" s="27"/>
      <c r="RAQ1" s="27"/>
      <c r="RAR1" s="27"/>
      <c r="RAS1" s="27"/>
      <c r="RAT1" s="27"/>
      <c r="RAU1" s="27"/>
      <c r="RAV1" s="27"/>
      <c r="RAW1" s="27"/>
      <c r="RAX1" s="27"/>
      <c r="RAY1" s="27"/>
      <c r="RAZ1" s="27"/>
      <c r="RBA1" s="27"/>
      <c r="RBB1" s="27"/>
      <c r="RBC1" s="27"/>
      <c r="RBD1" s="27"/>
      <c r="RBE1" s="27"/>
      <c r="RBF1" s="27"/>
      <c r="RBG1" s="27"/>
      <c r="RBH1" s="27"/>
      <c r="RBI1" s="27"/>
      <c r="RBJ1" s="27"/>
      <c r="RBK1" s="27"/>
      <c r="RBL1" s="27"/>
      <c r="RBM1" s="27"/>
      <c r="RBN1" s="27"/>
      <c r="RBO1" s="27"/>
      <c r="RBP1" s="27"/>
      <c r="RBQ1" s="27"/>
      <c r="RBR1" s="27"/>
      <c r="RBS1" s="27"/>
      <c r="RBT1" s="27"/>
      <c r="RBU1" s="27"/>
      <c r="RBV1" s="27"/>
      <c r="RBW1" s="27"/>
      <c r="RBX1" s="27"/>
      <c r="RBY1" s="27"/>
      <c r="RBZ1" s="27"/>
      <c r="RCA1" s="27"/>
      <c r="RCB1" s="27"/>
      <c r="RCC1" s="27"/>
      <c r="RCD1" s="27"/>
      <c r="RCE1" s="27"/>
      <c r="RCF1" s="27"/>
      <c r="RCG1" s="27"/>
      <c r="RCH1" s="27"/>
      <c r="RCI1" s="27"/>
      <c r="RCJ1" s="27"/>
      <c r="RCK1" s="27"/>
      <c r="RCL1" s="27"/>
      <c r="RCM1" s="27"/>
      <c r="RCN1" s="27"/>
      <c r="RCO1" s="27"/>
      <c r="RCP1" s="27"/>
      <c r="RCQ1" s="27"/>
      <c r="RCR1" s="27"/>
      <c r="RCS1" s="27"/>
      <c r="RCT1" s="27"/>
      <c r="RCU1" s="27"/>
      <c r="RCV1" s="27"/>
      <c r="RCW1" s="27"/>
      <c r="RCX1" s="27"/>
      <c r="RCY1" s="27"/>
      <c r="RCZ1" s="27"/>
      <c r="RDA1" s="27"/>
      <c r="RDB1" s="27"/>
      <c r="RDC1" s="27"/>
      <c r="RDD1" s="27"/>
      <c r="RDE1" s="27"/>
      <c r="RDF1" s="27"/>
      <c r="RDG1" s="27"/>
      <c r="RDH1" s="27"/>
      <c r="RDI1" s="27"/>
      <c r="RDJ1" s="27"/>
      <c r="RDK1" s="27"/>
      <c r="RDL1" s="27"/>
      <c r="RDM1" s="27"/>
      <c r="RDN1" s="27"/>
      <c r="RDO1" s="27"/>
      <c r="RDP1" s="27"/>
      <c r="RDQ1" s="27"/>
      <c r="RDR1" s="27"/>
      <c r="RDS1" s="27"/>
      <c r="RDT1" s="27"/>
      <c r="RDU1" s="27"/>
      <c r="RDV1" s="27"/>
      <c r="RDW1" s="27"/>
      <c r="RDX1" s="27"/>
      <c r="RDY1" s="27"/>
      <c r="RDZ1" s="27"/>
      <c r="REA1" s="27"/>
      <c r="REB1" s="27"/>
      <c r="REC1" s="27"/>
      <c r="RED1" s="27"/>
      <c r="REE1" s="27"/>
      <c r="REF1" s="27"/>
      <c r="REG1" s="27"/>
      <c r="REH1" s="27"/>
      <c r="REI1" s="27"/>
      <c r="REJ1" s="27"/>
      <c r="REK1" s="27"/>
      <c r="REL1" s="27"/>
      <c r="REM1" s="27"/>
      <c r="REN1" s="27"/>
      <c r="REO1" s="27"/>
      <c r="REP1" s="27"/>
      <c r="REQ1" s="27"/>
      <c r="RER1" s="27"/>
      <c r="RES1" s="27"/>
      <c r="RET1" s="27"/>
      <c r="REU1" s="27"/>
      <c r="REV1" s="27"/>
      <c r="REW1" s="27"/>
      <c r="REX1" s="27"/>
      <c r="REY1" s="27"/>
      <c r="REZ1" s="27"/>
      <c r="RFA1" s="27"/>
      <c r="RFB1" s="27"/>
      <c r="RFC1" s="27"/>
      <c r="RFD1" s="27"/>
      <c r="RFE1" s="27"/>
      <c r="RFF1" s="27"/>
      <c r="RFG1" s="27"/>
      <c r="RFH1" s="27"/>
      <c r="RFI1" s="27"/>
      <c r="RFJ1" s="27"/>
      <c r="RFK1" s="27"/>
      <c r="RFL1" s="27"/>
      <c r="RFM1" s="27"/>
      <c r="RFN1" s="27"/>
      <c r="RFO1" s="27"/>
      <c r="RFP1" s="27"/>
      <c r="RFQ1" s="27"/>
      <c r="RFR1" s="27"/>
      <c r="RFS1" s="27"/>
      <c r="RFT1" s="27"/>
      <c r="RFU1" s="27"/>
      <c r="RFV1" s="27"/>
      <c r="RFW1" s="27"/>
      <c r="RFX1" s="27"/>
      <c r="RFY1" s="27"/>
      <c r="RFZ1" s="27"/>
      <c r="RGA1" s="27"/>
      <c r="RGB1" s="27"/>
      <c r="RGC1" s="27"/>
      <c r="RGD1" s="27"/>
      <c r="RGE1" s="27"/>
      <c r="RGF1" s="27"/>
      <c r="RGG1" s="27"/>
      <c r="RGH1" s="27"/>
      <c r="RGI1" s="27"/>
      <c r="RGJ1" s="27"/>
      <c r="RGK1" s="27"/>
      <c r="RGL1" s="27"/>
      <c r="RGM1" s="27"/>
      <c r="RGN1" s="27"/>
      <c r="RGO1" s="27"/>
      <c r="RGP1" s="27"/>
      <c r="RGQ1" s="27"/>
      <c r="RGR1" s="27"/>
      <c r="RGS1" s="27"/>
      <c r="RGT1" s="27"/>
      <c r="RGU1" s="27"/>
      <c r="RGV1" s="27"/>
      <c r="RGW1" s="27"/>
      <c r="RGX1" s="27"/>
      <c r="RGY1" s="27"/>
      <c r="RGZ1" s="27"/>
      <c r="RHA1" s="27"/>
      <c r="RHB1" s="27"/>
      <c r="RHC1" s="27"/>
      <c r="RHD1" s="27"/>
      <c r="RHE1" s="27"/>
      <c r="RHF1" s="27"/>
      <c r="RHG1" s="27"/>
      <c r="RHH1" s="27"/>
      <c r="RHI1" s="27"/>
      <c r="RHJ1" s="27"/>
      <c r="RHK1" s="27"/>
      <c r="RHL1" s="27"/>
      <c r="RHM1" s="27"/>
      <c r="RHN1" s="27"/>
      <c r="RHO1" s="27"/>
      <c r="RHP1" s="27"/>
      <c r="RHQ1" s="27"/>
      <c r="RHR1" s="27"/>
      <c r="RHS1" s="27"/>
      <c r="RHT1" s="27"/>
      <c r="RHU1" s="27"/>
      <c r="RHV1" s="27"/>
      <c r="RHW1" s="27"/>
      <c r="RHX1" s="27"/>
      <c r="RHY1" s="27"/>
      <c r="RHZ1" s="27"/>
      <c r="RIA1" s="27"/>
      <c r="RIB1" s="27"/>
      <c r="RIC1" s="27"/>
      <c r="RID1" s="27"/>
      <c r="RIE1" s="27"/>
      <c r="RIF1" s="27"/>
      <c r="RIG1" s="27"/>
      <c r="RIH1" s="27"/>
      <c r="RII1" s="27"/>
      <c r="RIJ1" s="27"/>
      <c r="RIK1" s="27"/>
      <c r="RIL1" s="27"/>
      <c r="RIM1" s="27"/>
      <c r="RIN1" s="27"/>
      <c r="RIO1" s="27"/>
      <c r="RIP1" s="27"/>
      <c r="RIQ1" s="27"/>
      <c r="RIR1" s="27"/>
      <c r="RIS1" s="27"/>
      <c r="RIT1" s="27"/>
      <c r="RIU1" s="27"/>
      <c r="RIV1" s="27"/>
      <c r="RIW1" s="27"/>
      <c r="RIX1" s="27"/>
      <c r="RIY1" s="27"/>
      <c r="RIZ1" s="27"/>
      <c r="RJA1" s="27"/>
      <c r="RJB1" s="27"/>
      <c r="RJC1" s="27"/>
      <c r="RJD1" s="27"/>
      <c r="RJE1" s="27"/>
      <c r="RJF1" s="27"/>
      <c r="RJG1" s="27"/>
      <c r="RJH1" s="27"/>
      <c r="RJI1" s="27"/>
      <c r="RJJ1" s="27"/>
      <c r="RJK1" s="27"/>
      <c r="RJL1" s="27"/>
      <c r="RJM1" s="27"/>
      <c r="RJN1" s="27"/>
      <c r="RJO1" s="27"/>
      <c r="RJP1" s="27"/>
      <c r="RJQ1" s="27"/>
      <c r="RJR1" s="27"/>
      <c r="RJS1" s="27"/>
      <c r="RJT1" s="27"/>
      <c r="RJU1" s="27"/>
      <c r="RJV1" s="27"/>
      <c r="RJW1" s="27"/>
      <c r="RJX1" s="27"/>
      <c r="RJY1" s="27"/>
      <c r="RJZ1" s="27"/>
      <c r="RKA1" s="27"/>
      <c r="RKB1" s="27"/>
      <c r="RKC1" s="27"/>
      <c r="RKD1" s="27"/>
      <c r="RKE1" s="27"/>
      <c r="RKF1" s="27"/>
      <c r="RKG1" s="27"/>
      <c r="RKH1" s="27"/>
      <c r="RKI1" s="27"/>
      <c r="RKJ1" s="27"/>
      <c r="RKK1" s="27"/>
      <c r="RKL1" s="27"/>
      <c r="RKM1" s="27"/>
      <c r="RKN1" s="27"/>
      <c r="RKO1" s="27"/>
      <c r="RKP1" s="27"/>
      <c r="RKQ1" s="27"/>
      <c r="RKR1" s="27"/>
      <c r="RKS1" s="27"/>
      <c r="RKT1" s="27"/>
      <c r="RKU1" s="27"/>
      <c r="RKV1" s="27"/>
      <c r="RKW1" s="27"/>
      <c r="RKX1" s="27"/>
      <c r="RKY1" s="27"/>
      <c r="RKZ1" s="27"/>
      <c r="RLA1" s="27"/>
      <c r="RLB1" s="27"/>
      <c r="RLC1" s="27"/>
      <c r="RLD1" s="27"/>
      <c r="RLE1" s="27"/>
      <c r="RLF1" s="27"/>
      <c r="RLG1" s="27"/>
      <c r="RLH1" s="27"/>
      <c r="RLI1" s="27"/>
      <c r="RLJ1" s="27"/>
      <c r="RLK1" s="27"/>
      <c r="RLL1" s="27"/>
      <c r="RLM1" s="27"/>
      <c r="RLN1" s="27"/>
      <c r="RLO1" s="27"/>
      <c r="RLP1" s="27"/>
      <c r="RLQ1" s="27"/>
      <c r="RLR1" s="27"/>
      <c r="RLS1" s="27"/>
      <c r="RLT1" s="27"/>
      <c r="RLU1" s="27"/>
      <c r="RLV1" s="27"/>
      <c r="RLW1" s="27"/>
      <c r="RLX1" s="27"/>
      <c r="RLY1" s="27"/>
      <c r="RLZ1" s="27"/>
      <c r="RMA1" s="27"/>
      <c r="RMB1" s="27"/>
      <c r="RMC1" s="27"/>
      <c r="RMD1" s="27"/>
      <c r="RME1" s="27"/>
      <c r="RMF1" s="27"/>
      <c r="RMG1" s="27"/>
      <c r="RMH1" s="27"/>
      <c r="RMI1" s="27"/>
      <c r="RMJ1" s="27"/>
      <c r="RMK1" s="27"/>
      <c r="RML1" s="27"/>
      <c r="RMM1" s="27"/>
      <c r="RMN1" s="27"/>
      <c r="RMO1" s="27"/>
      <c r="RMP1" s="27"/>
      <c r="RMQ1" s="27"/>
      <c r="RMR1" s="27"/>
      <c r="RMS1" s="27"/>
      <c r="RMT1" s="27"/>
      <c r="RMU1" s="27"/>
      <c r="RMV1" s="27"/>
      <c r="RMW1" s="27"/>
      <c r="RMX1" s="27"/>
      <c r="RMY1" s="27"/>
      <c r="RMZ1" s="27"/>
      <c r="RNA1" s="27"/>
      <c r="RNB1" s="27"/>
      <c r="RNC1" s="27"/>
      <c r="RND1" s="27"/>
      <c r="RNE1" s="27"/>
      <c r="RNF1" s="27"/>
      <c r="RNG1" s="27"/>
      <c r="RNH1" s="27"/>
      <c r="RNI1" s="27"/>
      <c r="RNJ1" s="27"/>
      <c r="RNK1" s="27"/>
      <c r="RNL1" s="27"/>
      <c r="RNM1" s="27"/>
      <c r="RNN1" s="27"/>
      <c r="RNO1" s="27"/>
      <c r="RNP1" s="27"/>
      <c r="RNQ1" s="27"/>
      <c r="RNR1" s="27"/>
      <c r="RNS1" s="27"/>
      <c r="RNT1" s="27"/>
      <c r="RNU1" s="27"/>
      <c r="RNV1" s="27"/>
      <c r="RNW1" s="27"/>
      <c r="RNX1" s="27"/>
      <c r="RNY1" s="27"/>
      <c r="RNZ1" s="27"/>
      <c r="ROA1" s="27"/>
      <c r="ROB1" s="27"/>
      <c r="ROC1" s="27"/>
      <c r="ROD1" s="27"/>
      <c r="ROE1" s="27"/>
      <c r="ROF1" s="27"/>
      <c r="ROG1" s="27"/>
      <c r="ROH1" s="27"/>
      <c r="ROI1" s="27"/>
      <c r="ROJ1" s="27"/>
      <c r="ROK1" s="27"/>
      <c r="ROL1" s="27"/>
      <c r="ROM1" s="27"/>
      <c r="RON1" s="27"/>
      <c r="ROO1" s="27"/>
      <c r="ROP1" s="27"/>
      <c r="ROQ1" s="27"/>
      <c r="ROR1" s="27"/>
      <c r="ROS1" s="27"/>
      <c r="ROT1" s="27"/>
      <c r="ROU1" s="27"/>
      <c r="ROV1" s="27"/>
      <c r="ROW1" s="27"/>
      <c r="ROX1" s="27"/>
      <c r="ROY1" s="27"/>
      <c r="ROZ1" s="27"/>
      <c r="RPA1" s="27"/>
      <c r="RPB1" s="27"/>
      <c r="RPC1" s="27"/>
      <c r="RPD1" s="27"/>
      <c r="RPE1" s="27"/>
      <c r="RPF1" s="27"/>
      <c r="RPG1" s="27"/>
      <c r="RPH1" s="27"/>
      <c r="RPI1" s="27"/>
      <c r="RPJ1" s="27"/>
      <c r="RPK1" s="27"/>
      <c r="RPL1" s="27"/>
      <c r="RPM1" s="27"/>
      <c r="RPN1" s="27"/>
      <c r="RPO1" s="27"/>
      <c r="RPP1" s="27"/>
      <c r="RPQ1" s="27"/>
      <c r="RPR1" s="27"/>
      <c r="RPS1" s="27"/>
      <c r="RPT1" s="27"/>
      <c r="RPU1" s="27"/>
      <c r="RPV1" s="27"/>
      <c r="RPW1" s="27"/>
      <c r="RPX1" s="27"/>
      <c r="RPY1" s="27"/>
      <c r="RPZ1" s="27"/>
      <c r="RQA1" s="27"/>
      <c r="RQB1" s="27"/>
      <c r="RQC1" s="27"/>
      <c r="RQD1" s="27"/>
      <c r="RQE1" s="27"/>
      <c r="RQF1" s="27"/>
      <c r="RQG1" s="27"/>
      <c r="RQH1" s="27"/>
      <c r="RQI1" s="27"/>
      <c r="RQJ1" s="27"/>
      <c r="RQK1" s="27"/>
      <c r="RQL1" s="27"/>
      <c r="RQM1" s="27"/>
      <c r="RQN1" s="27"/>
      <c r="RQO1" s="27"/>
      <c r="RQP1" s="27"/>
      <c r="RQQ1" s="27"/>
      <c r="RQR1" s="27"/>
      <c r="RQS1" s="27"/>
      <c r="RQT1" s="27"/>
      <c r="RQU1" s="27"/>
      <c r="RQV1" s="27"/>
      <c r="RQW1" s="27"/>
      <c r="RQX1" s="27"/>
      <c r="RQY1" s="27"/>
      <c r="RQZ1" s="27"/>
      <c r="RRA1" s="27"/>
      <c r="RRB1" s="27"/>
      <c r="RRC1" s="27"/>
      <c r="RRD1" s="27"/>
      <c r="RRE1" s="27"/>
      <c r="RRF1" s="27"/>
      <c r="RRG1" s="27"/>
      <c r="RRH1" s="27"/>
      <c r="RRI1" s="27"/>
      <c r="RRJ1" s="27"/>
      <c r="RRK1" s="27"/>
      <c r="RRL1" s="27"/>
      <c r="RRM1" s="27"/>
      <c r="RRN1" s="27"/>
      <c r="RRO1" s="27"/>
      <c r="RRP1" s="27"/>
      <c r="RRQ1" s="27"/>
      <c r="RRR1" s="27"/>
      <c r="RRS1" s="27"/>
      <c r="RRT1" s="27"/>
      <c r="RRU1" s="27"/>
      <c r="RRV1" s="27"/>
      <c r="RRW1" s="27"/>
      <c r="RRX1" s="27"/>
      <c r="RRY1" s="27"/>
      <c r="RRZ1" s="27"/>
      <c r="RSA1" s="27"/>
      <c r="RSB1" s="27"/>
      <c r="RSC1" s="27"/>
      <c r="RSD1" s="27"/>
      <c r="RSE1" s="27"/>
      <c r="RSF1" s="27"/>
      <c r="RSG1" s="27"/>
      <c r="RSH1" s="27"/>
      <c r="RSI1" s="27"/>
      <c r="RSJ1" s="27"/>
      <c r="RSK1" s="27"/>
      <c r="RSL1" s="27"/>
      <c r="RSM1" s="27"/>
      <c r="RSN1" s="27"/>
      <c r="RSO1" s="27"/>
      <c r="RSP1" s="27"/>
      <c r="RSQ1" s="27"/>
      <c r="RSR1" s="27"/>
      <c r="RSS1" s="27"/>
      <c r="RST1" s="27"/>
      <c r="RSU1" s="27"/>
      <c r="RSV1" s="27"/>
      <c r="RSW1" s="27"/>
      <c r="RSX1" s="27"/>
      <c r="RSY1" s="27"/>
      <c r="RSZ1" s="27"/>
      <c r="RTA1" s="27"/>
      <c r="RTB1" s="27"/>
      <c r="RTC1" s="27"/>
      <c r="RTD1" s="27"/>
      <c r="RTE1" s="27"/>
      <c r="RTF1" s="27"/>
      <c r="RTG1" s="27"/>
      <c r="RTH1" s="27"/>
      <c r="RTI1" s="27"/>
      <c r="RTJ1" s="27"/>
      <c r="RTK1" s="27"/>
      <c r="RTL1" s="27"/>
      <c r="RTM1" s="27"/>
      <c r="RTN1" s="27"/>
      <c r="RTO1" s="27"/>
      <c r="RTP1" s="27"/>
      <c r="RTQ1" s="27"/>
      <c r="RTR1" s="27"/>
      <c r="RTS1" s="27"/>
      <c r="RTT1" s="27"/>
      <c r="RTU1" s="27"/>
      <c r="RTV1" s="27"/>
      <c r="RTW1" s="27"/>
      <c r="RTX1" s="27"/>
      <c r="RTY1" s="27"/>
      <c r="RTZ1" s="27"/>
      <c r="RUA1" s="27"/>
      <c r="RUB1" s="27"/>
      <c r="RUC1" s="27"/>
      <c r="RUD1" s="27"/>
      <c r="RUE1" s="27"/>
      <c r="RUF1" s="27"/>
      <c r="RUG1" s="27"/>
      <c r="RUH1" s="27"/>
      <c r="RUI1" s="27"/>
      <c r="RUJ1" s="27"/>
      <c r="RUK1" s="27"/>
      <c r="RUL1" s="27"/>
      <c r="RUM1" s="27"/>
      <c r="RUN1" s="27"/>
      <c r="RUO1" s="27"/>
      <c r="RUP1" s="27"/>
      <c r="RUQ1" s="27"/>
      <c r="RUR1" s="27"/>
      <c r="RUS1" s="27"/>
      <c r="RUT1" s="27"/>
      <c r="RUU1" s="27"/>
      <c r="RUV1" s="27"/>
      <c r="RUW1" s="27"/>
      <c r="RUX1" s="27"/>
      <c r="RUY1" s="27"/>
      <c r="RUZ1" s="27"/>
      <c r="RVA1" s="27"/>
      <c r="RVB1" s="27"/>
      <c r="RVC1" s="27"/>
      <c r="RVD1" s="27"/>
      <c r="RVE1" s="27"/>
      <c r="RVF1" s="27"/>
      <c r="RVG1" s="27"/>
      <c r="RVH1" s="27"/>
      <c r="RVI1" s="27"/>
      <c r="RVJ1" s="27"/>
      <c r="RVK1" s="27"/>
      <c r="RVL1" s="27"/>
      <c r="RVM1" s="27"/>
      <c r="RVN1" s="27"/>
      <c r="RVO1" s="27"/>
      <c r="RVP1" s="27"/>
      <c r="RVQ1" s="27"/>
      <c r="RVR1" s="27"/>
      <c r="RVS1" s="27"/>
      <c r="RVT1" s="27"/>
      <c r="RVU1" s="27"/>
      <c r="RVV1" s="27"/>
      <c r="RVW1" s="27"/>
      <c r="RVX1" s="27"/>
      <c r="RVY1" s="27"/>
      <c r="RVZ1" s="27"/>
      <c r="RWA1" s="27"/>
      <c r="RWB1" s="27"/>
      <c r="RWC1" s="27"/>
      <c r="RWD1" s="27"/>
      <c r="RWE1" s="27"/>
      <c r="RWF1" s="27"/>
      <c r="RWG1" s="27"/>
      <c r="RWH1" s="27"/>
      <c r="RWI1" s="27"/>
      <c r="RWJ1" s="27"/>
      <c r="RWK1" s="27"/>
      <c r="RWL1" s="27"/>
      <c r="RWM1" s="27"/>
      <c r="RWN1" s="27"/>
      <c r="RWO1" s="27"/>
      <c r="RWP1" s="27"/>
      <c r="RWQ1" s="27"/>
      <c r="RWR1" s="27"/>
      <c r="RWS1" s="27"/>
      <c r="RWT1" s="27"/>
      <c r="RWU1" s="27"/>
      <c r="RWV1" s="27"/>
      <c r="RWW1" s="27"/>
      <c r="RWX1" s="27"/>
      <c r="RWY1" s="27"/>
      <c r="RWZ1" s="27"/>
      <c r="RXA1" s="27"/>
      <c r="RXB1" s="27"/>
      <c r="RXC1" s="27"/>
      <c r="RXD1" s="27"/>
      <c r="RXE1" s="27"/>
      <c r="RXF1" s="27"/>
      <c r="RXG1" s="27"/>
      <c r="RXH1" s="27"/>
      <c r="RXI1" s="27"/>
      <c r="RXJ1" s="27"/>
      <c r="RXK1" s="27"/>
      <c r="RXL1" s="27"/>
      <c r="RXM1" s="27"/>
      <c r="RXN1" s="27"/>
      <c r="RXO1" s="27"/>
      <c r="RXP1" s="27"/>
      <c r="RXQ1" s="27"/>
      <c r="RXR1" s="27"/>
      <c r="RXS1" s="27"/>
      <c r="RXT1" s="27"/>
      <c r="RXU1" s="27"/>
      <c r="RXV1" s="27"/>
      <c r="RXW1" s="27"/>
      <c r="RXX1" s="27"/>
      <c r="RXY1" s="27"/>
      <c r="RXZ1" s="27"/>
      <c r="RYA1" s="27"/>
      <c r="RYB1" s="27"/>
      <c r="RYC1" s="27"/>
      <c r="RYD1" s="27"/>
      <c r="RYE1" s="27"/>
      <c r="RYF1" s="27"/>
      <c r="RYG1" s="27"/>
      <c r="RYH1" s="27"/>
      <c r="RYI1" s="27"/>
      <c r="RYJ1" s="27"/>
      <c r="RYK1" s="27"/>
      <c r="RYL1" s="27"/>
      <c r="RYM1" s="27"/>
      <c r="RYN1" s="27"/>
      <c r="RYO1" s="27"/>
      <c r="RYP1" s="27"/>
      <c r="RYQ1" s="27"/>
      <c r="RYR1" s="27"/>
      <c r="RYS1" s="27"/>
      <c r="RYT1" s="27"/>
      <c r="RYU1" s="27"/>
      <c r="RYV1" s="27"/>
      <c r="RYW1" s="27"/>
      <c r="RYX1" s="27"/>
      <c r="RYY1" s="27"/>
      <c r="RYZ1" s="27"/>
      <c r="RZA1" s="27"/>
      <c r="RZB1" s="27"/>
      <c r="RZC1" s="27"/>
      <c r="RZD1" s="27"/>
      <c r="RZE1" s="27"/>
      <c r="RZF1" s="27"/>
      <c r="RZG1" s="27"/>
      <c r="RZH1" s="27"/>
      <c r="RZI1" s="27"/>
      <c r="RZJ1" s="27"/>
      <c r="RZK1" s="27"/>
      <c r="RZL1" s="27"/>
      <c r="RZM1" s="27"/>
      <c r="RZN1" s="27"/>
      <c r="RZO1" s="27"/>
      <c r="RZP1" s="27"/>
      <c r="RZQ1" s="27"/>
      <c r="RZR1" s="27"/>
      <c r="RZS1" s="27"/>
      <c r="RZT1" s="27"/>
      <c r="RZU1" s="27"/>
      <c r="RZV1" s="27"/>
      <c r="RZW1" s="27"/>
      <c r="RZX1" s="27"/>
      <c r="RZY1" s="27"/>
      <c r="RZZ1" s="27"/>
      <c r="SAA1" s="27"/>
      <c r="SAB1" s="27"/>
      <c r="SAC1" s="27"/>
      <c r="SAD1" s="27"/>
      <c r="SAE1" s="27"/>
      <c r="SAF1" s="27"/>
      <c r="SAG1" s="27"/>
      <c r="SAH1" s="27"/>
      <c r="SAI1" s="27"/>
      <c r="SAJ1" s="27"/>
      <c r="SAK1" s="27"/>
      <c r="SAL1" s="27"/>
      <c r="SAM1" s="27"/>
      <c r="SAN1" s="27"/>
      <c r="SAO1" s="27"/>
      <c r="SAP1" s="27"/>
      <c r="SAQ1" s="27"/>
      <c r="SAR1" s="27"/>
      <c r="SAS1" s="27"/>
      <c r="SAT1" s="27"/>
      <c r="SAU1" s="27"/>
      <c r="SAV1" s="27"/>
      <c r="SAW1" s="27"/>
      <c r="SAX1" s="27"/>
      <c r="SAY1" s="27"/>
      <c r="SAZ1" s="27"/>
      <c r="SBA1" s="27"/>
      <c r="SBB1" s="27"/>
      <c r="SBC1" s="27"/>
      <c r="SBD1" s="27"/>
      <c r="SBE1" s="27"/>
      <c r="SBF1" s="27"/>
      <c r="SBG1" s="27"/>
      <c r="SBH1" s="27"/>
      <c r="SBI1" s="27"/>
      <c r="SBJ1" s="27"/>
      <c r="SBK1" s="27"/>
      <c r="SBL1" s="27"/>
      <c r="SBM1" s="27"/>
      <c r="SBN1" s="27"/>
      <c r="SBO1" s="27"/>
      <c r="SBP1" s="27"/>
      <c r="SBQ1" s="27"/>
      <c r="SBR1" s="27"/>
      <c r="SBS1" s="27"/>
      <c r="SBT1" s="27"/>
      <c r="SBU1" s="27"/>
      <c r="SBV1" s="27"/>
      <c r="SBW1" s="27"/>
      <c r="SBX1" s="27"/>
      <c r="SBY1" s="27"/>
      <c r="SBZ1" s="27"/>
      <c r="SCA1" s="27"/>
      <c r="SCB1" s="27"/>
      <c r="SCC1" s="27"/>
      <c r="SCD1" s="27"/>
      <c r="SCE1" s="27"/>
      <c r="SCF1" s="27"/>
      <c r="SCG1" s="27"/>
      <c r="SCH1" s="27"/>
      <c r="SCI1" s="27"/>
      <c r="SCJ1" s="27"/>
      <c r="SCK1" s="27"/>
      <c r="SCL1" s="27"/>
      <c r="SCM1" s="27"/>
      <c r="SCN1" s="27"/>
      <c r="SCO1" s="27"/>
      <c r="SCP1" s="27"/>
      <c r="SCQ1" s="27"/>
      <c r="SCR1" s="27"/>
      <c r="SCS1" s="27"/>
      <c r="SCT1" s="27"/>
      <c r="SCU1" s="27"/>
      <c r="SCV1" s="27"/>
      <c r="SCW1" s="27"/>
      <c r="SCX1" s="27"/>
      <c r="SCY1" s="27"/>
      <c r="SCZ1" s="27"/>
      <c r="SDA1" s="27"/>
      <c r="SDB1" s="27"/>
      <c r="SDC1" s="27"/>
      <c r="SDD1" s="27"/>
      <c r="SDE1" s="27"/>
      <c r="SDF1" s="27"/>
      <c r="SDG1" s="27"/>
      <c r="SDH1" s="27"/>
      <c r="SDI1" s="27"/>
      <c r="SDJ1" s="27"/>
      <c r="SDK1" s="27"/>
      <c r="SDL1" s="27"/>
      <c r="SDM1" s="27"/>
      <c r="SDN1" s="27"/>
      <c r="SDO1" s="27"/>
      <c r="SDP1" s="27"/>
      <c r="SDQ1" s="27"/>
      <c r="SDR1" s="27"/>
      <c r="SDS1" s="27"/>
      <c r="SDT1" s="27"/>
      <c r="SDU1" s="27"/>
      <c r="SDV1" s="27"/>
      <c r="SDW1" s="27"/>
      <c r="SDX1" s="27"/>
      <c r="SDY1" s="27"/>
      <c r="SDZ1" s="27"/>
      <c r="SEA1" s="27"/>
      <c r="SEB1" s="27"/>
      <c r="SEC1" s="27"/>
      <c r="SED1" s="27"/>
      <c r="SEE1" s="27"/>
      <c r="SEF1" s="27"/>
      <c r="SEG1" s="27"/>
      <c r="SEH1" s="27"/>
      <c r="SEI1" s="27"/>
      <c r="SEJ1" s="27"/>
      <c r="SEK1" s="27"/>
      <c r="SEL1" s="27"/>
      <c r="SEM1" s="27"/>
      <c r="SEN1" s="27"/>
      <c r="SEO1" s="27"/>
      <c r="SEP1" s="27"/>
      <c r="SEQ1" s="27"/>
      <c r="SER1" s="27"/>
      <c r="SES1" s="27"/>
      <c r="SET1" s="27"/>
      <c r="SEU1" s="27"/>
      <c r="SEV1" s="27"/>
      <c r="SEW1" s="27"/>
      <c r="SEX1" s="27"/>
      <c r="SEY1" s="27"/>
      <c r="SEZ1" s="27"/>
      <c r="SFA1" s="27"/>
      <c r="SFB1" s="27"/>
      <c r="SFC1" s="27"/>
      <c r="SFD1" s="27"/>
      <c r="SFE1" s="27"/>
      <c r="SFF1" s="27"/>
      <c r="SFG1" s="27"/>
      <c r="SFH1" s="27"/>
      <c r="SFI1" s="27"/>
      <c r="SFJ1" s="27"/>
      <c r="SFK1" s="27"/>
      <c r="SFL1" s="27"/>
      <c r="SFM1" s="27"/>
      <c r="SFN1" s="27"/>
      <c r="SFO1" s="27"/>
      <c r="SFP1" s="27"/>
      <c r="SFQ1" s="27"/>
      <c r="SFR1" s="27"/>
      <c r="SFS1" s="27"/>
      <c r="SFT1" s="27"/>
      <c r="SFU1" s="27"/>
      <c r="SFV1" s="27"/>
      <c r="SFW1" s="27"/>
      <c r="SFX1" s="27"/>
      <c r="SFY1" s="27"/>
      <c r="SFZ1" s="27"/>
      <c r="SGA1" s="27"/>
      <c r="SGB1" s="27"/>
      <c r="SGC1" s="27"/>
      <c r="SGD1" s="27"/>
      <c r="SGE1" s="27"/>
      <c r="SGF1" s="27"/>
      <c r="SGG1" s="27"/>
      <c r="SGH1" s="27"/>
      <c r="SGI1" s="27"/>
      <c r="SGJ1" s="27"/>
      <c r="SGK1" s="27"/>
      <c r="SGL1" s="27"/>
      <c r="SGM1" s="27"/>
      <c r="SGN1" s="27"/>
      <c r="SGO1" s="27"/>
      <c r="SGP1" s="27"/>
      <c r="SGQ1" s="27"/>
      <c r="SGR1" s="27"/>
      <c r="SGS1" s="27"/>
      <c r="SGT1" s="27"/>
      <c r="SGU1" s="27"/>
      <c r="SGV1" s="27"/>
      <c r="SGW1" s="27"/>
      <c r="SGX1" s="27"/>
      <c r="SGY1" s="27"/>
      <c r="SGZ1" s="27"/>
      <c r="SHA1" s="27"/>
      <c r="SHB1" s="27"/>
      <c r="SHC1" s="27"/>
      <c r="SHD1" s="27"/>
      <c r="SHE1" s="27"/>
      <c r="SHF1" s="27"/>
      <c r="SHG1" s="27"/>
      <c r="SHH1" s="27"/>
      <c r="SHI1" s="27"/>
      <c r="SHJ1" s="27"/>
      <c r="SHK1" s="27"/>
      <c r="SHL1" s="27"/>
      <c r="SHM1" s="27"/>
      <c r="SHN1" s="27"/>
      <c r="SHO1" s="27"/>
      <c r="SHP1" s="27"/>
      <c r="SHQ1" s="27"/>
      <c r="SHR1" s="27"/>
      <c r="SHS1" s="27"/>
      <c r="SHT1" s="27"/>
      <c r="SHU1" s="27"/>
      <c r="SHV1" s="27"/>
      <c r="SHW1" s="27"/>
      <c r="SHX1" s="27"/>
      <c r="SHY1" s="27"/>
      <c r="SHZ1" s="27"/>
      <c r="SIA1" s="27"/>
      <c r="SIB1" s="27"/>
      <c r="SIC1" s="27"/>
      <c r="SID1" s="27"/>
      <c r="SIE1" s="27"/>
      <c r="SIF1" s="27"/>
      <c r="SIG1" s="27"/>
      <c r="SIH1" s="27"/>
      <c r="SII1" s="27"/>
      <c r="SIJ1" s="27"/>
      <c r="SIK1" s="27"/>
      <c r="SIL1" s="27"/>
      <c r="SIM1" s="27"/>
      <c r="SIN1" s="27"/>
      <c r="SIO1" s="27"/>
      <c r="SIP1" s="27"/>
      <c r="SIQ1" s="27"/>
      <c r="SIR1" s="27"/>
      <c r="SIS1" s="27"/>
      <c r="SIT1" s="27"/>
      <c r="SIU1" s="27"/>
      <c r="SIV1" s="27"/>
      <c r="SIW1" s="27"/>
      <c r="SIX1" s="27"/>
      <c r="SIY1" s="27"/>
      <c r="SIZ1" s="27"/>
      <c r="SJA1" s="27"/>
      <c r="SJB1" s="27"/>
      <c r="SJC1" s="27"/>
      <c r="SJD1" s="27"/>
      <c r="SJE1" s="27"/>
      <c r="SJF1" s="27"/>
      <c r="SJG1" s="27"/>
      <c r="SJH1" s="27"/>
      <c r="SJI1" s="27"/>
      <c r="SJJ1" s="27"/>
      <c r="SJK1" s="27"/>
      <c r="SJL1" s="27"/>
      <c r="SJM1" s="27"/>
      <c r="SJN1" s="27"/>
      <c r="SJO1" s="27"/>
      <c r="SJP1" s="27"/>
      <c r="SJQ1" s="27"/>
      <c r="SJR1" s="27"/>
      <c r="SJS1" s="27"/>
      <c r="SJT1" s="27"/>
      <c r="SJU1" s="27"/>
      <c r="SJV1" s="27"/>
      <c r="SJW1" s="27"/>
      <c r="SJX1" s="27"/>
      <c r="SJY1" s="27"/>
      <c r="SJZ1" s="27"/>
      <c r="SKA1" s="27"/>
      <c r="SKB1" s="27"/>
      <c r="SKC1" s="27"/>
      <c r="SKD1" s="27"/>
      <c r="SKE1" s="27"/>
      <c r="SKF1" s="27"/>
      <c r="SKG1" s="27"/>
      <c r="SKH1" s="27"/>
      <c r="SKI1" s="27"/>
      <c r="SKJ1" s="27"/>
      <c r="SKK1" s="27"/>
      <c r="SKL1" s="27"/>
      <c r="SKM1" s="27"/>
      <c r="SKN1" s="27"/>
      <c r="SKO1" s="27"/>
      <c r="SKP1" s="27"/>
      <c r="SKQ1" s="27"/>
      <c r="SKR1" s="27"/>
      <c r="SKS1" s="27"/>
      <c r="SKT1" s="27"/>
      <c r="SKU1" s="27"/>
      <c r="SKV1" s="27"/>
      <c r="SKW1" s="27"/>
      <c r="SKX1" s="27"/>
      <c r="SKY1" s="27"/>
      <c r="SKZ1" s="27"/>
      <c r="SLA1" s="27"/>
      <c r="SLB1" s="27"/>
      <c r="SLC1" s="27"/>
      <c r="SLD1" s="27"/>
      <c r="SLE1" s="27"/>
      <c r="SLF1" s="27"/>
      <c r="SLG1" s="27"/>
      <c r="SLH1" s="27"/>
      <c r="SLI1" s="27"/>
      <c r="SLJ1" s="27"/>
      <c r="SLK1" s="27"/>
      <c r="SLL1" s="27"/>
      <c r="SLM1" s="27"/>
      <c r="SLN1" s="27"/>
      <c r="SLO1" s="27"/>
      <c r="SLP1" s="27"/>
      <c r="SLQ1" s="27"/>
      <c r="SLR1" s="27"/>
      <c r="SLS1" s="27"/>
      <c r="SLT1" s="27"/>
      <c r="SLU1" s="27"/>
      <c r="SLV1" s="27"/>
      <c r="SLW1" s="27"/>
      <c r="SLX1" s="27"/>
      <c r="SLY1" s="27"/>
      <c r="SLZ1" s="27"/>
      <c r="SMA1" s="27"/>
      <c r="SMB1" s="27"/>
      <c r="SMC1" s="27"/>
      <c r="SMD1" s="27"/>
      <c r="SME1" s="27"/>
      <c r="SMF1" s="27"/>
      <c r="SMG1" s="27"/>
      <c r="SMH1" s="27"/>
      <c r="SMI1" s="27"/>
      <c r="SMJ1" s="27"/>
      <c r="SMK1" s="27"/>
      <c r="SML1" s="27"/>
      <c r="SMM1" s="27"/>
      <c r="SMN1" s="27"/>
      <c r="SMO1" s="27"/>
      <c r="SMP1" s="27"/>
      <c r="SMQ1" s="27"/>
      <c r="SMR1" s="27"/>
      <c r="SMS1" s="27"/>
      <c r="SMT1" s="27"/>
      <c r="SMU1" s="27"/>
      <c r="SMV1" s="27"/>
      <c r="SMW1" s="27"/>
      <c r="SMX1" s="27"/>
      <c r="SMY1" s="27"/>
      <c r="SMZ1" s="27"/>
      <c r="SNA1" s="27"/>
      <c r="SNB1" s="27"/>
      <c r="SNC1" s="27"/>
      <c r="SND1" s="27"/>
      <c r="SNE1" s="27"/>
      <c r="SNF1" s="27"/>
      <c r="SNG1" s="27"/>
      <c r="SNH1" s="27"/>
      <c r="SNI1" s="27"/>
      <c r="SNJ1" s="27"/>
      <c r="SNK1" s="27"/>
      <c r="SNL1" s="27"/>
      <c r="SNM1" s="27"/>
      <c r="SNN1" s="27"/>
      <c r="SNO1" s="27"/>
      <c r="SNP1" s="27"/>
      <c r="SNQ1" s="27"/>
      <c r="SNR1" s="27"/>
      <c r="SNS1" s="27"/>
      <c r="SNT1" s="27"/>
      <c r="SNU1" s="27"/>
      <c r="SNV1" s="27"/>
      <c r="SNW1" s="27"/>
      <c r="SNX1" s="27"/>
      <c r="SNY1" s="27"/>
      <c r="SNZ1" s="27"/>
      <c r="SOA1" s="27"/>
      <c r="SOB1" s="27"/>
      <c r="SOC1" s="27"/>
      <c r="SOD1" s="27"/>
      <c r="SOE1" s="27"/>
      <c r="SOF1" s="27"/>
      <c r="SOG1" s="27"/>
      <c r="SOH1" s="27"/>
      <c r="SOI1" s="27"/>
      <c r="SOJ1" s="27"/>
      <c r="SOK1" s="27"/>
      <c r="SOL1" s="27"/>
      <c r="SOM1" s="27"/>
      <c r="SON1" s="27"/>
      <c r="SOO1" s="27"/>
      <c r="SOP1" s="27"/>
      <c r="SOQ1" s="27"/>
      <c r="SOR1" s="27"/>
      <c r="SOS1" s="27"/>
      <c r="SOT1" s="27"/>
      <c r="SOU1" s="27"/>
      <c r="SOV1" s="27"/>
      <c r="SOW1" s="27"/>
      <c r="SOX1" s="27"/>
      <c r="SOY1" s="27"/>
      <c r="SOZ1" s="27"/>
      <c r="SPA1" s="27"/>
      <c r="SPB1" s="27"/>
      <c r="SPC1" s="27"/>
      <c r="SPD1" s="27"/>
      <c r="SPE1" s="27"/>
      <c r="SPF1" s="27"/>
      <c r="SPG1" s="27"/>
      <c r="SPH1" s="27"/>
      <c r="SPI1" s="27"/>
      <c r="SPJ1" s="27"/>
      <c r="SPK1" s="27"/>
      <c r="SPL1" s="27"/>
      <c r="SPM1" s="27"/>
      <c r="SPN1" s="27"/>
      <c r="SPO1" s="27"/>
      <c r="SPP1" s="27"/>
      <c r="SPQ1" s="27"/>
      <c r="SPR1" s="27"/>
      <c r="SPS1" s="27"/>
      <c r="SPT1" s="27"/>
      <c r="SPU1" s="27"/>
      <c r="SPV1" s="27"/>
      <c r="SPW1" s="27"/>
      <c r="SPX1" s="27"/>
      <c r="SPY1" s="27"/>
      <c r="SPZ1" s="27"/>
      <c r="SQA1" s="27"/>
      <c r="SQB1" s="27"/>
      <c r="SQC1" s="27"/>
      <c r="SQD1" s="27"/>
      <c r="SQE1" s="27"/>
      <c r="SQF1" s="27"/>
      <c r="SQG1" s="27"/>
      <c r="SQH1" s="27"/>
      <c r="SQI1" s="27"/>
      <c r="SQJ1" s="27"/>
      <c r="SQK1" s="27"/>
      <c r="SQL1" s="27"/>
      <c r="SQM1" s="27"/>
      <c r="SQN1" s="27"/>
      <c r="SQO1" s="27"/>
      <c r="SQP1" s="27"/>
      <c r="SQQ1" s="27"/>
      <c r="SQR1" s="27"/>
      <c r="SQS1" s="27"/>
      <c r="SQT1" s="27"/>
      <c r="SQU1" s="27"/>
      <c r="SQV1" s="27"/>
      <c r="SQW1" s="27"/>
      <c r="SQX1" s="27"/>
      <c r="SQY1" s="27"/>
      <c r="SQZ1" s="27"/>
      <c r="SRA1" s="27"/>
      <c r="SRB1" s="27"/>
      <c r="SRC1" s="27"/>
      <c r="SRD1" s="27"/>
      <c r="SRE1" s="27"/>
      <c r="SRF1" s="27"/>
      <c r="SRG1" s="27"/>
      <c r="SRH1" s="27"/>
      <c r="SRI1" s="27"/>
      <c r="SRJ1" s="27"/>
      <c r="SRK1" s="27"/>
      <c r="SRL1" s="27"/>
      <c r="SRM1" s="27"/>
      <c r="SRN1" s="27"/>
      <c r="SRO1" s="27"/>
      <c r="SRP1" s="27"/>
      <c r="SRQ1" s="27"/>
      <c r="SRR1" s="27"/>
      <c r="SRS1" s="27"/>
      <c r="SRT1" s="27"/>
      <c r="SRU1" s="27"/>
      <c r="SRV1" s="27"/>
      <c r="SRW1" s="27"/>
      <c r="SRX1" s="27"/>
      <c r="SRY1" s="27"/>
      <c r="SRZ1" s="27"/>
      <c r="SSA1" s="27"/>
      <c r="SSB1" s="27"/>
      <c r="SSC1" s="27"/>
      <c r="SSD1" s="27"/>
      <c r="SSE1" s="27"/>
      <c r="SSF1" s="27"/>
      <c r="SSG1" s="27"/>
      <c r="SSH1" s="27"/>
      <c r="SSI1" s="27"/>
      <c r="SSJ1" s="27"/>
      <c r="SSK1" s="27"/>
      <c r="SSL1" s="27"/>
      <c r="SSM1" s="27"/>
      <c r="SSN1" s="27"/>
      <c r="SSO1" s="27"/>
      <c r="SSP1" s="27"/>
      <c r="SSQ1" s="27"/>
      <c r="SSR1" s="27"/>
      <c r="SSS1" s="27"/>
      <c r="SST1" s="27"/>
      <c r="SSU1" s="27"/>
      <c r="SSV1" s="27"/>
      <c r="SSW1" s="27"/>
      <c r="SSX1" s="27"/>
      <c r="SSY1" s="27"/>
      <c r="SSZ1" s="27"/>
      <c r="STA1" s="27"/>
      <c r="STB1" s="27"/>
      <c r="STC1" s="27"/>
      <c r="STD1" s="27"/>
      <c r="STE1" s="27"/>
      <c r="STF1" s="27"/>
      <c r="STG1" s="27"/>
      <c r="STH1" s="27"/>
      <c r="STI1" s="27"/>
      <c r="STJ1" s="27"/>
      <c r="STK1" s="27"/>
      <c r="STL1" s="27"/>
      <c r="STM1" s="27"/>
      <c r="STN1" s="27"/>
      <c r="STO1" s="27"/>
      <c r="STP1" s="27"/>
      <c r="STQ1" s="27"/>
      <c r="STR1" s="27"/>
      <c r="STS1" s="27"/>
      <c r="STT1" s="27"/>
      <c r="STU1" s="27"/>
      <c r="STV1" s="27"/>
      <c r="STW1" s="27"/>
      <c r="STX1" s="27"/>
      <c r="STY1" s="27"/>
      <c r="STZ1" s="27"/>
      <c r="SUA1" s="27"/>
      <c r="SUB1" s="27"/>
      <c r="SUC1" s="27"/>
      <c r="SUD1" s="27"/>
      <c r="SUE1" s="27"/>
      <c r="SUF1" s="27"/>
      <c r="SUG1" s="27"/>
      <c r="SUH1" s="27"/>
      <c r="SUI1" s="27"/>
      <c r="SUJ1" s="27"/>
      <c r="SUK1" s="27"/>
      <c r="SUL1" s="27"/>
      <c r="SUM1" s="27"/>
      <c r="SUN1" s="27"/>
      <c r="SUO1" s="27"/>
      <c r="SUP1" s="27"/>
      <c r="SUQ1" s="27"/>
      <c r="SUR1" s="27"/>
      <c r="SUS1" s="27"/>
      <c r="SUT1" s="27"/>
      <c r="SUU1" s="27"/>
      <c r="SUV1" s="27"/>
      <c r="SUW1" s="27"/>
      <c r="SUX1" s="27"/>
      <c r="SUY1" s="27"/>
      <c r="SUZ1" s="27"/>
      <c r="SVA1" s="27"/>
      <c r="SVB1" s="27"/>
      <c r="SVC1" s="27"/>
      <c r="SVD1" s="27"/>
      <c r="SVE1" s="27"/>
      <c r="SVF1" s="27"/>
      <c r="SVG1" s="27"/>
      <c r="SVH1" s="27"/>
      <c r="SVI1" s="27"/>
      <c r="SVJ1" s="27"/>
      <c r="SVK1" s="27"/>
      <c r="SVL1" s="27"/>
      <c r="SVM1" s="27"/>
      <c r="SVN1" s="27"/>
      <c r="SVO1" s="27"/>
      <c r="SVP1" s="27"/>
      <c r="SVQ1" s="27"/>
      <c r="SVR1" s="27"/>
      <c r="SVS1" s="27"/>
      <c r="SVT1" s="27"/>
      <c r="SVU1" s="27"/>
      <c r="SVV1" s="27"/>
      <c r="SVW1" s="27"/>
      <c r="SVX1" s="27"/>
      <c r="SVY1" s="27"/>
      <c r="SVZ1" s="27"/>
      <c r="SWA1" s="27"/>
      <c r="SWB1" s="27"/>
      <c r="SWC1" s="27"/>
      <c r="SWD1" s="27"/>
      <c r="SWE1" s="27"/>
      <c r="SWF1" s="27"/>
      <c r="SWG1" s="27"/>
      <c r="SWH1" s="27"/>
      <c r="SWI1" s="27"/>
      <c r="SWJ1" s="27"/>
      <c r="SWK1" s="27"/>
      <c r="SWL1" s="27"/>
      <c r="SWM1" s="27"/>
      <c r="SWN1" s="27"/>
      <c r="SWO1" s="27"/>
      <c r="SWP1" s="27"/>
      <c r="SWQ1" s="27"/>
      <c r="SWR1" s="27"/>
      <c r="SWS1" s="27"/>
      <c r="SWT1" s="27"/>
      <c r="SWU1" s="27"/>
      <c r="SWV1" s="27"/>
      <c r="SWW1" s="27"/>
      <c r="SWX1" s="27"/>
      <c r="SWY1" s="27"/>
      <c r="SWZ1" s="27"/>
      <c r="SXA1" s="27"/>
      <c r="SXB1" s="27"/>
      <c r="SXC1" s="27"/>
      <c r="SXD1" s="27"/>
      <c r="SXE1" s="27"/>
      <c r="SXF1" s="27"/>
      <c r="SXG1" s="27"/>
      <c r="SXH1" s="27"/>
      <c r="SXI1" s="27"/>
      <c r="SXJ1" s="27"/>
      <c r="SXK1" s="27"/>
      <c r="SXL1" s="27"/>
      <c r="SXM1" s="27"/>
      <c r="SXN1" s="27"/>
      <c r="SXO1" s="27"/>
      <c r="SXP1" s="27"/>
      <c r="SXQ1" s="27"/>
      <c r="SXR1" s="27"/>
      <c r="SXS1" s="27"/>
      <c r="SXT1" s="27"/>
      <c r="SXU1" s="27"/>
      <c r="SXV1" s="27"/>
      <c r="SXW1" s="27"/>
      <c r="SXX1" s="27"/>
      <c r="SXY1" s="27"/>
      <c r="SXZ1" s="27"/>
      <c r="SYA1" s="27"/>
      <c r="SYB1" s="27"/>
      <c r="SYC1" s="27"/>
      <c r="SYD1" s="27"/>
      <c r="SYE1" s="27"/>
      <c r="SYF1" s="27"/>
      <c r="SYG1" s="27"/>
      <c r="SYH1" s="27"/>
      <c r="SYI1" s="27"/>
      <c r="SYJ1" s="27"/>
      <c r="SYK1" s="27"/>
      <c r="SYL1" s="27"/>
      <c r="SYM1" s="27"/>
      <c r="SYN1" s="27"/>
      <c r="SYO1" s="27"/>
      <c r="SYP1" s="27"/>
      <c r="SYQ1" s="27"/>
      <c r="SYR1" s="27"/>
      <c r="SYS1" s="27"/>
      <c r="SYT1" s="27"/>
      <c r="SYU1" s="27"/>
      <c r="SYV1" s="27"/>
      <c r="SYW1" s="27"/>
      <c r="SYX1" s="27"/>
      <c r="SYY1" s="27"/>
      <c r="SYZ1" s="27"/>
      <c r="SZA1" s="27"/>
      <c r="SZB1" s="27"/>
      <c r="SZC1" s="27"/>
      <c r="SZD1" s="27"/>
      <c r="SZE1" s="27"/>
      <c r="SZF1" s="27"/>
      <c r="SZG1" s="27"/>
      <c r="SZH1" s="27"/>
      <c r="SZI1" s="27"/>
      <c r="SZJ1" s="27"/>
      <c r="SZK1" s="27"/>
      <c r="SZL1" s="27"/>
      <c r="SZM1" s="27"/>
      <c r="SZN1" s="27"/>
      <c r="SZO1" s="27"/>
      <c r="SZP1" s="27"/>
      <c r="SZQ1" s="27"/>
      <c r="SZR1" s="27"/>
      <c r="SZS1" s="27"/>
      <c r="SZT1" s="27"/>
      <c r="SZU1" s="27"/>
      <c r="SZV1" s="27"/>
      <c r="SZW1" s="27"/>
      <c r="SZX1" s="27"/>
      <c r="SZY1" s="27"/>
      <c r="SZZ1" s="27"/>
      <c r="TAA1" s="27"/>
      <c r="TAB1" s="27"/>
      <c r="TAC1" s="27"/>
      <c r="TAD1" s="27"/>
      <c r="TAE1" s="27"/>
      <c r="TAF1" s="27"/>
      <c r="TAG1" s="27"/>
      <c r="TAH1" s="27"/>
      <c r="TAI1" s="27"/>
      <c r="TAJ1" s="27"/>
      <c r="TAK1" s="27"/>
      <c r="TAL1" s="27"/>
      <c r="TAM1" s="27"/>
      <c r="TAN1" s="27"/>
      <c r="TAO1" s="27"/>
      <c r="TAP1" s="27"/>
      <c r="TAQ1" s="27"/>
      <c r="TAR1" s="27"/>
      <c r="TAS1" s="27"/>
      <c r="TAT1" s="27"/>
      <c r="TAU1" s="27"/>
      <c r="TAV1" s="27"/>
      <c r="TAW1" s="27"/>
      <c r="TAX1" s="27"/>
      <c r="TAY1" s="27"/>
      <c r="TAZ1" s="27"/>
      <c r="TBA1" s="27"/>
      <c r="TBB1" s="27"/>
      <c r="TBC1" s="27"/>
      <c r="TBD1" s="27"/>
      <c r="TBE1" s="27"/>
      <c r="TBF1" s="27"/>
      <c r="TBG1" s="27"/>
      <c r="TBH1" s="27"/>
      <c r="TBI1" s="27"/>
      <c r="TBJ1" s="27"/>
      <c r="TBK1" s="27"/>
      <c r="TBL1" s="27"/>
      <c r="TBM1" s="27"/>
      <c r="TBN1" s="27"/>
      <c r="TBO1" s="27"/>
      <c r="TBP1" s="27"/>
      <c r="TBQ1" s="27"/>
      <c r="TBR1" s="27"/>
      <c r="TBS1" s="27"/>
      <c r="TBT1" s="27"/>
      <c r="TBU1" s="27"/>
      <c r="TBV1" s="27"/>
      <c r="TBW1" s="27"/>
      <c r="TBX1" s="27"/>
      <c r="TBY1" s="27"/>
      <c r="TBZ1" s="27"/>
      <c r="TCA1" s="27"/>
      <c r="TCB1" s="27"/>
      <c r="TCC1" s="27"/>
      <c r="TCD1" s="27"/>
      <c r="TCE1" s="27"/>
      <c r="TCF1" s="27"/>
      <c r="TCG1" s="27"/>
      <c r="TCH1" s="27"/>
      <c r="TCI1" s="27"/>
      <c r="TCJ1" s="27"/>
      <c r="TCK1" s="27"/>
      <c r="TCL1" s="27"/>
      <c r="TCM1" s="27"/>
      <c r="TCN1" s="27"/>
      <c r="TCO1" s="27"/>
      <c r="TCP1" s="27"/>
      <c r="TCQ1" s="27"/>
      <c r="TCR1" s="27"/>
      <c r="TCS1" s="27"/>
      <c r="TCT1" s="27"/>
      <c r="TCU1" s="27"/>
      <c r="TCV1" s="27"/>
      <c r="TCW1" s="27"/>
      <c r="TCX1" s="27"/>
      <c r="TCY1" s="27"/>
      <c r="TCZ1" s="27"/>
      <c r="TDA1" s="27"/>
      <c r="TDB1" s="27"/>
      <c r="TDC1" s="27"/>
      <c r="TDD1" s="27"/>
      <c r="TDE1" s="27"/>
      <c r="TDF1" s="27"/>
      <c r="TDG1" s="27"/>
      <c r="TDH1" s="27"/>
      <c r="TDI1" s="27"/>
      <c r="TDJ1" s="27"/>
      <c r="TDK1" s="27"/>
      <c r="TDL1" s="27"/>
      <c r="TDM1" s="27"/>
      <c r="TDN1" s="27"/>
      <c r="TDO1" s="27"/>
      <c r="TDP1" s="27"/>
      <c r="TDQ1" s="27"/>
      <c r="TDR1" s="27"/>
      <c r="TDS1" s="27"/>
      <c r="TDT1" s="27"/>
      <c r="TDU1" s="27"/>
      <c r="TDV1" s="27"/>
      <c r="TDW1" s="27"/>
      <c r="TDX1" s="27"/>
      <c r="TDY1" s="27"/>
      <c r="TDZ1" s="27"/>
      <c r="TEA1" s="27"/>
      <c r="TEB1" s="27"/>
      <c r="TEC1" s="27"/>
      <c r="TED1" s="27"/>
      <c r="TEE1" s="27"/>
      <c r="TEF1" s="27"/>
      <c r="TEG1" s="27"/>
      <c r="TEH1" s="27"/>
      <c r="TEI1" s="27"/>
      <c r="TEJ1" s="27"/>
      <c r="TEK1" s="27"/>
      <c r="TEL1" s="27"/>
      <c r="TEM1" s="27"/>
      <c r="TEN1" s="27"/>
      <c r="TEO1" s="27"/>
      <c r="TEP1" s="27"/>
      <c r="TEQ1" s="27"/>
      <c r="TER1" s="27"/>
      <c r="TES1" s="27"/>
      <c r="TET1" s="27"/>
      <c r="TEU1" s="27"/>
      <c r="TEV1" s="27"/>
      <c r="TEW1" s="27"/>
      <c r="TEX1" s="27"/>
      <c r="TEY1" s="27"/>
      <c r="TEZ1" s="27"/>
      <c r="TFA1" s="27"/>
      <c r="TFB1" s="27"/>
      <c r="TFC1" s="27"/>
      <c r="TFD1" s="27"/>
      <c r="TFE1" s="27"/>
      <c r="TFF1" s="27"/>
      <c r="TFG1" s="27"/>
      <c r="TFH1" s="27"/>
      <c r="TFI1" s="27"/>
      <c r="TFJ1" s="27"/>
      <c r="TFK1" s="27"/>
      <c r="TFL1" s="27"/>
      <c r="TFM1" s="27"/>
      <c r="TFN1" s="27"/>
      <c r="TFO1" s="27"/>
      <c r="TFP1" s="27"/>
      <c r="TFQ1" s="27"/>
      <c r="TFR1" s="27"/>
      <c r="TFS1" s="27"/>
      <c r="TFT1" s="27"/>
      <c r="TFU1" s="27"/>
      <c r="TFV1" s="27"/>
      <c r="TFW1" s="27"/>
      <c r="TFX1" s="27"/>
      <c r="TFY1" s="27"/>
      <c r="TFZ1" s="27"/>
      <c r="TGA1" s="27"/>
      <c r="TGB1" s="27"/>
      <c r="TGC1" s="27"/>
      <c r="TGD1" s="27"/>
      <c r="TGE1" s="27"/>
      <c r="TGF1" s="27"/>
      <c r="TGG1" s="27"/>
      <c r="TGH1" s="27"/>
      <c r="TGI1" s="27"/>
      <c r="TGJ1" s="27"/>
      <c r="TGK1" s="27"/>
      <c r="TGL1" s="27"/>
      <c r="TGM1" s="27"/>
      <c r="TGN1" s="27"/>
      <c r="TGO1" s="27"/>
      <c r="TGP1" s="27"/>
      <c r="TGQ1" s="27"/>
      <c r="TGR1" s="27"/>
      <c r="TGS1" s="27"/>
      <c r="TGT1" s="27"/>
      <c r="TGU1" s="27"/>
      <c r="TGV1" s="27"/>
      <c r="TGW1" s="27"/>
      <c r="TGX1" s="27"/>
      <c r="TGY1" s="27"/>
      <c r="TGZ1" s="27"/>
      <c r="THA1" s="27"/>
      <c r="THB1" s="27"/>
      <c r="THC1" s="27"/>
      <c r="THD1" s="27"/>
      <c r="THE1" s="27"/>
      <c r="THF1" s="27"/>
      <c r="THG1" s="27"/>
      <c r="THH1" s="27"/>
      <c r="THI1" s="27"/>
      <c r="THJ1" s="27"/>
      <c r="THK1" s="27"/>
      <c r="THL1" s="27"/>
      <c r="THM1" s="27"/>
      <c r="THN1" s="27"/>
      <c r="THO1" s="27"/>
      <c r="THP1" s="27"/>
      <c r="THQ1" s="27"/>
      <c r="THR1" s="27"/>
      <c r="THS1" s="27"/>
      <c r="THT1" s="27"/>
      <c r="THU1" s="27"/>
      <c r="THV1" s="27"/>
      <c r="THW1" s="27"/>
      <c r="THX1" s="27"/>
      <c r="THY1" s="27"/>
      <c r="THZ1" s="27"/>
      <c r="TIA1" s="27"/>
      <c r="TIB1" s="27"/>
      <c r="TIC1" s="27"/>
      <c r="TID1" s="27"/>
      <c r="TIE1" s="27"/>
      <c r="TIF1" s="27"/>
      <c r="TIG1" s="27"/>
      <c r="TIH1" s="27"/>
      <c r="TII1" s="27"/>
      <c r="TIJ1" s="27"/>
      <c r="TIK1" s="27"/>
      <c r="TIL1" s="27"/>
      <c r="TIM1" s="27"/>
      <c r="TIN1" s="27"/>
      <c r="TIO1" s="27"/>
      <c r="TIP1" s="27"/>
      <c r="TIQ1" s="27"/>
      <c r="TIR1" s="27"/>
      <c r="TIS1" s="27"/>
      <c r="TIT1" s="27"/>
      <c r="TIU1" s="27"/>
      <c r="TIV1" s="27"/>
      <c r="TIW1" s="27"/>
      <c r="TIX1" s="27"/>
      <c r="TIY1" s="27"/>
      <c r="TIZ1" s="27"/>
      <c r="TJA1" s="27"/>
      <c r="TJB1" s="27"/>
      <c r="TJC1" s="27"/>
      <c r="TJD1" s="27"/>
      <c r="TJE1" s="27"/>
      <c r="TJF1" s="27"/>
      <c r="TJG1" s="27"/>
      <c r="TJH1" s="27"/>
      <c r="TJI1" s="27"/>
      <c r="TJJ1" s="27"/>
      <c r="TJK1" s="27"/>
      <c r="TJL1" s="27"/>
      <c r="TJM1" s="27"/>
      <c r="TJN1" s="27"/>
      <c r="TJO1" s="27"/>
      <c r="TJP1" s="27"/>
      <c r="TJQ1" s="27"/>
      <c r="TJR1" s="27"/>
      <c r="TJS1" s="27"/>
      <c r="TJT1" s="27"/>
      <c r="TJU1" s="27"/>
      <c r="TJV1" s="27"/>
      <c r="TJW1" s="27"/>
      <c r="TJX1" s="27"/>
      <c r="TJY1" s="27"/>
      <c r="TJZ1" s="27"/>
      <c r="TKA1" s="27"/>
      <c r="TKB1" s="27"/>
      <c r="TKC1" s="27"/>
      <c r="TKD1" s="27"/>
      <c r="TKE1" s="27"/>
      <c r="TKF1" s="27"/>
      <c r="TKG1" s="27"/>
      <c r="TKH1" s="27"/>
      <c r="TKI1" s="27"/>
      <c r="TKJ1" s="27"/>
      <c r="TKK1" s="27"/>
      <c r="TKL1" s="27"/>
      <c r="TKM1" s="27"/>
      <c r="TKN1" s="27"/>
      <c r="TKO1" s="27"/>
      <c r="TKP1" s="27"/>
      <c r="TKQ1" s="27"/>
      <c r="TKR1" s="27"/>
      <c r="TKS1" s="27"/>
      <c r="TKT1" s="27"/>
      <c r="TKU1" s="27"/>
      <c r="TKV1" s="27"/>
      <c r="TKW1" s="27"/>
      <c r="TKX1" s="27"/>
      <c r="TKY1" s="27"/>
      <c r="TKZ1" s="27"/>
      <c r="TLA1" s="27"/>
      <c r="TLB1" s="27"/>
      <c r="TLC1" s="27"/>
      <c r="TLD1" s="27"/>
      <c r="TLE1" s="27"/>
      <c r="TLF1" s="27"/>
      <c r="TLG1" s="27"/>
      <c r="TLH1" s="27"/>
      <c r="TLI1" s="27"/>
      <c r="TLJ1" s="27"/>
      <c r="TLK1" s="27"/>
      <c r="TLL1" s="27"/>
      <c r="TLM1" s="27"/>
      <c r="TLN1" s="27"/>
      <c r="TLO1" s="27"/>
      <c r="TLP1" s="27"/>
      <c r="TLQ1" s="27"/>
      <c r="TLR1" s="27"/>
      <c r="TLS1" s="27"/>
      <c r="TLT1" s="27"/>
      <c r="TLU1" s="27"/>
      <c r="TLV1" s="27"/>
      <c r="TLW1" s="27"/>
      <c r="TLX1" s="27"/>
      <c r="TLY1" s="27"/>
      <c r="TLZ1" s="27"/>
      <c r="TMA1" s="27"/>
      <c r="TMB1" s="27"/>
      <c r="TMC1" s="27"/>
      <c r="TMD1" s="27"/>
      <c r="TME1" s="27"/>
      <c r="TMF1" s="27"/>
      <c r="TMG1" s="27"/>
      <c r="TMH1" s="27"/>
      <c r="TMI1" s="27"/>
      <c r="TMJ1" s="27"/>
      <c r="TMK1" s="27"/>
      <c r="TML1" s="27"/>
      <c r="TMM1" s="27"/>
      <c r="TMN1" s="27"/>
      <c r="TMO1" s="27"/>
      <c r="TMP1" s="27"/>
      <c r="TMQ1" s="27"/>
      <c r="TMR1" s="27"/>
      <c r="TMS1" s="27"/>
      <c r="TMT1" s="27"/>
      <c r="TMU1" s="27"/>
      <c r="TMV1" s="27"/>
      <c r="TMW1" s="27"/>
      <c r="TMX1" s="27"/>
      <c r="TMY1" s="27"/>
      <c r="TMZ1" s="27"/>
      <c r="TNA1" s="27"/>
      <c r="TNB1" s="27"/>
      <c r="TNC1" s="27"/>
      <c r="TND1" s="27"/>
      <c r="TNE1" s="27"/>
      <c r="TNF1" s="27"/>
      <c r="TNG1" s="27"/>
      <c r="TNH1" s="27"/>
      <c r="TNI1" s="27"/>
      <c r="TNJ1" s="27"/>
      <c r="TNK1" s="27"/>
      <c r="TNL1" s="27"/>
      <c r="TNM1" s="27"/>
      <c r="TNN1" s="27"/>
      <c r="TNO1" s="27"/>
      <c r="TNP1" s="27"/>
      <c r="TNQ1" s="27"/>
      <c r="TNR1" s="27"/>
      <c r="TNS1" s="27"/>
      <c r="TNT1" s="27"/>
      <c r="TNU1" s="27"/>
      <c r="TNV1" s="27"/>
      <c r="TNW1" s="27"/>
      <c r="TNX1" s="27"/>
      <c r="TNY1" s="27"/>
      <c r="TNZ1" s="27"/>
      <c r="TOA1" s="27"/>
      <c r="TOB1" s="27"/>
      <c r="TOC1" s="27"/>
      <c r="TOD1" s="27"/>
      <c r="TOE1" s="27"/>
      <c r="TOF1" s="27"/>
      <c r="TOG1" s="27"/>
      <c r="TOH1" s="27"/>
      <c r="TOI1" s="27"/>
      <c r="TOJ1" s="27"/>
      <c r="TOK1" s="27"/>
      <c r="TOL1" s="27"/>
      <c r="TOM1" s="27"/>
      <c r="TON1" s="27"/>
      <c r="TOO1" s="27"/>
      <c r="TOP1" s="27"/>
      <c r="TOQ1" s="27"/>
      <c r="TOR1" s="27"/>
      <c r="TOS1" s="27"/>
      <c r="TOT1" s="27"/>
      <c r="TOU1" s="27"/>
      <c r="TOV1" s="27"/>
      <c r="TOW1" s="27"/>
      <c r="TOX1" s="27"/>
      <c r="TOY1" s="27"/>
      <c r="TOZ1" s="27"/>
      <c r="TPA1" s="27"/>
      <c r="TPB1" s="27"/>
      <c r="TPC1" s="27"/>
      <c r="TPD1" s="27"/>
      <c r="TPE1" s="27"/>
      <c r="TPF1" s="27"/>
      <c r="TPG1" s="27"/>
      <c r="TPH1" s="27"/>
      <c r="TPI1" s="27"/>
      <c r="TPJ1" s="27"/>
      <c r="TPK1" s="27"/>
      <c r="TPL1" s="27"/>
      <c r="TPM1" s="27"/>
      <c r="TPN1" s="27"/>
      <c r="TPO1" s="27"/>
      <c r="TPP1" s="27"/>
      <c r="TPQ1" s="27"/>
      <c r="TPR1" s="27"/>
      <c r="TPS1" s="27"/>
      <c r="TPT1" s="27"/>
      <c r="TPU1" s="27"/>
      <c r="TPV1" s="27"/>
      <c r="TPW1" s="27"/>
      <c r="TPX1" s="27"/>
      <c r="TPY1" s="27"/>
      <c r="TPZ1" s="27"/>
      <c r="TQA1" s="27"/>
      <c r="TQB1" s="27"/>
      <c r="TQC1" s="27"/>
      <c r="TQD1" s="27"/>
      <c r="TQE1" s="27"/>
      <c r="TQF1" s="27"/>
      <c r="TQG1" s="27"/>
      <c r="TQH1" s="27"/>
      <c r="TQI1" s="27"/>
      <c r="TQJ1" s="27"/>
      <c r="TQK1" s="27"/>
      <c r="TQL1" s="27"/>
      <c r="TQM1" s="27"/>
      <c r="TQN1" s="27"/>
      <c r="TQO1" s="27"/>
      <c r="TQP1" s="27"/>
      <c r="TQQ1" s="27"/>
      <c r="TQR1" s="27"/>
      <c r="TQS1" s="27"/>
      <c r="TQT1" s="27"/>
      <c r="TQU1" s="27"/>
      <c r="TQV1" s="27"/>
      <c r="TQW1" s="27"/>
      <c r="TQX1" s="27"/>
      <c r="TQY1" s="27"/>
      <c r="TQZ1" s="27"/>
      <c r="TRA1" s="27"/>
      <c r="TRB1" s="27"/>
      <c r="TRC1" s="27"/>
      <c r="TRD1" s="27"/>
      <c r="TRE1" s="27"/>
      <c r="TRF1" s="27"/>
      <c r="TRG1" s="27"/>
      <c r="TRH1" s="27"/>
      <c r="TRI1" s="27"/>
      <c r="TRJ1" s="27"/>
      <c r="TRK1" s="27"/>
      <c r="TRL1" s="27"/>
      <c r="TRM1" s="27"/>
      <c r="TRN1" s="27"/>
      <c r="TRO1" s="27"/>
      <c r="TRP1" s="27"/>
      <c r="TRQ1" s="27"/>
      <c r="TRR1" s="27"/>
      <c r="TRS1" s="27"/>
      <c r="TRT1" s="27"/>
      <c r="TRU1" s="27"/>
      <c r="TRV1" s="27"/>
      <c r="TRW1" s="27"/>
      <c r="TRX1" s="27"/>
      <c r="TRY1" s="27"/>
      <c r="TRZ1" s="27"/>
      <c r="TSA1" s="27"/>
      <c r="TSB1" s="27"/>
      <c r="TSC1" s="27"/>
      <c r="TSD1" s="27"/>
      <c r="TSE1" s="27"/>
      <c r="TSF1" s="27"/>
      <c r="TSG1" s="27"/>
      <c r="TSH1" s="27"/>
      <c r="TSI1" s="27"/>
      <c r="TSJ1" s="27"/>
      <c r="TSK1" s="27"/>
      <c r="TSL1" s="27"/>
      <c r="TSM1" s="27"/>
      <c r="TSN1" s="27"/>
      <c r="TSO1" s="27"/>
      <c r="TSP1" s="27"/>
      <c r="TSQ1" s="27"/>
      <c r="TSR1" s="27"/>
      <c r="TSS1" s="27"/>
      <c r="TST1" s="27"/>
      <c r="TSU1" s="27"/>
      <c r="TSV1" s="27"/>
      <c r="TSW1" s="27"/>
      <c r="TSX1" s="27"/>
      <c r="TSY1" s="27"/>
      <c r="TSZ1" s="27"/>
      <c r="TTA1" s="27"/>
      <c r="TTB1" s="27"/>
      <c r="TTC1" s="27"/>
      <c r="TTD1" s="27"/>
      <c r="TTE1" s="27"/>
      <c r="TTF1" s="27"/>
      <c r="TTG1" s="27"/>
      <c r="TTH1" s="27"/>
      <c r="TTI1" s="27"/>
      <c r="TTJ1" s="27"/>
      <c r="TTK1" s="27"/>
      <c r="TTL1" s="27"/>
      <c r="TTM1" s="27"/>
      <c r="TTN1" s="27"/>
      <c r="TTO1" s="27"/>
      <c r="TTP1" s="27"/>
      <c r="TTQ1" s="27"/>
      <c r="TTR1" s="27"/>
      <c r="TTS1" s="27"/>
      <c r="TTT1" s="27"/>
      <c r="TTU1" s="27"/>
      <c r="TTV1" s="27"/>
      <c r="TTW1" s="27"/>
      <c r="TTX1" s="27"/>
      <c r="TTY1" s="27"/>
      <c r="TTZ1" s="27"/>
      <c r="TUA1" s="27"/>
      <c r="TUB1" s="27"/>
      <c r="TUC1" s="27"/>
      <c r="TUD1" s="27"/>
      <c r="TUE1" s="27"/>
      <c r="TUF1" s="27"/>
      <c r="TUG1" s="27"/>
      <c r="TUH1" s="27"/>
      <c r="TUI1" s="27"/>
      <c r="TUJ1" s="27"/>
      <c r="TUK1" s="27"/>
      <c r="TUL1" s="27"/>
      <c r="TUM1" s="27"/>
      <c r="TUN1" s="27"/>
      <c r="TUO1" s="27"/>
      <c r="TUP1" s="27"/>
      <c r="TUQ1" s="27"/>
      <c r="TUR1" s="27"/>
      <c r="TUS1" s="27"/>
      <c r="TUT1" s="27"/>
      <c r="TUU1" s="27"/>
      <c r="TUV1" s="27"/>
      <c r="TUW1" s="27"/>
      <c r="TUX1" s="27"/>
      <c r="TUY1" s="27"/>
      <c r="TUZ1" s="27"/>
      <c r="TVA1" s="27"/>
      <c r="TVB1" s="27"/>
      <c r="TVC1" s="27"/>
      <c r="TVD1" s="27"/>
      <c r="TVE1" s="27"/>
      <c r="TVF1" s="27"/>
      <c r="TVG1" s="27"/>
      <c r="TVH1" s="27"/>
      <c r="TVI1" s="27"/>
      <c r="TVJ1" s="27"/>
      <c r="TVK1" s="27"/>
      <c r="TVL1" s="27"/>
      <c r="TVM1" s="27"/>
      <c r="TVN1" s="27"/>
      <c r="TVO1" s="27"/>
      <c r="TVP1" s="27"/>
      <c r="TVQ1" s="27"/>
      <c r="TVR1" s="27"/>
      <c r="TVS1" s="27"/>
      <c r="TVT1" s="27"/>
      <c r="TVU1" s="27"/>
      <c r="TVV1" s="27"/>
      <c r="TVW1" s="27"/>
      <c r="TVX1" s="27"/>
      <c r="TVY1" s="27"/>
      <c r="TVZ1" s="27"/>
      <c r="TWA1" s="27"/>
      <c r="TWB1" s="27"/>
      <c r="TWC1" s="27"/>
      <c r="TWD1" s="27"/>
      <c r="TWE1" s="27"/>
      <c r="TWF1" s="27"/>
      <c r="TWG1" s="27"/>
      <c r="TWH1" s="27"/>
      <c r="TWI1" s="27"/>
      <c r="TWJ1" s="27"/>
      <c r="TWK1" s="27"/>
      <c r="TWL1" s="27"/>
      <c r="TWM1" s="27"/>
      <c r="TWN1" s="27"/>
      <c r="TWO1" s="27"/>
      <c r="TWP1" s="27"/>
      <c r="TWQ1" s="27"/>
      <c r="TWR1" s="27"/>
      <c r="TWS1" s="27"/>
      <c r="TWT1" s="27"/>
      <c r="TWU1" s="27"/>
      <c r="TWV1" s="27"/>
      <c r="TWW1" s="27"/>
      <c r="TWX1" s="27"/>
      <c r="TWY1" s="27"/>
      <c r="TWZ1" s="27"/>
      <c r="TXA1" s="27"/>
      <c r="TXB1" s="27"/>
      <c r="TXC1" s="27"/>
      <c r="TXD1" s="27"/>
      <c r="TXE1" s="27"/>
      <c r="TXF1" s="27"/>
      <c r="TXG1" s="27"/>
      <c r="TXH1" s="27"/>
      <c r="TXI1" s="27"/>
      <c r="TXJ1" s="27"/>
      <c r="TXK1" s="27"/>
      <c r="TXL1" s="27"/>
      <c r="TXM1" s="27"/>
      <c r="TXN1" s="27"/>
      <c r="TXO1" s="27"/>
      <c r="TXP1" s="27"/>
      <c r="TXQ1" s="27"/>
      <c r="TXR1" s="27"/>
      <c r="TXS1" s="27"/>
      <c r="TXT1" s="27"/>
      <c r="TXU1" s="27"/>
      <c r="TXV1" s="27"/>
      <c r="TXW1" s="27"/>
      <c r="TXX1" s="27"/>
      <c r="TXY1" s="27"/>
      <c r="TXZ1" s="27"/>
      <c r="TYA1" s="27"/>
      <c r="TYB1" s="27"/>
      <c r="TYC1" s="27"/>
      <c r="TYD1" s="27"/>
      <c r="TYE1" s="27"/>
      <c r="TYF1" s="27"/>
      <c r="TYG1" s="27"/>
      <c r="TYH1" s="27"/>
      <c r="TYI1" s="27"/>
      <c r="TYJ1" s="27"/>
      <c r="TYK1" s="27"/>
      <c r="TYL1" s="27"/>
      <c r="TYM1" s="27"/>
      <c r="TYN1" s="27"/>
      <c r="TYO1" s="27"/>
      <c r="TYP1" s="27"/>
      <c r="TYQ1" s="27"/>
      <c r="TYR1" s="27"/>
      <c r="TYS1" s="27"/>
      <c r="TYT1" s="27"/>
      <c r="TYU1" s="27"/>
      <c r="TYV1" s="27"/>
      <c r="TYW1" s="27"/>
      <c r="TYX1" s="27"/>
      <c r="TYY1" s="27"/>
      <c r="TYZ1" s="27"/>
      <c r="TZA1" s="27"/>
      <c r="TZB1" s="27"/>
      <c r="TZC1" s="27"/>
      <c r="TZD1" s="27"/>
      <c r="TZE1" s="27"/>
      <c r="TZF1" s="27"/>
      <c r="TZG1" s="27"/>
      <c r="TZH1" s="27"/>
      <c r="TZI1" s="27"/>
      <c r="TZJ1" s="27"/>
      <c r="TZK1" s="27"/>
      <c r="TZL1" s="27"/>
      <c r="TZM1" s="27"/>
      <c r="TZN1" s="27"/>
      <c r="TZO1" s="27"/>
      <c r="TZP1" s="27"/>
      <c r="TZQ1" s="27"/>
      <c r="TZR1" s="27"/>
      <c r="TZS1" s="27"/>
      <c r="TZT1" s="27"/>
      <c r="TZU1" s="27"/>
      <c r="TZV1" s="27"/>
      <c r="TZW1" s="27"/>
      <c r="TZX1" s="27"/>
      <c r="TZY1" s="27"/>
      <c r="TZZ1" s="27"/>
      <c r="UAA1" s="27"/>
      <c r="UAB1" s="27"/>
      <c r="UAC1" s="27"/>
      <c r="UAD1" s="27"/>
      <c r="UAE1" s="27"/>
      <c r="UAF1" s="27"/>
      <c r="UAG1" s="27"/>
      <c r="UAH1" s="27"/>
      <c r="UAI1" s="27"/>
      <c r="UAJ1" s="27"/>
      <c r="UAK1" s="27"/>
      <c r="UAL1" s="27"/>
      <c r="UAM1" s="27"/>
      <c r="UAN1" s="27"/>
      <c r="UAO1" s="27"/>
      <c r="UAP1" s="27"/>
      <c r="UAQ1" s="27"/>
      <c r="UAR1" s="27"/>
      <c r="UAS1" s="27"/>
      <c r="UAT1" s="27"/>
      <c r="UAU1" s="27"/>
      <c r="UAV1" s="27"/>
      <c r="UAW1" s="27"/>
      <c r="UAX1" s="27"/>
      <c r="UAY1" s="27"/>
      <c r="UAZ1" s="27"/>
      <c r="UBA1" s="27"/>
      <c r="UBB1" s="27"/>
      <c r="UBC1" s="27"/>
      <c r="UBD1" s="27"/>
      <c r="UBE1" s="27"/>
      <c r="UBF1" s="27"/>
      <c r="UBG1" s="27"/>
      <c r="UBH1" s="27"/>
      <c r="UBI1" s="27"/>
      <c r="UBJ1" s="27"/>
      <c r="UBK1" s="27"/>
      <c r="UBL1" s="27"/>
      <c r="UBM1" s="27"/>
      <c r="UBN1" s="27"/>
      <c r="UBO1" s="27"/>
      <c r="UBP1" s="27"/>
      <c r="UBQ1" s="27"/>
      <c r="UBR1" s="27"/>
      <c r="UBS1" s="27"/>
      <c r="UBT1" s="27"/>
      <c r="UBU1" s="27"/>
      <c r="UBV1" s="27"/>
      <c r="UBW1" s="27"/>
      <c r="UBX1" s="27"/>
      <c r="UBY1" s="27"/>
      <c r="UBZ1" s="27"/>
      <c r="UCA1" s="27"/>
      <c r="UCB1" s="27"/>
      <c r="UCC1" s="27"/>
      <c r="UCD1" s="27"/>
      <c r="UCE1" s="27"/>
      <c r="UCF1" s="27"/>
      <c r="UCG1" s="27"/>
      <c r="UCH1" s="27"/>
      <c r="UCI1" s="27"/>
      <c r="UCJ1" s="27"/>
      <c r="UCK1" s="27"/>
      <c r="UCL1" s="27"/>
      <c r="UCM1" s="27"/>
      <c r="UCN1" s="27"/>
      <c r="UCO1" s="27"/>
      <c r="UCP1" s="27"/>
      <c r="UCQ1" s="27"/>
      <c r="UCR1" s="27"/>
      <c r="UCS1" s="27"/>
      <c r="UCT1" s="27"/>
      <c r="UCU1" s="27"/>
      <c r="UCV1" s="27"/>
      <c r="UCW1" s="27"/>
      <c r="UCX1" s="27"/>
      <c r="UCY1" s="27"/>
      <c r="UCZ1" s="27"/>
      <c r="UDA1" s="27"/>
      <c r="UDB1" s="27"/>
      <c r="UDC1" s="27"/>
      <c r="UDD1" s="27"/>
      <c r="UDE1" s="27"/>
      <c r="UDF1" s="27"/>
      <c r="UDG1" s="27"/>
      <c r="UDH1" s="27"/>
      <c r="UDI1" s="27"/>
      <c r="UDJ1" s="27"/>
      <c r="UDK1" s="27"/>
      <c r="UDL1" s="27"/>
      <c r="UDM1" s="27"/>
      <c r="UDN1" s="27"/>
      <c r="UDO1" s="27"/>
      <c r="UDP1" s="27"/>
      <c r="UDQ1" s="27"/>
      <c r="UDR1" s="27"/>
      <c r="UDS1" s="27"/>
      <c r="UDT1" s="27"/>
      <c r="UDU1" s="27"/>
      <c r="UDV1" s="27"/>
      <c r="UDW1" s="27"/>
      <c r="UDX1" s="27"/>
      <c r="UDY1" s="27"/>
      <c r="UDZ1" s="27"/>
      <c r="UEA1" s="27"/>
      <c r="UEB1" s="27"/>
      <c r="UEC1" s="27"/>
      <c r="UED1" s="27"/>
      <c r="UEE1" s="27"/>
      <c r="UEF1" s="27"/>
      <c r="UEG1" s="27"/>
      <c r="UEH1" s="27"/>
      <c r="UEI1" s="27"/>
      <c r="UEJ1" s="27"/>
      <c r="UEK1" s="27"/>
      <c r="UEL1" s="27"/>
      <c r="UEM1" s="27"/>
      <c r="UEN1" s="27"/>
      <c r="UEO1" s="27"/>
      <c r="UEP1" s="27"/>
      <c r="UEQ1" s="27"/>
      <c r="UER1" s="27"/>
      <c r="UES1" s="27"/>
      <c r="UET1" s="27"/>
      <c r="UEU1" s="27"/>
      <c r="UEV1" s="27"/>
      <c r="UEW1" s="27"/>
      <c r="UEX1" s="27"/>
      <c r="UEY1" s="27"/>
      <c r="UEZ1" s="27"/>
      <c r="UFA1" s="27"/>
      <c r="UFB1" s="27"/>
      <c r="UFC1" s="27"/>
      <c r="UFD1" s="27"/>
      <c r="UFE1" s="27"/>
      <c r="UFF1" s="27"/>
      <c r="UFG1" s="27"/>
      <c r="UFH1" s="27"/>
      <c r="UFI1" s="27"/>
      <c r="UFJ1" s="27"/>
      <c r="UFK1" s="27"/>
      <c r="UFL1" s="27"/>
      <c r="UFM1" s="27"/>
      <c r="UFN1" s="27"/>
      <c r="UFO1" s="27"/>
      <c r="UFP1" s="27"/>
      <c r="UFQ1" s="27"/>
      <c r="UFR1" s="27"/>
      <c r="UFS1" s="27"/>
      <c r="UFT1" s="27"/>
      <c r="UFU1" s="27"/>
      <c r="UFV1" s="27"/>
      <c r="UFW1" s="27"/>
      <c r="UFX1" s="27"/>
      <c r="UFY1" s="27"/>
      <c r="UFZ1" s="27"/>
      <c r="UGA1" s="27"/>
      <c r="UGB1" s="27"/>
      <c r="UGC1" s="27"/>
      <c r="UGD1" s="27"/>
      <c r="UGE1" s="27"/>
      <c r="UGF1" s="27"/>
      <c r="UGG1" s="27"/>
      <c r="UGH1" s="27"/>
      <c r="UGI1" s="27"/>
      <c r="UGJ1" s="27"/>
      <c r="UGK1" s="27"/>
      <c r="UGL1" s="27"/>
      <c r="UGM1" s="27"/>
      <c r="UGN1" s="27"/>
      <c r="UGO1" s="27"/>
      <c r="UGP1" s="27"/>
      <c r="UGQ1" s="27"/>
      <c r="UGR1" s="27"/>
      <c r="UGS1" s="27"/>
      <c r="UGT1" s="27"/>
      <c r="UGU1" s="27"/>
      <c r="UGV1" s="27"/>
      <c r="UGW1" s="27"/>
      <c r="UGX1" s="27"/>
      <c r="UGY1" s="27"/>
      <c r="UGZ1" s="27"/>
      <c r="UHA1" s="27"/>
      <c r="UHB1" s="27"/>
      <c r="UHC1" s="27"/>
      <c r="UHD1" s="27"/>
      <c r="UHE1" s="27"/>
      <c r="UHF1" s="27"/>
      <c r="UHG1" s="27"/>
      <c r="UHH1" s="27"/>
      <c r="UHI1" s="27"/>
      <c r="UHJ1" s="27"/>
      <c r="UHK1" s="27"/>
      <c r="UHL1" s="27"/>
      <c r="UHM1" s="27"/>
      <c r="UHN1" s="27"/>
      <c r="UHO1" s="27"/>
      <c r="UHP1" s="27"/>
      <c r="UHQ1" s="27"/>
      <c r="UHR1" s="27"/>
      <c r="UHS1" s="27"/>
      <c r="UHT1" s="27"/>
      <c r="UHU1" s="27"/>
      <c r="UHV1" s="27"/>
      <c r="UHW1" s="27"/>
      <c r="UHX1" s="27"/>
      <c r="UHY1" s="27"/>
      <c r="UHZ1" s="27"/>
      <c r="UIA1" s="27"/>
      <c r="UIB1" s="27"/>
      <c r="UIC1" s="27"/>
      <c r="UID1" s="27"/>
      <c r="UIE1" s="27"/>
      <c r="UIF1" s="27"/>
      <c r="UIG1" s="27"/>
      <c r="UIH1" s="27"/>
      <c r="UII1" s="27"/>
      <c r="UIJ1" s="27"/>
      <c r="UIK1" s="27"/>
      <c r="UIL1" s="27"/>
      <c r="UIM1" s="27"/>
      <c r="UIN1" s="27"/>
      <c r="UIO1" s="27"/>
      <c r="UIP1" s="27"/>
      <c r="UIQ1" s="27"/>
      <c r="UIR1" s="27"/>
      <c r="UIS1" s="27"/>
      <c r="UIT1" s="27"/>
      <c r="UIU1" s="27"/>
      <c r="UIV1" s="27"/>
      <c r="UIW1" s="27"/>
      <c r="UIX1" s="27"/>
      <c r="UIY1" s="27"/>
      <c r="UIZ1" s="27"/>
      <c r="UJA1" s="27"/>
      <c r="UJB1" s="27"/>
      <c r="UJC1" s="27"/>
      <c r="UJD1" s="27"/>
      <c r="UJE1" s="27"/>
      <c r="UJF1" s="27"/>
      <c r="UJG1" s="27"/>
      <c r="UJH1" s="27"/>
      <c r="UJI1" s="27"/>
      <c r="UJJ1" s="27"/>
      <c r="UJK1" s="27"/>
      <c r="UJL1" s="27"/>
      <c r="UJM1" s="27"/>
      <c r="UJN1" s="27"/>
      <c r="UJO1" s="27"/>
      <c r="UJP1" s="27"/>
      <c r="UJQ1" s="27"/>
      <c r="UJR1" s="27"/>
      <c r="UJS1" s="27"/>
      <c r="UJT1" s="27"/>
      <c r="UJU1" s="27"/>
      <c r="UJV1" s="27"/>
      <c r="UJW1" s="27"/>
      <c r="UJX1" s="27"/>
      <c r="UJY1" s="27"/>
      <c r="UJZ1" s="27"/>
      <c r="UKA1" s="27"/>
      <c r="UKB1" s="27"/>
      <c r="UKC1" s="27"/>
      <c r="UKD1" s="27"/>
      <c r="UKE1" s="27"/>
      <c r="UKF1" s="27"/>
      <c r="UKG1" s="27"/>
      <c r="UKH1" s="27"/>
      <c r="UKI1" s="27"/>
      <c r="UKJ1" s="27"/>
      <c r="UKK1" s="27"/>
      <c r="UKL1" s="27"/>
      <c r="UKM1" s="27"/>
      <c r="UKN1" s="27"/>
      <c r="UKO1" s="27"/>
      <c r="UKP1" s="27"/>
      <c r="UKQ1" s="27"/>
      <c r="UKR1" s="27"/>
      <c r="UKS1" s="27"/>
      <c r="UKT1" s="27"/>
      <c r="UKU1" s="27"/>
      <c r="UKV1" s="27"/>
      <c r="UKW1" s="27"/>
      <c r="UKX1" s="27"/>
      <c r="UKY1" s="27"/>
      <c r="UKZ1" s="27"/>
      <c r="ULA1" s="27"/>
      <c r="ULB1" s="27"/>
      <c r="ULC1" s="27"/>
      <c r="ULD1" s="27"/>
      <c r="ULE1" s="27"/>
      <c r="ULF1" s="27"/>
      <c r="ULG1" s="27"/>
      <c r="ULH1" s="27"/>
      <c r="ULI1" s="27"/>
      <c r="ULJ1" s="27"/>
      <c r="ULK1" s="27"/>
      <c r="ULL1" s="27"/>
      <c r="ULM1" s="27"/>
      <c r="ULN1" s="27"/>
      <c r="ULO1" s="27"/>
      <c r="ULP1" s="27"/>
      <c r="ULQ1" s="27"/>
      <c r="ULR1" s="27"/>
      <c r="ULS1" s="27"/>
      <c r="ULT1" s="27"/>
      <c r="ULU1" s="27"/>
      <c r="ULV1" s="27"/>
      <c r="ULW1" s="27"/>
      <c r="ULX1" s="27"/>
      <c r="ULY1" s="27"/>
      <c r="ULZ1" s="27"/>
      <c r="UMA1" s="27"/>
      <c r="UMB1" s="27"/>
      <c r="UMC1" s="27"/>
      <c r="UMD1" s="27"/>
      <c r="UME1" s="27"/>
      <c r="UMF1" s="27"/>
      <c r="UMG1" s="27"/>
      <c r="UMH1" s="27"/>
      <c r="UMI1" s="27"/>
      <c r="UMJ1" s="27"/>
      <c r="UMK1" s="27"/>
      <c r="UML1" s="27"/>
      <c r="UMM1" s="27"/>
      <c r="UMN1" s="27"/>
      <c r="UMO1" s="27"/>
      <c r="UMP1" s="27"/>
      <c r="UMQ1" s="27"/>
      <c r="UMR1" s="27"/>
      <c r="UMS1" s="27"/>
      <c r="UMT1" s="27"/>
      <c r="UMU1" s="27"/>
      <c r="UMV1" s="27"/>
      <c r="UMW1" s="27"/>
      <c r="UMX1" s="27"/>
      <c r="UMY1" s="27"/>
      <c r="UMZ1" s="27"/>
      <c r="UNA1" s="27"/>
      <c r="UNB1" s="27"/>
      <c r="UNC1" s="27"/>
      <c r="UND1" s="27"/>
      <c r="UNE1" s="27"/>
      <c r="UNF1" s="27"/>
      <c r="UNG1" s="27"/>
      <c r="UNH1" s="27"/>
      <c r="UNI1" s="27"/>
      <c r="UNJ1" s="27"/>
      <c r="UNK1" s="27"/>
      <c r="UNL1" s="27"/>
      <c r="UNM1" s="27"/>
      <c r="UNN1" s="27"/>
      <c r="UNO1" s="27"/>
      <c r="UNP1" s="27"/>
      <c r="UNQ1" s="27"/>
      <c r="UNR1" s="27"/>
      <c r="UNS1" s="27"/>
      <c r="UNT1" s="27"/>
      <c r="UNU1" s="27"/>
      <c r="UNV1" s="27"/>
      <c r="UNW1" s="27"/>
      <c r="UNX1" s="27"/>
      <c r="UNY1" s="27"/>
      <c r="UNZ1" s="27"/>
      <c r="UOA1" s="27"/>
      <c r="UOB1" s="27"/>
      <c r="UOC1" s="27"/>
      <c r="UOD1" s="27"/>
      <c r="UOE1" s="27"/>
      <c r="UOF1" s="27"/>
      <c r="UOG1" s="27"/>
      <c r="UOH1" s="27"/>
      <c r="UOI1" s="27"/>
      <c r="UOJ1" s="27"/>
      <c r="UOK1" s="27"/>
      <c r="UOL1" s="27"/>
      <c r="UOM1" s="27"/>
      <c r="UON1" s="27"/>
      <c r="UOO1" s="27"/>
      <c r="UOP1" s="27"/>
      <c r="UOQ1" s="27"/>
      <c r="UOR1" s="27"/>
      <c r="UOS1" s="27"/>
      <c r="UOT1" s="27"/>
      <c r="UOU1" s="27"/>
      <c r="UOV1" s="27"/>
      <c r="UOW1" s="27"/>
      <c r="UOX1" s="27"/>
      <c r="UOY1" s="27"/>
      <c r="UOZ1" s="27"/>
      <c r="UPA1" s="27"/>
      <c r="UPB1" s="27"/>
      <c r="UPC1" s="27"/>
      <c r="UPD1" s="27"/>
      <c r="UPE1" s="27"/>
      <c r="UPF1" s="27"/>
      <c r="UPG1" s="27"/>
      <c r="UPH1" s="27"/>
      <c r="UPI1" s="27"/>
      <c r="UPJ1" s="27"/>
      <c r="UPK1" s="27"/>
      <c r="UPL1" s="27"/>
      <c r="UPM1" s="27"/>
      <c r="UPN1" s="27"/>
      <c r="UPO1" s="27"/>
      <c r="UPP1" s="27"/>
      <c r="UPQ1" s="27"/>
      <c r="UPR1" s="27"/>
      <c r="UPS1" s="27"/>
      <c r="UPT1" s="27"/>
      <c r="UPU1" s="27"/>
      <c r="UPV1" s="27"/>
      <c r="UPW1" s="27"/>
      <c r="UPX1" s="27"/>
      <c r="UPY1" s="27"/>
      <c r="UPZ1" s="27"/>
      <c r="UQA1" s="27"/>
      <c r="UQB1" s="27"/>
      <c r="UQC1" s="27"/>
      <c r="UQD1" s="27"/>
      <c r="UQE1" s="27"/>
      <c r="UQF1" s="27"/>
      <c r="UQG1" s="27"/>
      <c r="UQH1" s="27"/>
      <c r="UQI1" s="27"/>
      <c r="UQJ1" s="27"/>
      <c r="UQK1" s="27"/>
      <c r="UQL1" s="27"/>
      <c r="UQM1" s="27"/>
      <c r="UQN1" s="27"/>
      <c r="UQO1" s="27"/>
      <c r="UQP1" s="27"/>
      <c r="UQQ1" s="27"/>
      <c r="UQR1" s="27"/>
      <c r="UQS1" s="27"/>
      <c r="UQT1" s="27"/>
      <c r="UQU1" s="27"/>
      <c r="UQV1" s="27"/>
      <c r="UQW1" s="27"/>
      <c r="UQX1" s="27"/>
      <c r="UQY1" s="27"/>
      <c r="UQZ1" s="27"/>
      <c r="URA1" s="27"/>
      <c r="URB1" s="27"/>
      <c r="URC1" s="27"/>
      <c r="URD1" s="27"/>
      <c r="URE1" s="27"/>
      <c r="URF1" s="27"/>
      <c r="URG1" s="27"/>
      <c r="URH1" s="27"/>
      <c r="URI1" s="27"/>
      <c r="URJ1" s="27"/>
      <c r="URK1" s="27"/>
      <c r="URL1" s="27"/>
      <c r="URM1" s="27"/>
      <c r="URN1" s="27"/>
      <c r="URO1" s="27"/>
      <c r="URP1" s="27"/>
      <c r="URQ1" s="27"/>
      <c r="URR1" s="27"/>
      <c r="URS1" s="27"/>
      <c r="URT1" s="27"/>
      <c r="URU1" s="27"/>
      <c r="URV1" s="27"/>
      <c r="URW1" s="27"/>
      <c r="URX1" s="27"/>
      <c r="URY1" s="27"/>
      <c r="URZ1" s="27"/>
      <c r="USA1" s="27"/>
      <c r="USB1" s="27"/>
      <c r="USC1" s="27"/>
      <c r="USD1" s="27"/>
      <c r="USE1" s="27"/>
      <c r="USF1" s="27"/>
      <c r="USG1" s="27"/>
      <c r="USH1" s="27"/>
      <c r="USI1" s="27"/>
      <c r="USJ1" s="27"/>
      <c r="USK1" s="27"/>
      <c r="USL1" s="27"/>
      <c r="USM1" s="27"/>
      <c r="USN1" s="27"/>
      <c r="USO1" s="27"/>
      <c r="USP1" s="27"/>
      <c r="USQ1" s="27"/>
      <c r="USR1" s="27"/>
      <c r="USS1" s="27"/>
      <c r="UST1" s="27"/>
      <c r="USU1" s="27"/>
      <c r="USV1" s="27"/>
      <c r="USW1" s="27"/>
      <c r="USX1" s="27"/>
      <c r="USY1" s="27"/>
      <c r="USZ1" s="27"/>
      <c r="UTA1" s="27"/>
      <c r="UTB1" s="27"/>
      <c r="UTC1" s="27"/>
      <c r="UTD1" s="27"/>
      <c r="UTE1" s="27"/>
      <c r="UTF1" s="27"/>
      <c r="UTG1" s="27"/>
      <c r="UTH1" s="27"/>
      <c r="UTI1" s="27"/>
      <c r="UTJ1" s="27"/>
      <c r="UTK1" s="27"/>
      <c r="UTL1" s="27"/>
      <c r="UTM1" s="27"/>
      <c r="UTN1" s="27"/>
      <c r="UTO1" s="27"/>
      <c r="UTP1" s="27"/>
      <c r="UTQ1" s="27"/>
      <c r="UTR1" s="27"/>
      <c r="UTS1" s="27"/>
      <c r="UTT1" s="27"/>
      <c r="UTU1" s="27"/>
      <c r="UTV1" s="27"/>
      <c r="UTW1" s="27"/>
      <c r="UTX1" s="27"/>
      <c r="UTY1" s="27"/>
      <c r="UTZ1" s="27"/>
      <c r="UUA1" s="27"/>
      <c r="UUB1" s="27"/>
      <c r="UUC1" s="27"/>
      <c r="UUD1" s="27"/>
      <c r="UUE1" s="27"/>
      <c r="UUF1" s="27"/>
      <c r="UUG1" s="27"/>
      <c r="UUH1" s="27"/>
      <c r="UUI1" s="27"/>
      <c r="UUJ1" s="27"/>
      <c r="UUK1" s="27"/>
      <c r="UUL1" s="27"/>
      <c r="UUM1" s="27"/>
      <c r="UUN1" s="27"/>
      <c r="UUO1" s="27"/>
      <c r="UUP1" s="27"/>
      <c r="UUQ1" s="27"/>
      <c r="UUR1" s="27"/>
      <c r="UUS1" s="27"/>
      <c r="UUT1" s="27"/>
      <c r="UUU1" s="27"/>
      <c r="UUV1" s="27"/>
      <c r="UUW1" s="27"/>
      <c r="UUX1" s="27"/>
      <c r="UUY1" s="27"/>
      <c r="UUZ1" s="27"/>
      <c r="UVA1" s="27"/>
      <c r="UVB1" s="27"/>
      <c r="UVC1" s="27"/>
      <c r="UVD1" s="27"/>
      <c r="UVE1" s="27"/>
      <c r="UVF1" s="27"/>
      <c r="UVG1" s="27"/>
      <c r="UVH1" s="27"/>
      <c r="UVI1" s="27"/>
      <c r="UVJ1" s="27"/>
      <c r="UVK1" s="27"/>
      <c r="UVL1" s="27"/>
      <c r="UVM1" s="27"/>
      <c r="UVN1" s="27"/>
      <c r="UVO1" s="27"/>
      <c r="UVP1" s="27"/>
      <c r="UVQ1" s="27"/>
      <c r="UVR1" s="27"/>
      <c r="UVS1" s="27"/>
      <c r="UVT1" s="27"/>
      <c r="UVU1" s="27"/>
      <c r="UVV1" s="27"/>
      <c r="UVW1" s="27"/>
      <c r="UVX1" s="27"/>
      <c r="UVY1" s="27"/>
      <c r="UVZ1" s="27"/>
      <c r="UWA1" s="27"/>
      <c r="UWB1" s="27"/>
      <c r="UWC1" s="27"/>
      <c r="UWD1" s="27"/>
      <c r="UWE1" s="27"/>
      <c r="UWF1" s="27"/>
      <c r="UWG1" s="27"/>
      <c r="UWH1" s="27"/>
      <c r="UWI1" s="27"/>
      <c r="UWJ1" s="27"/>
      <c r="UWK1" s="27"/>
      <c r="UWL1" s="27"/>
      <c r="UWM1" s="27"/>
      <c r="UWN1" s="27"/>
      <c r="UWO1" s="27"/>
      <c r="UWP1" s="27"/>
      <c r="UWQ1" s="27"/>
      <c r="UWR1" s="27"/>
      <c r="UWS1" s="27"/>
      <c r="UWT1" s="27"/>
      <c r="UWU1" s="27"/>
      <c r="UWV1" s="27"/>
      <c r="UWW1" s="27"/>
      <c r="UWX1" s="27"/>
      <c r="UWY1" s="27"/>
      <c r="UWZ1" s="27"/>
      <c r="UXA1" s="27"/>
      <c r="UXB1" s="27"/>
      <c r="UXC1" s="27"/>
      <c r="UXD1" s="27"/>
      <c r="UXE1" s="27"/>
      <c r="UXF1" s="27"/>
      <c r="UXG1" s="27"/>
      <c r="UXH1" s="27"/>
      <c r="UXI1" s="27"/>
      <c r="UXJ1" s="27"/>
      <c r="UXK1" s="27"/>
      <c r="UXL1" s="27"/>
      <c r="UXM1" s="27"/>
      <c r="UXN1" s="27"/>
      <c r="UXO1" s="27"/>
      <c r="UXP1" s="27"/>
      <c r="UXQ1" s="27"/>
      <c r="UXR1" s="27"/>
      <c r="UXS1" s="27"/>
      <c r="UXT1" s="27"/>
      <c r="UXU1" s="27"/>
      <c r="UXV1" s="27"/>
      <c r="UXW1" s="27"/>
      <c r="UXX1" s="27"/>
      <c r="UXY1" s="27"/>
      <c r="UXZ1" s="27"/>
      <c r="UYA1" s="27"/>
      <c r="UYB1" s="27"/>
      <c r="UYC1" s="27"/>
      <c r="UYD1" s="27"/>
      <c r="UYE1" s="27"/>
      <c r="UYF1" s="27"/>
      <c r="UYG1" s="27"/>
      <c r="UYH1" s="27"/>
      <c r="UYI1" s="27"/>
      <c r="UYJ1" s="27"/>
      <c r="UYK1" s="27"/>
      <c r="UYL1" s="27"/>
      <c r="UYM1" s="27"/>
      <c r="UYN1" s="27"/>
      <c r="UYO1" s="27"/>
      <c r="UYP1" s="27"/>
      <c r="UYQ1" s="27"/>
      <c r="UYR1" s="27"/>
      <c r="UYS1" s="27"/>
      <c r="UYT1" s="27"/>
      <c r="UYU1" s="27"/>
      <c r="UYV1" s="27"/>
      <c r="UYW1" s="27"/>
      <c r="UYX1" s="27"/>
      <c r="UYY1" s="27"/>
      <c r="UYZ1" s="27"/>
      <c r="UZA1" s="27"/>
      <c r="UZB1" s="27"/>
      <c r="UZC1" s="27"/>
      <c r="UZD1" s="27"/>
      <c r="UZE1" s="27"/>
      <c r="UZF1" s="27"/>
      <c r="UZG1" s="27"/>
      <c r="UZH1" s="27"/>
      <c r="UZI1" s="27"/>
      <c r="UZJ1" s="27"/>
      <c r="UZK1" s="27"/>
      <c r="UZL1" s="27"/>
      <c r="UZM1" s="27"/>
      <c r="UZN1" s="27"/>
      <c r="UZO1" s="27"/>
      <c r="UZP1" s="27"/>
      <c r="UZQ1" s="27"/>
      <c r="UZR1" s="27"/>
      <c r="UZS1" s="27"/>
      <c r="UZT1" s="27"/>
      <c r="UZU1" s="27"/>
      <c r="UZV1" s="27"/>
      <c r="UZW1" s="27"/>
      <c r="UZX1" s="27"/>
      <c r="UZY1" s="27"/>
      <c r="UZZ1" s="27"/>
      <c r="VAA1" s="27"/>
      <c r="VAB1" s="27"/>
      <c r="VAC1" s="27"/>
      <c r="VAD1" s="27"/>
      <c r="VAE1" s="27"/>
      <c r="VAF1" s="27"/>
      <c r="VAG1" s="27"/>
      <c r="VAH1" s="27"/>
      <c r="VAI1" s="27"/>
      <c r="VAJ1" s="27"/>
      <c r="VAK1" s="27"/>
      <c r="VAL1" s="27"/>
      <c r="VAM1" s="27"/>
      <c r="VAN1" s="27"/>
      <c r="VAO1" s="27"/>
      <c r="VAP1" s="27"/>
      <c r="VAQ1" s="27"/>
      <c r="VAR1" s="27"/>
      <c r="VAS1" s="27"/>
      <c r="VAT1" s="27"/>
      <c r="VAU1" s="27"/>
      <c r="VAV1" s="27"/>
      <c r="VAW1" s="27"/>
      <c r="VAX1" s="27"/>
      <c r="VAY1" s="27"/>
      <c r="VAZ1" s="27"/>
      <c r="VBA1" s="27"/>
      <c r="VBB1" s="27"/>
      <c r="VBC1" s="27"/>
      <c r="VBD1" s="27"/>
      <c r="VBE1" s="27"/>
      <c r="VBF1" s="27"/>
      <c r="VBG1" s="27"/>
      <c r="VBH1" s="27"/>
      <c r="VBI1" s="27"/>
      <c r="VBJ1" s="27"/>
      <c r="VBK1" s="27"/>
      <c r="VBL1" s="27"/>
      <c r="VBM1" s="27"/>
      <c r="VBN1" s="27"/>
      <c r="VBO1" s="27"/>
      <c r="VBP1" s="27"/>
      <c r="VBQ1" s="27"/>
      <c r="VBR1" s="27"/>
      <c r="VBS1" s="27"/>
      <c r="VBT1" s="27"/>
      <c r="VBU1" s="27"/>
      <c r="VBV1" s="27"/>
      <c r="VBW1" s="27"/>
      <c r="VBX1" s="27"/>
      <c r="VBY1" s="27"/>
      <c r="VBZ1" s="27"/>
      <c r="VCA1" s="27"/>
      <c r="VCB1" s="27"/>
      <c r="VCC1" s="27"/>
      <c r="VCD1" s="27"/>
      <c r="VCE1" s="27"/>
      <c r="VCF1" s="27"/>
      <c r="VCG1" s="27"/>
      <c r="VCH1" s="27"/>
      <c r="VCI1" s="27"/>
      <c r="VCJ1" s="27"/>
      <c r="VCK1" s="27"/>
      <c r="VCL1" s="27"/>
      <c r="VCM1" s="27"/>
      <c r="VCN1" s="27"/>
      <c r="VCO1" s="27"/>
      <c r="VCP1" s="27"/>
      <c r="VCQ1" s="27"/>
      <c r="VCR1" s="27"/>
      <c r="VCS1" s="27"/>
      <c r="VCT1" s="27"/>
      <c r="VCU1" s="27"/>
      <c r="VCV1" s="27"/>
      <c r="VCW1" s="27"/>
      <c r="VCX1" s="27"/>
      <c r="VCY1" s="27"/>
      <c r="VCZ1" s="27"/>
      <c r="VDA1" s="27"/>
      <c r="VDB1" s="27"/>
      <c r="VDC1" s="27"/>
      <c r="VDD1" s="27"/>
      <c r="VDE1" s="27"/>
      <c r="VDF1" s="27"/>
      <c r="VDG1" s="27"/>
      <c r="VDH1" s="27"/>
      <c r="VDI1" s="27"/>
      <c r="VDJ1" s="27"/>
      <c r="VDK1" s="27"/>
      <c r="VDL1" s="27"/>
      <c r="VDM1" s="27"/>
      <c r="VDN1" s="27"/>
      <c r="VDO1" s="27"/>
      <c r="VDP1" s="27"/>
      <c r="VDQ1" s="27"/>
      <c r="VDR1" s="27"/>
      <c r="VDS1" s="27"/>
      <c r="VDT1" s="27"/>
      <c r="VDU1" s="27"/>
      <c r="VDV1" s="27"/>
      <c r="VDW1" s="27"/>
      <c r="VDX1" s="27"/>
      <c r="VDY1" s="27"/>
      <c r="VDZ1" s="27"/>
      <c r="VEA1" s="27"/>
      <c r="VEB1" s="27"/>
      <c r="VEC1" s="27"/>
      <c r="VED1" s="27"/>
      <c r="VEE1" s="27"/>
      <c r="VEF1" s="27"/>
      <c r="VEG1" s="27"/>
      <c r="VEH1" s="27"/>
      <c r="VEI1" s="27"/>
      <c r="VEJ1" s="27"/>
      <c r="VEK1" s="27"/>
      <c r="VEL1" s="27"/>
      <c r="VEM1" s="27"/>
      <c r="VEN1" s="27"/>
      <c r="VEO1" s="27"/>
      <c r="VEP1" s="27"/>
      <c r="VEQ1" s="27"/>
      <c r="VER1" s="27"/>
      <c r="VES1" s="27"/>
      <c r="VET1" s="27"/>
      <c r="VEU1" s="27"/>
      <c r="VEV1" s="27"/>
      <c r="VEW1" s="27"/>
      <c r="VEX1" s="27"/>
      <c r="VEY1" s="27"/>
      <c r="VEZ1" s="27"/>
      <c r="VFA1" s="27"/>
      <c r="VFB1" s="27"/>
      <c r="VFC1" s="27"/>
      <c r="VFD1" s="27"/>
      <c r="VFE1" s="27"/>
      <c r="VFF1" s="27"/>
      <c r="VFG1" s="27"/>
      <c r="VFH1" s="27"/>
      <c r="VFI1" s="27"/>
      <c r="VFJ1" s="27"/>
      <c r="VFK1" s="27"/>
      <c r="VFL1" s="27"/>
      <c r="VFM1" s="27"/>
      <c r="VFN1" s="27"/>
      <c r="VFO1" s="27"/>
      <c r="VFP1" s="27"/>
      <c r="VFQ1" s="27"/>
      <c r="VFR1" s="27"/>
      <c r="VFS1" s="27"/>
      <c r="VFT1" s="27"/>
      <c r="VFU1" s="27"/>
      <c r="VFV1" s="27"/>
      <c r="VFW1" s="27"/>
      <c r="VFX1" s="27"/>
      <c r="VFY1" s="27"/>
      <c r="VFZ1" s="27"/>
      <c r="VGA1" s="27"/>
      <c r="VGB1" s="27"/>
      <c r="VGC1" s="27"/>
      <c r="VGD1" s="27"/>
      <c r="VGE1" s="27"/>
      <c r="VGF1" s="27"/>
      <c r="VGG1" s="27"/>
      <c r="VGH1" s="27"/>
      <c r="VGI1" s="27"/>
      <c r="VGJ1" s="27"/>
      <c r="VGK1" s="27"/>
      <c r="VGL1" s="27"/>
      <c r="VGM1" s="27"/>
      <c r="VGN1" s="27"/>
      <c r="VGO1" s="27"/>
      <c r="VGP1" s="27"/>
      <c r="VGQ1" s="27"/>
      <c r="VGR1" s="27"/>
      <c r="VGS1" s="27"/>
      <c r="VGT1" s="27"/>
      <c r="VGU1" s="27"/>
      <c r="VGV1" s="27"/>
      <c r="VGW1" s="27"/>
      <c r="VGX1" s="27"/>
      <c r="VGY1" s="27"/>
      <c r="VGZ1" s="27"/>
      <c r="VHA1" s="27"/>
      <c r="VHB1" s="27"/>
      <c r="VHC1" s="27"/>
      <c r="VHD1" s="27"/>
      <c r="VHE1" s="27"/>
      <c r="VHF1" s="27"/>
      <c r="VHG1" s="27"/>
      <c r="VHH1" s="27"/>
      <c r="VHI1" s="27"/>
      <c r="VHJ1" s="27"/>
      <c r="VHK1" s="27"/>
      <c r="VHL1" s="27"/>
      <c r="VHM1" s="27"/>
      <c r="VHN1" s="27"/>
      <c r="VHO1" s="27"/>
      <c r="VHP1" s="27"/>
      <c r="VHQ1" s="27"/>
      <c r="VHR1" s="27"/>
      <c r="VHS1" s="27"/>
      <c r="VHT1" s="27"/>
      <c r="VHU1" s="27"/>
      <c r="VHV1" s="27"/>
      <c r="VHW1" s="27"/>
      <c r="VHX1" s="27"/>
      <c r="VHY1" s="27"/>
      <c r="VHZ1" s="27"/>
      <c r="VIA1" s="27"/>
      <c r="VIB1" s="27"/>
      <c r="VIC1" s="27"/>
      <c r="VID1" s="27"/>
      <c r="VIE1" s="27"/>
      <c r="VIF1" s="27"/>
      <c r="VIG1" s="27"/>
      <c r="VIH1" s="27"/>
      <c r="VII1" s="27"/>
      <c r="VIJ1" s="27"/>
      <c r="VIK1" s="27"/>
      <c r="VIL1" s="27"/>
      <c r="VIM1" s="27"/>
      <c r="VIN1" s="27"/>
      <c r="VIO1" s="27"/>
      <c r="VIP1" s="27"/>
      <c r="VIQ1" s="27"/>
      <c r="VIR1" s="27"/>
      <c r="VIS1" s="27"/>
      <c r="VIT1" s="27"/>
      <c r="VIU1" s="27"/>
      <c r="VIV1" s="27"/>
      <c r="VIW1" s="27"/>
      <c r="VIX1" s="27"/>
      <c r="VIY1" s="27"/>
      <c r="VIZ1" s="27"/>
      <c r="VJA1" s="27"/>
      <c r="VJB1" s="27"/>
      <c r="VJC1" s="27"/>
      <c r="VJD1" s="27"/>
      <c r="VJE1" s="27"/>
      <c r="VJF1" s="27"/>
      <c r="VJG1" s="27"/>
      <c r="VJH1" s="27"/>
      <c r="VJI1" s="27"/>
      <c r="VJJ1" s="27"/>
      <c r="VJK1" s="27"/>
      <c r="VJL1" s="27"/>
      <c r="VJM1" s="27"/>
      <c r="VJN1" s="27"/>
      <c r="VJO1" s="27"/>
      <c r="VJP1" s="27"/>
      <c r="VJQ1" s="27"/>
      <c r="VJR1" s="27"/>
      <c r="VJS1" s="27"/>
      <c r="VJT1" s="27"/>
      <c r="VJU1" s="27"/>
      <c r="VJV1" s="27"/>
      <c r="VJW1" s="27"/>
      <c r="VJX1" s="27"/>
      <c r="VJY1" s="27"/>
      <c r="VJZ1" s="27"/>
      <c r="VKA1" s="27"/>
      <c r="VKB1" s="27"/>
      <c r="VKC1" s="27"/>
      <c r="VKD1" s="27"/>
      <c r="VKE1" s="27"/>
      <c r="VKF1" s="27"/>
      <c r="VKG1" s="27"/>
      <c r="VKH1" s="27"/>
      <c r="VKI1" s="27"/>
      <c r="VKJ1" s="27"/>
      <c r="VKK1" s="27"/>
      <c r="VKL1" s="27"/>
      <c r="VKM1" s="27"/>
      <c r="VKN1" s="27"/>
      <c r="VKO1" s="27"/>
      <c r="VKP1" s="27"/>
      <c r="VKQ1" s="27"/>
      <c r="VKR1" s="27"/>
      <c r="VKS1" s="27"/>
      <c r="VKT1" s="27"/>
      <c r="VKU1" s="27"/>
      <c r="VKV1" s="27"/>
      <c r="VKW1" s="27"/>
      <c r="VKX1" s="27"/>
      <c r="VKY1" s="27"/>
      <c r="VKZ1" s="27"/>
      <c r="VLA1" s="27"/>
      <c r="VLB1" s="27"/>
      <c r="VLC1" s="27"/>
      <c r="VLD1" s="27"/>
      <c r="VLE1" s="27"/>
      <c r="VLF1" s="27"/>
      <c r="VLG1" s="27"/>
      <c r="VLH1" s="27"/>
      <c r="VLI1" s="27"/>
      <c r="VLJ1" s="27"/>
      <c r="VLK1" s="27"/>
      <c r="VLL1" s="27"/>
      <c r="VLM1" s="27"/>
      <c r="VLN1" s="27"/>
      <c r="VLO1" s="27"/>
      <c r="VLP1" s="27"/>
      <c r="VLQ1" s="27"/>
      <c r="VLR1" s="27"/>
      <c r="VLS1" s="27"/>
      <c r="VLT1" s="27"/>
      <c r="VLU1" s="27"/>
      <c r="VLV1" s="27"/>
      <c r="VLW1" s="27"/>
      <c r="VLX1" s="27"/>
      <c r="VLY1" s="27"/>
      <c r="VLZ1" s="27"/>
      <c r="VMA1" s="27"/>
      <c r="VMB1" s="27"/>
      <c r="VMC1" s="27"/>
      <c r="VMD1" s="27"/>
      <c r="VME1" s="27"/>
      <c r="VMF1" s="27"/>
      <c r="VMG1" s="27"/>
      <c r="VMH1" s="27"/>
      <c r="VMI1" s="27"/>
      <c r="VMJ1" s="27"/>
      <c r="VMK1" s="27"/>
      <c r="VML1" s="27"/>
      <c r="VMM1" s="27"/>
      <c r="VMN1" s="27"/>
      <c r="VMO1" s="27"/>
      <c r="VMP1" s="27"/>
      <c r="VMQ1" s="27"/>
      <c r="VMR1" s="27"/>
      <c r="VMS1" s="27"/>
      <c r="VMT1" s="27"/>
      <c r="VMU1" s="27"/>
      <c r="VMV1" s="27"/>
      <c r="VMW1" s="27"/>
      <c r="VMX1" s="27"/>
      <c r="VMY1" s="27"/>
      <c r="VMZ1" s="27"/>
      <c r="VNA1" s="27"/>
      <c r="VNB1" s="27"/>
      <c r="VNC1" s="27"/>
      <c r="VND1" s="27"/>
      <c r="VNE1" s="27"/>
      <c r="VNF1" s="27"/>
      <c r="VNG1" s="27"/>
      <c r="VNH1" s="27"/>
      <c r="VNI1" s="27"/>
      <c r="VNJ1" s="27"/>
      <c r="VNK1" s="27"/>
      <c r="VNL1" s="27"/>
      <c r="VNM1" s="27"/>
      <c r="VNN1" s="27"/>
      <c r="VNO1" s="27"/>
      <c r="VNP1" s="27"/>
      <c r="VNQ1" s="27"/>
      <c r="VNR1" s="27"/>
      <c r="VNS1" s="27"/>
      <c r="VNT1" s="27"/>
      <c r="VNU1" s="27"/>
      <c r="VNV1" s="27"/>
      <c r="VNW1" s="27"/>
      <c r="VNX1" s="27"/>
      <c r="VNY1" s="27"/>
      <c r="VNZ1" s="27"/>
      <c r="VOA1" s="27"/>
      <c r="VOB1" s="27"/>
      <c r="VOC1" s="27"/>
      <c r="VOD1" s="27"/>
      <c r="VOE1" s="27"/>
      <c r="VOF1" s="27"/>
      <c r="VOG1" s="27"/>
      <c r="VOH1" s="27"/>
      <c r="VOI1" s="27"/>
      <c r="VOJ1" s="27"/>
      <c r="VOK1" s="27"/>
      <c r="VOL1" s="27"/>
      <c r="VOM1" s="27"/>
      <c r="VON1" s="27"/>
      <c r="VOO1" s="27"/>
      <c r="VOP1" s="27"/>
      <c r="VOQ1" s="27"/>
      <c r="VOR1" s="27"/>
      <c r="VOS1" s="27"/>
      <c r="VOT1" s="27"/>
      <c r="VOU1" s="27"/>
      <c r="VOV1" s="27"/>
      <c r="VOW1" s="27"/>
      <c r="VOX1" s="27"/>
      <c r="VOY1" s="27"/>
      <c r="VOZ1" s="27"/>
      <c r="VPA1" s="27"/>
      <c r="VPB1" s="27"/>
      <c r="VPC1" s="27"/>
      <c r="VPD1" s="27"/>
      <c r="VPE1" s="27"/>
      <c r="VPF1" s="27"/>
      <c r="VPG1" s="27"/>
      <c r="VPH1" s="27"/>
      <c r="VPI1" s="27"/>
      <c r="VPJ1" s="27"/>
      <c r="VPK1" s="27"/>
      <c r="VPL1" s="27"/>
      <c r="VPM1" s="27"/>
      <c r="VPN1" s="27"/>
      <c r="VPO1" s="27"/>
      <c r="VPP1" s="27"/>
      <c r="VPQ1" s="27"/>
      <c r="VPR1" s="27"/>
      <c r="VPS1" s="27"/>
      <c r="VPT1" s="27"/>
      <c r="VPU1" s="27"/>
      <c r="VPV1" s="27"/>
      <c r="VPW1" s="27"/>
      <c r="VPX1" s="27"/>
      <c r="VPY1" s="27"/>
      <c r="VPZ1" s="27"/>
      <c r="VQA1" s="27"/>
      <c r="VQB1" s="27"/>
      <c r="VQC1" s="27"/>
      <c r="VQD1" s="27"/>
      <c r="VQE1" s="27"/>
      <c r="VQF1" s="27"/>
      <c r="VQG1" s="27"/>
      <c r="VQH1" s="27"/>
      <c r="VQI1" s="27"/>
      <c r="VQJ1" s="27"/>
      <c r="VQK1" s="27"/>
      <c r="VQL1" s="27"/>
      <c r="VQM1" s="27"/>
      <c r="VQN1" s="27"/>
      <c r="VQO1" s="27"/>
      <c r="VQP1" s="27"/>
      <c r="VQQ1" s="27"/>
      <c r="VQR1" s="27"/>
      <c r="VQS1" s="27"/>
      <c r="VQT1" s="27"/>
      <c r="VQU1" s="27"/>
      <c r="VQV1" s="27"/>
      <c r="VQW1" s="27"/>
      <c r="VQX1" s="27"/>
      <c r="VQY1" s="27"/>
      <c r="VQZ1" s="27"/>
      <c r="VRA1" s="27"/>
      <c r="VRB1" s="27"/>
      <c r="VRC1" s="27"/>
      <c r="VRD1" s="27"/>
      <c r="VRE1" s="27"/>
      <c r="VRF1" s="27"/>
      <c r="VRG1" s="27"/>
      <c r="VRH1" s="27"/>
      <c r="VRI1" s="27"/>
      <c r="VRJ1" s="27"/>
      <c r="VRK1" s="27"/>
      <c r="VRL1" s="27"/>
      <c r="VRM1" s="27"/>
      <c r="VRN1" s="27"/>
      <c r="VRO1" s="27"/>
      <c r="VRP1" s="27"/>
      <c r="VRQ1" s="27"/>
      <c r="VRR1" s="27"/>
      <c r="VRS1" s="27"/>
      <c r="VRT1" s="27"/>
      <c r="VRU1" s="27"/>
      <c r="VRV1" s="27"/>
      <c r="VRW1" s="27"/>
      <c r="VRX1" s="27"/>
      <c r="VRY1" s="27"/>
      <c r="VRZ1" s="27"/>
      <c r="VSA1" s="27"/>
      <c r="VSB1" s="27"/>
      <c r="VSC1" s="27"/>
      <c r="VSD1" s="27"/>
      <c r="VSE1" s="27"/>
      <c r="VSF1" s="27"/>
      <c r="VSG1" s="27"/>
      <c r="VSH1" s="27"/>
      <c r="VSI1" s="27"/>
      <c r="VSJ1" s="27"/>
      <c r="VSK1" s="27"/>
      <c r="VSL1" s="27"/>
      <c r="VSM1" s="27"/>
      <c r="VSN1" s="27"/>
      <c r="VSO1" s="27"/>
      <c r="VSP1" s="27"/>
      <c r="VSQ1" s="27"/>
      <c r="VSR1" s="27"/>
      <c r="VSS1" s="27"/>
      <c r="VST1" s="27"/>
      <c r="VSU1" s="27"/>
      <c r="VSV1" s="27"/>
      <c r="VSW1" s="27"/>
      <c r="VSX1" s="27"/>
      <c r="VSY1" s="27"/>
      <c r="VSZ1" s="27"/>
      <c r="VTA1" s="27"/>
      <c r="VTB1" s="27"/>
      <c r="VTC1" s="27"/>
      <c r="VTD1" s="27"/>
      <c r="VTE1" s="27"/>
      <c r="VTF1" s="27"/>
      <c r="VTG1" s="27"/>
      <c r="VTH1" s="27"/>
      <c r="VTI1" s="27"/>
      <c r="VTJ1" s="27"/>
      <c r="VTK1" s="27"/>
      <c r="VTL1" s="27"/>
      <c r="VTM1" s="27"/>
      <c r="VTN1" s="27"/>
      <c r="VTO1" s="27"/>
      <c r="VTP1" s="27"/>
      <c r="VTQ1" s="27"/>
      <c r="VTR1" s="27"/>
      <c r="VTS1" s="27"/>
      <c r="VTT1" s="27"/>
      <c r="VTU1" s="27"/>
      <c r="VTV1" s="27"/>
      <c r="VTW1" s="27"/>
      <c r="VTX1" s="27"/>
      <c r="VTY1" s="27"/>
      <c r="VTZ1" s="27"/>
      <c r="VUA1" s="27"/>
      <c r="VUB1" s="27"/>
      <c r="VUC1" s="27"/>
      <c r="VUD1" s="27"/>
      <c r="VUE1" s="27"/>
      <c r="VUF1" s="27"/>
      <c r="VUG1" s="27"/>
      <c r="VUH1" s="27"/>
      <c r="VUI1" s="27"/>
      <c r="VUJ1" s="27"/>
      <c r="VUK1" s="27"/>
      <c r="VUL1" s="27"/>
      <c r="VUM1" s="27"/>
      <c r="VUN1" s="27"/>
      <c r="VUO1" s="27"/>
      <c r="VUP1" s="27"/>
      <c r="VUQ1" s="27"/>
      <c r="VUR1" s="27"/>
      <c r="VUS1" s="27"/>
      <c r="VUT1" s="27"/>
      <c r="VUU1" s="27"/>
      <c r="VUV1" s="27"/>
      <c r="VUW1" s="27"/>
      <c r="VUX1" s="27"/>
      <c r="VUY1" s="27"/>
      <c r="VUZ1" s="27"/>
      <c r="VVA1" s="27"/>
      <c r="VVB1" s="27"/>
      <c r="VVC1" s="27"/>
      <c r="VVD1" s="27"/>
      <c r="VVE1" s="27"/>
      <c r="VVF1" s="27"/>
      <c r="VVG1" s="27"/>
      <c r="VVH1" s="27"/>
      <c r="VVI1" s="27"/>
      <c r="VVJ1" s="27"/>
      <c r="VVK1" s="27"/>
      <c r="VVL1" s="27"/>
      <c r="VVM1" s="27"/>
      <c r="VVN1" s="27"/>
      <c r="VVO1" s="27"/>
      <c r="VVP1" s="27"/>
      <c r="VVQ1" s="27"/>
      <c r="VVR1" s="27"/>
      <c r="VVS1" s="27"/>
      <c r="VVT1" s="27"/>
      <c r="VVU1" s="27"/>
      <c r="VVV1" s="27"/>
      <c r="VVW1" s="27"/>
      <c r="VVX1" s="27"/>
      <c r="VVY1" s="27"/>
      <c r="VVZ1" s="27"/>
      <c r="VWA1" s="27"/>
      <c r="VWB1" s="27"/>
      <c r="VWC1" s="27"/>
      <c r="VWD1" s="27"/>
      <c r="VWE1" s="27"/>
      <c r="VWF1" s="27"/>
      <c r="VWG1" s="27"/>
      <c r="VWH1" s="27"/>
      <c r="VWI1" s="27"/>
      <c r="VWJ1" s="27"/>
      <c r="VWK1" s="27"/>
      <c r="VWL1" s="27"/>
      <c r="VWM1" s="27"/>
      <c r="VWN1" s="27"/>
      <c r="VWO1" s="27"/>
      <c r="VWP1" s="27"/>
      <c r="VWQ1" s="27"/>
      <c r="VWR1" s="27"/>
      <c r="VWS1" s="27"/>
      <c r="VWT1" s="27"/>
      <c r="VWU1" s="27"/>
      <c r="VWV1" s="27"/>
      <c r="VWW1" s="27"/>
      <c r="VWX1" s="27"/>
      <c r="VWY1" s="27"/>
      <c r="VWZ1" s="27"/>
      <c r="VXA1" s="27"/>
      <c r="VXB1" s="27"/>
      <c r="VXC1" s="27"/>
      <c r="VXD1" s="27"/>
      <c r="VXE1" s="27"/>
      <c r="VXF1" s="27"/>
      <c r="VXG1" s="27"/>
      <c r="VXH1" s="27"/>
      <c r="VXI1" s="27"/>
      <c r="VXJ1" s="27"/>
      <c r="VXK1" s="27"/>
      <c r="VXL1" s="27"/>
      <c r="VXM1" s="27"/>
      <c r="VXN1" s="27"/>
      <c r="VXO1" s="27"/>
      <c r="VXP1" s="27"/>
      <c r="VXQ1" s="27"/>
      <c r="VXR1" s="27"/>
      <c r="VXS1" s="27"/>
      <c r="VXT1" s="27"/>
      <c r="VXU1" s="27"/>
      <c r="VXV1" s="27"/>
      <c r="VXW1" s="27"/>
      <c r="VXX1" s="27"/>
      <c r="VXY1" s="27"/>
      <c r="VXZ1" s="27"/>
      <c r="VYA1" s="27"/>
      <c r="VYB1" s="27"/>
      <c r="VYC1" s="27"/>
      <c r="VYD1" s="27"/>
      <c r="VYE1" s="27"/>
      <c r="VYF1" s="27"/>
      <c r="VYG1" s="27"/>
      <c r="VYH1" s="27"/>
      <c r="VYI1" s="27"/>
      <c r="VYJ1" s="27"/>
      <c r="VYK1" s="27"/>
      <c r="VYL1" s="27"/>
      <c r="VYM1" s="27"/>
      <c r="VYN1" s="27"/>
      <c r="VYO1" s="27"/>
      <c r="VYP1" s="27"/>
      <c r="VYQ1" s="27"/>
      <c r="VYR1" s="27"/>
      <c r="VYS1" s="27"/>
      <c r="VYT1" s="27"/>
      <c r="VYU1" s="27"/>
      <c r="VYV1" s="27"/>
      <c r="VYW1" s="27"/>
      <c r="VYX1" s="27"/>
      <c r="VYY1" s="27"/>
      <c r="VYZ1" s="27"/>
      <c r="VZA1" s="27"/>
      <c r="VZB1" s="27"/>
      <c r="VZC1" s="27"/>
      <c r="VZD1" s="27"/>
      <c r="VZE1" s="27"/>
      <c r="VZF1" s="27"/>
      <c r="VZG1" s="27"/>
      <c r="VZH1" s="27"/>
      <c r="VZI1" s="27"/>
      <c r="VZJ1" s="27"/>
      <c r="VZK1" s="27"/>
      <c r="VZL1" s="27"/>
      <c r="VZM1" s="27"/>
      <c r="VZN1" s="27"/>
      <c r="VZO1" s="27"/>
      <c r="VZP1" s="27"/>
      <c r="VZQ1" s="27"/>
      <c r="VZR1" s="27"/>
      <c r="VZS1" s="27"/>
      <c r="VZT1" s="27"/>
      <c r="VZU1" s="27"/>
      <c r="VZV1" s="27"/>
      <c r="VZW1" s="27"/>
      <c r="VZX1" s="27"/>
      <c r="VZY1" s="27"/>
      <c r="VZZ1" s="27"/>
      <c r="WAA1" s="27"/>
      <c r="WAB1" s="27"/>
      <c r="WAC1" s="27"/>
      <c r="WAD1" s="27"/>
      <c r="WAE1" s="27"/>
      <c r="WAF1" s="27"/>
      <c r="WAG1" s="27"/>
      <c r="WAH1" s="27"/>
      <c r="WAI1" s="27"/>
      <c r="WAJ1" s="27"/>
      <c r="WAK1" s="27"/>
      <c r="WAL1" s="27"/>
      <c r="WAM1" s="27"/>
      <c r="WAN1" s="27"/>
      <c r="WAO1" s="27"/>
      <c r="WAP1" s="27"/>
      <c r="WAQ1" s="27"/>
      <c r="WAR1" s="27"/>
      <c r="WAS1" s="27"/>
      <c r="WAT1" s="27"/>
      <c r="WAU1" s="27"/>
      <c r="WAV1" s="27"/>
      <c r="WAW1" s="27"/>
      <c r="WAX1" s="27"/>
      <c r="WAY1" s="27"/>
      <c r="WAZ1" s="27"/>
      <c r="WBA1" s="27"/>
      <c r="WBB1" s="27"/>
      <c r="WBC1" s="27"/>
      <c r="WBD1" s="27"/>
      <c r="WBE1" s="27"/>
      <c r="WBF1" s="27"/>
      <c r="WBG1" s="27"/>
      <c r="WBH1" s="27"/>
      <c r="WBI1" s="27"/>
      <c r="WBJ1" s="27"/>
      <c r="WBK1" s="27"/>
      <c r="WBL1" s="27"/>
      <c r="WBM1" s="27"/>
      <c r="WBN1" s="27"/>
      <c r="WBO1" s="27"/>
      <c r="WBP1" s="27"/>
      <c r="WBQ1" s="27"/>
      <c r="WBR1" s="27"/>
      <c r="WBS1" s="27"/>
      <c r="WBT1" s="27"/>
      <c r="WBU1" s="27"/>
      <c r="WBV1" s="27"/>
      <c r="WBW1" s="27"/>
      <c r="WBX1" s="27"/>
      <c r="WBY1" s="27"/>
      <c r="WBZ1" s="27"/>
      <c r="WCA1" s="27"/>
      <c r="WCB1" s="27"/>
      <c r="WCC1" s="27"/>
      <c r="WCD1" s="27"/>
      <c r="WCE1" s="27"/>
      <c r="WCF1" s="27"/>
      <c r="WCG1" s="27"/>
      <c r="WCH1" s="27"/>
      <c r="WCI1" s="27"/>
      <c r="WCJ1" s="27"/>
      <c r="WCK1" s="27"/>
      <c r="WCL1" s="27"/>
      <c r="WCM1" s="27"/>
      <c r="WCN1" s="27"/>
      <c r="WCO1" s="27"/>
      <c r="WCP1" s="27"/>
      <c r="WCQ1" s="27"/>
      <c r="WCR1" s="27"/>
      <c r="WCS1" s="27"/>
      <c r="WCT1" s="27"/>
      <c r="WCU1" s="27"/>
      <c r="WCV1" s="27"/>
      <c r="WCW1" s="27"/>
      <c r="WCX1" s="27"/>
      <c r="WCY1" s="27"/>
      <c r="WCZ1" s="27"/>
      <c r="WDA1" s="27"/>
      <c r="WDB1" s="27"/>
      <c r="WDC1" s="27"/>
      <c r="WDD1" s="27"/>
      <c r="WDE1" s="27"/>
      <c r="WDF1" s="27"/>
      <c r="WDG1" s="27"/>
      <c r="WDH1" s="27"/>
      <c r="WDI1" s="27"/>
      <c r="WDJ1" s="27"/>
      <c r="WDK1" s="27"/>
      <c r="WDL1" s="27"/>
      <c r="WDM1" s="27"/>
      <c r="WDN1" s="27"/>
      <c r="WDO1" s="27"/>
      <c r="WDP1" s="27"/>
      <c r="WDQ1" s="27"/>
      <c r="WDR1" s="27"/>
      <c r="WDS1" s="27"/>
      <c r="WDT1" s="27"/>
      <c r="WDU1" s="27"/>
      <c r="WDV1" s="27"/>
      <c r="WDW1" s="27"/>
      <c r="WDX1" s="27"/>
      <c r="WDY1" s="27"/>
      <c r="WDZ1" s="27"/>
      <c r="WEA1" s="27"/>
      <c r="WEB1" s="27"/>
      <c r="WEC1" s="27"/>
      <c r="WED1" s="27"/>
      <c r="WEE1" s="27"/>
      <c r="WEF1" s="27"/>
      <c r="WEG1" s="27"/>
      <c r="WEH1" s="27"/>
      <c r="WEI1" s="27"/>
      <c r="WEJ1" s="27"/>
      <c r="WEK1" s="27"/>
      <c r="WEL1" s="27"/>
      <c r="WEM1" s="27"/>
      <c r="WEN1" s="27"/>
      <c r="WEO1" s="27"/>
      <c r="WEP1" s="27"/>
      <c r="WEQ1" s="27"/>
      <c r="WER1" s="27"/>
      <c r="WES1" s="27"/>
      <c r="WET1" s="27"/>
      <c r="WEU1" s="27"/>
      <c r="WEV1" s="27"/>
      <c r="WEW1" s="27"/>
      <c r="WEX1" s="27"/>
      <c r="WEY1" s="27"/>
      <c r="WEZ1" s="27"/>
      <c r="WFA1" s="27"/>
      <c r="WFB1" s="27"/>
      <c r="WFC1" s="27"/>
      <c r="WFD1" s="27"/>
      <c r="WFE1" s="27"/>
      <c r="WFF1" s="27"/>
      <c r="WFG1" s="27"/>
      <c r="WFH1" s="27"/>
      <c r="WFI1" s="27"/>
      <c r="WFJ1" s="27"/>
      <c r="WFK1" s="27"/>
      <c r="WFL1" s="27"/>
      <c r="WFM1" s="27"/>
      <c r="WFN1" s="27"/>
      <c r="WFO1" s="27"/>
      <c r="WFP1" s="27"/>
      <c r="WFQ1" s="27"/>
      <c r="WFR1" s="27"/>
      <c r="WFS1" s="27"/>
      <c r="WFT1" s="27"/>
      <c r="WFU1" s="27"/>
      <c r="WFV1" s="27"/>
      <c r="WFW1" s="27"/>
      <c r="WFX1" s="27"/>
      <c r="WFY1" s="27"/>
      <c r="WFZ1" s="27"/>
      <c r="WGA1" s="27"/>
      <c r="WGB1" s="27"/>
      <c r="WGC1" s="27"/>
      <c r="WGD1" s="27"/>
      <c r="WGE1" s="27"/>
      <c r="WGF1" s="27"/>
      <c r="WGG1" s="27"/>
      <c r="WGH1" s="27"/>
      <c r="WGI1" s="27"/>
      <c r="WGJ1" s="27"/>
      <c r="WGK1" s="27"/>
      <c r="WGL1" s="27"/>
      <c r="WGM1" s="27"/>
      <c r="WGN1" s="27"/>
      <c r="WGO1" s="27"/>
      <c r="WGP1" s="27"/>
      <c r="WGQ1" s="27"/>
      <c r="WGR1" s="27"/>
      <c r="WGS1" s="27"/>
      <c r="WGT1" s="27"/>
      <c r="WGU1" s="27"/>
      <c r="WGV1" s="27"/>
      <c r="WGW1" s="27"/>
      <c r="WGX1" s="27"/>
      <c r="WGY1" s="27"/>
      <c r="WGZ1" s="27"/>
      <c r="WHA1" s="27"/>
      <c r="WHB1" s="27"/>
      <c r="WHC1" s="27"/>
      <c r="WHD1" s="27"/>
      <c r="WHE1" s="27"/>
      <c r="WHF1" s="27"/>
      <c r="WHG1" s="27"/>
      <c r="WHH1" s="27"/>
      <c r="WHI1" s="27"/>
      <c r="WHJ1" s="27"/>
      <c r="WHK1" s="27"/>
      <c r="WHL1" s="27"/>
      <c r="WHM1" s="27"/>
      <c r="WHN1" s="27"/>
      <c r="WHO1" s="27"/>
      <c r="WHP1" s="27"/>
      <c r="WHQ1" s="27"/>
      <c r="WHR1" s="27"/>
      <c r="WHS1" s="27"/>
      <c r="WHT1" s="27"/>
      <c r="WHU1" s="27"/>
      <c r="WHV1" s="27"/>
      <c r="WHW1" s="27"/>
      <c r="WHX1" s="27"/>
      <c r="WHY1" s="27"/>
      <c r="WHZ1" s="27"/>
      <c r="WIA1" s="27"/>
      <c r="WIB1" s="27"/>
      <c r="WIC1" s="27"/>
      <c r="WID1" s="27"/>
      <c r="WIE1" s="27"/>
      <c r="WIF1" s="27"/>
      <c r="WIG1" s="27"/>
      <c r="WIH1" s="27"/>
      <c r="WII1" s="27"/>
      <c r="WIJ1" s="27"/>
      <c r="WIK1" s="27"/>
      <c r="WIL1" s="27"/>
      <c r="WIM1" s="27"/>
      <c r="WIN1" s="27"/>
      <c r="WIO1" s="27"/>
      <c r="WIP1" s="27"/>
      <c r="WIQ1" s="27"/>
      <c r="WIR1" s="27"/>
      <c r="WIS1" s="27"/>
      <c r="WIT1" s="27"/>
      <c r="WIU1" s="27"/>
      <c r="WIV1" s="27"/>
      <c r="WIW1" s="27"/>
      <c r="WIX1" s="27"/>
      <c r="WIY1" s="27"/>
      <c r="WIZ1" s="27"/>
      <c r="WJA1" s="27"/>
      <c r="WJB1" s="27"/>
      <c r="WJC1" s="27"/>
      <c r="WJD1" s="27"/>
      <c r="WJE1" s="27"/>
      <c r="WJF1" s="27"/>
      <c r="WJG1" s="27"/>
      <c r="WJH1" s="27"/>
      <c r="WJI1" s="27"/>
      <c r="WJJ1" s="27"/>
      <c r="WJK1" s="27"/>
      <c r="WJL1" s="27"/>
      <c r="WJM1" s="27"/>
      <c r="WJN1" s="27"/>
      <c r="WJO1" s="27"/>
      <c r="WJP1" s="27"/>
      <c r="WJQ1" s="27"/>
      <c r="WJR1" s="27"/>
      <c r="WJS1" s="27"/>
      <c r="WJT1" s="27"/>
      <c r="WJU1" s="27"/>
      <c r="WJV1" s="27"/>
      <c r="WJW1" s="27"/>
      <c r="WJX1" s="27"/>
      <c r="WJY1" s="27"/>
      <c r="WJZ1" s="27"/>
      <c r="WKA1" s="27"/>
      <c r="WKB1" s="27"/>
      <c r="WKC1" s="27"/>
      <c r="WKD1" s="27"/>
      <c r="WKE1" s="27"/>
      <c r="WKF1" s="27"/>
      <c r="WKG1" s="27"/>
      <c r="WKH1" s="27"/>
      <c r="WKI1" s="27"/>
      <c r="WKJ1" s="27"/>
      <c r="WKK1" s="27"/>
      <c r="WKL1" s="27"/>
      <c r="WKM1" s="27"/>
      <c r="WKN1" s="27"/>
      <c r="WKO1" s="27"/>
      <c r="WKP1" s="27"/>
      <c r="WKQ1" s="27"/>
      <c r="WKR1" s="27"/>
      <c r="WKS1" s="27"/>
      <c r="WKT1" s="27"/>
      <c r="WKU1" s="27"/>
      <c r="WKV1" s="27"/>
      <c r="WKW1" s="27"/>
      <c r="WKX1" s="27"/>
      <c r="WKY1" s="27"/>
      <c r="WKZ1" s="27"/>
      <c r="WLA1" s="27"/>
      <c r="WLB1" s="27"/>
      <c r="WLC1" s="27"/>
      <c r="WLD1" s="27"/>
      <c r="WLE1" s="27"/>
      <c r="WLF1" s="27"/>
      <c r="WLG1" s="27"/>
      <c r="WLH1" s="27"/>
      <c r="WLI1" s="27"/>
      <c r="WLJ1" s="27"/>
      <c r="WLK1" s="27"/>
      <c r="WLL1" s="27"/>
      <c r="WLM1" s="27"/>
      <c r="WLN1" s="27"/>
      <c r="WLO1" s="27"/>
      <c r="WLP1" s="27"/>
      <c r="WLQ1" s="27"/>
      <c r="WLR1" s="27"/>
      <c r="WLS1" s="27"/>
      <c r="WLT1" s="27"/>
      <c r="WLU1" s="27"/>
      <c r="WLV1" s="27"/>
      <c r="WLW1" s="27"/>
      <c r="WLX1" s="27"/>
      <c r="WLY1" s="27"/>
      <c r="WLZ1" s="27"/>
      <c r="WMA1" s="27"/>
      <c r="WMB1" s="27"/>
      <c r="WMC1" s="27"/>
      <c r="WMD1" s="27"/>
      <c r="WME1" s="27"/>
      <c r="WMF1" s="27"/>
      <c r="WMG1" s="27"/>
      <c r="WMH1" s="27"/>
      <c r="WMI1" s="27"/>
      <c r="WMJ1" s="27"/>
      <c r="WMK1" s="27"/>
      <c r="WML1" s="27"/>
      <c r="WMM1" s="27"/>
      <c r="WMN1" s="27"/>
      <c r="WMO1" s="27"/>
      <c r="WMP1" s="27"/>
      <c r="WMQ1" s="27"/>
      <c r="WMR1" s="27"/>
      <c r="WMS1" s="27"/>
      <c r="WMT1" s="27"/>
      <c r="WMU1" s="27"/>
      <c r="WMV1" s="27"/>
      <c r="WMW1" s="27"/>
      <c r="WMX1" s="27"/>
      <c r="WMY1" s="27"/>
      <c r="WMZ1" s="27"/>
      <c r="WNA1" s="27"/>
      <c r="WNB1" s="27"/>
      <c r="WNC1" s="27"/>
      <c r="WND1" s="27"/>
      <c r="WNE1" s="27"/>
      <c r="WNF1" s="27"/>
      <c r="WNG1" s="27"/>
      <c r="WNH1" s="27"/>
      <c r="WNI1" s="27"/>
      <c r="WNJ1" s="27"/>
      <c r="WNK1" s="27"/>
      <c r="WNL1" s="27"/>
      <c r="WNM1" s="27"/>
      <c r="WNN1" s="27"/>
      <c r="WNO1" s="27"/>
      <c r="WNP1" s="27"/>
      <c r="WNQ1" s="27"/>
      <c r="WNR1" s="27"/>
      <c r="WNS1" s="27"/>
      <c r="WNT1" s="27"/>
      <c r="WNU1" s="27"/>
      <c r="WNV1" s="27"/>
      <c r="WNW1" s="27"/>
      <c r="WNX1" s="27"/>
      <c r="WNY1" s="27"/>
      <c r="WNZ1" s="27"/>
      <c r="WOA1" s="27"/>
      <c r="WOB1" s="27"/>
      <c r="WOC1" s="27"/>
      <c r="WOD1" s="27"/>
      <c r="WOE1" s="27"/>
      <c r="WOF1" s="27"/>
      <c r="WOG1" s="27"/>
      <c r="WOH1" s="27"/>
      <c r="WOI1" s="27"/>
      <c r="WOJ1" s="27"/>
      <c r="WOK1" s="27"/>
      <c r="WOL1" s="27"/>
      <c r="WOM1" s="27"/>
      <c r="WON1" s="27"/>
      <c r="WOO1" s="27"/>
      <c r="WOP1" s="27"/>
      <c r="WOQ1" s="27"/>
      <c r="WOR1" s="27"/>
      <c r="WOS1" s="27"/>
      <c r="WOT1" s="27"/>
      <c r="WOU1" s="27"/>
      <c r="WOV1" s="27"/>
      <c r="WOW1" s="27"/>
      <c r="WOX1" s="27"/>
      <c r="WOY1" s="27"/>
      <c r="WOZ1" s="27"/>
      <c r="WPA1" s="27"/>
      <c r="WPB1" s="27"/>
      <c r="WPC1" s="27"/>
      <c r="WPD1" s="27"/>
      <c r="WPE1" s="27"/>
      <c r="WPF1" s="27"/>
      <c r="WPG1" s="27"/>
      <c r="WPH1" s="27"/>
      <c r="WPI1" s="27"/>
      <c r="WPJ1" s="27"/>
      <c r="WPK1" s="27"/>
      <c r="WPL1" s="27"/>
      <c r="WPM1" s="27"/>
      <c r="WPN1" s="27"/>
      <c r="WPO1" s="27"/>
      <c r="WPP1" s="27"/>
      <c r="WPQ1" s="27"/>
      <c r="WPR1" s="27"/>
      <c r="WPS1" s="27"/>
      <c r="WPT1" s="27"/>
      <c r="WPU1" s="27"/>
      <c r="WPV1" s="27"/>
      <c r="WPW1" s="27"/>
      <c r="WPX1" s="27"/>
      <c r="WPY1" s="27"/>
      <c r="WPZ1" s="27"/>
      <c r="WQA1" s="27"/>
      <c r="WQB1" s="27"/>
      <c r="WQC1" s="27"/>
      <c r="WQD1" s="27"/>
      <c r="WQE1" s="27"/>
      <c r="WQF1" s="27"/>
      <c r="WQG1" s="27"/>
      <c r="WQH1" s="27"/>
      <c r="WQI1" s="27"/>
      <c r="WQJ1" s="27"/>
      <c r="WQK1" s="27"/>
      <c r="WQL1" s="27"/>
      <c r="WQM1" s="27"/>
      <c r="WQN1" s="27"/>
      <c r="WQO1" s="27"/>
      <c r="WQP1" s="27"/>
      <c r="WQQ1" s="27"/>
      <c r="WQR1" s="27"/>
      <c r="WQS1" s="27"/>
      <c r="WQT1" s="27"/>
      <c r="WQU1" s="27"/>
      <c r="WQV1" s="27"/>
      <c r="WQW1" s="27"/>
      <c r="WQX1" s="27"/>
      <c r="WQY1" s="27"/>
      <c r="WQZ1" s="27"/>
      <c r="WRA1" s="27"/>
      <c r="WRB1" s="27"/>
      <c r="WRC1" s="27"/>
      <c r="WRD1" s="27"/>
      <c r="WRE1" s="27"/>
      <c r="WRF1" s="27"/>
      <c r="WRG1" s="27"/>
      <c r="WRH1" s="27"/>
      <c r="WRI1" s="27"/>
      <c r="WRJ1" s="27"/>
      <c r="WRK1" s="27"/>
      <c r="WRL1" s="27"/>
      <c r="WRM1" s="27"/>
      <c r="WRN1" s="27"/>
      <c r="WRO1" s="27"/>
      <c r="WRP1" s="27"/>
      <c r="WRQ1" s="27"/>
      <c r="WRR1" s="27"/>
      <c r="WRS1" s="27"/>
      <c r="WRT1" s="27"/>
      <c r="WRU1" s="27"/>
      <c r="WRV1" s="27"/>
      <c r="WRW1" s="27"/>
      <c r="WRX1" s="27"/>
      <c r="WRY1" s="27"/>
      <c r="WRZ1" s="27"/>
      <c r="WSA1" s="27"/>
      <c r="WSB1" s="27"/>
      <c r="WSC1" s="27"/>
      <c r="WSD1" s="27"/>
      <c r="WSE1" s="27"/>
      <c r="WSF1" s="27"/>
      <c r="WSG1" s="27"/>
      <c r="WSH1" s="27"/>
      <c r="WSI1" s="27"/>
      <c r="WSJ1" s="27"/>
      <c r="WSK1" s="27"/>
      <c r="WSL1" s="27"/>
      <c r="WSM1" s="27"/>
      <c r="WSN1" s="27"/>
      <c r="WSO1" s="27"/>
      <c r="WSP1" s="27"/>
      <c r="WSQ1" s="27"/>
      <c r="WSR1" s="27"/>
      <c r="WSS1" s="27"/>
      <c r="WST1" s="27"/>
      <c r="WSU1" s="27"/>
      <c r="WSV1" s="27"/>
      <c r="WSW1" s="27"/>
      <c r="WSX1" s="27"/>
      <c r="WSY1" s="27"/>
      <c r="WSZ1" s="27"/>
      <c r="WTA1" s="27"/>
      <c r="WTB1" s="27"/>
      <c r="WTC1" s="27"/>
      <c r="WTD1" s="27"/>
      <c r="WTE1" s="27"/>
      <c r="WTF1" s="27"/>
      <c r="WTG1" s="27"/>
      <c r="WTH1" s="27"/>
      <c r="WTI1" s="27"/>
      <c r="WTJ1" s="27"/>
      <c r="WTK1" s="27"/>
      <c r="WTL1" s="27"/>
      <c r="WTM1" s="27"/>
      <c r="WTN1" s="27"/>
      <c r="WTO1" s="27"/>
      <c r="WTP1" s="27"/>
      <c r="WTQ1" s="27"/>
      <c r="WTR1" s="27"/>
      <c r="WTS1" s="27"/>
      <c r="WTT1" s="27"/>
      <c r="WTU1" s="27"/>
      <c r="WTV1" s="27"/>
      <c r="WTW1" s="27"/>
      <c r="WTX1" s="27"/>
      <c r="WTY1" s="27"/>
      <c r="WTZ1" s="27"/>
      <c r="WUA1" s="27"/>
      <c r="WUB1" s="27"/>
      <c r="WUC1" s="27"/>
      <c r="WUD1" s="27"/>
      <c r="WUE1" s="27"/>
      <c r="WUF1" s="27"/>
      <c r="WUG1" s="27"/>
      <c r="WUH1" s="27"/>
      <c r="WUI1" s="27"/>
      <c r="WUJ1" s="27"/>
      <c r="WUK1" s="27"/>
      <c r="WUL1" s="27"/>
      <c r="WUM1" s="27"/>
      <c r="WUN1" s="27"/>
      <c r="WUO1" s="27"/>
      <c r="WUP1" s="27"/>
      <c r="WUQ1" s="27"/>
      <c r="WUR1" s="27"/>
      <c r="WUS1" s="27"/>
      <c r="WUT1" s="27"/>
      <c r="WUU1" s="27"/>
      <c r="WUV1" s="27"/>
      <c r="WUW1" s="27"/>
      <c r="WUX1" s="27"/>
      <c r="WUY1" s="27"/>
      <c r="WUZ1" s="27"/>
      <c r="WVA1" s="27"/>
      <c r="WVB1" s="27"/>
      <c r="WVC1" s="27"/>
      <c r="WVD1" s="27"/>
      <c r="WVE1" s="27"/>
      <c r="WVF1" s="27"/>
      <c r="WVG1" s="27"/>
      <c r="WVH1" s="27"/>
      <c r="WVI1" s="27"/>
      <c r="WVJ1" s="27"/>
      <c r="WVK1" s="27"/>
      <c r="WVL1" s="27"/>
      <c r="WVM1" s="27"/>
      <c r="WVN1" s="27"/>
      <c r="WVO1" s="27"/>
      <c r="WVP1" s="27"/>
      <c r="WVQ1" s="27"/>
      <c r="WVR1" s="27"/>
      <c r="WVS1" s="27"/>
      <c r="WVT1" s="27"/>
      <c r="WVU1" s="27"/>
      <c r="WVV1" s="27"/>
      <c r="WVW1" s="27"/>
      <c r="WVX1" s="27"/>
      <c r="WVY1" s="27"/>
      <c r="WVZ1" s="27"/>
      <c r="WWA1" s="27"/>
      <c r="WWB1" s="27"/>
      <c r="WWC1" s="27"/>
      <c r="WWD1" s="27"/>
      <c r="WWE1" s="27"/>
      <c r="WWF1" s="27"/>
      <c r="WWG1" s="27"/>
      <c r="WWH1" s="27"/>
      <c r="WWI1" s="27"/>
      <c r="WWJ1" s="27"/>
      <c r="WWK1" s="27"/>
      <c r="WWL1" s="27"/>
      <c r="WWM1" s="27"/>
      <c r="WWN1" s="27"/>
      <c r="WWO1" s="27"/>
      <c r="WWP1" s="27"/>
      <c r="WWQ1" s="27"/>
      <c r="WWR1" s="27"/>
      <c r="WWS1" s="27"/>
      <c r="WWT1" s="27"/>
      <c r="WWU1" s="27"/>
      <c r="WWV1" s="27"/>
      <c r="WWW1" s="27"/>
      <c r="WWX1" s="27"/>
      <c r="WWY1" s="27"/>
      <c r="WWZ1" s="27"/>
      <c r="WXA1" s="27"/>
      <c r="WXB1" s="27"/>
      <c r="WXC1" s="27"/>
      <c r="WXD1" s="27"/>
      <c r="WXE1" s="27"/>
      <c r="WXF1" s="27"/>
      <c r="WXG1" s="27"/>
      <c r="WXH1" s="27"/>
      <c r="WXI1" s="27"/>
      <c r="WXJ1" s="27"/>
      <c r="WXK1" s="27"/>
      <c r="WXL1" s="27"/>
      <c r="WXM1" s="27"/>
      <c r="WXN1" s="27"/>
      <c r="WXO1" s="27"/>
      <c r="WXP1" s="27"/>
      <c r="WXQ1" s="27"/>
      <c r="WXR1" s="27"/>
      <c r="WXS1" s="27"/>
      <c r="WXT1" s="27"/>
      <c r="WXU1" s="27"/>
      <c r="WXV1" s="27"/>
      <c r="WXW1" s="27"/>
      <c r="WXX1" s="27"/>
      <c r="WXY1" s="27"/>
      <c r="WXZ1" s="27"/>
      <c r="WYA1" s="27"/>
      <c r="WYB1" s="27"/>
      <c r="WYC1" s="27"/>
      <c r="WYD1" s="27"/>
      <c r="WYE1" s="27"/>
      <c r="WYF1" s="27"/>
      <c r="WYG1" s="27"/>
      <c r="WYH1" s="27"/>
      <c r="WYI1" s="27"/>
      <c r="WYJ1" s="27"/>
      <c r="WYK1" s="27"/>
      <c r="WYL1" s="27"/>
      <c r="WYM1" s="27"/>
      <c r="WYN1" s="27"/>
      <c r="WYO1" s="27"/>
      <c r="WYP1" s="27"/>
      <c r="WYQ1" s="27"/>
      <c r="WYR1" s="27"/>
      <c r="WYS1" s="27"/>
      <c r="WYT1" s="27"/>
      <c r="WYU1" s="27"/>
      <c r="WYV1" s="27"/>
      <c r="WYW1" s="27"/>
      <c r="WYX1" s="27"/>
      <c r="WYY1" s="27"/>
      <c r="WYZ1" s="27"/>
      <c r="WZA1" s="27"/>
      <c r="WZB1" s="27"/>
      <c r="WZC1" s="27"/>
      <c r="WZD1" s="27"/>
      <c r="WZE1" s="27"/>
      <c r="WZF1" s="27"/>
      <c r="WZG1" s="27"/>
      <c r="WZH1" s="27"/>
      <c r="WZI1" s="27"/>
      <c r="WZJ1" s="27"/>
      <c r="WZK1" s="27"/>
      <c r="WZL1" s="27"/>
      <c r="WZM1" s="27"/>
      <c r="WZN1" s="27"/>
      <c r="WZO1" s="27"/>
      <c r="WZP1" s="27"/>
      <c r="WZQ1" s="27"/>
      <c r="WZR1" s="27"/>
      <c r="WZS1" s="27"/>
      <c r="WZT1" s="27"/>
      <c r="WZU1" s="27"/>
      <c r="WZV1" s="27"/>
      <c r="WZW1" s="27"/>
      <c r="WZX1" s="27"/>
      <c r="WZY1" s="27"/>
      <c r="WZZ1" s="27"/>
      <c r="XAA1" s="27"/>
      <c r="XAB1" s="27"/>
      <c r="XAC1" s="27"/>
      <c r="XAD1" s="27"/>
      <c r="XAE1" s="27"/>
      <c r="XAF1" s="27"/>
      <c r="XAG1" s="27"/>
      <c r="XAH1" s="27"/>
      <c r="XAI1" s="27"/>
      <c r="XAJ1" s="27"/>
      <c r="XAK1" s="27"/>
      <c r="XAL1" s="27"/>
      <c r="XAM1" s="27"/>
      <c r="XAN1" s="27"/>
      <c r="XAO1" s="27"/>
      <c r="XAP1" s="27"/>
      <c r="XAQ1" s="27"/>
      <c r="XAR1" s="27"/>
      <c r="XAS1" s="27"/>
      <c r="XAT1" s="27"/>
      <c r="XAU1" s="27"/>
      <c r="XAV1" s="27"/>
      <c r="XAW1" s="27"/>
      <c r="XAX1" s="27"/>
      <c r="XAY1" s="27"/>
      <c r="XAZ1" s="27"/>
      <c r="XBA1" s="27"/>
      <c r="XBB1" s="27"/>
      <c r="XBC1" s="27"/>
      <c r="XBD1" s="27"/>
      <c r="XBE1" s="27"/>
      <c r="XBF1" s="27"/>
      <c r="XBG1" s="27"/>
      <c r="XBH1" s="27"/>
      <c r="XBI1" s="27"/>
      <c r="XBJ1" s="27"/>
      <c r="XBK1" s="27"/>
      <c r="XBL1" s="27"/>
      <c r="XBM1" s="27"/>
      <c r="XBN1" s="27"/>
      <c r="XBO1" s="27"/>
      <c r="XBP1" s="27"/>
      <c r="XBQ1" s="27"/>
      <c r="XBR1" s="27"/>
      <c r="XBS1" s="27"/>
      <c r="XBT1" s="27"/>
      <c r="XBU1" s="27"/>
      <c r="XBV1" s="27"/>
      <c r="XBW1" s="27"/>
      <c r="XBX1" s="27"/>
      <c r="XBY1" s="27"/>
      <c r="XBZ1" s="27"/>
      <c r="XCA1" s="27"/>
      <c r="XCB1" s="27"/>
      <c r="XCC1" s="27"/>
      <c r="XCD1" s="27"/>
      <c r="XCE1" s="27"/>
      <c r="XCF1" s="27"/>
      <c r="XCG1" s="27"/>
      <c r="XCH1" s="27"/>
      <c r="XCI1" s="27"/>
      <c r="XCJ1" s="27"/>
      <c r="XCK1" s="27"/>
      <c r="XCL1" s="27"/>
      <c r="XCM1" s="27"/>
      <c r="XCN1" s="27"/>
      <c r="XCO1" s="27"/>
      <c r="XCP1" s="27"/>
      <c r="XCQ1" s="27"/>
      <c r="XCR1" s="27"/>
      <c r="XCS1" s="27"/>
      <c r="XCT1" s="27"/>
      <c r="XCU1" s="27"/>
      <c r="XCV1" s="27"/>
      <c r="XCW1" s="27"/>
      <c r="XCX1" s="27"/>
      <c r="XCY1" s="27"/>
      <c r="XCZ1" s="27"/>
      <c r="XDA1" s="27"/>
      <c r="XDB1" s="27"/>
      <c r="XDC1" s="27"/>
      <c r="XDD1" s="27"/>
      <c r="XDE1" s="27"/>
      <c r="XDF1" s="27"/>
      <c r="XDG1" s="27"/>
      <c r="XDH1" s="27"/>
      <c r="XDI1" s="27"/>
      <c r="XDJ1" s="27"/>
      <c r="XDK1" s="27"/>
      <c r="XDL1" s="27"/>
      <c r="XDM1" s="27"/>
      <c r="XDN1" s="27"/>
      <c r="XDO1" s="27"/>
      <c r="XDP1" s="27"/>
      <c r="XDQ1" s="27"/>
      <c r="XDR1" s="27"/>
      <c r="XDS1" s="27"/>
      <c r="XDT1" s="27"/>
      <c r="XDU1" s="27"/>
      <c r="XDV1" s="27"/>
      <c r="XDW1" s="27"/>
      <c r="XDX1" s="27"/>
      <c r="XDY1" s="27"/>
      <c r="XDZ1" s="27"/>
      <c r="XEA1" s="27"/>
      <c r="XEB1" s="27"/>
      <c r="XEC1" s="27"/>
      <c r="XED1" s="27"/>
      <c r="XEE1" s="27"/>
      <c r="XEF1" s="27"/>
      <c r="XEG1" s="27"/>
      <c r="XEH1" s="27"/>
      <c r="XEI1" s="27"/>
      <c r="XEJ1" s="27"/>
      <c r="XEK1" s="27"/>
      <c r="XEL1" s="27"/>
      <c r="XEM1" s="27"/>
      <c r="XEN1" s="27"/>
      <c r="XEO1" s="27"/>
      <c r="XEP1" s="27"/>
      <c r="XEQ1" s="27"/>
      <c r="XER1" s="27"/>
      <c r="XES1" s="27"/>
      <c r="XET1" s="27"/>
      <c r="XEU1" s="27"/>
      <c r="XEV1" s="27"/>
      <c r="XEW1" s="27"/>
      <c r="XEX1" s="27"/>
      <c r="XEY1" s="27"/>
      <c r="XEZ1" s="27"/>
      <c r="XFA1" s="27"/>
      <c r="XFB1" s="27"/>
      <c r="XFC1" s="27"/>
      <c r="XFD1" s="27"/>
    </row>
    <row r="2" spans="1:16384">
      <c r="A2" s="650" t="s">
        <v>186</v>
      </c>
      <c r="B2" s="651"/>
      <c r="C2" s="340" t="s">
        <v>183</v>
      </c>
      <c r="D2" s="340" t="s">
        <v>1082</v>
      </c>
      <c r="E2" s="340" t="s">
        <v>1083</v>
      </c>
      <c r="F2" s="340" t="s">
        <v>78</v>
      </c>
      <c r="G2" s="340" t="s">
        <v>524</v>
      </c>
    </row>
    <row r="3" spans="1:16384">
      <c r="A3" s="341">
        <v>1500</v>
      </c>
      <c r="B3" s="341" t="s">
        <v>185</v>
      </c>
      <c r="C3" s="342">
        <v>0.15</v>
      </c>
      <c r="D3" s="343">
        <f>C3</f>
        <v>0.15</v>
      </c>
      <c r="E3" s="343">
        <v>0</v>
      </c>
      <c r="F3" s="344">
        <v>0.45</v>
      </c>
      <c r="G3" s="344">
        <f>C3/SUM($C$3,$C$5)</f>
        <v>0.17647058823529413</v>
      </c>
      <c r="H3" t="s">
        <v>185</v>
      </c>
    </row>
    <row r="4" spans="1:16384">
      <c r="A4" s="341">
        <v>1500</v>
      </c>
      <c r="B4" s="341" t="s">
        <v>184</v>
      </c>
      <c r="C4" s="342">
        <v>0.15</v>
      </c>
      <c r="D4" s="343">
        <f>C4</f>
        <v>0.15</v>
      </c>
      <c r="E4" s="343">
        <v>0</v>
      </c>
      <c r="F4" s="344">
        <v>0.45</v>
      </c>
      <c r="G4" s="249"/>
      <c r="H4" t="s">
        <v>184</v>
      </c>
    </row>
    <row r="5" spans="1:16384">
      <c r="A5" s="341">
        <v>1000</v>
      </c>
      <c r="B5" s="341" t="s">
        <v>185</v>
      </c>
      <c r="C5" s="342">
        <v>0.7</v>
      </c>
      <c r="D5" s="343">
        <f>C5</f>
        <v>0.7</v>
      </c>
      <c r="E5" s="343">
        <v>1</v>
      </c>
      <c r="F5" s="344">
        <v>0.1</v>
      </c>
      <c r="G5" s="344">
        <f>C5/SUM($C$3,$C$5)</f>
        <v>0.82352941176470584</v>
      </c>
      <c r="H5" t="s">
        <v>185</v>
      </c>
    </row>
    <row r="6" spans="1:16384">
      <c r="B6" s="345" t="s">
        <v>547</v>
      </c>
      <c r="C6" s="346">
        <f>SUMPRODUCT(C3:C5,A3:A5)</f>
        <v>1150</v>
      </c>
      <c r="D6" s="346">
        <f>C6</f>
        <v>1150</v>
      </c>
      <c r="E6" s="202"/>
      <c r="F6" s="31">
        <f>SUMPRODUCT(F3:F5,A3:A5)</f>
        <v>1450</v>
      </c>
    </row>
    <row r="8" spans="1:16384">
      <c r="A8" s="347" t="s">
        <v>310</v>
      </c>
      <c r="B8" s="347" t="s">
        <v>183</v>
      </c>
      <c r="C8" s="347" t="s">
        <v>1082</v>
      </c>
      <c r="D8" s="347" t="s">
        <v>1084</v>
      </c>
    </row>
    <row r="9" spans="1:16384">
      <c r="A9" s="249" t="s">
        <v>181</v>
      </c>
      <c r="B9" s="348">
        <f>[2]SATS!$D$35/SUM([2]SATS!$D$35,[2]SATS!$D$17,[2]SATS!$D$28)</f>
        <v>0.96394779301768729</v>
      </c>
      <c r="C9" s="344">
        <v>0</v>
      </c>
      <c r="D9" s="344">
        <v>0</v>
      </c>
    </row>
    <row r="10" spans="1:16384">
      <c r="A10" s="249" t="s">
        <v>179</v>
      </c>
      <c r="B10" s="348">
        <f>[2]SATS!$D$17/SUM([2]SATS!$D$35,[2]SATS!$D$17,[2]SATS!$D$28)</f>
        <v>2.333276117733632E-2</v>
      </c>
      <c r="C10" s="344">
        <f>B10/SUM($B$10:$B$11)</f>
        <v>0.64719369853788244</v>
      </c>
      <c r="D10" s="344">
        <v>0</v>
      </c>
    </row>
    <row r="11" spans="1:16384">
      <c r="A11" s="249" t="s">
        <v>78</v>
      </c>
      <c r="B11" s="348">
        <f>[2]SATS!$D$28/SUM([2]SATS!$D$35,[2]SATS!$D$17,[2]SATS!$D$28)</f>
        <v>1.2719445804976529E-2</v>
      </c>
      <c r="C11" s="344">
        <f>B11/SUM($B$10:$B$11)</f>
        <v>0.35280630146211767</v>
      </c>
      <c r="D11" s="344">
        <v>1</v>
      </c>
    </row>
    <row r="13" spans="1:16384">
      <c r="A13" s="349" t="s">
        <v>1085</v>
      </c>
      <c r="B13" s="350"/>
    </row>
    <row r="14" spans="1:16384">
      <c r="A14" s="249" t="s">
        <v>1086</v>
      </c>
      <c r="B14" s="348">
        <f>[3]MF!$L$42+[3]MF!$L$45</f>
        <v>9.6445615336814089E-2</v>
      </c>
    </row>
    <row r="15" spans="1:16384">
      <c r="A15" s="249" t="s">
        <v>1087</v>
      </c>
      <c r="B15" s="348">
        <f>1-B14</f>
        <v>0.90355438466318594</v>
      </c>
    </row>
    <row r="18" spans="1:8" ht="13.5" thickBot="1"/>
    <row r="19" spans="1:8">
      <c r="A19" s="351" t="s">
        <v>1088</v>
      </c>
      <c r="B19" s="352" t="s">
        <v>1089</v>
      </c>
      <c r="C19" s="352" t="s">
        <v>1090</v>
      </c>
      <c r="D19" s="352" t="s">
        <v>1091</v>
      </c>
      <c r="E19" s="352" t="s">
        <v>1092</v>
      </c>
      <c r="F19" s="352" t="s">
        <v>1093</v>
      </c>
      <c r="G19" s="353" t="s">
        <v>215</v>
      </c>
    </row>
    <row r="20" spans="1:8">
      <c r="A20" s="354" t="s">
        <v>1094</v>
      </c>
      <c r="B20" s="355"/>
      <c r="C20" s="355"/>
      <c r="D20" s="355"/>
      <c r="E20" s="355"/>
      <c r="F20" s="355"/>
      <c r="G20" s="356"/>
    </row>
    <row r="21" spans="1:8">
      <c r="A21" s="357" t="s">
        <v>311</v>
      </c>
      <c r="B21" s="358">
        <v>0.2</v>
      </c>
      <c r="C21" s="358">
        <v>0.5</v>
      </c>
      <c r="D21" s="358">
        <v>0.15</v>
      </c>
      <c r="E21" s="358">
        <v>0.15</v>
      </c>
      <c r="F21" s="358">
        <v>0</v>
      </c>
      <c r="G21" s="359">
        <f t="shared" ref="G21:G29" si="0">SUM(B21:F21)</f>
        <v>1</v>
      </c>
      <c r="H21">
        <f>SUMPRODUCT($B$30:$F$30,B21:F21)</f>
        <v>4974.7</v>
      </c>
    </row>
    <row r="22" spans="1:8">
      <c r="A22" s="357" t="s">
        <v>312</v>
      </c>
      <c r="B22" s="358">
        <v>0</v>
      </c>
      <c r="C22" s="358">
        <v>0</v>
      </c>
      <c r="D22" s="358">
        <v>0.85</v>
      </c>
      <c r="E22" s="358">
        <v>0.1</v>
      </c>
      <c r="F22" s="358">
        <v>0.05</v>
      </c>
      <c r="G22" s="359">
        <f t="shared" si="0"/>
        <v>1</v>
      </c>
      <c r="H22">
        <f t="shared" ref="H22:H23" si="1">SUMPRODUCT($B$30:$F$30,B22:F22)</f>
        <v>6639.5999999999995</v>
      </c>
    </row>
    <row r="23" spans="1:8">
      <c r="A23" s="357" t="s">
        <v>313</v>
      </c>
      <c r="B23" s="358">
        <v>0</v>
      </c>
      <c r="C23" s="358">
        <v>0</v>
      </c>
      <c r="D23" s="358">
        <v>0</v>
      </c>
      <c r="E23" s="358">
        <v>0</v>
      </c>
      <c r="F23" s="358">
        <v>1</v>
      </c>
      <c r="G23" s="359">
        <f t="shared" si="0"/>
        <v>1</v>
      </c>
      <c r="H23">
        <f t="shared" si="1"/>
        <v>7828</v>
      </c>
    </row>
    <row r="24" spans="1:8">
      <c r="A24" s="360" t="s">
        <v>1095</v>
      </c>
      <c r="B24" s="358">
        <v>0.2</v>
      </c>
      <c r="C24" s="358">
        <v>0.4</v>
      </c>
      <c r="D24" s="358">
        <v>0.15</v>
      </c>
      <c r="E24" s="358">
        <v>0.2</v>
      </c>
      <c r="F24" s="358">
        <v>0.05</v>
      </c>
      <c r="G24" s="359">
        <f t="shared" si="0"/>
        <v>1.0000000000000002</v>
      </c>
    </row>
    <row r="25" spans="1:8">
      <c r="A25" s="360" t="s">
        <v>1089</v>
      </c>
      <c r="B25" s="358">
        <v>1</v>
      </c>
      <c r="C25" s="358">
        <v>0</v>
      </c>
      <c r="D25" s="358">
        <v>0</v>
      </c>
      <c r="E25" s="358">
        <v>0</v>
      </c>
      <c r="F25" s="358">
        <v>0</v>
      </c>
      <c r="G25" s="359">
        <f t="shared" si="0"/>
        <v>1</v>
      </c>
    </row>
    <row r="26" spans="1:8">
      <c r="A26" s="360" t="s">
        <v>1090</v>
      </c>
      <c r="B26" s="358">
        <v>0</v>
      </c>
      <c r="C26" s="358">
        <v>1</v>
      </c>
      <c r="D26" s="358">
        <v>0</v>
      </c>
      <c r="E26" s="358">
        <v>0</v>
      </c>
      <c r="F26" s="358">
        <v>0</v>
      </c>
      <c r="G26" s="359">
        <f t="shared" si="0"/>
        <v>1</v>
      </c>
    </row>
    <row r="27" spans="1:8">
      <c r="A27" s="360" t="s">
        <v>1092</v>
      </c>
      <c r="B27" s="358">
        <v>0</v>
      </c>
      <c r="C27" s="358">
        <v>0</v>
      </c>
      <c r="D27" s="358">
        <v>0</v>
      </c>
      <c r="E27" s="358">
        <v>1</v>
      </c>
      <c r="F27" s="358">
        <v>0</v>
      </c>
      <c r="G27" s="359">
        <f t="shared" si="0"/>
        <v>1</v>
      </c>
    </row>
    <row r="28" spans="1:8">
      <c r="A28" s="360" t="s">
        <v>1096</v>
      </c>
      <c r="B28" s="358">
        <v>0</v>
      </c>
      <c r="C28" s="358">
        <v>0</v>
      </c>
      <c r="D28" s="358">
        <v>1</v>
      </c>
      <c r="E28" s="358">
        <v>0</v>
      </c>
      <c r="F28" s="358">
        <v>0</v>
      </c>
      <c r="G28" s="359">
        <f t="shared" si="0"/>
        <v>1</v>
      </c>
    </row>
    <row r="29" spans="1:8" ht="13.5" thickBot="1">
      <c r="A29" s="361" t="s">
        <v>1093</v>
      </c>
      <c r="B29" s="362">
        <v>0</v>
      </c>
      <c r="C29" s="362">
        <v>0</v>
      </c>
      <c r="D29" s="362">
        <v>0</v>
      </c>
      <c r="E29" s="362">
        <v>0</v>
      </c>
      <c r="F29" s="362">
        <v>1</v>
      </c>
      <c r="G29" s="363">
        <f t="shared" si="0"/>
        <v>1</v>
      </c>
    </row>
    <row r="30" spans="1:8" ht="13.5" thickBot="1">
      <c r="A30" s="364" t="s">
        <v>1097</v>
      </c>
      <c r="B30" s="365">
        <v>4187</v>
      </c>
      <c r="C30" s="365">
        <v>4641</v>
      </c>
      <c r="D30" s="366">
        <v>6716</v>
      </c>
      <c r="E30" s="366">
        <v>5396</v>
      </c>
      <c r="F30" s="366">
        <v>7828</v>
      </c>
      <c r="G30" s="367"/>
    </row>
    <row r="31" spans="1:8" ht="15" thickBot="1">
      <c r="A31" s="27"/>
      <c r="B31" s="27"/>
      <c r="C31" s="27"/>
      <c r="D31" s="27"/>
      <c r="E31" s="27"/>
      <c r="F31" s="27"/>
      <c r="G31" s="368"/>
    </row>
    <row r="32" spans="1:8">
      <c r="A32" s="351" t="s">
        <v>1088</v>
      </c>
      <c r="B32" s="352" t="s">
        <v>1089</v>
      </c>
      <c r="C32" s="352" t="s">
        <v>1090</v>
      </c>
      <c r="D32" s="352" t="s">
        <v>1096</v>
      </c>
      <c r="E32" s="352" t="s">
        <v>1092</v>
      </c>
      <c r="F32" s="352" t="s">
        <v>1093</v>
      </c>
      <c r="G32" s="369" t="s">
        <v>215</v>
      </c>
    </row>
    <row r="33" spans="1:8">
      <c r="A33" s="354" t="s">
        <v>1098</v>
      </c>
      <c r="B33" s="355"/>
      <c r="C33" s="355"/>
      <c r="D33" s="355"/>
      <c r="E33" s="355"/>
      <c r="F33" s="355"/>
      <c r="G33" s="356"/>
    </row>
    <row r="34" spans="1:8">
      <c r="A34" s="357" t="s">
        <v>1099</v>
      </c>
      <c r="B34" s="358">
        <v>0.05</v>
      </c>
      <c r="C34" s="358">
        <v>0.8</v>
      </c>
      <c r="D34" s="358">
        <v>0</v>
      </c>
      <c r="E34" s="358">
        <v>0</v>
      </c>
      <c r="F34" s="358">
        <v>0.15</v>
      </c>
      <c r="G34" s="359">
        <f t="shared" ref="G34:G42" si="2">SUM(B34:F34)</f>
        <v>1</v>
      </c>
      <c r="H34">
        <f>SUMPRODUCT($B$43:$F$43,B34:F34)</f>
        <v>139.80000000000001</v>
      </c>
    </row>
    <row r="35" spans="1:8">
      <c r="A35" s="357" t="s">
        <v>1100</v>
      </c>
      <c r="B35" s="358">
        <v>0.35</v>
      </c>
      <c r="C35" s="358">
        <v>0</v>
      </c>
      <c r="D35" s="358">
        <v>0.55000000000000004</v>
      </c>
      <c r="E35" s="358">
        <v>0.1</v>
      </c>
      <c r="F35" s="358">
        <v>0</v>
      </c>
      <c r="G35" s="359">
        <f t="shared" si="2"/>
        <v>1</v>
      </c>
      <c r="H35">
        <f t="shared" ref="H35:H36" si="3">SUMPRODUCT($B$43:$F$43,B35:F35)</f>
        <v>391.6</v>
      </c>
    </row>
    <row r="36" spans="1:8">
      <c r="A36" s="357" t="s">
        <v>1101</v>
      </c>
      <c r="B36" s="358">
        <v>0</v>
      </c>
      <c r="C36" s="358">
        <v>0</v>
      </c>
      <c r="D36" s="358">
        <v>0</v>
      </c>
      <c r="E36" s="358">
        <v>1</v>
      </c>
      <c r="F36" s="358">
        <v>0</v>
      </c>
      <c r="G36" s="359">
        <f t="shared" si="2"/>
        <v>1</v>
      </c>
      <c r="H36">
        <f t="shared" si="3"/>
        <v>756</v>
      </c>
    </row>
    <row r="37" spans="1:8">
      <c r="A37" s="360" t="s">
        <v>1095</v>
      </c>
      <c r="B37" s="358">
        <v>0.35</v>
      </c>
      <c r="C37" s="358">
        <v>0.25</v>
      </c>
      <c r="D37" s="358">
        <v>0.2</v>
      </c>
      <c r="E37" s="358">
        <v>0.15</v>
      </c>
      <c r="F37" s="358">
        <v>0.05</v>
      </c>
      <c r="G37" s="359">
        <f t="shared" si="2"/>
        <v>1</v>
      </c>
    </row>
    <row r="38" spans="1:8">
      <c r="A38" s="360" t="s">
        <v>1089</v>
      </c>
      <c r="B38" s="358">
        <v>1</v>
      </c>
      <c r="C38" s="358"/>
      <c r="D38" s="358"/>
      <c r="E38" s="358"/>
      <c r="F38" s="358"/>
      <c r="G38" s="359">
        <f t="shared" si="2"/>
        <v>1</v>
      </c>
    </row>
    <row r="39" spans="1:8">
      <c r="A39" s="360" t="s">
        <v>1090</v>
      </c>
      <c r="B39" s="358"/>
      <c r="C39" s="358">
        <v>1</v>
      </c>
      <c r="D39" s="358"/>
      <c r="E39" s="358"/>
      <c r="F39" s="358"/>
      <c r="G39" s="359">
        <f t="shared" si="2"/>
        <v>1</v>
      </c>
    </row>
    <row r="40" spans="1:8">
      <c r="A40" s="360" t="s">
        <v>1092</v>
      </c>
      <c r="B40" s="358"/>
      <c r="C40" s="358"/>
      <c r="D40" s="358"/>
      <c r="E40" s="358">
        <v>1</v>
      </c>
      <c r="F40" s="358"/>
      <c r="G40" s="359">
        <f t="shared" si="2"/>
        <v>1</v>
      </c>
    </row>
    <row r="41" spans="1:8">
      <c r="A41" s="360" t="s">
        <v>1096</v>
      </c>
      <c r="B41" s="358"/>
      <c r="C41" s="358"/>
      <c r="D41" s="358">
        <v>1</v>
      </c>
      <c r="E41" s="358"/>
      <c r="F41" s="358"/>
      <c r="G41" s="359">
        <f t="shared" si="2"/>
        <v>1</v>
      </c>
    </row>
    <row r="42" spans="1:8" ht="13.5" thickBot="1">
      <c r="A42" s="361" t="s">
        <v>1093</v>
      </c>
      <c r="B42" s="362"/>
      <c r="C42" s="362"/>
      <c r="D42" s="362"/>
      <c r="E42" s="362"/>
      <c r="F42" s="362">
        <v>1</v>
      </c>
      <c r="G42" s="359">
        <f t="shared" si="2"/>
        <v>1</v>
      </c>
    </row>
    <row r="43" spans="1:8" ht="13.5" thickBot="1">
      <c r="A43" s="370" t="s">
        <v>1102</v>
      </c>
      <c r="B43" s="365">
        <v>367</v>
      </c>
      <c r="C43" s="365">
        <v>128</v>
      </c>
      <c r="D43" s="366">
        <v>341</v>
      </c>
      <c r="E43" s="366">
        <v>756</v>
      </c>
      <c r="F43" s="366">
        <v>127</v>
      </c>
      <c r="G43" s="367"/>
    </row>
  </sheetData>
  <mergeCells count="1">
    <mergeCell ref="A2:B2"/>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sheetPr>
    <tabColor theme="5" tint="0.79998168889431442"/>
  </sheetPr>
  <dimension ref="A1:F24"/>
  <sheetViews>
    <sheetView workbookViewId="0">
      <selection activeCell="E16" sqref="E16"/>
    </sheetView>
  </sheetViews>
  <sheetFormatPr defaultRowHeight="12.75"/>
  <cols>
    <col min="1" max="1" width="51.5703125" bestFit="1" customWidth="1"/>
  </cols>
  <sheetData>
    <row r="1" spans="1:6">
      <c r="A1" s="628" t="s">
        <v>1760</v>
      </c>
      <c r="B1" s="27"/>
      <c r="C1" s="27"/>
      <c r="D1" s="27"/>
      <c r="E1" s="27"/>
    </row>
    <row r="2" spans="1:6">
      <c r="A2" s="179" t="s">
        <v>478</v>
      </c>
      <c r="B2" s="180">
        <f>'SIW Costs'!B22</f>
        <v>1.0354836592527603</v>
      </c>
      <c r="C2" s="181">
        <v>11</v>
      </c>
      <c r="D2" s="182">
        <v>0</v>
      </c>
      <c r="E2" s="27"/>
    </row>
    <row r="3" spans="1:6">
      <c r="A3" s="183" t="s">
        <v>479</v>
      </c>
      <c r="B3" s="184">
        <f>'SIW Costs'!B20</f>
        <v>0.91799940108959477</v>
      </c>
      <c r="C3" s="185">
        <v>19</v>
      </c>
      <c r="D3" s="186">
        <v>0</v>
      </c>
      <c r="E3" s="27"/>
    </row>
    <row r="4" spans="1:6">
      <c r="A4" s="187" t="s">
        <v>480</v>
      </c>
      <c r="B4" s="188">
        <f>'SIW Costs'!B16</f>
        <v>0.98244865861375763</v>
      </c>
      <c r="C4" s="189">
        <v>30</v>
      </c>
      <c r="D4" s="190">
        <v>0</v>
      </c>
      <c r="E4" s="27"/>
    </row>
    <row r="5" spans="1:6">
      <c r="A5" s="191" t="s">
        <v>481</v>
      </c>
      <c r="B5" s="616">
        <f>FloorCost*(C5-D5)*Deflator</f>
        <v>0.64785245801359526</v>
      </c>
      <c r="C5" s="193">
        <v>30</v>
      </c>
      <c r="D5" s="194">
        <v>19</v>
      </c>
      <c r="E5" s="27"/>
      <c r="F5" t="s">
        <v>1766</v>
      </c>
    </row>
    <row r="6" spans="1:6">
      <c r="A6" s="183" t="s">
        <v>482</v>
      </c>
      <c r="B6" s="619">
        <f>'SIW Costs'!H6</f>
        <v>0.54914779043329487</v>
      </c>
      <c r="C6" s="185">
        <v>19</v>
      </c>
      <c r="D6" s="186">
        <v>0</v>
      </c>
      <c r="E6" s="27"/>
    </row>
    <row r="7" spans="1:6">
      <c r="A7" s="187" t="s">
        <v>483</v>
      </c>
      <c r="B7" s="188">
        <f>'SIW Costs'!B10</f>
        <v>0.73246728560336305</v>
      </c>
      <c r="C7" s="189">
        <v>38</v>
      </c>
      <c r="D7" s="190">
        <v>0</v>
      </c>
      <c r="E7" s="27"/>
    </row>
    <row r="8" spans="1:6">
      <c r="A8" s="187" t="s">
        <v>484</v>
      </c>
      <c r="B8" s="618">
        <f>'SIW Costs'!H8</f>
        <v>0.83087905114745864</v>
      </c>
      <c r="C8" s="189">
        <v>49</v>
      </c>
      <c r="D8" s="190">
        <v>0</v>
      </c>
      <c r="E8" s="27"/>
    </row>
    <row r="9" spans="1:6">
      <c r="A9" s="187" t="s">
        <v>485</v>
      </c>
      <c r="B9" s="617">
        <f>AtticCost*(C9-D9)*Deflator</f>
        <v>0.2473644911578245</v>
      </c>
      <c r="C9" s="189">
        <v>38</v>
      </c>
      <c r="D9" s="190">
        <v>30</v>
      </c>
      <c r="E9" s="27"/>
      <c r="F9" t="s">
        <v>1766</v>
      </c>
    </row>
    <row r="10" spans="1:6">
      <c r="A10" s="187" t="s">
        <v>486</v>
      </c>
      <c r="B10" s="617">
        <f>AtticCost*(C10-D10)*Deflator</f>
        <v>0.58749066649983317</v>
      </c>
      <c r="C10" s="189">
        <v>49</v>
      </c>
      <c r="D10" s="190">
        <v>30</v>
      </c>
      <c r="E10" s="27"/>
      <c r="F10" t="s">
        <v>1766</v>
      </c>
    </row>
    <row r="11" spans="1:6">
      <c r="A11" s="187" t="s">
        <v>487</v>
      </c>
      <c r="B11" s="617">
        <f>AtticCost*(C11-D11)*Deflator</f>
        <v>0.34012617534200867</v>
      </c>
      <c r="C11" s="189">
        <v>49</v>
      </c>
      <c r="D11" s="190">
        <v>38</v>
      </c>
      <c r="E11" s="27"/>
      <c r="F11" t="s">
        <v>1766</v>
      </c>
    </row>
    <row r="12" spans="1:6">
      <c r="A12" s="187" t="s">
        <v>488</v>
      </c>
      <c r="B12" s="618">
        <f>'SIW Costs'!H7</f>
        <v>0.47401945424285125</v>
      </c>
      <c r="C12" s="195">
        <v>30</v>
      </c>
      <c r="D12" s="190">
        <v>19</v>
      </c>
      <c r="E12" s="27"/>
    </row>
    <row r="13" spans="1:6">
      <c r="A13" s="187" t="s">
        <v>489</v>
      </c>
      <c r="B13" s="188">
        <f>'SIW Costs'!B8</f>
        <v>0.55283834686255773</v>
      </c>
      <c r="C13" s="189">
        <v>38</v>
      </c>
      <c r="D13" s="190">
        <v>19</v>
      </c>
      <c r="E13" s="27"/>
    </row>
    <row r="14" spans="1:6">
      <c r="A14" s="191" t="s">
        <v>490</v>
      </c>
      <c r="B14" s="192">
        <f>'SIW Costs'!B15</f>
        <v>0.65683404823881342</v>
      </c>
      <c r="C14" s="193">
        <v>49</v>
      </c>
      <c r="D14" s="194">
        <v>19</v>
      </c>
      <c r="E14" s="27"/>
    </row>
    <row r="15" spans="1:6">
      <c r="A15" s="183" t="s">
        <v>491</v>
      </c>
      <c r="B15" s="196">
        <f>'SIW Costs'!B30</f>
        <v>23.269535952606116</v>
      </c>
      <c r="C15" s="27"/>
      <c r="D15" s="27"/>
      <c r="E15" s="27"/>
    </row>
    <row r="16" spans="1:6">
      <c r="A16" s="187" t="s">
        <v>492</v>
      </c>
      <c r="B16" s="197">
        <f>B15</f>
        <v>23.269535952606116</v>
      </c>
      <c r="C16" s="27"/>
      <c r="D16" s="27"/>
      <c r="E16" s="27"/>
    </row>
    <row r="17" spans="1:5">
      <c r="A17" s="187" t="s">
        <v>493</v>
      </c>
      <c r="B17" s="197">
        <f>'SIW Costs'!B31</f>
        <v>17.810142881355933</v>
      </c>
      <c r="C17" s="27"/>
      <c r="D17" s="27"/>
      <c r="E17" s="27"/>
    </row>
    <row r="18" spans="1:5">
      <c r="A18" s="187" t="s">
        <v>494</v>
      </c>
      <c r="B18" s="197">
        <f>B17</f>
        <v>17.810142881355933</v>
      </c>
      <c r="C18" s="27"/>
      <c r="D18" s="27"/>
      <c r="E18" s="27"/>
    </row>
    <row r="19" spans="1:5">
      <c r="A19" s="187" t="s">
        <v>495</v>
      </c>
      <c r="B19" s="197">
        <f>'SIW Costs'!B32</f>
        <v>1.8290398716390079</v>
      </c>
      <c r="C19" s="27"/>
      <c r="D19" s="27"/>
      <c r="E19" s="27"/>
    </row>
    <row r="20" spans="1:5">
      <c r="A20" s="191" t="s">
        <v>496</v>
      </c>
      <c r="B20" s="198">
        <f>'SIW Costs'!B33</f>
        <v>7.288432942889191</v>
      </c>
      <c r="C20" s="27"/>
      <c r="D20" s="27"/>
      <c r="E20" s="27"/>
    </row>
    <row r="21" spans="1:5">
      <c r="A21" s="27"/>
      <c r="B21" s="27"/>
      <c r="C21" s="27"/>
      <c r="D21" s="27"/>
      <c r="E21" s="27"/>
    </row>
    <row r="22" spans="1:5">
      <c r="A22" s="27"/>
      <c r="B22" s="27"/>
      <c r="C22" s="27"/>
      <c r="D22" s="27"/>
      <c r="E22" s="27"/>
    </row>
    <row r="23" spans="1:5">
      <c r="A23" s="27"/>
      <c r="B23" s="27"/>
      <c r="C23" s="27"/>
      <c r="D23" s="27"/>
      <c r="E23" s="27"/>
    </row>
    <row r="24" spans="1:5">
      <c r="A24" s="27"/>
      <c r="B24" s="27"/>
      <c r="C24" s="27"/>
      <c r="D24" s="27"/>
      <c r="E24" s="2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BD42"/>
  <sheetViews>
    <sheetView topLeftCell="AG1" workbookViewId="0">
      <selection activeCell="AM22" sqref="AM22"/>
    </sheetView>
  </sheetViews>
  <sheetFormatPr defaultRowHeight="12.75"/>
  <cols>
    <col min="1" max="2" width="21.85546875" style="575" customWidth="1"/>
    <col min="3" max="3" width="40.28515625" style="575" bestFit="1" customWidth="1"/>
    <col min="4" max="4" width="12.28515625" style="575" bestFit="1" customWidth="1"/>
    <col min="5" max="5" width="30.5703125" style="575" bestFit="1" customWidth="1"/>
    <col min="6" max="16384" width="9.140625" style="575"/>
  </cols>
  <sheetData>
    <row r="1" spans="1:56" ht="15.75" thickBot="1">
      <c r="A1" s="567" t="s">
        <v>1714</v>
      </c>
      <c r="B1" s="567" t="s">
        <v>1715</v>
      </c>
      <c r="C1" s="567" t="s">
        <v>1716</v>
      </c>
      <c r="D1" s="567" t="s">
        <v>305</v>
      </c>
      <c r="E1" s="567" t="s">
        <v>1717</v>
      </c>
      <c r="F1" s="567" t="s">
        <v>1718</v>
      </c>
      <c r="G1" s="567" t="s">
        <v>1719</v>
      </c>
      <c r="H1" s="567" t="s">
        <v>1720</v>
      </c>
      <c r="I1" s="567" t="s">
        <v>96</v>
      </c>
      <c r="J1" s="567" t="s">
        <v>97</v>
      </c>
      <c r="K1" s="568">
        <v>2016</v>
      </c>
      <c r="L1" s="569">
        <v>2017</v>
      </c>
      <c r="M1" s="569">
        <v>2018</v>
      </c>
      <c r="N1" s="569">
        <v>2019</v>
      </c>
      <c r="O1" s="569">
        <v>2020</v>
      </c>
      <c r="P1" s="569">
        <v>2021</v>
      </c>
      <c r="Q1" s="569">
        <v>2022</v>
      </c>
      <c r="R1" s="569">
        <v>2023</v>
      </c>
      <c r="S1" s="569">
        <v>2024</v>
      </c>
      <c r="T1" s="569">
        <v>2025</v>
      </c>
      <c r="U1" s="569">
        <v>2026</v>
      </c>
      <c r="V1" s="569">
        <v>2027</v>
      </c>
      <c r="W1" s="569">
        <v>2028</v>
      </c>
      <c r="X1" s="569">
        <v>2029</v>
      </c>
      <c r="Y1" s="569">
        <v>2030</v>
      </c>
      <c r="Z1" s="569">
        <v>2031</v>
      </c>
      <c r="AA1" s="569">
        <v>2032</v>
      </c>
      <c r="AB1" s="569">
        <v>2033</v>
      </c>
      <c r="AC1" s="569">
        <v>2034</v>
      </c>
      <c r="AD1" s="569">
        <v>2035</v>
      </c>
      <c r="AE1" s="570" t="s">
        <v>1664</v>
      </c>
      <c r="AF1" s="571" t="s">
        <v>1700</v>
      </c>
      <c r="AG1" s="572"/>
      <c r="AH1" s="572"/>
      <c r="AI1" s="572"/>
      <c r="AJ1" s="572"/>
      <c r="AK1" s="572"/>
      <c r="AL1" s="572"/>
      <c r="AM1" s="572"/>
      <c r="AN1" s="572"/>
      <c r="AO1" s="572"/>
      <c r="AP1" s="572"/>
      <c r="AQ1" s="573"/>
      <c r="AR1" s="574"/>
      <c r="AS1" s="571" t="s">
        <v>1701</v>
      </c>
      <c r="AT1" s="572"/>
      <c r="AU1" s="572"/>
      <c r="AV1" s="572"/>
      <c r="AW1" s="572"/>
      <c r="AX1" s="572"/>
      <c r="AY1" s="572"/>
      <c r="AZ1" s="572"/>
      <c r="BA1" s="572"/>
      <c r="BB1" s="572"/>
      <c r="BC1" s="572"/>
      <c r="BD1" s="573"/>
    </row>
    <row r="2" spans="1:56" ht="15">
      <c r="A2" s="567"/>
      <c r="B2" s="567"/>
      <c r="C2" s="567"/>
      <c r="D2" s="567"/>
      <c r="E2" s="567"/>
      <c r="F2" s="567" t="s">
        <v>1702</v>
      </c>
      <c r="G2" s="567" t="s">
        <v>33</v>
      </c>
      <c r="H2" s="567" t="s">
        <v>95</v>
      </c>
      <c r="I2" s="567">
        <v>1</v>
      </c>
      <c r="J2" s="567"/>
      <c r="K2" s="576" t="str">
        <f t="shared" ref="K2:AD2" si="0">CONCATENATE("aMW_",K$1)</f>
        <v>aMW_2016</v>
      </c>
      <c r="L2" s="577" t="str">
        <f t="shared" si="0"/>
        <v>aMW_2017</v>
      </c>
      <c r="M2" s="577" t="str">
        <f t="shared" si="0"/>
        <v>aMW_2018</v>
      </c>
      <c r="N2" s="577" t="str">
        <f t="shared" si="0"/>
        <v>aMW_2019</v>
      </c>
      <c r="O2" s="577" t="str">
        <f t="shared" si="0"/>
        <v>aMW_2020</v>
      </c>
      <c r="P2" s="577" t="str">
        <f t="shared" si="0"/>
        <v>aMW_2021</v>
      </c>
      <c r="Q2" s="577" t="str">
        <f t="shared" si="0"/>
        <v>aMW_2022</v>
      </c>
      <c r="R2" s="577" t="str">
        <f t="shared" si="0"/>
        <v>aMW_2023</v>
      </c>
      <c r="S2" s="577" t="str">
        <f t="shared" si="0"/>
        <v>aMW_2024</v>
      </c>
      <c r="T2" s="577" t="str">
        <f t="shared" si="0"/>
        <v>aMW_2025</v>
      </c>
      <c r="U2" s="577" t="str">
        <f t="shared" si="0"/>
        <v>aMW_2026</v>
      </c>
      <c r="V2" s="577" t="str">
        <f t="shared" si="0"/>
        <v>aMW_2027</v>
      </c>
      <c r="W2" s="577" t="str">
        <f t="shared" si="0"/>
        <v>aMW_2028</v>
      </c>
      <c r="X2" s="577" t="str">
        <f t="shared" si="0"/>
        <v>aMW_2029</v>
      </c>
      <c r="Y2" s="577" t="str">
        <f t="shared" si="0"/>
        <v>aMW_2030</v>
      </c>
      <c r="Z2" s="577" t="str">
        <f t="shared" si="0"/>
        <v>aMW_2031</v>
      </c>
      <c r="AA2" s="577" t="str">
        <f t="shared" si="0"/>
        <v>aMW_2032</v>
      </c>
      <c r="AB2" s="577" t="str">
        <f t="shared" si="0"/>
        <v>aMW_2033</v>
      </c>
      <c r="AC2" s="577" t="str">
        <f t="shared" si="0"/>
        <v>aMW_2034</v>
      </c>
      <c r="AD2" s="577" t="str">
        <f t="shared" si="0"/>
        <v>aMW_2035</v>
      </c>
      <c r="AE2" s="578" t="s">
        <v>1664</v>
      </c>
      <c r="AF2" s="579" t="s">
        <v>44</v>
      </c>
      <c r="AG2" s="579" t="s">
        <v>45</v>
      </c>
      <c r="AH2" s="579" t="s">
        <v>46</v>
      </c>
      <c r="AI2" s="579" t="s">
        <v>47</v>
      </c>
      <c r="AJ2" s="579" t="s">
        <v>48</v>
      </c>
      <c r="AK2" s="579" t="s">
        <v>49</v>
      </c>
      <c r="AL2" s="579" t="s">
        <v>50</v>
      </c>
      <c r="AM2" s="579" t="s">
        <v>51</v>
      </c>
      <c r="AN2" s="579" t="s">
        <v>52</v>
      </c>
      <c r="AO2" s="579" t="s">
        <v>53</v>
      </c>
      <c r="AP2" s="579" t="s">
        <v>54</v>
      </c>
      <c r="AQ2" s="579" t="s">
        <v>55</v>
      </c>
      <c r="AR2" s="579"/>
      <c r="AS2" s="579" t="s">
        <v>44</v>
      </c>
      <c r="AT2" s="579" t="s">
        <v>45</v>
      </c>
      <c r="AU2" s="579" t="s">
        <v>46</v>
      </c>
      <c r="AV2" s="579" t="s">
        <v>47</v>
      </c>
      <c r="AW2" s="579" t="s">
        <v>48</v>
      </c>
      <c r="AX2" s="579" t="s">
        <v>49</v>
      </c>
      <c r="AY2" s="579" t="s">
        <v>50</v>
      </c>
      <c r="AZ2" s="579" t="s">
        <v>51</v>
      </c>
      <c r="BA2" s="579" t="s">
        <v>52</v>
      </c>
      <c r="BB2" s="579" t="s">
        <v>53</v>
      </c>
      <c r="BC2" s="579" t="s">
        <v>54</v>
      </c>
      <c r="BD2" s="579" t="s">
        <v>55</v>
      </c>
    </row>
    <row r="3" spans="1:56" ht="15">
      <c r="A3" s="580" t="str">
        <f>VLOOKUP(CONCATENATE($C3," - ",$B3),[2]ACHIEV!$B$12:$C$100,2,FALSE)</f>
        <v>Retro12Med</v>
      </c>
      <c r="B3" s="580" t="str">
        <f>'SC-Retro'!$C$7</f>
        <v>Retro</v>
      </c>
      <c r="C3" s="580" t="str">
        <f>'SC-Retro'!$C$8</f>
        <v>ResWx</v>
      </c>
      <c r="D3" s="580" t="s">
        <v>306</v>
      </c>
      <c r="E3" s="580" t="str">
        <f>'SC-Retro'!$A$9</f>
        <v>HVAC</v>
      </c>
      <c r="F3" s="581">
        <f t="shared" ref="F3:F41" si="1">VLOOKUP($J3,MeasureOutput,14,FALSE)</f>
        <v>0.3752504280546366</v>
      </c>
      <c r="G3" s="582">
        <f>'SC-Retro'!A136</f>
        <v>717.60736655826236</v>
      </c>
      <c r="H3" s="582">
        <f>'SC-Retro'!B136</f>
        <v>9.7968778952292404</v>
      </c>
      <c r="I3" s="583" t="str">
        <f>'SC-Retro'!C136</f>
        <v>Multifamily - Low Rise</v>
      </c>
      <c r="J3" s="586" t="str">
        <f>'SC-Retro'!D136</f>
        <v>WALL R0 - R11_Electric Zonal</v>
      </c>
      <c r="K3" s="584">
        <f>'SC-Retro'!E136</f>
        <v>2.8802518564916349E-2</v>
      </c>
      <c r="L3" s="584">
        <f>'SC-Retro'!F136</f>
        <v>2.8737113292763478E-2</v>
      </c>
      <c r="M3" s="584">
        <f>'SC-Retro'!G136</f>
        <v>2.8671856544067516E-2</v>
      </c>
      <c r="N3" s="584">
        <f>'SC-Retro'!H136</f>
        <v>2.8606747981558774E-2</v>
      </c>
      <c r="O3" s="584">
        <f>'SC-Retro'!I136</f>
        <v>2.8541787268733406E-2</v>
      </c>
      <c r="P3" s="584">
        <f>'SC-Retro'!J136</f>
        <v>2.5629276662866556E-2</v>
      </c>
      <c r="Q3" s="584">
        <f>'SC-Retro'!K136</f>
        <v>2.0456861795954243E-2</v>
      </c>
      <c r="R3" s="584">
        <f>'SC-Retro'!L136</f>
        <v>1.6328326391868059E-2</v>
      </c>
      <c r="S3" s="584">
        <f>'SC-Retro'!M136</f>
        <v>1.3032998189981585E-2</v>
      </c>
      <c r="T3" s="584">
        <f>'SC-Retro'!N136</f>
        <v>1.0402722100451005E-2</v>
      </c>
      <c r="U3" s="584">
        <f>'SC-Retro'!O136</f>
        <v>8.3032795310596617E-3</v>
      </c>
      <c r="V3" s="584">
        <f>'SC-Retro'!P136</f>
        <v>6.6275394368100395E-3</v>
      </c>
      <c r="W3" s="584">
        <f>'SC-Retro'!Q136</f>
        <v>5.2899916017721607E-3</v>
      </c>
      <c r="X3" s="584">
        <f>'SC-Retro'!R136</f>
        <v>4.2223831956991328E-3</v>
      </c>
      <c r="Y3" s="584">
        <f>'SC-Retro'!S136</f>
        <v>3.3702359461874813E-3</v>
      </c>
      <c r="Z3" s="584">
        <f>'SC-Retro'!T136</f>
        <v>2.6900662034994461E-3</v>
      </c>
      <c r="AA3" s="584">
        <f>'SC-Retro'!U136</f>
        <v>1.830664854239026E-5</v>
      </c>
      <c r="AB3" s="584">
        <f>'SC-Retro'!V136</f>
        <v>6.5232419567249711E-6</v>
      </c>
      <c r="AC3" s="584">
        <f>'SC-Retro'!W136</f>
        <v>2.2187825668441881E-6</v>
      </c>
      <c r="AD3" s="584">
        <f>'SC-Retro'!X136</f>
        <v>7.2187308126845333E-7</v>
      </c>
      <c r="AE3" s="584">
        <f>'SC-Retro'!Y136</f>
        <v>0.25220566182927184</v>
      </c>
      <c r="AF3" s="585">
        <f t="shared" ref="AF3:AF41" si="2">VLOOKUP($J3,MeasureOutput,15,FALSE)</f>
        <v>79.937974117064826</v>
      </c>
      <c r="AG3" s="585">
        <f t="shared" ref="AG3:AG41" si="3">VLOOKUP($J3,MeasureOutput,16,FALSE)</f>
        <v>58.322730415453606</v>
      </c>
      <c r="AH3" s="585">
        <f t="shared" ref="AH3:AH41" si="4">VLOOKUP($J3,MeasureOutput,17,FALSE)</f>
        <v>52.849377129989946</v>
      </c>
      <c r="AI3" s="585">
        <f t="shared" ref="AI3:AI41" si="5">VLOOKUP($J3,MeasureOutput,18,FALSE)</f>
        <v>42.364298803046722</v>
      </c>
      <c r="AJ3" s="585">
        <f t="shared" ref="AJ3:AJ41" si="6">VLOOKUP($J3,MeasureOutput,19,FALSE)</f>
        <v>17.454560730743136</v>
      </c>
      <c r="AK3" s="585">
        <f t="shared" ref="AK3:AK41" si="7">VLOOKUP($J3,MeasureOutput,20,FALSE)</f>
        <v>4.875526351924349</v>
      </c>
      <c r="AL3" s="585">
        <f t="shared" ref="AL3:AL41" si="8">VLOOKUP($J3,MeasureOutput,21,FALSE)</f>
        <v>1.1872307630592094</v>
      </c>
      <c r="AM3" s="585">
        <f t="shared" ref="AM3:AM41" si="9">VLOOKUP($J3,MeasureOutput,22,FALSE)</f>
        <v>0.9980400351373333</v>
      </c>
      <c r="AN3" s="585">
        <f t="shared" ref="AN3:AN41" si="10">VLOOKUP($J3,MeasureOutput,23,FALSE)</f>
        <v>9.4705394583690357</v>
      </c>
      <c r="AO3" s="585">
        <f t="shared" ref="AO3:AO41" si="11">VLOOKUP($J3,MeasureOutput,24,FALSE)</f>
        <v>32.528769839671384</v>
      </c>
      <c r="AP3" s="585">
        <f t="shared" ref="AP3:AP41" si="12">VLOOKUP($J3,MeasureOutput,25,FALSE)</f>
        <v>51.453350105649648</v>
      </c>
      <c r="AQ3" s="585">
        <f t="shared" ref="AQ3:AQ41" si="13">VLOOKUP($J3,MeasureOutput,26,FALSE)</f>
        <v>93.159985297794691</v>
      </c>
      <c r="AR3" s="585"/>
      <c r="AS3" s="585">
        <f t="shared" ref="AS3:AS41" si="14">VLOOKUP($J3,MeasureOutput,28,FALSE)</f>
        <v>50.812069721668337</v>
      </c>
      <c r="AT3" s="585">
        <f t="shared" ref="AT3:AT41" si="15">VLOOKUP($J3,MeasureOutput,29,FALSE)</f>
        <v>38.067424407367994</v>
      </c>
      <c r="AU3" s="585">
        <f t="shared" ref="AU3:AU41" si="16">VLOOKUP($J3,MeasureOutput,30,FALSE)</f>
        <v>29.487410471462525</v>
      </c>
      <c r="AV3" s="585">
        <f t="shared" ref="AV3:AV41" si="17">VLOOKUP($J3,MeasureOutput,31,FALSE)</f>
        <v>25.28837301156495</v>
      </c>
      <c r="AW3" s="585">
        <f t="shared" ref="AW3:AW41" si="18">VLOOKUP($J3,MeasureOutput,32,FALSE)</f>
        <v>9.9347564337680137</v>
      </c>
      <c r="AX3" s="585">
        <f t="shared" ref="AX3:AX41" si="19">VLOOKUP($J3,MeasureOutput,33,FALSE)</f>
        <v>2.4663340475417432</v>
      </c>
      <c r="AY3" s="585">
        <f t="shared" ref="AY3:AY41" si="20">VLOOKUP($J3,MeasureOutput,34,FALSE)</f>
        <v>0.66427911542204532</v>
      </c>
      <c r="AZ3" s="585">
        <f t="shared" ref="AZ3:AZ41" si="21">VLOOKUP($J3,MeasureOutput,35,FALSE)</f>
        <v>0.44417977639934375</v>
      </c>
      <c r="BA3" s="585">
        <f t="shared" ref="BA3:BA41" si="22">VLOOKUP($J3,MeasureOutput,36,FALSE)</f>
        <v>5.4384851723163088</v>
      </c>
      <c r="BB3" s="585">
        <f t="shared" ref="BB3:BB41" si="23">VLOOKUP($J3,MeasureOutput,37,FALSE)</f>
        <v>16.770963961001058</v>
      </c>
      <c r="BC3" s="585">
        <f t="shared" ref="BC3:BC41" si="24">VLOOKUP($J3,MeasureOutput,38,FALSE)</f>
        <v>33.664744442916565</v>
      </c>
      <c r="BD3" s="585">
        <f t="shared" ref="BD3:BD41" si="25">VLOOKUP($J3,MeasureOutput,39,FALSE)</f>
        <v>59.96596294892958</v>
      </c>
    </row>
    <row r="4" spans="1:56" ht="15">
      <c r="A4" s="580" t="str">
        <f>VLOOKUP(CONCATENATE($C4," - ",$B4),[2]ACHIEV!$B$12:$C$100,2,FALSE)</f>
        <v>Retro12Med</v>
      </c>
      <c r="B4" s="580" t="str">
        <f>'SC-Retro'!$C$7</f>
        <v>Retro</v>
      </c>
      <c r="C4" s="580" t="str">
        <f>'SC-Retro'!$C$8</f>
        <v>ResWx</v>
      </c>
      <c r="D4" s="580" t="s">
        <v>306</v>
      </c>
      <c r="E4" s="580" t="str">
        <f>'SC-Retro'!$A$9</f>
        <v>HVAC</v>
      </c>
      <c r="F4" s="581">
        <f t="shared" si="1"/>
        <v>0.13055256749955396</v>
      </c>
      <c r="G4" s="582">
        <f>'SC-Retro'!A137</f>
        <v>249.66123195769964</v>
      </c>
      <c r="H4" s="582">
        <f>'SC-Retro'!B137</f>
        <v>50.888627395272962</v>
      </c>
      <c r="I4" s="583" t="str">
        <f>'SC-Retro'!C137</f>
        <v>Multifamily - Low Rise</v>
      </c>
      <c r="J4" s="586" t="str">
        <f>'SC-Retro'!D137</f>
        <v>FLOOR R0 - R19_Electric Zonal</v>
      </c>
      <c r="K4" s="584">
        <f>'SC-Retro'!E137</f>
        <v>2.6843267592274829E-3</v>
      </c>
      <c r="L4" s="584">
        <f>'SC-Retro'!F137</f>
        <v>2.6782311422126428E-3</v>
      </c>
      <c r="M4" s="584">
        <f>'SC-Retro'!G137</f>
        <v>2.6721493672334884E-3</v>
      </c>
      <c r="N4" s="584">
        <f>'SC-Retro'!H137</f>
        <v>2.6660814028572778E-3</v>
      </c>
      <c r="O4" s="584">
        <f>'SC-Retro'!I137</f>
        <v>2.6600272177226478E-3</v>
      </c>
      <c r="P4" s="584">
        <f>'SC-Retro'!J137</f>
        <v>2.3885881024855071E-3</v>
      </c>
      <c r="Q4" s="584">
        <f>'SC-Retro'!K137</f>
        <v>1.9065312432637895E-3</v>
      </c>
      <c r="R4" s="584">
        <f>'SC-Retro'!L137</f>
        <v>1.5217614865278032E-3</v>
      </c>
      <c r="S4" s="584">
        <f>'SC-Retro'!M137</f>
        <v>1.2146446747523349E-3</v>
      </c>
      <c r="T4" s="584">
        <f>'SC-Retro'!N137</f>
        <v>9.6950915039289867E-4</v>
      </c>
      <c r="U4" s="584">
        <f>'SC-Retro'!O137</f>
        <v>7.7384605739716852E-4</v>
      </c>
      <c r="V4" s="584">
        <f>'SC-Retro'!P137</f>
        <v>6.1767103518977598E-4</v>
      </c>
      <c r="W4" s="584">
        <f>'SC-Retro'!Q137</f>
        <v>4.9301473344148523E-4</v>
      </c>
      <c r="X4" s="584">
        <f>'SC-Retro'!R137</f>
        <v>3.9351614944304269E-4</v>
      </c>
      <c r="Y4" s="584">
        <f>'SC-Retro'!S137</f>
        <v>3.1409803676964257E-4</v>
      </c>
      <c r="Z4" s="584">
        <f>'SC-Retro'!T137</f>
        <v>2.5070782188272894E-4</v>
      </c>
      <c r="AA4" s="584">
        <f>'SC-Retro'!U137</f>
        <v>1.7061364423168345E-6</v>
      </c>
      <c r="AB4" s="584">
        <f>'SC-Retro'!V137</f>
        <v>6.079507561773232E-7</v>
      </c>
      <c r="AC4" s="584">
        <f>'SC-Retro'!W137</f>
        <v>2.0678529912804492E-7</v>
      </c>
      <c r="AD4" s="584">
        <f>'SC-Retro'!X137</f>
        <v>6.727686762695892E-8</v>
      </c>
      <c r="AE4" s="584">
        <f>'SC-Retro'!Y137</f>
        <v>2.3504972502704394E-2</v>
      </c>
      <c r="AF4" s="585">
        <f t="shared" si="2"/>
        <v>27.811048253291272</v>
      </c>
      <c r="AG4" s="585">
        <f t="shared" si="3"/>
        <v>20.290935412905561</v>
      </c>
      <c r="AH4" s="585">
        <f t="shared" si="4"/>
        <v>18.38671287023238</v>
      </c>
      <c r="AI4" s="585">
        <f t="shared" si="5"/>
        <v>14.738871872121486</v>
      </c>
      <c r="AJ4" s="585">
        <f t="shared" si="6"/>
        <v>6.0725785971485209</v>
      </c>
      <c r="AK4" s="585">
        <f t="shared" si="7"/>
        <v>1.6962338629571965</v>
      </c>
      <c r="AL4" s="585">
        <f t="shared" si="8"/>
        <v>0.41304689547020829</v>
      </c>
      <c r="AM4" s="585">
        <f t="shared" si="9"/>
        <v>0.34722595715614396</v>
      </c>
      <c r="AN4" s="585">
        <f t="shared" si="10"/>
        <v>3.2948749673801627</v>
      </c>
      <c r="AO4" s="585">
        <f t="shared" si="11"/>
        <v>11.317014192860109</v>
      </c>
      <c r="AP4" s="585">
        <f t="shared" si="12"/>
        <v>17.901024117600624</v>
      </c>
      <c r="AQ4" s="585">
        <f t="shared" si="13"/>
        <v>32.411089660574525</v>
      </c>
      <c r="AR4" s="585"/>
      <c r="AS4" s="585">
        <f t="shared" si="14"/>
        <v>17.677917641613689</v>
      </c>
      <c r="AT4" s="585">
        <f t="shared" si="15"/>
        <v>13.243955563865404</v>
      </c>
      <c r="AU4" s="585">
        <f t="shared" si="16"/>
        <v>10.258901411305397</v>
      </c>
      <c r="AV4" s="585">
        <f t="shared" si="17"/>
        <v>8.7980233404704826</v>
      </c>
      <c r="AW4" s="585">
        <f t="shared" si="18"/>
        <v>3.4563796945816723</v>
      </c>
      <c r="AX4" s="585">
        <f t="shared" si="19"/>
        <v>0.85805696181980173</v>
      </c>
      <c r="AY4" s="585">
        <f t="shared" si="20"/>
        <v>0.23110791506426645</v>
      </c>
      <c r="AZ4" s="585">
        <f t="shared" si="21"/>
        <v>0.15453362849160807</v>
      </c>
      <c r="BA4" s="585">
        <f t="shared" si="22"/>
        <v>1.892091652593054</v>
      </c>
      <c r="BB4" s="585">
        <f t="shared" si="23"/>
        <v>5.8347499186127161</v>
      </c>
      <c r="BC4" s="585">
        <f t="shared" si="24"/>
        <v>11.712228668261993</v>
      </c>
      <c r="BD4" s="585">
        <f t="shared" si="25"/>
        <v>20.862628901321383</v>
      </c>
    </row>
    <row r="5" spans="1:56" ht="15">
      <c r="A5" s="580" t="str">
        <f>VLOOKUP(CONCATENATE($C5," - ",$B5),[2]ACHIEV!$B$12:$C$100,2,FALSE)</f>
        <v>Retro12Med</v>
      </c>
      <c r="B5" s="580" t="str">
        <f>'SC-Retro'!$C$7</f>
        <v>Retro</v>
      </c>
      <c r="C5" s="580" t="str">
        <f>'SC-Retro'!$C$8</f>
        <v>ResWx</v>
      </c>
      <c r="D5" s="580" t="s">
        <v>306</v>
      </c>
      <c r="E5" s="580" t="str">
        <f>'SC-Retro'!$A$9</f>
        <v>HVAC</v>
      </c>
      <c r="F5" s="581">
        <f t="shared" si="1"/>
        <v>0.17010497253057383</v>
      </c>
      <c r="G5" s="582">
        <f>'SC-Retro'!A138</f>
        <v>325.2989796945879</v>
      </c>
      <c r="H5" s="582">
        <f>'SC-Retro'!B138</f>
        <v>36.494527369803585</v>
      </c>
      <c r="I5" s="583" t="str">
        <f>'SC-Retro'!C138</f>
        <v>Multifamily - Low Rise</v>
      </c>
      <c r="J5" s="586" t="str">
        <f>'SC-Retro'!D138</f>
        <v>FLOOR R0 - R30_Electric Zonal</v>
      </c>
      <c r="K5" s="584">
        <f>'SC-Retro'!E138</f>
        <v>3.8724046215583036E-2</v>
      </c>
      <c r="L5" s="584">
        <f>'SC-Retro'!F138</f>
        <v>3.8636110961730759E-2</v>
      </c>
      <c r="M5" s="584">
        <f>'SC-Retro'!G138</f>
        <v>3.854837539281912E-2</v>
      </c>
      <c r="N5" s="584">
        <f>'SC-Retro'!H138</f>
        <v>3.8460839055400015E-2</v>
      </c>
      <c r="O5" s="584">
        <f>'SC-Retro'!I138</f>
        <v>3.8373501497054999E-2</v>
      </c>
      <c r="P5" s="584">
        <f>'SC-Retro'!J138</f>
        <v>3.4457726039753722E-2</v>
      </c>
      <c r="Q5" s="584">
        <f>'SC-Retro'!K138</f>
        <v>2.7503583057394615E-2</v>
      </c>
      <c r="R5" s="584">
        <f>'SC-Retro'!L138</f>
        <v>2.1952901944901817E-2</v>
      </c>
      <c r="S5" s="584">
        <f>'SC-Retro'!M138</f>
        <v>1.7522440723333414E-2</v>
      </c>
      <c r="T5" s="584">
        <f>'SC-Retro'!N138</f>
        <v>1.3986120362280256E-2</v>
      </c>
      <c r="U5" s="584">
        <f>'SC-Retro'!O138</f>
        <v>1.1163488344846165E-2</v>
      </c>
      <c r="V5" s="584">
        <f>'SC-Retro'!P138</f>
        <v>8.9105104773456976E-3</v>
      </c>
      <c r="W5" s="584">
        <f>'SC-Retro'!Q138</f>
        <v>7.1122210651603911E-3</v>
      </c>
      <c r="X5" s="584">
        <f>'SC-Retro'!R138</f>
        <v>5.6768564055130677E-3</v>
      </c>
      <c r="Y5" s="584">
        <f>'SC-Retro'!S138</f>
        <v>4.5311722391024956E-3</v>
      </c>
      <c r="Z5" s="584">
        <f>'SC-Retro'!T138</f>
        <v>3.6167062179825412E-3</v>
      </c>
      <c r="AA5" s="584">
        <f>'SC-Retro'!U138</f>
        <v>2.4612691512035321E-5</v>
      </c>
      <c r="AB5" s="584">
        <f>'SC-Retro'!V138</f>
        <v>8.7702859192092213E-6</v>
      </c>
      <c r="AC5" s="584">
        <f>'SC-Retro'!W138</f>
        <v>2.9830807492460629E-6</v>
      </c>
      <c r="AD5" s="584">
        <f>'SC-Retro'!X138</f>
        <v>9.7053479881703176E-7</v>
      </c>
      <c r="AE5" s="584">
        <f>'SC-Retro'!Y138</f>
        <v>0.33908228138093011</v>
      </c>
      <c r="AF5" s="585">
        <f t="shared" si="2"/>
        <v>36.236725862850136</v>
      </c>
      <c r="AG5" s="585">
        <f t="shared" si="3"/>
        <v>26.438308163060373</v>
      </c>
      <c r="AH5" s="585">
        <f t="shared" si="4"/>
        <v>23.957179453625933</v>
      </c>
      <c r="AI5" s="585">
        <f t="shared" si="5"/>
        <v>19.204182981291716</v>
      </c>
      <c r="AJ5" s="585">
        <f t="shared" si="6"/>
        <v>7.912336273748342</v>
      </c>
      <c r="AK5" s="585">
        <f t="shared" si="7"/>
        <v>2.2101274619876685</v>
      </c>
      <c r="AL5" s="585">
        <f t="shared" si="8"/>
        <v>0.53818421309897735</v>
      </c>
      <c r="AM5" s="585">
        <f t="shared" si="9"/>
        <v>0.45242206289163839</v>
      </c>
      <c r="AN5" s="585">
        <f t="shared" si="10"/>
        <v>4.2930953144203219</v>
      </c>
      <c r="AO5" s="585">
        <f t="shared" si="11"/>
        <v>14.74563407886375</v>
      </c>
      <c r="AP5" s="585">
        <f t="shared" si="12"/>
        <v>23.324345695491569</v>
      </c>
      <c r="AQ5" s="585">
        <f t="shared" si="13"/>
        <v>42.230402833072063</v>
      </c>
      <c r="AR5" s="585"/>
      <c r="AS5" s="585">
        <f t="shared" si="14"/>
        <v>23.033646541150688</v>
      </c>
      <c r="AT5" s="585">
        <f t="shared" si="15"/>
        <v>17.256364547523447</v>
      </c>
      <c r="AU5" s="585">
        <f t="shared" si="16"/>
        <v>13.366953834668413</v>
      </c>
      <c r="AV5" s="585">
        <f t="shared" si="17"/>
        <v>11.463485914661861</v>
      </c>
      <c r="AW5" s="585">
        <f t="shared" si="18"/>
        <v>4.5035297601792266</v>
      </c>
      <c r="AX5" s="585">
        <f t="shared" si="19"/>
        <v>1.1180152080925079</v>
      </c>
      <c r="AY5" s="585">
        <f t="shared" si="20"/>
        <v>0.3011247216087079</v>
      </c>
      <c r="AZ5" s="585">
        <f t="shared" si="21"/>
        <v>0.20135137234818995</v>
      </c>
      <c r="BA5" s="585">
        <f t="shared" si="22"/>
        <v>2.4653226263877892</v>
      </c>
      <c r="BB5" s="585">
        <f t="shared" si="23"/>
        <v>7.6024546559130286</v>
      </c>
      <c r="BC5" s="585">
        <f t="shared" si="24"/>
        <v>15.260583334703947</v>
      </c>
      <c r="BD5" s="585">
        <f t="shared" si="25"/>
        <v>27.183202782947596</v>
      </c>
    </row>
    <row r="6" spans="1:56" ht="15">
      <c r="A6" s="580" t="str">
        <f>VLOOKUP(CONCATENATE($C6," - ",$B6),[2]ACHIEV!$B$12:$C$100,2,FALSE)</f>
        <v>Retro12Med</v>
      </c>
      <c r="B6" s="580" t="str">
        <f>'SC-Retro'!$C$7</f>
        <v>Retro</v>
      </c>
      <c r="C6" s="580" t="str">
        <f>'SC-Retro'!$C$8</f>
        <v>ResWx</v>
      </c>
      <c r="D6" s="580" t="s">
        <v>306</v>
      </c>
      <c r="E6" s="580" t="str">
        <f>'SC-Retro'!$A$9</f>
        <v>HVAC</v>
      </c>
      <c r="F6" s="581">
        <f t="shared" si="1"/>
        <v>9.7117792810114484E-2</v>
      </c>
      <c r="G6" s="582">
        <f>'SC-Retro'!A139</f>
        <v>185.72248912736737</v>
      </c>
      <c r="H6" s="582">
        <f>'SC-Retro'!B139</f>
        <v>37.93133942751404</v>
      </c>
      <c r="I6" s="583" t="str">
        <f>'SC-Retro'!C139</f>
        <v>Multifamily - Low Rise</v>
      </c>
      <c r="J6" s="586" t="str">
        <f>'SC-Retro'!D139</f>
        <v>ATTIC R0 - R19_Electric Zonal</v>
      </c>
      <c r="K6" s="584">
        <f>'SC-Retro'!E139</f>
        <v>5.240904618450064E-3</v>
      </c>
      <c r="L6" s="584">
        <f>'SC-Retro'!F139</f>
        <v>5.2290034788978262E-3</v>
      </c>
      <c r="M6" s="584">
        <f>'SC-Retro'!G139</f>
        <v>5.2171293646652512E-3</v>
      </c>
      <c r="N6" s="584">
        <f>'SC-Retro'!H139</f>
        <v>5.2052822143827627E-3</v>
      </c>
      <c r="O6" s="584">
        <f>'SC-Retro'!I139</f>
        <v>5.1934619668201421E-3</v>
      </c>
      <c r="P6" s="584">
        <f>'SC-Retro'!J139</f>
        <v>4.6635017047975949E-3</v>
      </c>
      <c r="Q6" s="584">
        <f>'SC-Retro'!K139</f>
        <v>3.7223293936525462E-3</v>
      </c>
      <c r="R6" s="584">
        <f>'SC-Retro'!L139</f>
        <v>2.9711013294142436E-3</v>
      </c>
      <c r="S6" s="584">
        <f>'SC-Retro'!M139</f>
        <v>2.3714835996781927E-3</v>
      </c>
      <c r="T6" s="584">
        <f>'SC-Retro'!N139</f>
        <v>1.8928787139856338E-3</v>
      </c>
      <c r="U6" s="584">
        <f>'SC-Retro'!O139</f>
        <v>1.5108642650305971E-3</v>
      </c>
      <c r="V6" s="584">
        <f>'SC-Retro'!P139</f>
        <v>1.2059466940383011E-3</v>
      </c>
      <c r="W6" s="584">
        <f>'SC-Retro'!Q139</f>
        <v>9.6256656704529037E-4</v>
      </c>
      <c r="X6" s="584">
        <f>'SC-Retro'!R139</f>
        <v>7.683046029926167E-4</v>
      </c>
      <c r="Y6" s="584">
        <f>'SC-Retro'!S139</f>
        <v>6.1324793857282214E-4</v>
      </c>
      <c r="Z6" s="584">
        <f>'SC-Retro'!T139</f>
        <v>4.8948429138518355E-4</v>
      </c>
      <c r="AA6" s="584">
        <f>'SC-Retro'!U139</f>
        <v>3.3310767139308984E-6</v>
      </c>
      <c r="AB6" s="584">
        <f>'SC-Retro'!V139</f>
        <v>1.1869687305717192E-6</v>
      </c>
      <c r="AC6" s="584">
        <f>'SC-Retro'!W139</f>
        <v>4.0372954801509956E-7</v>
      </c>
      <c r="AD6" s="584">
        <f>'SC-Retro'!X139</f>
        <v>1.3135198427275461E-7</v>
      </c>
      <c r="AE6" s="584">
        <f>'SC-Retro'!Y139</f>
        <v>4.589132769418023E-2</v>
      </c>
      <c r="AF6" s="585">
        <f t="shared" si="2"/>
        <v>20.688582950346539</v>
      </c>
      <c r="AG6" s="585">
        <f t="shared" si="3"/>
        <v>15.094386108957295</v>
      </c>
      <c r="AH6" s="585">
        <f t="shared" si="4"/>
        <v>13.677838783188959</v>
      </c>
      <c r="AI6" s="585">
        <f t="shared" si="5"/>
        <v>10.964217189649746</v>
      </c>
      <c r="AJ6" s="585">
        <f t="shared" si="6"/>
        <v>4.5173790245298742</v>
      </c>
      <c r="AK6" s="585">
        <f t="shared" si="7"/>
        <v>1.2618249645740589</v>
      </c>
      <c r="AL6" s="585">
        <f t="shared" si="8"/>
        <v>0.30726475613184512</v>
      </c>
      <c r="AM6" s="585">
        <f t="shared" si="9"/>
        <v>0.25830069229009445</v>
      </c>
      <c r="AN6" s="585">
        <f t="shared" si="10"/>
        <v>2.4510508720431914</v>
      </c>
      <c r="AO6" s="585">
        <f t="shared" si="11"/>
        <v>8.4187041332225654</v>
      </c>
      <c r="AP6" s="585">
        <f t="shared" si="12"/>
        <v>13.316535895381294</v>
      </c>
      <c r="AQ6" s="585">
        <f t="shared" si="13"/>
        <v>24.110544516226955</v>
      </c>
      <c r="AR6" s="585"/>
      <c r="AS6" s="585">
        <f t="shared" si="14"/>
        <v>13.150567435897967</v>
      </c>
      <c r="AT6" s="585">
        <f t="shared" si="15"/>
        <v>9.8521519497671886</v>
      </c>
      <c r="AU6" s="585">
        <f t="shared" si="16"/>
        <v>7.6315761597408072</v>
      </c>
      <c r="AV6" s="585">
        <f t="shared" si="17"/>
        <v>6.5448318963262269</v>
      </c>
      <c r="AW6" s="585">
        <f t="shared" si="18"/>
        <v>2.5711939143028837</v>
      </c>
      <c r="AX6" s="585">
        <f t="shared" si="19"/>
        <v>0.63830685089802253</v>
      </c>
      <c r="AY6" s="585">
        <f t="shared" si="20"/>
        <v>0.17192071394586433</v>
      </c>
      <c r="AZ6" s="585">
        <f t="shared" si="21"/>
        <v>0.11495725592753639</v>
      </c>
      <c r="BA6" s="585">
        <f t="shared" si="22"/>
        <v>1.4075231809968589</v>
      </c>
      <c r="BB6" s="585">
        <f t="shared" si="23"/>
        <v>4.3404587481329928</v>
      </c>
      <c r="BC6" s="585">
        <f t="shared" si="24"/>
        <v>8.7127033878735265</v>
      </c>
      <c r="BD6" s="585">
        <f t="shared" si="25"/>
        <v>15.519667747015076</v>
      </c>
    </row>
    <row r="7" spans="1:56" ht="15">
      <c r="A7" s="580" t="str">
        <f>VLOOKUP(CONCATENATE($C7," - ",$B7),[2]ACHIEV!$B$12:$C$100,2,FALSE)</f>
        <v>Retro12Med</v>
      </c>
      <c r="B7" s="580" t="str">
        <f>'SC-Retro'!$C$7</f>
        <v>Retro</v>
      </c>
      <c r="C7" s="580" t="str">
        <f>'SC-Retro'!$C$8</f>
        <v>ResWx</v>
      </c>
      <c r="D7" s="580" t="s">
        <v>306</v>
      </c>
      <c r="E7" s="580" t="str">
        <f>'SC-Retro'!$A$9</f>
        <v>HVAC</v>
      </c>
      <c r="F7" s="581">
        <f t="shared" si="1"/>
        <v>0.13234939136241747</v>
      </c>
      <c r="G7" s="582">
        <f>'SC-Retro'!A140</f>
        <v>253.0973747146395</v>
      </c>
      <c r="H7" s="582">
        <f>'SC-Retro'!B140</f>
        <v>36.495019806311646</v>
      </c>
      <c r="I7" s="583" t="str">
        <f>'SC-Retro'!C140</f>
        <v>Multifamily - Low Rise</v>
      </c>
      <c r="J7" s="586" t="str">
        <f>'SC-Retro'!D140</f>
        <v>ATTIC R0 - R38_Electric Zonal</v>
      </c>
      <c r="K7" s="584">
        <f>'SC-Retro'!E140</f>
        <v>1.3560080605076756E-3</v>
      </c>
      <c r="L7" s="584">
        <f>'SC-Retro'!F140</f>
        <v>1.3529288132522971E-3</v>
      </c>
      <c r="M7" s="584">
        <f>'SC-Retro'!G140</f>
        <v>1.34985655840643E-3</v>
      </c>
      <c r="N7" s="584">
        <f>'SC-Retro'!H140</f>
        <v>1.3467912800915862E-3</v>
      </c>
      <c r="O7" s="584">
        <f>'SC-Retro'!I140</f>
        <v>1.3437329624653343E-3</v>
      </c>
      <c r="P7" s="584">
        <f>'SC-Retro'!J140</f>
        <v>1.2066134307490981E-3</v>
      </c>
      <c r="Q7" s="584">
        <f>'SC-Retro'!K140</f>
        <v>9.6309874518384964E-4</v>
      </c>
      <c r="R7" s="584">
        <f>'SC-Retro'!L140</f>
        <v>7.6872937871978763E-4</v>
      </c>
      <c r="S7" s="584">
        <f>'SC-Retro'!M140</f>
        <v>6.1358698748392921E-4</v>
      </c>
      <c r="T7" s="584">
        <f>'SC-Retro'!N140</f>
        <v>4.8975491457942436E-4</v>
      </c>
      <c r="U7" s="584">
        <f>'SC-Retro'!O140</f>
        <v>3.9091421631717963E-4</v>
      </c>
      <c r="V7" s="584">
        <f>'SC-Retro'!P140</f>
        <v>3.1202121708181986E-4</v>
      </c>
      <c r="W7" s="584">
        <f>'SC-Retro'!Q140</f>
        <v>2.4905013899578028E-4</v>
      </c>
      <c r="X7" s="584">
        <f>'SC-Retro'!R140</f>
        <v>1.9878767320349479E-4</v>
      </c>
      <c r="Y7" s="584">
        <f>'SC-Retro'!S140</f>
        <v>1.5866901009169466E-4</v>
      </c>
      <c r="Z7" s="584">
        <f>'SC-Retro'!T140</f>
        <v>1.2664696134204618E-4</v>
      </c>
      <c r="AA7" s="584">
        <f>'SC-Retro'!U140</f>
        <v>8.6186778869399791E-7</v>
      </c>
      <c r="AB7" s="584">
        <f>'SC-Retro'!V140</f>
        <v>3.0711094427469595E-7</v>
      </c>
      <c r="AC7" s="584">
        <f>'SC-Retro'!W140</f>
        <v>1.0445916520715095E-7</v>
      </c>
      <c r="AD7" s="584">
        <f>'SC-Retro'!X140</f>
        <v>3.3985420915789898E-8</v>
      </c>
      <c r="AE7" s="584">
        <f>'SC-Retro'!Y140</f>
        <v>1.1873715473019044E-2</v>
      </c>
      <c r="AF7" s="585">
        <f t="shared" si="2"/>
        <v>28.193817861808796</v>
      </c>
      <c r="AG7" s="585">
        <f t="shared" si="3"/>
        <v>20.570204045059082</v>
      </c>
      <c r="AH7" s="585">
        <f t="shared" si="4"/>
        <v>18.639773266344207</v>
      </c>
      <c r="AI7" s="585">
        <f t="shared" si="5"/>
        <v>14.941726225725874</v>
      </c>
      <c r="AJ7" s="585">
        <f t="shared" si="6"/>
        <v>6.1561568395489079</v>
      </c>
      <c r="AK7" s="585">
        <f t="shared" si="7"/>
        <v>1.71957950479583</v>
      </c>
      <c r="AL7" s="585">
        <f t="shared" si="8"/>
        <v>0.41873175125265083</v>
      </c>
      <c r="AM7" s="585">
        <f t="shared" si="9"/>
        <v>0.35200490480591662</v>
      </c>
      <c r="AN7" s="585">
        <f t="shared" si="10"/>
        <v>3.3402230603355965</v>
      </c>
      <c r="AO7" s="585">
        <f t="shared" si="11"/>
        <v>11.472772762358678</v>
      </c>
      <c r="AP7" s="585">
        <f t="shared" si="12"/>
        <v>18.14739987198255</v>
      </c>
      <c r="AQ7" s="585">
        <f t="shared" si="13"/>
        <v>32.857170656444083</v>
      </c>
      <c r="AR7" s="585"/>
      <c r="AS7" s="585">
        <f t="shared" si="14"/>
        <v>17.921222732218634</v>
      </c>
      <c r="AT7" s="585">
        <f t="shared" si="15"/>
        <v>13.426235053665085</v>
      </c>
      <c r="AU7" s="585">
        <f t="shared" si="16"/>
        <v>10.400096940551963</v>
      </c>
      <c r="AV7" s="585">
        <f t="shared" si="17"/>
        <v>8.9191124817027401</v>
      </c>
      <c r="AW7" s="585">
        <f t="shared" si="18"/>
        <v>3.5039506128201241</v>
      </c>
      <c r="AX7" s="585">
        <f t="shared" si="19"/>
        <v>0.86986658957529761</v>
      </c>
      <c r="AY7" s="585">
        <f t="shared" si="20"/>
        <v>0.23428870441707272</v>
      </c>
      <c r="AZ7" s="585">
        <f t="shared" si="21"/>
        <v>0.15666050900117409</v>
      </c>
      <c r="BA7" s="585">
        <f t="shared" si="22"/>
        <v>1.9181329285113975</v>
      </c>
      <c r="BB7" s="585">
        <f t="shared" si="23"/>
        <v>5.9150548723061007</v>
      </c>
      <c r="BC7" s="585">
        <f t="shared" si="24"/>
        <v>11.873426662001327</v>
      </c>
      <c r="BD7" s="585">
        <f t="shared" si="25"/>
        <v>21.149765877406423</v>
      </c>
    </row>
    <row r="8" spans="1:56" ht="15">
      <c r="A8" s="580" t="str">
        <f>VLOOKUP(CONCATENATE($C8," - ",$B8),[2]ACHIEV!$B$12:$C$100,2,FALSE)</f>
        <v>Retro12Med</v>
      </c>
      <c r="B8" s="580" t="str">
        <f>'SC-Retro'!$C$7</f>
        <v>Retro</v>
      </c>
      <c r="C8" s="580" t="str">
        <f>'SC-Retro'!$C$8</f>
        <v>ResWx</v>
      </c>
      <c r="D8" s="580" t="s">
        <v>306</v>
      </c>
      <c r="E8" s="580" t="str">
        <f>'SC-Retro'!$A$9</f>
        <v>HVAC</v>
      </c>
      <c r="F8" s="581">
        <f t="shared" si="1"/>
        <v>0.1405238929111686</v>
      </c>
      <c r="G8" s="582">
        <f>'SC-Retro'!A141</f>
        <v>268.72982198388451</v>
      </c>
      <c r="H8" s="582">
        <f>'SC-Retro'!B141</f>
        <v>41.01999289449391</v>
      </c>
      <c r="I8" s="583" t="str">
        <f>'SC-Retro'!C141</f>
        <v>Multifamily - Low Rise</v>
      </c>
      <c r="J8" s="586" t="str">
        <f>'SC-Retro'!D141</f>
        <v>ATTIC R0 - R49_Electric Zonal</v>
      </c>
      <c r="K8" s="584">
        <f>'SC-Retro'!E141</f>
        <v>8.5881234104087222E-3</v>
      </c>
      <c r="L8" s="584">
        <f>'SC-Retro'!F141</f>
        <v>8.5686213468070867E-3</v>
      </c>
      <c r="M8" s="584">
        <f>'SC-Retro'!G141</f>
        <v>8.5491635688388218E-3</v>
      </c>
      <c r="N8" s="584">
        <f>'SC-Retro'!H141</f>
        <v>8.5297499759393308E-3</v>
      </c>
      <c r="O8" s="584">
        <f>'SC-Retro'!I141</f>
        <v>8.5103804677723605E-3</v>
      </c>
      <c r="P8" s="584">
        <f>'SC-Retro'!J141</f>
        <v>7.6419494498065742E-3</v>
      </c>
      <c r="Q8" s="584">
        <f>'SC-Retro'!K141</f>
        <v>6.0996767799094253E-3</v>
      </c>
      <c r="R8" s="584">
        <f>'SC-Retro'!L141</f>
        <v>4.8686604201900255E-3</v>
      </c>
      <c r="S8" s="584">
        <f>'SC-Retro'!M141</f>
        <v>3.8860836635145279E-3</v>
      </c>
      <c r="T8" s="584">
        <f>'SC-Retro'!N141</f>
        <v>3.1018072604137525E-3</v>
      </c>
      <c r="U8" s="584">
        <f>'SC-Retro'!O141</f>
        <v>2.4758108969929284E-3</v>
      </c>
      <c r="V8" s="584">
        <f>'SC-Retro'!P141</f>
        <v>1.976151025209507E-3</v>
      </c>
      <c r="W8" s="584">
        <f>'SC-Retro'!Q141</f>
        <v>1.5773308370117174E-3</v>
      </c>
      <c r="X8" s="584">
        <f>'SC-Retro'!R141</f>
        <v>1.2589992048428157E-3</v>
      </c>
      <c r="Y8" s="584">
        <f>'SC-Retro'!S141</f>
        <v>1.0049121976197484E-3</v>
      </c>
      <c r="Z8" s="584">
        <f>'SC-Retro'!T141</f>
        <v>8.0210418008248906E-4</v>
      </c>
      <c r="AA8" s="584">
        <f>'SC-Retro'!U141</f>
        <v>5.4585419868293062E-6</v>
      </c>
      <c r="AB8" s="584">
        <f>'SC-Retro'!V141</f>
        <v>1.9450523687379773E-6</v>
      </c>
      <c r="AC8" s="584">
        <f>'SC-Retro'!W141</f>
        <v>6.6158028722293664E-7</v>
      </c>
      <c r="AD8" s="584">
        <f>'SC-Retro'!X141</f>
        <v>2.152428126940602E-7</v>
      </c>
      <c r="AE8" s="584">
        <f>'SC-Retro'!Y141</f>
        <v>7.5200831611715868E-2</v>
      </c>
      <c r="AF8" s="585">
        <f t="shared" si="2"/>
        <v>29.935196536875438</v>
      </c>
      <c r="AG8" s="585">
        <f t="shared" si="3"/>
        <v>21.840713588726022</v>
      </c>
      <c r="AH8" s="585">
        <f t="shared" si="4"/>
        <v>19.791050607823301</v>
      </c>
      <c r="AI8" s="585">
        <f t="shared" si="5"/>
        <v>15.864595329360416</v>
      </c>
      <c r="AJ8" s="585">
        <f t="shared" si="6"/>
        <v>6.5363891405909618</v>
      </c>
      <c r="AK8" s="585">
        <f t="shared" si="7"/>
        <v>1.8257885714220765</v>
      </c>
      <c r="AL8" s="585">
        <f t="shared" si="8"/>
        <v>0.44459453244030989</v>
      </c>
      <c r="AM8" s="585">
        <f t="shared" si="9"/>
        <v>0.37374633187167833</v>
      </c>
      <c r="AN8" s="585">
        <f t="shared" si="10"/>
        <v>3.5465304584944448</v>
      </c>
      <c r="AO8" s="585">
        <f t="shared" si="11"/>
        <v>12.181383491497263</v>
      </c>
      <c r="AP8" s="585">
        <f t="shared" si="12"/>
        <v>19.268265988798348</v>
      </c>
      <c r="AQ8" s="585">
        <f t="shared" si="13"/>
        <v>34.886579251782379</v>
      </c>
      <c r="AR8" s="585"/>
      <c r="AS8" s="585">
        <f t="shared" si="14"/>
        <v>19.028119118155733</v>
      </c>
      <c r="AT8" s="585">
        <f t="shared" si="15"/>
        <v>14.255500516167602</v>
      </c>
      <c r="AU8" s="585">
        <f t="shared" si="16"/>
        <v>11.04245432257348</v>
      </c>
      <c r="AV8" s="585">
        <f t="shared" si="17"/>
        <v>9.4699975144530164</v>
      </c>
      <c r="AW8" s="585">
        <f t="shared" si="18"/>
        <v>3.7203705707541288</v>
      </c>
      <c r="AX8" s="585">
        <f t="shared" si="19"/>
        <v>0.92359351427432046</v>
      </c>
      <c r="AY8" s="585">
        <f t="shared" si="20"/>
        <v>0.24875944249449844</v>
      </c>
      <c r="AZ8" s="585">
        <f t="shared" si="21"/>
        <v>0.1663365759651049</v>
      </c>
      <c r="BA8" s="585">
        <f t="shared" si="22"/>
        <v>2.036605559427322</v>
      </c>
      <c r="BB8" s="585">
        <f t="shared" si="23"/>
        <v>6.2803956171094386</v>
      </c>
      <c r="BC8" s="585">
        <f t="shared" si="24"/>
        <v>12.606783601828358</v>
      </c>
      <c r="BD8" s="585">
        <f t="shared" si="25"/>
        <v>22.456071800998878</v>
      </c>
    </row>
    <row r="9" spans="1:56" ht="15">
      <c r="A9" s="580" t="str">
        <f>VLOOKUP(CONCATENATE($C9," - ",$B9),[2]ACHIEV!$B$12:$C$100,2,FALSE)</f>
        <v>Retro12Med</v>
      </c>
      <c r="B9" s="580" t="str">
        <f>'SC-Retro'!$C$7</f>
        <v>Retro</v>
      </c>
      <c r="C9" s="580" t="str">
        <f>'SC-Retro'!$C$8</f>
        <v>ResWx</v>
      </c>
      <c r="D9" s="580" t="s">
        <v>306</v>
      </c>
      <c r="E9" s="580" t="str">
        <f>'SC-Retro'!$A$9</f>
        <v>HVAC</v>
      </c>
      <c r="F9" s="581">
        <f t="shared" si="1"/>
        <v>2.5529143202342411E-2</v>
      </c>
      <c r="G9" s="582">
        <f>'SC-Retro'!A142</f>
        <v>48.820467224768407</v>
      </c>
      <c r="H9" s="582">
        <f>'SC-Retro'!B142</f>
        <v>192.35984158142327</v>
      </c>
      <c r="I9" s="583" t="str">
        <f>'SC-Retro'!C142</f>
        <v>Multifamily - Low Rise</v>
      </c>
      <c r="J9" s="586" t="str">
        <f>'SC-Retro'!D142</f>
        <v>ATTIC R19 - R30_Electric Zonal</v>
      </c>
      <c r="K9" s="584">
        <f>'SC-Retro'!E142</f>
        <v>1.600748371158571E-3</v>
      </c>
      <c r="L9" s="584">
        <f>'SC-Retro'!F142</f>
        <v>1.5971133632467485E-3</v>
      </c>
      <c r="M9" s="584">
        <f>'SC-Retro'!G142</f>
        <v>1.5934866097756331E-3</v>
      </c>
      <c r="N9" s="584">
        <f>'SC-Retro'!H142</f>
        <v>1.5898680920008962E-3</v>
      </c>
      <c r="O9" s="584">
        <f>'SC-Retro'!I142</f>
        <v>1.5862577912207705E-3</v>
      </c>
      <c r="P9" s="584">
        <f>'SC-Retro'!J142</f>
        <v>1.4243901198983627E-3</v>
      </c>
      <c r="Q9" s="584">
        <f>'SC-Retro'!K142</f>
        <v>1.1369244715556653E-3</v>
      </c>
      <c r="R9" s="584">
        <f>'SC-Retro'!L142</f>
        <v>9.0747417857290475E-4</v>
      </c>
      <c r="S9" s="584">
        <f>'SC-Retro'!M142</f>
        <v>7.2433077603629395E-4</v>
      </c>
      <c r="T9" s="584">
        <f>'SC-Retro'!N142</f>
        <v>5.7814876224733264E-4</v>
      </c>
      <c r="U9" s="584">
        <f>'SC-Retro'!O142</f>
        <v>4.6146871339258733E-4</v>
      </c>
      <c r="V9" s="584">
        <f>'SC-Retro'!P142</f>
        <v>3.6833664161527369E-4</v>
      </c>
      <c r="W9" s="584">
        <f>'SC-Retro'!Q142</f>
        <v>2.9400017296730106E-4</v>
      </c>
      <c r="X9" s="584">
        <f>'SC-Retro'!R142</f>
        <v>2.3466604171052085E-4</v>
      </c>
      <c r="Y9" s="584">
        <f>'SC-Retro'!S142</f>
        <v>1.8730652630673321E-4</v>
      </c>
      <c r="Z9" s="584">
        <f>'SC-Retro'!T142</f>
        <v>1.4950494984857461E-4</v>
      </c>
      <c r="AA9" s="584">
        <f>'SC-Retro'!U142</f>
        <v>1.0174227566091579E-6</v>
      </c>
      <c r="AB9" s="584">
        <f>'SC-Retro'!V142</f>
        <v>3.6254013389023472E-7</v>
      </c>
      <c r="AC9" s="584">
        <f>'SC-Retro'!W142</f>
        <v>1.233125697610737E-7</v>
      </c>
      <c r="AD9" s="584">
        <f>'SC-Retro'!X142</f>
        <v>4.0119309581184589E-8</v>
      </c>
      <c r="AE9" s="584">
        <f>'SC-Retro'!Y142</f>
        <v>1.401675348147975E-2</v>
      </c>
      <c r="AF9" s="585">
        <f t="shared" si="2"/>
        <v>5.4383628530932819</v>
      </c>
      <c r="AG9" s="585">
        <f t="shared" si="3"/>
        <v>3.9678284830921973</v>
      </c>
      <c r="AH9" s="585">
        <f t="shared" si="4"/>
        <v>3.5954637650930792</v>
      </c>
      <c r="AI9" s="585">
        <f t="shared" si="5"/>
        <v>2.8821399522889619</v>
      </c>
      <c r="AJ9" s="585">
        <f t="shared" si="6"/>
        <v>1.1874736099281527</v>
      </c>
      <c r="AK9" s="585">
        <f t="shared" si="7"/>
        <v>0.33169318705466794</v>
      </c>
      <c r="AL9" s="585">
        <f t="shared" si="8"/>
        <v>8.0770018895093193E-2</v>
      </c>
      <c r="AM9" s="585">
        <f t="shared" si="9"/>
        <v>6.789894181008653E-2</v>
      </c>
      <c r="AN9" s="585">
        <f t="shared" si="10"/>
        <v>0.64430241769353813</v>
      </c>
      <c r="AO9" s="585">
        <f t="shared" si="11"/>
        <v>2.2130064654106039</v>
      </c>
      <c r="AP9" s="585">
        <f t="shared" si="12"/>
        <v>3.5004888599251247</v>
      </c>
      <c r="AQ9" s="585">
        <f t="shared" si="13"/>
        <v>6.3378864555198691</v>
      </c>
      <c r="AR9" s="585"/>
      <c r="AS9" s="585">
        <f t="shared" si="14"/>
        <v>3.4568610915561879</v>
      </c>
      <c r="AT9" s="585">
        <f t="shared" si="15"/>
        <v>2.589813778702855</v>
      </c>
      <c r="AU9" s="585">
        <f t="shared" si="16"/>
        <v>2.006095845099507</v>
      </c>
      <c r="AV9" s="585">
        <f t="shared" si="17"/>
        <v>1.7204257415863478</v>
      </c>
      <c r="AW9" s="585">
        <f t="shared" si="18"/>
        <v>0.67588415819509262</v>
      </c>
      <c r="AX9" s="585">
        <f t="shared" si="19"/>
        <v>0.16779033513944039</v>
      </c>
      <c r="AY9" s="585">
        <f t="shared" si="20"/>
        <v>4.5192424567909027E-2</v>
      </c>
      <c r="AZ9" s="585">
        <f t="shared" si="21"/>
        <v>3.0218564114821579E-2</v>
      </c>
      <c r="BA9" s="585">
        <f t="shared" si="22"/>
        <v>0.36999256066848174</v>
      </c>
      <c r="BB9" s="585">
        <f t="shared" si="23"/>
        <v>1.1409669612405644</v>
      </c>
      <c r="BC9" s="585">
        <f t="shared" si="24"/>
        <v>2.290289410751436</v>
      </c>
      <c r="BD9" s="585">
        <f t="shared" si="25"/>
        <v>4.0796213433411079</v>
      </c>
    </row>
    <row r="10" spans="1:56" ht="15">
      <c r="A10" s="580" t="str">
        <f>VLOOKUP(CONCATENATE($C10," - ",$B10),[2]ACHIEV!$B$12:$C$100,2,FALSE)</f>
        <v>Retro12Med</v>
      </c>
      <c r="B10" s="580" t="str">
        <f>'SC-Retro'!$C$7</f>
        <v>Retro</v>
      </c>
      <c r="C10" s="580" t="str">
        <f>'SC-Retro'!$C$8</f>
        <v>ResWx</v>
      </c>
      <c r="D10" s="580" t="s">
        <v>306</v>
      </c>
      <c r="E10" s="580" t="str">
        <f>'SC-Retro'!$A$9</f>
        <v>HVAC</v>
      </c>
      <c r="F10" s="581">
        <f t="shared" si="1"/>
        <v>3.5231598552302998E-2</v>
      </c>
      <c r="G10" s="582">
        <f>'SC-Retro'!A143</f>
        <v>67.374885587272161</v>
      </c>
      <c r="H10" s="582">
        <f>'SC-Retro'!B143</f>
        <v>157.96345984923076</v>
      </c>
      <c r="I10" s="583" t="str">
        <f>'SC-Retro'!C143</f>
        <v>Multifamily - Low Rise</v>
      </c>
      <c r="J10" s="586" t="str">
        <f>'SC-Retro'!D143</f>
        <v>ATTIC R19 - R38_Electric Zonal</v>
      </c>
      <c r="K10" s="584">
        <f>'SC-Retro'!E143</f>
        <v>3.4101260653312057E-4</v>
      </c>
      <c r="L10" s="584">
        <f>'SC-Retro'!F143</f>
        <v>3.4023822903250046E-4</v>
      </c>
      <c r="M10" s="584">
        <f>'SC-Retro'!G143</f>
        <v>3.3946561000210113E-4</v>
      </c>
      <c r="N10" s="584">
        <f>'SC-Retro'!H143</f>
        <v>3.3869474544875698E-4</v>
      </c>
      <c r="O10" s="584">
        <f>'SC-Retro'!I143</f>
        <v>3.3792563138837018E-4</v>
      </c>
      <c r="P10" s="584">
        <f>'SC-Retro'!J143</f>
        <v>3.0344243746130135E-4</v>
      </c>
      <c r="Q10" s="584">
        <f>'SC-Retro'!K143</f>
        <v>2.4220269997581126E-4</v>
      </c>
      <c r="R10" s="584">
        <f>'SC-Retro'!L143</f>
        <v>1.933221614167074E-4</v>
      </c>
      <c r="S10" s="584">
        <f>'SC-Retro'!M143</f>
        <v>1.5430652960747322E-4</v>
      </c>
      <c r="T10" s="584">
        <f>'SC-Retro'!N143</f>
        <v>1.2316490207337524E-4</v>
      </c>
      <c r="U10" s="584">
        <f>'SC-Retro'!O143</f>
        <v>9.8308173616066031E-5</v>
      </c>
      <c r="V10" s="584">
        <f>'SC-Retro'!P143</f>
        <v>7.8467946931577793E-5</v>
      </c>
      <c r="W10" s="584">
        <f>'SC-Retro'!Q143</f>
        <v>6.2631808416087426E-5</v>
      </c>
      <c r="X10" s="584">
        <f>'SC-Retro'!R143</f>
        <v>4.9991666392011251E-5</v>
      </c>
      <c r="Y10" s="584">
        <f>'SC-Retro'!S143</f>
        <v>3.9902515540461678E-5</v>
      </c>
      <c r="Z10" s="584">
        <f>'SC-Retro'!T143</f>
        <v>3.1849523357981592E-5</v>
      </c>
      <c r="AA10" s="584">
        <f>'SC-Retro'!U143</f>
        <v>2.1674486285829372E-7</v>
      </c>
      <c r="AB10" s="584">
        <f>'SC-Retro'!V143</f>
        <v>7.7233098129780031E-8</v>
      </c>
      <c r="AC10" s="584">
        <f>'SC-Retro'!W143</f>
        <v>2.6269675852979756E-8</v>
      </c>
      <c r="AD10" s="584">
        <f>'SC-Retro'!X143</f>
        <v>8.5467463713156484E-9</v>
      </c>
      <c r="AE10" s="584">
        <f>'SC-Retro'!Y143</f>
        <v>2.986034361160753E-3</v>
      </c>
      <c r="AF10" s="585">
        <f t="shared" si="2"/>
        <v>7.5052349114622601</v>
      </c>
      <c r="AG10" s="585">
        <f t="shared" si="3"/>
        <v>5.47581793610179</v>
      </c>
      <c r="AH10" s="585">
        <f t="shared" si="4"/>
        <v>4.9619344831552485</v>
      </c>
      <c r="AI10" s="585">
        <f t="shared" si="5"/>
        <v>3.9775090360761292</v>
      </c>
      <c r="AJ10" s="585">
        <f t="shared" si="6"/>
        <v>1.6387778150190342</v>
      </c>
      <c r="AK10" s="585">
        <f t="shared" si="7"/>
        <v>0.45775454022177126</v>
      </c>
      <c r="AL10" s="585">
        <f t="shared" si="8"/>
        <v>0.1114669951208057</v>
      </c>
      <c r="AM10" s="585">
        <f t="shared" si="9"/>
        <v>9.3704212515822186E-2</v>
      </c>
      <c r="AN10" s="585">
        <f t="shared" si="10"/>
        <v>0.88917218829240519</v>
      </c>
      <c r="AO10" s="585">
        <f t="shared" si="11"/>
        <v>3.0540686291361134</v>
      </c>
      <c r="AP10" s="585">
        <f t="shared" si="12"/>
        <v>4.8308639766012567</v>
      </c>
      <c r="AQ10" s="585">
        <f t="shared" si="13"/>
        <v>8.7466261402171313</v>
      </c>
      <c r="AR10" s="585"/>
      <c r="AS10" s="585">
        <f t="shared" si="14"/>
        <v>4.7706552963206663</v>
      </c>
      <c r="AT10" s="585">
        <f t="shared" si="15"/>
        <v>3.5740831038978973</v>
      </c>
      <c r="AU10" s="585">
        <f t="shared" si="16"/>
        <v>2.7685207808111572</v>
      </c>
      <c r="AV10" s="585">
        <f t="shared" si="17"/>
        <v>2.3742805853765141</v>
      </c>
      <c r="AW10" s="585">
        <f t="shared" si="18"/>
        <v>0.93275669851724041</v>
      </c>
      <c r="AX10" s="585">
        <f t="shared" si="19"/>
        <v>0.23155973867727511</v>
      </c>
      <c r="AY10" s="585">
        <f t="shared" si="20"/>
        <v>6.2367990471208411E-2</v>
      </c>
      <c r="AZ10" s="585">
        <f t="shared" si="21"/>
        <v>4.170325307363771E-2</v>
      </c>
      <c r="BA10" s="585">
        <f t="shared" si="22"/>
        <v>0.5106097475145388</v>
      </c>
      <c r="BB10" s="585">
        <f t="shared" si="23"/>
        <v>1.5745961241731086</v>
      </c>
      <c r="BC10" s="585">
        <f t="shared" si="24"/>
        <v>3.1607232741278004</v>
      </c>
      <c r="BD10" s="585">
        <f t="shared" si="25"/>
        <v>5.6300981303913487</v>
      </c>
    </row>
    <row r="11" spans="1:56" ht="15">
      <c r="A11" s="580" t="str">
        <f>VLOOKUP(CONCATENATE($C11," - ",$B11),[2]ACHIEV!$B$12:$C$100,2,FALSE)</f>
        <v>Retro12Med</v>
      </c>
      <c r="B11" s="580" t="str">
        <f>'SC-Retro'!$C$7</f>
        <v>Retro</v>
      </c>
      <c r="C11" s="580" t="str">
        <f>'SC-Retro'!$C$8</f>
        <v>ResWx</v>
      </c>
      <c r="D11" s="580" t="s">
        <v>306</v>
      </c>
      <c r="E11" s="580" t="str">
        <f>'SC-Retro'!$A$9</f>
        <v>HVAC</v>
      </c>
      <c r="F11" s="581">
        <f t="shared" si="1"/>
        <v>4.3406100101054085E-2</v>
      </c>
      <c r="G11" s="582">
        <f>'SC-Retro'!A144</f>
        <v>83.00733285651711</v>
      </c>
      <c r="H11" s="582">
        <f>'SC-Retro'!B144</f>
        <v>151.27546712071552</v>
      </c>
      <c r="I11" s="583" t="str">
        <f>'SC-Retro'!C144</f>
        <v>Multifamily - Low Rise</v>
      </c>
      <c r="J11" s="586" t="str">
        <f>'SC-Retro'!D144</f>
        <v>ATTIC R19 - R49_Electric Zonal</v>
      </c>
      <c r="K11" s="584">
        <f>'SC-Retro'!E144</f>
        <v>6.1711837547693852E-3</v>
      </c>
      <c r="L11" s="584">
        <f>'SC-Retro'!F144</f>
        <v>6.1571701207853834E-3</v>
      </c>
      <c r="M11" s="584">
        <f>'SC-Retro'!G144</f>
        <v>6.1431883092110265E-3</v>
      </c>
      <c r="N11" s="584">
        <f>'SC-Retro'!H144</f>
        <v>6.1292382477834209E-3</v>
      </c>
      <c r="O11" s="584">
        <f>'SC-Retro'!I144</f>
        <v>6.1153198644037657E-3</v>
      </c>
      <c r="P11" s="584">
        <f>'SC-Retro'!J144</f>
        <v>5.4912897784232893E-3</v>
      </c>
      <c r="Q11" s="584">
        <f>'SC-Retro'!K144</f>
        <v>4.3830560478321807E-3</v>
      </c>
      <c r="R11" s="584">
        <f>'SC-Retro'!L144</f>
        <v>3.49848234087445E-3</v>
      </c>
      <c r="S11" s="584">
        <f>'SC-Retro'!M144</f>
        <v>2.7924303398912408E-3</v>
      </c>
      <c r="T11" s="584">
        <f>'SC-Retro'!N144</f>
        <v>2.2288713914720157E-3</v>
      </c>
      <c r="U11" s="584">
        <f>'SC-Retro'!O144</f>
        <v>1.7790480244946367E-3</v>
      </c>
      <c r="V11" s="584">
        <f>'SC-Retro'!P144</f>
        <v>1.4200065044434882E-3</v>
      </c>
      <c r="W11" s="584">
        <f>'SC-Retro'!Q144</f>
        <v>1.133425542705406E-3</v>
      </c>
      <c r="X11" s="584">
        <f>'SC-Retro'!R144</f>
        <v>9.046813918366591E-4</v>
      </c>
      <c r="Y11" s="584">
        <f>'SC-Retro'!S144</f>
        <v>7.221016201751873E-4</v>
      </c>
      <c r="Z11" s="584">
        <f>'SC-Retro'!T144</f>
        <v>5.7636948716391335E-4</v>
      </c>
      <c r="AA11" s="584">
        <f>'SC-Retro'!U144</f>
        <v>3.9223546313995583E-6</v>
      </c>
      <c r="AB11" s="584">
        <f>'SC-Retro'!V144</f>
        <v>1.3976598852298354E-6</v>
      </c>
      <c r="AC11" s="584">
        <f>'SC-Retro'!W144</f>
        <v>4.7539297304899192E-7</v>
      </c>
      <c r="AD11" s="584">
        <f>'SC-Retro'!X144</f>
        <v>1.5466742681160863E-7</v>
      </c>
      <c r="AE11" s="584">
        <f>'SC-Retro'!Y144</f>
        <v>5.4037200935528114E-2</v>
      </c>
      <c r="AF11" s="585">
        <f t="shared" si="2"/>
        <v>9.2466135865288948</v>
      </c>
      <c r="AG11" s="585">
        <f t="shared" si="3"/>
        <v>6.7463274797687234</v>
      </c>
      <c r="AH11" s="585">
        <f t="shared" si="4"/>
        <v>6.1132118246343401</v>
      </c>
      <c r="AI11" s="585">
        <f t="shared" si="5"/>
        <v>4.9003781397106678</v>
      </c>
      <c r="AJ11" s="585">
        <f t="shared" si="6"/>
        <v>2.0190101160610867</v>
      </c>
      <c r="AK11" s="585">
        <f t="shared" si="7"/>
        <v>0.5639636068480175</v>
      </c>
      <c r="AL11" s="585">
        <f t="shared" si="8"/>
        <v>0.13732977630846471</v>
      </c>
      <c r="AM11" s="585">
        <f t="shared" si="9"/>
        <v>0.11544563958158383</v>
      </c>
      <c r="AN11" s="585">
        <f t="shared" si="10"/>
        <v>1.095479586451253</v>
      </c>
      <c r="AO11" s="585">
        <f t="shared" si="11"/>
        <v>3.7626793582746965</v>
      </c>
      <c r="AP11" s="585">
        <f t="shared" si="12"/>
        <v>5.9517300934170505</v>
      </c>
      <c r="AQ11" s="585">
        <f t="shared" si="13"/>
        <v>10.776034735555418</v>
      </c>
      <c r="AR11" s="585"/>
      <c r="AS11" s="585">
        <f t="shared" si="14"/>
        <v>5.8775516822577645</v>
      </c>
      <c r="AT11" s="585">
        <f t="shared" si="15"/>
        <v>4.4033485664004113</v>
      </c>
      <c r="AU11" s="585">
        <f t="shared" si="16"/>
        <v>3.4108781628326725</v>
      </c>
      <c r="AV11" s="585">
        <f t="shared" si="17"/>
        <v>2.9251656181267882</v>
      </c>
      <c r="AW11" s="585">
        <f t="shared" si="18"/>
        <v>1.1491766564512444</v>
      </c>
      <c r="AX11" s="585">
        <f t="shared" si="19"/>
        <v>0.28528666337629788</v>
      </c>
      <c r="AY11" s="585">
        <f t="shared" si="20"/>
        <v>7.6838728548634078E-2</v>
      </c>
      <c r="AZ11" s="585">
        <f t="shared" si="21"/>
        <v>5.1379320037568468E-2</v>
      </c>
      <c r="BA11" s="585">
        <f t="shared" si="22"/>
        <v>0.62908237843046289</v>
      </c>
      <c r="BB11" s="585">
        <f t="shared" si="23"/>
        <v>1.9399368689764451</v>
      </c>
      <c r="BC11" s="585">
        <f t="shared" si="24"/>
        <v>3.8940802139548296</v>
      </c>
      <c r="BD11" s="585">
        <f t="shared" si="25"/>
        <v>6.936404053983801</v>
      </c>
    </row>
    <row r="12" spans="1:56" ht="15">
      <c r="A12" s="580" t="str">
        <f>VLOOKUP(CONCATENATE($C12," - ",$B12),[2]ACHIEV!$B$12:$C$100,2,FALSE)</f>
        <v>Retro12Med</v>
      </c>
      <c r="B12" s="580" t="str">
        <f>'SC-Retro'!$C$7</f>
        <v>Retro</v>
      </c>
      <c r="C12" s="580" t="str">
        <f>'SC-Retro'!$C$8</f>
        <v>ResWx</v>
      </c>
      <c r="D12" s="580" t="s">
        <v>306</v>
      </c>
      <c r="E12" s="580" t="str">
        <f>'SC-Retro'!$A$9</f>
        <v>HVAC</v>
      </c>
      <c r="F12" s="581">
        <f t="shared" si="1"/>
        <v>2.4600194469228249</v>
      </c>
      <c r="G12" s="582">
        <f>'SC-Retro'!A145</f>
        <v>4704.3999020605224</v>
      </c>
      <c r="H12" s="582">
        <f>'SC-Retro'!B145</f>
        <v>18.671409679856037</v>
      </c>
      <c r="I12" s="583" t="str">
        <f>'SC-Retro'!C145</f>
        <v>Multifamily - Low Rise</v>
      </c>
      <c r="J12" s="586" t="str">
        <f>'SC-Retro'!D145</f>
        <v>WINDOW CL22 Prime Window Replacement of Single Pane Base_Electric Zonal</v>
      </c>
      <c r="K12" s="584">
        <f>'SC-Retro'!E145</f>
        <v>7.3310925068777261E-2</v>
      </c>
      <c r="L12" s="584">
        <f>'SC-Retro'!F145</f>
        <v>7.3144449314405446E-2</v>
      </c>
      <c r="M12" s="584">
        <f>'SC-Retro'!G145</f>
        <v>7.2978351596141716E-2</v>
      </c>
      <c r="N12" s="584">
        <f>'SC-Retro'!H145</f>
        <v>7.2812631055534968E-2</v>
      </c>
      <c r="O12" s="584">
        <f>'SC-Retro'!I145</f>
        <v>7.2647286836083416E-2</v>
      </c>
      <c r="P12" s="584">
        <f>'SC-Retro'!J145</f>
        <v>6.5234086274907302E-2</v>
      </c>
      <c r="Q12" s="584">
        <f>'SC-Retro'!K145</f>
        <v>5.2068761239938796E-2</v>
      </c>
      <c r="R12" s="584">
        <f>'SC-Retro'!L145</f>
        <v>4.1560418055623403E-2</v>
      </c>
      <c r="S12" s="584">
        <f>'SC-Retro'!M145</f>
        <v>3.3172833534462973E-2</v>
      </c>
      <c r="T12" s="584">
        <f>'SC-Retro'!N145</f>
        <v>2.6478003258590784E-2</v>
      </c>
      <c r="U12" s="584">
        <f>'SC-Retro'!O145</f>
        <v>2.1134301229757575E-2</v>
      </c>
      <c r="V12" s="584">
        <f>'SC-Retro'!P145</f>
        <v>1.6869047265685114E-2</v>
      </c>
      <c r="W12" s="584">
        <f>'SC-Retro'!Q145</f>
        <v>1.3464592586162482E-2</v>
      </c>
      <c r="X12" s="584">
        <f>'SC-Retro'!R145</f>
        <v>1.0747213559602214E-2</v>
      </c>
      <c r="Y12" s="584">
        <f>'SC-Retro'!S145</f>
        <v>8.5782468765077478E-3</v>
      </c>
      <c r="Z12" s="584">
        <f>'SC-Retro'!T145</f>
        <v>6.8470137925721614E-3</v>
      </c>
      <c r="AA12" s="584">
        <f>'SC-Retro'!U145</f>
        <v>4.6595832809786462E-5</v>
      </c>
      <c r="AB12" s="584">
        <f>'SC-Retro'!V145</f>
        <v>1.660357934383844E-5</v>
      </c>
      <c r="AC12" s="584">
        <f>'SC-Retro'!W145</f>
        <v>5.6474576046261806E-6</v>
      </c>
      <c r="AD12" s="584">
        <f>'SC-Retro'!X145</f>
        <v>1.8373804100069557E-6</v>
      </c>
      <c r="AE12" s="584">
        <f>'SC-Retro'!Y145</f>
        <v>0.64193797270245168</v>
      </c>
      <c r="AF12" s="585">
        <f t="shared" si="2"/>
        <v>524.04729261750697</v>
      </c>
      <c r="AG12" s="585">
        <f t="shared" si="3"/>
        <v>382.34480307844763</v>
      </c>
      <c r="AH12" s="585">
        <f t="shared" si="4"/>
        <v>346.46328365707842</v>
      </c>
      <c r="AI12" s="585">
        <f t="shared" si="5"/>
        <v>277.72652905693752</v>
      </c>
      <c r="AJ12" s="585">
        <f t="shared" si="6"/>
        <v>114.42640867253512</v>
      </c>
      <c r="AK12" s="585">
        <f t="shared" si="7"/>
        <v>31.962360980897486</v>
      </c>
      <c r="AL12" s="585">
        <f t="shared" si="8"/>
        <v>7.7830977575472282</v>
      </c>
      <c r="AM12" s="585">
        <f t="shared" si="9"/>
        <v>6.5428250354664534</v>
      </c>
      <c r="AN12" s="585">
        <f t="shared" si="10"/>
        <v>62.085768592502795</v>
      </c>
      <c r="AO12" s="585">
        <f t="shared" si="11"/>
        <v>213.24800828319673</v>
      </c>
      <c r="AP12" s="585">
        <f t="shared" si="12"/>
        <v>337.31138569360184</v>
      </c>
      <c r="AQ12" s="585">
        <f t="shared" si="13"/>
        <v>610.72648656446404</v>
      </c>
      <c r="AR12" s="585"/>
      <c r="AS12" s="585">
        <f t="shared" si="14"/>
        <v>333.10736060107229</v>
      </c>
      <c r="AT12" s="585">
        <f t="shared" si="15"/>
        <v>249.55762161783565</v>
      </c>
      <c r="AU12" s="585">
        <f t="shared" si="16"/>
        <v>193.30984797339596</v>
      </c>
      <c r="AV12" s="585">
        <f t="shared" si="17"/>
        <v>165.7823275831955</v>
      </c>
      <c r="AW12" s="585">
        <f t="shared" si="18"/>
        <v>65.12902371413827</v>
      </c>
      <c r="AX12" s="585">
        <f t="shared" si="19"/>
        <v>16.168481808306371</v>
      </c>
      <c r="AY12" s="585">
        <f t="shared" si="20"/>
        <v>4.354797276566976</v>
      </c>
      <c r="AZ12" s="585">
        <f t="shared" si="21"/>
        <v>2.9118977786032572</v>
      </c>
      <c r="BA12" s="585">
        <f t="shared" si="22"/>
        <v>35.652935441159826</v>
      </c>
      <c r="BB12" s="585">
        <f t="shared" si="23"/>
        <v>109.9449711532306</v>
      </c>
      <c r="BC12" s="585">
        <f t="shared" si="24"/>
        <v>220.69508737030358</v>
      </c>
      <c r="BD12" s="585">
        <f t="shared" si="25"/>
        <v>393.11729975253155</v>
      </c>
    </row>
    <row r="13" spans="1:56" ht="15">
      <c r="A13" s="580" t="str">
        <f>VLOOKUP(CONCATENATE($C13," - ",$B13),[2]ACHIEV!$B$12:$C$100,2,FALSE)</f>
        <v>Retro12Med</v>
      </c>
      <c r="B13" s="580" t="str">
        <f>'SC-Retro'!$C$7</f>
        <v>Retro</v>
      </c>
      <c r="C13" s="580" t="str">
        <f>'SC-Retro'!$C$8</f>
        <v>ResWx</v>
      </c>
      <c r="D13" s="580" t="s">
        <v>306</v>
      </c>
      <c r="E13" s="580" t="str">
        <f>'SC-Retro'!$A$9</f>
        <v>HVAC</v>
      </c>
      <c r="F13" s="581">
        <f t="shared" si="1"/>
        <v>1.4558698743459266</v>
      </c>
      <c r="G13" s="582">
        <f>'SC-Retro'!A146</f>
        <v>2784.1219315778467</v>
      </c>
      <c r="H13" s="582">
        <f>'SC-Retro'!B146</f>
        <v>52.027042825461216</v>
      </c>
      <c r="I13" s="583" t="str">
        <f>'SC-Retro'!C146</f>
        <v>Multifamily - Low Rise</v>
      </c>
      <c r="J13" s="586" t="str">
        <f>'SC-Retro'!D146</f>
        <v>WINDOW CL22 Prime Window Replacement of Double Pane Base_Electric Zonal</v>
      </c>
      <c r="K13" s="584">
        <f>'SC-Retro'!E146</f>
        <v>0.2347251286090912</v>
      </c>
      <c r="L13" s="584">
        <f>'SC-Retro'!F146</f>
        <v>0.23419211060640518</v>
      </c>
      <c r="M13" s="584">
        <f>'SC-Retro'!G146</f>
        <v>0.23366030299049317</v>
      </c>
      <c r="N13" s="584">
        <f>'SC-Retro'!H146</f>
        <v>0.23312970301278732</v>
      </c>
      <c r="O13" s="584">
        <f>'SC-Retro'!I146</f>
        <v>0.2326003079309612</v>
      </c>
      <c r="P13" s="584">
        <f>'SC-Retro'!J146</f>
        <v>0.20886490350802431</v>
      </c>
      <c r="Q13" s="584">
        <f>'SC-Retro'!K146</f>
        <v>0.16671248749207113</v>
      </c>
      <c r="R13" s="584">
        <f>'SC-Retro'!L146</f>
        <v>0.13306713104495413</v>
      </c>
      <c r="S13" s="584">
        <f>'SC-Retro'!M146</f>
        <v>0.10621196786699701</v>
      </c>
      <c r="T13" s="584">
        <f>'SC-Retro'!N146</f>
        <v>8.4776623870916265E-2</v>
      </c>
      <c r="U13" s="584">
        <f>'SC-Retro'!O146</f>
        <v>6.76672892827931E-2</v>
      </c>
      <c r="V13" s="584">
        <f>'SC-Retro'!P146</f>
        <v>5.4010903357665375E-2</v>
      </c>
      <c r="W13" s="584">
        <f>'SC-Retro'!Q146</f>
        <v>4.3110603549075054E-2</v>
      </c>
      <c r="X13" s="584">
        <f>'SC-Retro'!R146</f>
        <v>3.4410165778161465E-2</v>
      </c>
      <c r="Y13" s="584">
        <f>'SC-Retro'!S146</f>
        <v>2.7465621248672082E-2</v>
      </c>
      <c r="Z13" s="584">
        <f>'SC-Retro'!T146</f>
        <v>2.1922601461404907E-2</v>
      </c>
      <c r="AA13" s="584">
        <f>'SC-Retro'!U146</f>
        <v>1.4918939896971698E-4</v>
      </c>
      <c r="AB13" s="584">
        <f>'SC-Retro'!V146</f>
        <v>5.3160934651928951E-5</v>
      </c>
      <c r="AC13" s="584">
        <f>'SC-Retro'!W146</f>
        <v>1.8081891768745889E-5</v>
      </c>
      <c r="AD13" s="584">
        <f>'SC-Retro'!X146</f>
        <v>5.8828797022831024E-6</v>
      </c>
      <c r="AE13" s="584">
        <f>'SC-Retro'!Y146</f>
        <v>2.0553413159127571</v>
      </c>
      <c r="AF13" s="585">
        <f t="shared" si="2"/>
        <v>310.13765643548908</v>
      </c>
      <c r="AG13" s="585">
        <f t="shared" si="3"/>
        <v>226.27637399815256</v>
      </c>
      <c r="AH13" s="585">
        <f t="shared" si="4"/>
        <v>205.0412478951155</v>
      </c>
      <c r="AI13" s="585">
        <f t="shared" si="5"/>
        <v>164.36198805925076</v>
      </c>
      <c r="AJ13" s="585">
        <f t="shared" si="6"/>
        <v>67.718961093711044</v>
      </c>
      <c r="AK13" s="585">
        <f t="shared" si="7"/>
        <v>18.915719761185365</v>
      </c>
      <c r="AL13" s="585">
        <f t="shared" si="8"/>
        <v>4.6061333248711609</v>
      </c>
      <c r="AM13" s="585">
        <f t="shared" si="9"/>
        <v>3.8721246184322378</v>
      </c>
      <c r="AN13" s="585">
        <f t="shared" si="10"/>
        <v>36.743124218998489</v>
      </c>
      <c r="AO13" s="585">
        <f t="shared" si="11"/>
        <v>126.20280356406322</v>
      </c>
      <c r="AP13" s="585">
        <f t="shared" si="12"/>
        <v>199.62504171236358</v>
      </c>
      <c r="AQ13" s="585">
        <f t="shared" si="13"/>
        <v>361.43547335226788</v>
      </c>
      <c r="AR13" s="585"/>
      <c r="AS13" s="585">
        <f t="shared" si="14"/>
        <v>197.1370477695254</v>
      </c>
      <c r="AT13" s="585">
        <f t="shared" si="15"/>
        <v>147.69128092922136</v>
      </c>
      <c r="AU13" s="585">
        <f t="shared" si="16"/>
        <v>114.40315418274301</v>
      </c>
      <c r="AV13" s="585">
        <f t="shared" si="17"/>
        <v>98.112027825320638</v>
      </c>
      <c r="AW13" s="585">
        <f t="shared" si="18"/>
        <v>38.544160164905399</v>
      </c>
      <c r="AX13" s="585">
        <f t="shared" si="19"/>
        <v>9.5687071124856296</v>
      </c>
      <c r="AY13" s="585">
        <f t="shared" si="20"/>
        <v>2.5772227824329241</v>
      </c>
      <c r="AZ13" s="585">
        <f t="shared" si="21"/>
        <v>1.7232970488693466</v>
      </c>
      <c r="BA13" s="585">
        <f t="shared" si="22"/>
        <v>21.099847281984992</v>
      </c>
      <c r="BB13" s="585">
        <f t="shared" si="23"/>
        <v>65.066791052421252</v>
      </c>
      <c r="BC13" s="585">
        <f t="shared" si="24"/>
        <v>130.61007689206573</v>
      </c>
      <c r="BD13" s="585">
        <f t="shared" si="25"/>
        <v>232.65167050197022</v>
      </c>
    </row>
    <row r="14" spans="1:56" ht="15">
      <c r="A14" s="580" t="str">
        <f>VLOOKUP(CONCATENATE($C14," - ",$B14),[2]ACHIEV!$B$12:$C$100,2,FALSE)</f>
        <v>Retro12Med</v>
      </c>
      <c r="B14" s="580" t="str">
        <f>'SC-Retro'!$C$7</f>
        <v>Retro</v>
      </c>
      <c r="C14" s="580" t="str">
        <f>'SC-Retro'!$C$8</f>
        <v>ResWx</v>
      </c>
      <c r="D14" s="580" t="s">
        <v>306</v>
      </c>
      <c r="E14" s="580" t="str">
        <f>'SC-Retro'!$A$9</f>
        <v>HVAC</v>
      </c>
      <c r="F14" s="581">
        <f t="shared" si="1"/>
        <v>2.2600251531626352</v>
      </c>
      <c r="G14" s="582">
        <f>'SC-Retro'!A147</f>
        <v>4321.9423011033477</v>
      </c>
      <c r="H14" s="582">
        <f>'SC-Retro'!B147</f>
        <v>10.600719613119042</v>
      </c>
      <c r="I14" s="583" t="str">
        <f>'SC-Retro'!C147</f>
        <v>Multifamily - Low Rise</v>
      </c>
      <c r="J14" s="586" t="str">
        <f>'SC-Retro'!D147</f>
        <v>WINDOW CL30 Prime Window Replacement of Single Pane Base_Electric Zonal</v>
      </c>
      <c r="K14" s="584">
        <f>'SC-Retro'!E147</f>
        <v>0.26940361770604432</v>
      </c>
      <c r="L14" s="584">
        <f>'SC-Retro'!F147</f>
        <v>0.26879185117266563</v>
      </c>
      <c r="M14" s="584">
        <f>'SC-Retro'!G147</f>
        <v>0.26818147384962698</v>
      </c>
      <c r="N14" s="584">
        <f>'SC-Retro'!H147</f>
        <v>0.26757248258228483</v>
      </c>
      <c r="O14" s="584">
        <f>'SC-Retro'!I147</f>
        <v>0.26696487422315901</v>
      </c>
      <c r="P14" s="584">
        <f>'SC-Retro'!J147</f>
        <v>0.23972278106872555</v>
      </c>
      <c r="Q14" s="584">
        <f>'SC-Retro'!K147</f>
        <v>0.19134273144625769</v>
      </c>
      <c r="R14" s="584">
        <f>'SC-Retro'!L147</f>
        <v>0.1527265815709791</v>
      </c>
      <c r="S14" s="584">
        <f>'SC-Retro'!M147</f>
        <v>0.12190381386349305</v>
      </c>
      <c r="T14" s="584">
        <f>'SC-Retro'!N147</f>
        <v>9.7301594009414683E-2</v>
      </c>
      <c r="U14" s="584">
        <f>'SC-Retro'!O147</f>
        <v>7.7664511853375723E-2</v>
      </c>
      <c r="V14" s="584">
        <f>'SC-Retro'!P147</f>
        <v>6.199051991727407E-2</v>
      </c>
      <c r="W14" s="584">
        <f>'SC-Retro'!Q147</f>
        <v>4.9479800592436542E-2</v>
      </c>
      <c r="X14" s="584">
        <f>'SC-Retro'!R147</f>
        <v>3.9493952783981441E-2</v>
      </c>
      <c r="Y14" s="584">
        <f>'SC-Retro'!S147</f>
        <v>3.152341537006479E-2</v>
      </c>
      <c r="Z14" s="584">
        <f>'SC-Retro'!T147</f>
        <v>2.5161465149588363E-2</v>
      </c>
      <c r="AA14" s="584">
        <f>'SC-Retro'!U147</f>
        <v>1.712307669996755E-4</v>
      </c>
      <c r="AB14" s="584">
        <f>'SC-Retro'!V147</f>
        <v>6.1014976115810592E-5</v>
      </c>
      <c r="AC14" s="584">
        <f>'SC-Retro'!W147</f>
        <v>2.0753325757388101E-5</v>
      </c>
      <c r="AD14" s="584">
        <f>'SC-Retro'!X147</f>
        <v>6.7520213268854979E-6</v>
      </c>
      <c r="AE14" s="584">
        <f>'SC-Retro'!Y147</f>
        <v>2.3589991809089694</v>
      </c>
      <c r="AF14" s="585">
        <f t="shared" si="2"/>
        <v>481.44337405292919</v>
      </c>
      <c r="AG14" s="585">
        <f t="shared" si="3"/>
        <v>351.26099235483593</v>
      </c>
      <c r="AH14" s="585">
        <f t="shared" si="4"/>
        <v>318.2965633429331</v>
      </c>
      <c r="AI14" s="585">
        <f t="shared" si="5"/>
        <v>255.1479591571389</v>
      </c>
      <c r="AJ14" s="585">
        <f t="shared" si="6"/>
        <v>105.12378758203752</v>
      </c>
      <c r="AK14" s="585">
        <f t="shared" si="7"/>
        <v>29.363889729266209</v>
      </c>
      <c r="AL14" s="585">
        <f t="shared" si="8"/>
        <v>7.1503486379277668</v>
      </c>
      <c r="AM14" s="585">
        <f t="shared" si="9"/>
        <v>6.010907422456766</v>
      </c>
      <c r="AN14" s="585">
        <f t="shared" si="10"/>
        <v>57.038329045734976</v>
      </c>
      <c r="AO14" s="585">
        <f t="shared" si="11"/>
        <v>195.91140353980222</v>
      </c>
      <c r="AP14" s="585">
        <f t="shared" si="12"/>
        <v>309.88869501388092</v>
      </c>
      <c r="AQ14" s="585">
        <f t="shared" si="13"/>
        <v>561.07573582999896</v>
      </c>
      <c r="AR14" s="585"/>
      <c r="AS14" s="585">
        <f t="shared" si="14"/>
        <v>306.02644812574005</v>
      </c>
      <c r="AT14" s="585">
        <f t="shared" si="15"/>
        <v>229.26912334992036</v>
      </c>
      <c r="AU14" s="585">
        <f t="shared" si="16"/>
        <v>177.59417281046632</v>
      </c>
      <c r="AV14" s="585">
        <f t="shared" si="17"/>
        <v>152.30458066359495</v>
      </c>
      <c r="AW14" s="585">
        <f t="shared" si="18"/>
        <v>59.834174066793857</v>
      </c>
      <c r="AX14" s="585">
        <f t="shared" si="19"/>
        <v>14.854018987912193</v>
      </c>
      <c r="AY14" s="585">
        <f t="shared" si="20"/>
        <v>4.0007616176679219</v>
      </c>
      <c r="AZ14" s="585">
        <f t="shared" si="21"/>
        <v>2.6751667476912511</v>
      </c>
      <c r="BA14" s="585">
        <f t="shared" si="22"/>
        <v>32.754428417993161</v>
      </c>
      <c r="BB14" s="585">
        <f t="shared" si="23"/>
        <v>101.00668130118108</v>
      </c>
      <c r="BC14" s="585">
        <f t="shared" si="24"/>
        <v>202.75305110299766</v>
      </c>
      <c r="BD14" s="585">
        <f t="shared" si="25"/>
        <v>361.1577082024462</v>
      </c>
    </row>
    <row r="15" spans="1:56" ht="15">
      <c r="A15" s="580" t="str">
        <f>VLOOKUP(CONCATENATE($C15," - ",$B15),[2]ACHIEV!$B$12:$C$100,2,FALSE)</f>
        <v>Retro12Med</v>
      </c>
      <c r="B15" s="580" t="str">
        <f>'SC-Retro'!$C$7</f>
        <v>Retro</v>
      </c>
      <c r="C15" s="580" t="str">
        <f>'SC-Retro'!$C$8</f>
        <v>ResWx</v>
      </c>
      <c r="D15" s="580" t="s">
        <v>306</v>
      </c>
      <c r="E15" s="580" t="str">
        <f>'SC-Retro'!$A$9</f>
        <v>HVAC</v>
      </c>
      <c r="F15" s="581">
        <f t="shared" si="1"/>
        <v>1.2558755805857362</v>
      </c>
      <c r="G15" s="582">
        <f>'SC-Retro'!A148</f>
        <v>2401.6643306206706</v>
      </c>
      <c r="H15" s="582">
        <f>'SC-Retro'!B148</f>
        <v>42.81512212314901</v>
      </c>
      <c r="I15" s="583" t="str">
        <f>'SC-Retro'!C148</f>
        <v>Multifamily - Low Rise</v>
      </c>
      <c r="J15" s="586" t="str">
        <f>'SC-Retro'!D148</f>
        <v>WINDOW CL30 Prime Window Replacement of Double Pane Base_Electric Zonal</v>
      </c>
      <c r="K15" s="584">
        <f>'SC-Retro'!E148</f>
        <v>0.80992281621993523</v>
      </c>
      <c r="L15" s="584">
        <f>'SC-Retro'!F148</f>
        <v>0.80808362906349596</v>
      </c>
      <c r="M15" s="584">
        <f>'SC-Retro'!G148</f>
        <v>0.80624861836600903</v>
      </c>
      <c r="N15" s="584">
        <f>'SC-Retro'!H148</f>
        <v>0.80441777464349729</v>
      </c>
      <c r="O15" s="584">
        <f>'SC-Retro'!I148</f>
        <v>0.80259108843351901</v>
      </c>
      <c r="P15" s="584">
        <f>'SC-Retro'!J148</f>
        <v>0.72069169526560906</v>
      </c>
      <c r="Q15" s="584">
        <f>'SC-Retro'!K148</f>
        <v>0.57524410858232811</v>
      </c>
      <c r="R15" s="584">
        <f>'SC-Retro'!L148</f>
        <v>0.4591502672120048</v>
      </c>
      <c r="S15" s="584">
        <f>'SC-Retro'!M148</f>
        <v>0.36648609648591185</v>
      </c>
      <c r="T15" s="584">
        <f>'SC-Retro'!N148</f>
        <v>0.29252309866448323</v>
      </c>
      <c r="U15" s="584">
        <f>'SC-Retro'!O148</f>
        <v>0.23348706560157428</v>
      </c>
      <c r="V15" s="584">
        <f>'SC-Retro'!P148</f>
        <v>0.18636548721153329</v>
      </c>
      <c r="W15" s="584">
        <f>'SC-Retro'!Q148</f>
        <v>0.14875382811508514</v>
      </c>
      <c r="X15" s="584">
        <f>'SC-Retro'!R148</f>
        <v>0.11873282821822233</v>
      </c>
      <c r="Y15" s="584">
        <f>'SC-Retro'!S148</f>
        <v>9.4770566077742938E-2</v>
      </c>
      <c r="Z15" s="584">
        <f>'SC-Retro'!T148</f>
        <v>7.5644287510683805E-2</v>
      </c>
      <c r="AA15" s="584">
        <f>'SC-Retro'!U148</f>
        <v>5.1478041094162041E-4</v>
      </c>
      <c r="AB15" s="584">
        <f>'SC-Retro'!V148</f>
        <v>1.8343265657713056E-4</v>
      </c>
      <c r="AC15" s="584">
        <f>'SC-Retro'!W148</f>
        <v>6.2391857193595422E-5</v>
      </c>
      <c r="AD15" s="584">
        <f>'SC-Retro'!X148</f>
        <v>2.0298970647881811E-5</v>
      </c>
      <c r="AE15" s="584">
        <f>'SC-Retro'!Y148</f>
        <v>7.0919881341275923</v>
      </c>
      <c r="AF15" s="585">
        <f t="shared" si="2"/>
        <v>267.53373787091107</v>
      </c>
      <c r="AG15" s="585">
        <f t="shared" si="3"/>
        <v>195.19256327454079</v>
      </c>
      <c r="AH15" s="585">
        <f t="shared" si="4"/>
        <v>176.8745275809701</v>
      </c>
      <c r="AI15" s="585">
        <f t="shared" si="5"/>
        <v>141.78341815945203</v>
      </c>
      <c r="AJ15" s="585">
        <f t="shared" si="6"/>
        <v>58.416340003213413</v>
      </c>
      <c r="AK15" s="585">
        <f t="shared" si="7"/>
        <v>16.317248509554076</v>
      </c>
      <c r="AL15" s="585">
        <f t="shared" si="8"/>
        <v>3.9733842052516963</v>
      </c>
      <c r="AM15" s="585">
        <f t="shared" si="9"/>
        <v>3.3402070054225481</v>
      </c>
      <c r="AN15" s="585">
        <f t="shared" si="10"/>
        <v>31.695684672230652</v>
      </c>
      <c r="AO15" s="585">
        <f t="shared" si="11"/>
        <v>108.86619882066864</v>
      </c>
      <c r="AP15" s="585">
        <f t="shared" si="12"/>
        <v>172.20235103264253</v>
      </c>
      <c r="AQ15" s="585">
        <f t="shared" si="13"/>
        <v>311.78472261780257</v>
      </c>
      <c r="AR15" s="585"/>
      <c r="AS15" s="585">
        <f t="shared" si="14"/>
        <v>170.05613529419304</v>
      </c>
      <c r="AT15" s="585">
        <f t="shared" si="15"/>
        <v>127.40278266130599</v>
      </c>
      <c r="AU15" s="585">
        <f t="shared" si="16"/>
        <v>98.68747901981331</v>
      </c>
      <c r="AV15" s="585">
        <f t="shared" si="17"/>
        <v>84.634280905720018</v>
      </c>
      <c r="AW15" s="585">
        <f t="shared" si="18"/>
        <v>33.249310517560964</v>
      </c>
      <c r="AX15" s="585">
        <f t="shared" si="19"/>
        <v>8.2542442920914443</v>
      </c>
      <c r="AY15" s="585">
        <f t="shared" si="20"/>
        <v>2.2231871235338687</v>
      </c>
      <c r="AZ15" s="585">
        <f t="shared" si="21"/>
        <v>1.4865660179573397</v>
      </c>
      <c r="BA15" s="585">
        <f t="shared" si="22"/>
        <v>18.201340258818313</v>
      </c>
      <c r="BB15" s="585">
        <f t="shared" si="23"/>
        <v>56.128501200371694</v>
      </c>
      <c r="BC15" s="585">
        <f t="shared" si="24"/>
        <v>112.66804062475973</v>
      </c>
      <c r="BD15" s="585">
        <f t="shared" si="25"/>
        <v>200.69207895188475</v>
      </c>
    </row>
    <row r="16" spans="1:56" ht="15">
      <c r="A16" s="580" t="str">
        <f>VLOOKUP(CONCATENATE($C16," - ",$B16),[2]ACHIEV!$B$12:$C$100,2,FALSE)</f>
        <v>Retro12Med</v>
      </c>
      <c r="B16" s="580" t="str">
        <f>'SC-Retro'!$C$7</f>
        <v>Retro</v>
      </c>
      <c r="C16" s="580" t="str">
        <f>'SC-Retro'!$C$8</f>
        <v>ResWx</v>
      </c>
      <c r="D16" s="580" t="s">
        <v>306</v>
      </c>
      <c r="E16" s="580" t="str">
        <f>'SC-Retro'!$A$9</f>
        <v>HVAC</v>
      </c>
      <c r="F16" s="581">
        <f t="shared" si="1"/>
        <v>0.33732671119716895</v>
      </c>
      <c r="G16" s="582">
        <f>'SC-Retro'!A149</f>
        <v>645.08422854274454</v>
      </c>
      <c r="H16" s="582">
        <f>'SC-Retro'!B149</f>
        <v>14.236091960702645</v>
      </c>
      <c r="I16" s="583" t="str">
        <f>'SC-Retro'!C149</f>
        <v>Multifamily - Low Rise</v>
      </c>
      <c r="J16" s="586" t="str">
        <f>'SC-Retro'!D149</f>
        <v>WALL R0 - R11_Electric FAF</v>
      </c>
      <c r="K16" s="584">
        <f>'SC-Retro'!E149</f>
        <v>7.9682258317449305E-3</v>
      </c>
      <c r="L16" s="584">
        <f>'SC-Retro'!F149</f>
        <v>7.9501314426057932E-3</v>
      </c>
      <c r="M16" s="584">
        <f>'SC-Retro'!G149</f>
        <v>7.9320781425277834E-3</v>
      </c>
      <c r="N16" s="584">
        <f>'SC-Retro'!H149</f>
        <v>7.9140658382051386E-3</v>
      </c>
      <c r="O16" s="584">
        <f>'SC-Retro'!I149</f>
        <v>7.89609443654396E-3</v>
      </c>
      <c r="P16" s="584">
        <f>'SC-Retro'!J149</f>
        <v>7.0903474601955851E-3</v>
      </c>
      <c r="Q16" s="584">
        <f>'SC-Retro'!K149</f>
        <v>5.6593972583186157E-3</v>
      </c>
      <c r="R16" s="584">
        <f>'SC-Retro'!L149</f>
        <v>4.5172366385808618E-3</v>
      </c>
      <c r="S16" s="584">
        <f>'SC-Retro'!M149</f>
        <v>3.6055830537331281E-3</v>
      </c>
      <c r="T16" s="584">
        <f>'SC-Retro'!N149</f>
        <v>2.8779163452131366E-3</v>
      </c>
      <c r="U16" s="584">
        <f>'SC-Retro'!O149</f>
        <v>2.2971048972147646E-3</v>
      </c>
      <c r="V16" s="584">
        <f>'SC-Retro'!P149</f>
        <v>1.83351087240073E-3</v>
      </c>
      <c r="W16" s="584">
        <f>'SC-Retro'!Q149</f>
        <v>1.4634778426043209E-3</v>
      </c>
      <c r="X16" s="584">
        <f>'SC-Retro'!R149</f>
        <v>1.1681236408429083E-3</v>
      </c>
      <c r="Y16" s="584">
        <f>'SC-Retro'!S149</f>
        <v>9.3237683589926003E-4</v>
      </c>
      <c r="Z16" s="584">
        <f>'SC-Retro'!T149</f>
        <v>7.4420766237914414E-4</v>
      </c>
      <c r="AA16" s="584">
        <f>'SC-Retro'!U149</f>
        <v>5.0645400845546995E-6</v>
      </c>
      <c r="AB16" s="584">
        <f>'SC-Retro'!V149</f>
        <v>1.8046569416888502E-6</v>
      </c>
      <c r="AC16" s="584">
        <f>'SC-Retro'!W149</f>
        <v>6.1382689587737896E-7</v>
      </c>
      <c r="AD16" s="584">
        <f>'SC-Retro'!X149</f>
        <v>1.9970641527199734E-7</v>
      </c>
      <c r="AE16" s="584">
        <f>'SC-Retro'!Y149</f>
        <v>6.9772775772053999E-2</v>
      </c>
      <c r="AF16" s="585">
        <f t="shared" si="2"/>
        <v>71.859248898039226</v>
      </c>
      <c r="AG16" s="585">
        <f t="shared" si="3"/>
        <v>52.428494062156126</v>
      </c>
      <c r="AH16" s="585">
        <f t="shared" si="4"/>
        <v>47.508291112415982</v>
      </c>
      <c r="AI16" s="585">
        <f t="shared" si="5"/>
        <v>38.082860188836861</v>
      </c>
      <c r="AJ16" s="585">
        <f t="shared" si="6"/>
        <v>15.690560560361458</v>
      </c>
      <c r="AK16" s="585">
        <f t="shared" si="7"/>
        <v>4.3827938536296909</v>
      </c>
      <c r="AL16" s="585">
        <f t="shared" si="8"/>
        <v>1.0672463474886635</v>
      </c>
      <c r="AM16" s="585">
        <f t="shared" si="9"/>
        <v>0.8971756926203025</v>
      </c>
      <c r="AN16" s="585">
        <f t="shared" si="10"/>
        <v>8.5134238095779082</v>
      </c>
      <c r="AO16" s="585">
        <f t="shared" si="11"/>
        <v>29.241333597381963</v>
      </c>
      <c r="AP16" s="585">
        <f t="shared" si="12"/>
        <v>46.25334995937213</v>
      </c>
      <c r="AQ16" s="585">
        <f t="shared" si="13"/>
        <v>83.745011614233661</v>
      </c>
      <c r="AR16" s="585"/>
      <c r="AS16" s="585">
        <f t="shared" si="14"/>
        <v>45.6768789237357</v>
      </c>
      <c r="AT16" s="585">
        <f t="shared" si="15"/>
        <v>34.220238323657838</v>
      </c>
      <c r="AU16" s="585">
        <f t="shared" si="16"/>
        <v>26.507341371003431</v>
      </c>
      <c r="AV16" s="585">
        <f t="shared" si="17"/>
        <v>22.732668803981795</v>
      </c>
      <c r="AW16" s="585">
        <f t="shared" si="18"/>
        <v>8.9307258934290523</v>
      </c>
      <c r="AX16" s="585">
        <f t="shared" si="19"/>
        <v>2.2170803569335957</v>
      </c>
      <c r="AY16" s="585">
        <f t="shared" si="20"/>
        <v>0.59714545959067411</v>
      </c>
      <c r="AZ16" s="585">
        <f t="shared" si="21"/>
        <v>0.39928989269871978</v>
      </c>
      <c r="BA16" s="585">
        <f t="shared" si="22"/>
        <v>4.8888586925340389</v>
      </c>
      <c r="BB16" s="585">
        <f t="shared" si="23"/>
        <v>15.076049735370399</v>
      </c>
      <c r="BC16" s="585">
        <f t="shared" si="24"/>
        <v>30.262503856674545</v>
      </c>
      <c r="BD16" s="585">
        <f t="shared" si="25"/>
        <v>53.905657537020801</v>
      </c>
    </row>
    <row r="17" spans="1:56" ht="15">
      <c r="A17" s="580" t="str">
        <f>VLOOKUP(CONCATENATE($C17," - ",$B17),[2]ACHIEV!$B$12:$C$100,2,FALSE)</f>
        <v>Retro12Med</v>
      </c>
      <c r="B17" s="580" t="str">
        <f>'SC-Retro'!$C$7</f>
        <v>Retro</v>
      </c>
      <c r="C17" s="580" t="str">
        <f>'SC-Retro'!$C$8</f>
        <v>ResWx</v>
      </c>
      <c r="D17" s="580" t="s">
        <v>306</v>
      </c>
      <c r="E17" s="580" t="str">
        <f>'SC-Retro'!$A$9</f>
        <v>HVAC</v>
      </c>
      <c r="F17" s="581">
        <f t="shared" si="1"/>
        <v>0.11911194364782247</v>
      </c>
      <c r="G17" s="582">
        <f>'SC-Retro'!A150</f>
        <v>227.78283998200996</v>
      </c>
      <c r="H17" s="582">
        <f>'SC-Retro'!B150</f>
        <v>58.628091548408534</v>
      </c>
      <c r="I17" s="583" t="str">
        <f>'SC-Retro'!C150</f>
        <v>Multifamily - Low Rise</v>
      </c>
      <c r="J17" s="586" t="str">
        <f>'SC-Retro'!D150</f>
        <v>FLOOR R0 - R19_Electric FAF</v>
      </c>
      <c r="K17" s="584">
        <f>'SC-Retro'!E150</f>
        <v>7.537145654917945E-4</v>
      </c>
      <c r="L17" s="584">
        <f>'SC-Retro'!F150</f>
        <v>7.5200301703222221E-4</v>
      </c>
      <c r="M17" s="584">
        <f>'SC-Retro'!G150</f>
        <v>7.5029535518737604E-4</v>
      </c>
      <c r="N17" s="584">
        <f>'SC-Retro'!H150</f>
        <v>7.4859157113146195E-4</v>
      </c>
      <c r="O17" s="584">
        <f>'SC-Retro'!I150</f>
        <v>7.4689165605872781E-4</v>
      </c>
      <c r="P17" s="584">
        <f>'SC-Retro'!J150</f>
        <v>6.7067604106507597E-4</v>
      </c>
      <c r="Q17" s="584">
        <f>'SC-Retro'!K150</f>
        <v>5.3532244637260313E-4</v>
      </c>
      <c r="R17" s="584">
        <f>'SC-Retro'!L150</f>
        <v>4.2728546130149062E-4</v>
      </c>
      <c r="S17" s="584">
        <f>'SC-Retro'!M150</f>
        <v>3.4105213909253989E-4</v>
      </c>
      <c r="T17" s="584">
        <f>'SC-Retro'!N150</f>
        <v>2.7222213745654373E-4</v>
      </c>
      <c r="U17" s="584">
        <f>'SC-Retro'!O150</f>
        <v>2.1728317646265243E-4</v>
      </c>
      <c r="V17" s="584">
        <f>'SC-Retro'!P150</f>
        <v>1.7343181276444446E-4</v>
      </c>
      <c r="W17" s="584">
        <f>'SC-Retro'!Q150</f>
        <v>1.3843038457204881E-4</v>
      </c>
      <c r="X17" s="584">
        <f>'SC-Retro'!R150</f>
        <v>1.1049282751136623E-4</v>
      </c>
      <c r="Y17" s="584">
        <f>'SC-Retro'!S150</f>
        <v>8.8193534744550941E-5</v>
      </c>
      <c r="Z17" s="584">
        <f>'SC-Retro'!T150</f>
        <v>7.0394610636045042E-5</v>
      </c>
      <c r="AA17" s="584">
        <f>'SC-Retro'!U150</f>
        <v>4.7905490003036251E-7</v>
      </c>
      <c r="AB17" s="584">
        <f>'SC-Retro'!V150</f>
        <v>1.7070251915399061E-7</v>
      </c>
      <c r="AC17" s="584">
        <f>'SC-Retro'!W150</f>
        <v>5.8061892557089036E-8</v>
      </c>
      <c r="AD17" s="584">
        <f>'SC-Retro'!X150</f>
        <v>1.8890231927537519E-8</v>
      </c>
      <c r="AE17" s="584">
        <f>'SC-Retro'!Y150</f>
        <v>6.5998075964011499E-3</v>
      </c>
      <c r="AF17" s="585">
        <f t="shared" si="2"/>
        <v>25.373901684041712</v>
      </c>
      <c r="AG17" s="585">
        <f t="shared" si="3"/>
        <v>18.512793748555499</v>
      </c>
      <c r="AH17" s="585">
        <f t="shared" si="4"/>
        <v>16.775442637505339</v>
      </c>
      <c r="AI17" s="585">
        <f t="shared" si="5"/>
        <v>13.447270394514515</v>
      </c>
      <c r="AJ17" s="585">
        <f t="shared" si="6"/>
        <v>5.5404244704953713</v>
      </c>
      <c r="AK17" s="585">
        <f t="shared" si="7"/>
        <v>1.547588961042655</v>
      </c>
      <c r="AL17" s="585">
        <f t="shared" si="8"/>
        <v>0.37685063939721875</v>
      </c>
      <c r="AM17" s="585">
        <f t="shared" si="9"/>
        <v>0.31679774234991692</v>
      </c>
      <c r="AN17" s="585">
        <f t="shared" si="10"/>
        <v>3.0061374430077579</v>
      </c>
      <c r="AO17" s="585">
        <f t="shared" si="11"/>
        <v>10.3252780287616</v>
      </c>
      <c r="AP17" s="585">
        <f t="shared" si="12"/>
        <v>16.332315915129293</v>
      </c>
      <c r="AQ17" s="585">
        <f t="shared" si="13"/>
        <v>29.570830809038391</v>
      </c>
      <c r="AR17" s="585"/>
      <c r="AS17" s="585">
        <f t="shared" si="14"/>
        <v>16.128760776351108</v>
      </c>
      <c r="AT17" s="585">
        <f t="shared" si="15"/>
        <v>12.083357064599978</v>
      </c>
      <c r="AU17" s="585">
        <f t="shared" si="16"/>
        <v>9.3598901208599337</v>
      </c>
      <c r="AV17" s="585">
        <f t="shared" si="17"/>
        <v>8.0270321787882661</v>
      </c>
      <c r="AW17" s="585">
        <f t="shared" si="18"/>
        <v>3.1534891369171776</v>
      </c>
      <c r="AX17" s="585">
        <f t="shared" si="19"/>
        <v>0.78286344298246879</v>
      </c>
      <c r="AY17" s="585">
        <f t="shared" si="20"/>
        <v>0.21085539321771435</v>
      </c>
      <c r="AZ17" s="585">
        <f t="shared" si="21"/>
        <v>0.14099148872463838</v>
      </c>
      <c r="BA17" s="585">
        <f t="shared" si="22"/>
        <v>1.7262832789630822</v>
      </c>
      <c r="BB17" s="585">
        <f t="shared" si="23"/>
        <v>5.3234372698745203</v>
      </c>
      <c r="BC17" s="585">
        <f t="shared" si="24"/>
        <v>10.68585894436124</v>
      </c>
      <c r="BD17" s="585">
        <f t="shared" si="25"/>
        <v>19.034388412530568</v>
      </c>
    </row>
    <row r="18" spans="1:56" ht="15">
      <c r="A18" s="580" t="str">
        <f>VLOOKUP(CONCATENATE($C18," - ",$B18),[2]ACHIEV!$B$12:$C$100,2,FALSE)</f>
        <v>Retro12Med</v>
      </c>
      <c r="B18" s="580" t="str">
        <f>'SC-Retro'!$C$7</f>
        <v>Retro</v>
      </c>
      <c r="C18" s="580" t="str">
        <f>'SC-Retro'!$C$8</f>
        <v>ResWx</v>
      </c>
      <c r="D18" s="580" t="s">
        <v>306</v>
      </c>
      <c r="E18" s="580" t="str">
        <f>'SC-Retro'!$A$9</f>
        <v>HVAC</v>
      </c>
      <c r="F18" s="581">
        <f t="shared" si="1"/>
        <v>0.15511398387061642</v>
      </c>
      <c r="G18" s="582">
        <f>'SC-Retro'!A151</f>
        <v>296.63107397054569</v>
      </c>
      <c r="H18" s="582">
        <f>'SC-Retro'!B151</f>
        <v>42.890869644609893</v>
      </c>
      <c r="I18" s="583" t="str">
        <f>'SC-Retro'!C151</f>
        <v>Multifamily - Low Rise</v>
      </c>
      <c r="J18" s="586" t="str">
        <f>'SC-Retro'!D151</f>
        <v>FLOOR R0 - R30_Electric FAF</v>
      </c>
      <c r="K18" s="584">
        <f>'SC-Retro'!E151</f>
        <v>1.0867166120335151E-2</v>
      </c>
      <c r="L18" s="584">
        <f>'SC-Retro'!F151</f>
        <v>1.0842488765956254E-2</v>
      </c>
      <c r="M18" s="584">
        <f>'SC-Retro'!G151</f>
        <v>1.0817867449353209E-2</v>
      </c>
      <c r="N18" s="584">
        <f>'SC-Retro'!H151</f>
        <v>1.0793302043274429E-2</v>
      </c>
      <c r="O18" s="584">
        <f>'SC-Retro'!I151</f>
        <v>1.0768792420757302E-2</v>
      </c>
      <c r="P18" s="584">
        <f>'SC-Retro'!J151</f>
        <v>9.6699046096147719E-3</v>
      </c>
      <c r="Q18" s="584">
        <f>'SC-Retro'!K151</f>
        <v>7.7183568143988808E-3</v>
      </c>
      <c r="R18" s="584">
        <f>'SC-Retro'!L151</f>
        <v>6.1606638658197538E-3</v>
      </c>
      <c r="S18" s="584">
        <f>'SC-Retro'!M151</f>
        <v>4.9173392964695587E-3</v>
      </c>
      <c r="T18" s="584">
        <f>'SC-Retro'!N151</f>
        <v>3.9249383318507424E-3</v>
      </c>
      <c r="U18" s="584">
        <f>'SC-Retro'!O151</f>
        <v>3.1328204095844121E-3</v>
      </c>
      <c r="V18" s="584">
        <f>'SC-Retro'!P151</f>
        <v>2.5005650761602519E-3</v>
      </c>
      <c r="W18" s="584">
        <f>'SC-Retro'!Q151</f>
        <v>1.99590939875861E-3</v>
      </c>
      <c r="X18" s="584">
        <f>'SC-Retro'!R151</f>
        <v>1.5931016417177451E-3</v>
      </c>
      <c r="Y18" s="584">
        <f>'SC-Retro'!S151</f>
        <v>1.2715871985082643E-3</v>
      </c>
      <c r="Z18" s="584">
        <f>'SC-Retro'!T151</f>
        <v>1.0149597245199334E-3</v>
      </c>
      <c r="AA18" s="584">
        <f>'SC-Retro'!U151</f>
        <v>6.9070831555359867E-6</v>
      </c>
      <c r="AB18" s="584">
        <f>'SC-Retro'!V151</f>
        <v>2.4612137243171059E-6</v>
      </c>
      <c r="AC18" s="584">
        <f>'SC-Retro'!W151</f>
        <v>8.371448033079132E-7</v>
      </c>
      <c r="AD18" s="584">
        <f>'SC-Retro'!X151</f>
        <v>2.7236210869065924E-7</v>
      </c>
      <c r="AE18" s="584">
        <f>'SC-Retro'!Y151</f>
        <v>9.5156984880003528E-2</v>
      </c>
      <c r="AF18" s="585">
        <f t="shared" si="2"/>
        <v>33.043260449096074</v>
      </c>
      <c r="AG18" s="585">
        <f t="shared" si="3"/>
        <v>24.108356416413688</v>
      </c>
      <c r="AH18" s="585">
        <f t="shared" si="4"/>
        <v>21.845884291755695</v>
      </c>
      <c r="AI18" s="585">
        <f t="shared" si="5"/>
        <v>17.511759267784182</v>
      </c>
      <c r="AJ18" s="585">
        <f t="shared" si="6"/>
        <v>7.2150389426417396</v>
      </c>
      <c r="AK18" s="585">
        <f t="shared" si="7"/>
        <v>2.0153536395248208</v>
      </c>
      <c r="AL18" s="585">
        <f t="shared" si="8"/>
        <v>0.49075518550788344</v>
      </c>
      <c r="AM18" s="585">
        <f t="shared" si="9"/>
        <v>0.41255107080112752</v>
      </c>
      <c r="AN18" s="585">
        <f t="shared" si="10"/>
        <v>3.9147539748511688</v>
      </c>
      <c r="AO18" s="585">
        <f t="shared" si="11"/>
        <v>13.446132776981484</v>
      </c>
      <c r="AP18" s="585">
        <f t="shared" si="12"/>
        <v>21.268820823876219</v>
      </c>
      <c r="AQ18" s="585">
        <f t="shared" si="13"/>
        <v>38.50872744311701</v>
      </c>
      <c r="AR18" s="585"/>
      <c r="AS18" s="585">
        <f t="shared" si="14"/>
        <v>21.003740366398535</v>
      </c>
      <c r="AT18" s="585">
        <f t="shared" si="15"/>
        <v>15.735597920918694</v>
      </c>
      <c r="AU18" s="585">
        <f t="shared" si="16"/>
        <v>12.188952684127841</v>
      </c>
      <c r="AV18" s="585">
        <f t="shared" si="17"/>
        <v>10.453233334776872</v>
      </c>
      <c r="AW18" s="585">
        <f t="shared" si="18"/>
        <v>4.1066432814345024</v>
      </c>
      <c r="AX18" s="585">
        <f t="shared" si="19"/>
        <v>1.0194869107897215</v>
      </c>
      <c r="AY18" s="585">
        <f t="shared" si="20"/>
        <v>0.27458724172370558</v>
      </c>
      <c r="AZ18" s="585">
        <f t="shared" si="21"/>
        <v>0.18360670507224625</v>
      </c>
      <c r="BA18" s="585">
        <f t="shared" si="22"/>
        <v>2.2480589980204693</v>
      </c>
      <c r="BB18" s="585">
        <f t="shared" si="23"/>
        <v>6.9324665312910483</v>
      </c>
      <c r="BC18" s="585">
        <f t="shared" si="24"/>
        <v>13.915700652489802</v>
      </c>
      <c r="BD18" s="585">
        <f t="shared" si="25"/>
        <v>24.787605061151151</v>
      </c>
    </row>
    <row r="19" spans="1:56" ht="15">
      <c r="A19" s="580" t="str">
        <f>VLOOKUP(CONCATENATE($C19," - ",$B19),[2]ACHIEV!$B$12:$C$100,2,FALSE)</f>
        <v>Retro12Med</v>
      </c>
      <c r="B19" s="580" t="str">
        <f>'SC-Retro'!$C$7</f>
        <v>Retro</v>
      </c>
      <c r="C19" s="580" t="str">
        <f>'SC-Retro'!$C$8</f>
        <v>ResWx</v>
      </c>
      <c r="D19" s="580" t="s">
        <v>306</v>
      </c>
      <c r="E19" s="580" t="str">
        <f>'SC-Retro'!$A$9</f>
        <v>HVAC</v>
      </c>
      <c r="F19" s="581">
        <f t="shared" si="1"/>
        <v>0.10042792626051654</v>
      </c>
      <c r="G19" s="582">
        <f>'SC-Retro'!A152</f>
        <v>192.05259822441437</v>
      </c>
      <c r="H19" s="582">
        <f>'SC-Retro'!B152</f>
        <v>35.702541147357046</v>
      </c>
      <c r="I19" s="583" t="str">
        <f>'SC-Retro'!C152</f>
        <v>Multifamily - Low Rise</v>
      </c>
      <c r="J19" s="586" t="str">
        <f>'SC-Retro'!D152</f>
        <v>ATTIC R0 - R19_Electric FAF</v>
      </c>
      <c r="K19" s="584">
        <f>'SC-Retro'!E152</f>
        <v>1.6678753122706196E-3</v>
      </c>
      <c r="L19" s="584">
        <f>'SC-Retro'!F152</f>
        <v>1.6640878713053346E-3</v>
      </c>
      <c r="M19" s="584">
        <f>'SC-Retro'!G152</f>
        <v>1.6603090309284514E-3</v>
      </c>
      <c r="N19" s="584">
        <f>'SC-Retro'!H152</f>
        <v>1.6565387716096002E-3</v>
      </c>
      <c r="O19" s="584">
        <f>'SC-Retro'!I152</f>
        <v>1.6527770738627614E-3</v>
      </c>
      <c r="P19" s="584">
        <f>'SC-Retro'!J152</f>
        <v>1.4841215264215486E-3</v>
      </c>
      <c r="Q19" s="584">
        <f>'SC-Retro'!K152</f>
        <v>1.1846010854607769E-3</v>
      </c>
      <c r="R19" s="584">
        <f>'SC-Retro'!L152</f>
        <v>9.4552885777378294E-4</v>
      </c>
      <c r="S19" s="584">
        <f>'SC-Retro'!M152</f>
        <v>7.5470538720234608E-4</v>
      </c>
      <c r="T19" s="584">
        <f>'SC-Retro'!N152</f>
        <v>6.0239327101374888E-4</v>
      </c>
      <c r="U19" s="584">
        <f>'SC-Retro'!O152</f>
        <v>4.8082027651586356E-4</v>
      </c>
      <c r="V19" s="584">
        <f>'SC-Retro'!P152</f>
        <v>3.8378273701452921E-4</v>
      </c>
      <c r="W19" s="584">
        <f>'SC-Retro'!Q152</f>
        <v>3.0632898907187358E-4</v>
      </c>
      <c r="X19" s="584">
        <f>'SC-Retro'!R152</f>
        <v>2.4450669739802184E-4</v>
      </c>
      <c r="Y19" s="584">
        <f>'SC-Retro'!S152</f>
        <v>1.9516117378776999E-4</v>
      </c>
      <c r="Z19" s="584">
        <f>'SC-Retro'!T152</f>
        <v>1.5577439865468613E-4</v>
      </c>
      <c r="AA19" s="584">
        <f>'SC-Retro'!U152</f>
        <v>1.0600880990823972E-6</v>
      </c>
      <c r="AB19" s="584">
        <f>'SC-Retro'!V152</f>
        <v>3.7774315433797086E-7</v>
      </c>
      <c r="AC19" s="584">
        <f>'SC-Retro'!W152</f>
        <v>1.2848364833773707E-7</v>
      </c>
      <c r="AD19" s="584">
        <f>'SC-Retro'!X152</f>
        <v>4.1801701754892088E-8</v>
      </c>
      <c r="AE19" s="584">
        <f>'SC-Retro'!Y152</f>
        <v>1.4604542169874534E-2</v>
      </c>
      <c r="AF19" s="585">
        <f t="shared" si="2"/>
        <v>21.39372634872727</v>
      </c>
      <c r="AG19" s="585">
        <f t="shared" si="3"/>
        <v>15.608858595685186</v>
      </c>
      <c r="AH19" s="585">
        <f t="shared" si="4"/>
        <v>14.144030099686063</v>
      </c>
      <c r="AI19" s="585">
        <f t="shared" si="5"/>
        <v>11.337918249226886</v>
      </c>
      <c r="AJ19" s="585">
        <f t="shared" si="6"/>
        <v>4.6713480036898254</v>
      </c>
      <c r="AK19" s="585">
        <f t="shared" si="7"/>
        <v>1.3048326246838342</v>
      </c>
      <c r="AL19" s="585">
        <f t="shared" si="8"/>
        <v>0.31773747506389777</v>
      </c>
      <c r="AM19" s="585">
        <f t="shared" si="9"/>
        <v>0.2671045348926871</v>
      </c>
      <c r="AN19" s="585">
        <f t="shared" si="10"/>
        <v>2.5345917479777436</v>
      </c>
      <c r="AO19" s="585">
        <f t="shared" si="11"/>
        <v>8.7056446963684344</v>
      </c>
      <c r="AP19" s="585">
        <f t="shared" si="12"/>
        <v>13.770412673624866</v>
      </c>
      <c r="AQ19" s="585">
        <f t="shared" si="13"/>
        <v>24.932321016714507</v>
      </c>
      <c r="AR19" s="585"/>
      <c r="AS19" s="585">
        <f t="shared" si="14"/>
        <v>13.59878739541089</v>
      </c>
      <c r="AT19" s="585">
        <f t="shared" si="15"/>
        <v>10.187949714355305</v>
      </c>
      <c r="AU19" s="585">
        <f t="shared" si="16"/>
        <v>7.8916884913198464</v>
      </c>
      <c r="AV19" s="585">
        <f t="shared" si="17"/>
        <v>6.7679039654129491</v>
      </c>
      <c r="AW19" s="585">
        <f t="shared" si="18"/>
        <v>2.658829709319817</v>
      </c>
      <c r="AX19" s="585">
        <f t="shared" si="19"/>
        <v>0.66006270837420578</v>
      </c>
      <c r="AY19" s="585">
        <f t="shared" si="20"/>
        <v>0.17778040751573243</v>
      </c>
      <c r="AZ19" s="585">
        <f t="shared" si="21"/>
        <v>0.11887542423842637</v>
      </c>
      <c r="BA19" s="585">
        <f t="shared" si="22"/>
        <v>1.4554967750090653</v>
      </c>
      <c r="BB19" s="585">
        <f t="shared" si="23"/>
        <v>4.4883976301499757</v>
      </c>
      <c r="BC19" s="585">
        <f t="shared" si="24"/>
        <v>9.0096645326147407</v>
      </c>
      <c r="BD19" s="585">
        <f t="shared" si="25"/>
        <v>16.048635404352222</v>
      </c>
    </row>
    <row r="20" spans="1:56" ht="15">
      <c r="A20" s="580" t="str">
        <f>VLOOKUP(CONCATENATE($C20," - ",$B20),[2]ACHIEV!$B$12:$C$100,2,FALSE)</f>
        <v>Retro12Med</v>
      </c>
      <c r="B20" s="580" t="str">
        <f>'SC-Retro'!$C$7</f>
        <v>Retro</v>
      </c>
      <c r="C20" s="580" t="str">
        <f>'SC-Retro'!$C$8</f>
        <v>ResWx</v>
      </c>
      <c r="D20" s="580" t="s">
        <v>306</v>
      </c>
      <c r="E20" s="580" t="str">
        <f>'SC-Retro'!$A$9</f>
        <v>HVAC</v>
      </c>
      <c r="F20" s="581">
        <f t="shared" si="1"/>
        <v>0.13677813792873331</v>
      </c>
      <c r="G20" s="582">
        <f>'SC-Retro'!A153</f>
        <v>261.56665528837181</v>
      </c>
      <c r="H20" s="582">
        <f>'SC-Retro'!B153</f>
        <v>34.352031778886101</v>
      </c>
      <c r="I20" s="583" t="str">
        <f>'SC-Retro'!C153</f>
        <v>Multifamily - Low Rise</v>
      </c>
      <c r="J20" s="586" t="str">
        <f>'SC-Retro'!D153</f>
        <v>ATTIC R0 - R38_Electric FAF</v>
      </c>
      <c r="K20" s="584">
        <f>'SC-Retro'!E153</f>
        <v>4.3127932869959788E-4</v>
      </c>
      <c r="L20" s="584">
        <f>'SC-Retro'!F153</f>
        <v>4.3029997191856048E-4</v>
      </c>
      <c r="M20" s="584">
        <f>'SC-Retro'!G153</f>
        <v>4.2932283907834434E-4</v>
      </c>
      <c r="N20" s="584">
        <f>'SC-Retro'!H153</f>
        <v>4.2834792512878557E-4</v>
      </c>
      <c r="O20" s="584">
        <f>'SC-Retro'!I153</f>
        <v>4.2737522503118706E-4</v>
      </c>
      <c r="P20" s="584">
        <f>'SC-Retro'!J153</f>
        <v>3.8376426038246557E-4</v>
      </c>
      <c r="Q20" s="584">
        <f>'SC-Retro'!K153</f>
        <v>3.0631424133187502E-4</v>
      </c>
      <c r="R20" s="584">
        <f>'SC-Retro'!L153</f>
        <v>2.4449492599756736E-4</v>
      </c>
      <c r="S20" s="584">
        <f>'SC-Retro'!M153</f>
        <v>1.9515177805197104E-4</v>
      </c>
      <c r="T20" s="584">
        <f>'SC-Retro'!N153</f>
        <v>1.5576689913485026E-4</v>
      </c>
      <c r="U20" s="584">
        <f>'SC-Retro'!O153</f>
        <v>1.2433054470877044E-4</v>
      </c>
      <c r="V20" s="584">
        <f>'SC-Retro'!P153</f>
        <v>9.9238570154736236E-5</v>
      </c>
      <c r="W20" s="584">
        <f>'SC-Retro'!Q153</f>
        <v>7.9210573953689055E-5</v>
      </c>
      <c r="X20" s="584">
        <f>'SC-Retro'!R153</f>
        <v>6.3224560937241565E-5</v>
      </c>
      <c r="Y20" s="584">
        <f>'SC-Retro'!S153</f>
        <v>5.0464791582548611E-5</v>
      </c>
      <c r="Z20" s="584">
        <f>'SC-Retro'!T153</f>
        <v>4.0280156188004046E-5</v>
      </c>
      <c r="AA20" s="584">
        <f>'SC-Retro'!U153</f>
        <v>2.7411766357538584E-7</v>
      </c>
      <c r="AB20" s="584">
        <f>'SC-Retro'!V153</f>
        <v>9.7676854393846559E-8</v>
      </c>
      <c r="AC20" s="584">
        <f>'SC-Retro'!W153</f>
        <v>3.3223311836504707E-8</v>
      </c>
      <c r="AD20" s="584">
        <f>'SC-Retro'!X153</f>
        <v>1.0809087309294927E-8</v>
      </c>
      <c r="AE20" s="584">
        <f>'SC-Retro'!Y153</f>
        <v>3.7764436565786165E-3</v>
      </c>
      <c r="AF20" s="585">
        <f t="shared" si="2"/>
        <v>29.137254569461664</v>
      </c>
      <c r="AG20" s="585">
        <f t="shared" si="3"/>
        <v>21.258535284025708</v>
      </c>
      <c r="AH20" s="585">
        <f t="shared" si="4"/>
        <v>19.263507391604939</v>
      </c>
      <c r="AI20" s="585">
        <f t="shared" si="5"/>
        <v>15.441714310565725</v>
      </c>
      <c r="AJ20" s="585">
        <f t="shared" si="6"/>
        <v>6.3621574730553805</v>
      </c>
      <c r="AK20" s="585">
        <f t="shared" si="7"/>
        <v>1.7771209996903368</v>
      </c>
      <c r="AL20" s="585">
        <f t="shared" si="8"/>
        <v>0.43274357848115286</v>
      </c>
      <c r="AM20" s="585">
        <f t="shared" si="9"/>
        <v>0.3637838823851684</v>
      </c>
      <c r="AN20" s="585">
        <f t="shared" si="10"/>
        <v>3.4519954021417028</v>
      </c>
      <c r="AO20" s="585">
        <f t="shared" si="11"/>
        <v>11.856680859361429</v>
      </c>
      <c r="AP20" s="585">
        <f t="shared" si="12"/>
        <v>18.754657933717965</v>
      </c>
      <c r="AQ20" s="585">
        <f t="shared" si="13"/>
        <v>33.956654985201652</v>
      </c>
      <c r="AR20" s="585"/>
      <c r="AS20" s="585">
        <f t="shared" si="14"/>
        <v>18.520912332771132</v>
      </c>
      <c r="AT20" s="585">
        <f t="shared" si="15"/>
        <v>13.875510957243993</v>
      </c>
      <c r="AU20" s="585">
        <f t="shared" si="16"/>
        <v>10.748110581874236</v>
      </c>
      <c r="AV20" s="585">
        <f t="shared" si="17"/>
        <v>9.2175686239736176</v>
      </c>
      <c r="AW20" s="585">
        <f t="shared" si="18"/>
        <v>3.6212016941082394</v>
      </c>
      <c r="AX20" s="585">
        <f t="shared" si="19"/>
        <v>0.89897453357169455</v>
      </c>
      <c r="AY20" s="585">
        <f t="shared" si="20"/>
        <v>0.24212859914218246</v>
      </c>
      <c r="AZ20" s="585">
        <f t="shared" si="21"/>
        <v>0.16190276727054803</v>
      </c>
      <c r="BA20" s="585">
        <f t="shared" si="22"/>
        <v>1.982318524934884</v>
      </c>
      <c r="BB20" s="585">
        <f t="shared" si="23"/>
        <v>6.1129876220197827</v>
      </c>
      <c r="BC20" s="585">
        <f t="shared" si="24"/>
        <v>12.270741655432218</v>
      </c>
      <c r="BD20" s="585">
        <f t="shared" si="25"/>
        <v>21.857490726336447</v>
      </c>
    </row>
    <row r="21" spans="1:56" ht="15">
      <c r="A21" s="580" t="str">
        <f>VLOOKUP(CONCATENATE($C21," - ",$B21),[2]ACHIEV!$B$12:$C$100,2,FALSE)</f>
        <v>Retro12Med</v>
      </c>
      <c r="B21" s="580" t="str">
        <f>'SC-Retro'!$C$7</f>
        <v>Retro</v>
      </c>
      <c r="C21" s="580" t="str">
        <f>'SC-Retro'!$C$8</f>
        <v>ResWx</v>
      </c>
      <c r="D21" s="580" t="s">
        <v>306</v>
      </c>
      <c r="E21" s="580" t="str">
        <f>'SC-Retro'!$A$9</f>
        <v>HVAC</v>
      </c>
      <c r="F21" s="581">
        <f t="shared" si="1"/>
        <v>0.14520699393231559</v>
      </c>
      <c r="G21" s="582">
        <f>'SC-Retro'!A154</f>
        <v>277.68551540849614</v>
      </c>
      <c r="H21" s="582">
        <f>'SC-Retro'!B154</f>
        <v>38.739530329848918</v>
      </c>
      <c r="I21" s="583" t="str">
        <f>'SC-Retro'!C154</f>
        <v>Multifamily - Low Rise</v>
      </c>
      <c r="J21" s="586" t="str">
        <f>'SC-Retro'!D154</f>
        <v>ATTIC R0 - R49_Electric FAF</v>
      </c>
      <c r="K21" s="584">
        <f>'SC-Retro'!E154</f>
        <v>2.7310979231762538E-3</v>
      </c>
      <c r="L21" s="584">
        <f>'SC-Retro'!F154</f>
        <v>2.7248960973692881E-3</v>
      </c>
      <c r="M21" s="584">
        <f>'SC-Retro'!G154</f>
        <v>2.7187083547788237E-3</v>
      </c>
      <c r="N21" s="584">
        <f>'SC-Retro'!H154</f>
        <v>2.7125346634244434E-3</v>
      </c>
      <c r="O21" s="584">
        <f>'SC-Retro'!I154</f>
        <v>2.7063749913983472E-3</v>
      </c>
      <c r="P21" s="584">
        <f>'SC-Retro'!J154</f>
        <v>2.4302063761786779E-3</v>
      </c>
      <c r="Q21" s="584">
        <f>'SC-Retro'!K154</f>
        <v>1.9397502562046019E-3</v>
      </c>
      <c r="R21" s="584">
        <f>'SC-Retro'!L154</f>
        <v>1.5482763494194586E-3</v>
      </c>
      <c r="S21" s="584">
        <f>'SC-Retro'!M154</f>
        <v>1.2358083967273347E-3</v>
      </c>
      <c r="T21" s="584">
        <f>'SC-Retro'!N154</f>
        <v>9.8640168080745601E-4</v>
      </c>
      <c r="U21" s="584">
        <f>'SC-Retro'!O154</f>
        <v>7.8732939384166655E-4</v>
      </c>
      <c r="V21" s="584">
        <f>'SC-Retro'!P154</f>
        <v>6.2843320978493667E-4</v>
      </c>
      <c r="W21" s="584">
        <f>'SC-Retro'!Q154</f>
        <v>5.0160492196741106E-4</v>
      </c>
      <c r="X21" s="584">
        <f>'SC-Retro'!R154</f>
        <v>4.0037269486130117E-4</v>
      </c>
      <c r="Y21" s="584">
        <f>'SC-Retro'!S154</f>
        <v>3.1957081713188422E-4</v>
      </c>
      <c r="Z21" s="584">
        <f>'SC-Retro'!T154</f>
        <v>2.5507610402282542E-4</v>
      </c>
      <c r="AA21" s="584">
        <f>'SC-Retro'!U154</f>
        <v>1.7358638169698142E-6</v>
      </c>
      <c r="AB21" s="584">
        <f>'SC-Retro'!V154</f>
        <v>6.1854356660630825E-7</v>
      </c>
      <c r="AC21" s="584">
        <f>'SC-Retro'!W154</f>
        <v>2.1038828415751905E-7</v>
      </c>
      <c r="AD21" s="584">
        <f>'SC-Retro'!X154</f>
        <v>6.8449086096608198E-8</v>
      </c>
      <c r="AE21" s="584">
        <f>'SC-Retro'!Y154</f>
        <v>2.3914518366953692E-2</v>
      </c>
      <c r="AF21" s="585">
        <f t="shared" si="2"/>
        <v>30.932817272864423</v>
      </c>
      <c r="AG21" s="585">
        <f t="shared" si="3"/>
        <v>22.568577484260135</v>
      </c>
      <c r="AH21" s="585">
        <f t="shared" si="4"/>
        <v>20.450607409097366</v>
      </c>
      <c r="AI21" s="585">
        <f t="shared" si="5"/>
        <v>16.393299032679945</v>
      </c>
      <c r="AJ21" s="585">
        <f t="shared" si="6"/>
        <v>6.7542209272342912</v>
      </c>
      <c r="AK21" s="585">
        <f t="shared" si="7"/>
        <v>1.8866348242983069</v>
      </c>
      <c r="AL21" s="585">
        <f t="shared" si="8"/>
        <v>0.45941109541571629</v>
      </c>
      <c r="AM21" s="585">
        <f t="shared" si="9"/>
        <v>0.38620180682457222</v>
      </c>
      <c r="AN21" s="585">
        <f t="shared" si="10"/>
        <v>3.6647221771241258</v>
      </c>
      <c r="AO21" s="585">
        <f t="shared" si="11"/>
        <v>12.58734043082057</v>
      </c>
      <c r="AP21" s="585">
        <f t="shared" si="12"/>
        <v>19.910400463288855</v>
      </c>
      <c r="AQ21" s="585">
        <f t="shared" si="13"/>
        <v>36.049209830353284</v>
      </c>
      <c r="AR21" s="585"/>
      <c r="AS21" s="585">
        <f t="shared" si="14"/>
        <v>19.662250455017237</v>
      </c>
      <c r="AT21" s="585">
        <f t="shared" si="15"/>
        <v>14.730579505520879</v>
      </c>
      <c r="AU21" s="585">
        <f t="shared" si="16"/>
        <v>11.410455294100103</v>
      </c>
      <c r="AV21" s="585">
        <f t="shared" si="17"/>
        <v>9.7855947706308637</v>
      </c>
      <c r="AW21" s="585">
        <f t="shared" si="18"/>
        <v>3.8443556871496565</v>
      </c>
      <c r="AX21" s="585">
        <f t="shared" si="19"/>
        <v>0.95437320333799469</v>
      </c>
      <c r="AY21" s="585">
        <f t="shared" si="20"/>
        <v>0.25704960280127542</v>
      </c>
      <c r="AZ21" s="585">
        <f t="shared" si="21"/>
        <v>0.17187991078610007</v>
      </c>
      <c r="BA21" s="585">
        <f t="shared" si="22"/>
        <v>2.1044775018951904</v>
      </c>
      <c r="BB21" s="585">
        <f t="shared" si="23"/>
        <v>6.4896961603721053</v>
      </c>
      <c r="BC21" s="585">
        <f t="shared" si="24"/>
        <v>13.02691743057464</v>
      </c>
      <c r="BD21" s="585">
        <f t="shared" si="25"/>
        <v>23.204443132048517</v>
      </c>
    </row>
    <row r="22" spans="1:56" ht="15">
      <c r="A22" s="580" t="str">
        <f>VLOOKUP(CONCATENATE($C22," - ",$B22),[2]ACHIEV!$B$12:$C$100,2,FALSE)</f>
        <v>Retro12Med</v>
      </c>
      <c r="B22" s="580" t="str">
        <f>'SC-Retro'!$C$7</f>
        <v>Retro</v>
      </c>
      <c r="C22" s="580" t="str">
        <f>'SC-Retro'!$C$8</f>
        <v>ResWx</v>
      </c>
      <c r="D22" s="580" t="s">
        <v>306</v>
      </c>
      <c r="E22" s="580" t="str">
        <f>'SC-Retro'!$A$9</f>
        <v>HVAC</v>
      </c>
      <c r="F22" s="581">
        <f t="shared" si="1"/>
        <v>2.6344023270762556E-2</v>
      </c>
      <c r="G22" s="582">
        <f>'SC-Retro'!A155</f>
        <v>50.378797065966225</v>
      </c>
      <c r="H22" s="582">
        <f>'SC-Retro'!B155</f>
        <v>185.49135839344265</v>
      </c>
      <c r="I22" s="583" t="str">
        <f>'SC-Retro'!C155</f>
        <v>Multifamily - Low Rise</v>
      </c>
      <c r="J22" s="586" t="str">
        <f>'SC-Retro'!D155</f>
        <v>ATTIC R19 - R30_Electric FAF</v>
      </c>
      <c r="K22" s="584">
        <f>'SC-Retro'!E155</f>
        <v>5.0835905485731975E-4</v>
      </c>
      <c r="L22" s="584">
        <f>'SC-Retro'!F155</f>
        <v>5.0720466406127237E-4</v>
      </c>
      <c r="M22" s="584">
        <f>'SC-Retro'!G155</f>
        <v>5.0605289467640512E-4</v>
      </c>
      <c r="N22" s="584">
        <f>'SC-Retro'!H155</f>
        <v>5.0490374074997114E-4</v>
      </c>
      <c r="O22" s="584">
        <f>'SC-Retro'!I155</f>
        <v>5.0375719634274043E-4</v>
      </c>
      <c r="P22" s="584">
        <f>'SC-Retro'!J155</f>
        <v>4.5235192997607361E-4</v>
      </c>
      <c r="Q22" s="584">
        <f>'SC-Retro'!K155</f>
        <v>3.610597769253904E-4</v>
      </c>
      <c r="R22" s="584">
        <f>'SC-Retro'!L155</f>
        <v>2.8819190076254998E-4</v>
      </c>
      <c r="S22" s="584">
        <f>'SC-Retro'!M155</f>
        <v>2.3002997556909787E-4</v>
      </c>
      <c r="T22" s="584">
        <f>'SC-Retro'!N155</f>
        <v>1.8360609552284756E-4</v>
      </c>
      <c r="U22" s="584">
        <f>'SC-Retro'!O155</f>
        <v>1.4655132762477147E-4</v>
      </c>
      <c r="V22" s="584">
        <f>'SC-Retro'!P155</f>
        <v>1.1697482900784472E-4</v>
      </c>
      <c r="W22" s="584">
        <f>'SC-Retro'!Q155</f>
        <v>9.3367360386175481E-5</v>
      </c>
      <c r="X22" s="584">
        <f>'SC-Retro'!R155</f>
        <v>7.4524272097011135E-5</v>
      </c>
      <c r="Y22" s="584">
        <f>'SC-Retro'!S155</f>
        <v>5.948403284207755E-5</v>
      </c>
      <c r="Z22" s="584">
        <f>'SC-Retro'!T155</f>
        <v>4.7479164352673605E-5</v>
      </c>
      <c r="AA22" s="584">
        <f>'SC-Retro'!U155</f>
        <v>3.2310891596648372E-7</v>
      </c>
      <c r="AB22" s="584">
        <f>'SC-Retro'!V155</f>
        <v>1.1513399803049308E-7</v>
      </c>
      <c r="AC22" s="584">
        <f>'SC-Retro'!W155</f>
        <v>3.9161096487885737E-8</v>
      </c>
      <c r="AD22" s="584">
        <f>'SC-Retro'!X155</f>
        <v>1.2740924599821981E-8</v>
      </c>
      <c r="AE22" s="584">
        <f>'SC-Retro'!Y155</f>
        <v>4.451382666006305E-3</v>
      </c>
      <c r="AF22" s="585">
        <f t="shared" si="2"/>
        <v>5.6119532262091179</v>
      </c>
      <c r="AG22" s="585">
        <f t="shared" si="3"/>
        <v>4.0944799856575047</v>
      </c>
      <c r="AH22" s="585">
        <f t="shared" si="4"/>
        <v>3.7102295343818961</v>
      </c>
      <c r="AI22" s="585">
        <f t="shared" si="5"/>
        <v>2.9741367099906526</v>
      </c>
      <c r="AJ22" s="585">
        <f t="shared" si="6"/>
        <v>1.2253772939192622</v>
      </c>
      <c r="AK22" s="585">
        <f t="shared" si="7"/>
        <v>0.34228070128572929</v>
      </c>
      <c r="AL22" s="585">
        <f t="shared" si="8"/>
        <v>8.3348165682153835E-2</v>
      </c>
      <c r="AM22" s="585">
        <f t="shared" si="9"/>
        <v>7.0066248950374027E-2</v>
      </c>
      <c r="AN22" s="585">
        <f t="shared" si="10"/>
        <v>0.66486829387872881</v>
      </c>
      <c r="AO22" s="585">
        <f t="shared" si="11"/>
        <v>2.2836447491028884</v>
      </c>
      <c r="AP22" s="585">
        <f t="shared" si="12"/>
        <v>3.6122230681228369</v>
      </c>
      <c r="AQ22" s="585">
        <f t="shared" si="13"/>
        <v>6.5401892632396068</v>
      </c>
      <c r="AR22" s="585"/>
      <c r="AS22" s="585">
        <f t="shared" si="14"/>
        <v>3.5672027187890119</v>
      </c>
      <c r="AT22" s="585">
        <f t="shared" si="15"/>
        <v>2.6724796015414052</v>
      </c>
      <c r="AU22" s="585">
        <f t="shared" si="16"/>
        <v>2.0701296243201921</v>
      </c>
      <c r="AV22" s="585">
        <f t="shared" si="17"/>
        <v>1.7753410450457694</v>
      </c>
      <c r="AW22" s="585">
        <f t="shared" si="18"/>
        <v>0.69745811094034471</v>
      </c>
      <c r="AX22" s="585">
        <f t="shared" si="19"/>
        <v>0.17314613571194531</v>
      </c>
      <c r="AY22" s="585">
        <f t="shared" si="20"/>
        <v>4.6634948734587331E-2</v>
      </c>
      <c r="AZ22" s="585">
        <f t="shared" si="21"/>
        <v>3.1183128628337446E-2</v>
      </c>
      <c r="BA22" s="585">
        <f t="shared" si="22"/>
        <v>0.38180257562914105</v>
      </c>
      <c r="BB22" s="585">
        <f t="shared" si="23"/>
        <v>1.1773861715552891</v>
      </c>
      <c r="BC22" s="585">
        <f t="shared" si="24"/>
        <v>2.3633945352337893</v>
      </c>
      <c r="BD22" s="585">
        <f t="shared" si="25"/>
        <v>4.2098412294156651</v>
      </c>
    </row>
    <row r="23" spans="1:56" ht="15">
      <c r="A23" s="580" t="str">
        <f>VLOOKUP(CONCATENATE($C23," - ",$B23),[2]ACHIEV!$B$12:$C$100,2,FALSE)</f>
        <v>Retro12Med</v>
      </c>
      <c r="B23" s="580" t="str">
        <f>'SC-Retro'!$C$7</f>
        <v>Retro</v>
      </c>
      <c r="C23" s="580" t="str">
        <f>'SC-Retro'!$C$8</f>
        <v>ResWx</v>
      </c>
      <c r="D23" s="580" t="s">
        <v>306</v>
      </c>
      <c r="E23" s="580" t="str">
        <f>'SC-Retro'!$A$9</f>
        <v>HVAC</v>
      </c>
      <c r="F23" s="581">
        <f t="shared" si="1"/>
        <v>3.6350211668216788E-2</v>
      </c>
      <c r="G23" s="582">
        <f>'SC-Retro'!A156</f>
        <v>69.514057063957438</v>
      </c>
      <c r="H23" s="582">
        <f>'SC-Retro'!B156</f>
        <v>152.18877758859335</v>
      </c>
      <c r="I23" s="583" t="str">
        <f>'SC-Retro'!C156</f>
        <v>Multifamily - Low Rise</v>
      </c>
      <c r="J23" s="586" t="str">
        <f>'SC-Retro'!D156</f>
        <v>ATTIC R19 - R38_Electric FAF</v>
      </c>
      <c r="K23" s="584">
        <f>'SC-Retro'!E156</f>
        <v>1.0827960498706863E-4</v>
      </c>
      <c r="L23" s="584">
        <f>'SC-Retro'!F156</f>
        <v>1.0803372173151846E-4</v>
      </c>
      <c r="M23" s="584">
        <f>'SC-Retro'!G156</f>
        <v>1.0778839683204438E-4</v>
      </c>
      <c r="N23" s="584">
        <f>'SC-Retro'!H156</f>
        <v>1.0754362902072145E-4</v>
      </c>
      <c r="O23" s="584">
        <f>'SC-Retro'!I156</f>
        <v>1.0729941703250395E-4</v>
      </c>
      <c r="P23" s="584">
        <f>'SC-Retro'!J156</f>
        <v>9.6350183644697076E-5</v>
      </c>
      <c r="Q23" s="584">
        <f>'SC-Retro'!K156</f>
        <v>7.6905111945282887E-5</v>
      </c>
      <c r="R23" s="584">
        <f>'SC-Retro'!L156</f>
        <v>6.1384379557869273E-5</v>
      </c>
      <c r="S23" s="584">
        <f>'SC-Retro'!M156</f>
        <v>4.8995989452371857E-5</v>
      </c>
      <c r="T23" s="584">
        <f>'SC-Retro'!N156</f>
        <v>3.9107782789492823E-5</v>
      </c>
      <c r="U23" s="584">
        <f>'SC-Retro'!O156</f>
        <v>3.1215180911835099E-5</v>
      </c>
      <c r="V23" s="584">
        <f>'SC-Retro'!P156</f>
        <v>2.491543753844272E-5</v>
      </c>
      <c r="W23" s="584">
        <f>'SC-Retro'!Q156</f>
        <v>1.9887087295293394E-5</v>
      </c>
      <c r="X23" s="584">
        <f>'SC-Retro'!R156</f>
        <v>1.5873541874606775E-5</v>
      </c>
      <c r="Y23" s="584">
        <f>'SC-Retro'!S156</f>
        <v>1.2669996762398052E-5</v>
      </c>
      <c r="Z23" s="584">
        <f>'SC-Retro'!T156</f>
        <v>1.0112980406469856E-5</v>
      </c>
      <c r="AA23" s="584">
        <f>'SC-Retro'!U156</f>
        <v>6.8821643785749605E-8</v>
      </c>
      <c r="AB23" s="584">
        <f>'SC-Retro'!V156</f>
        <v>2.4523343704033603E-8</v>
      </c>
      <c r="AC23" s="584">
        <f>'SC-Retro'!W156</f>
        <v>8.3412462472196524E-9</v>
      </c>
      <c r="AD23" s="584">
        <f>'SC-Retro'!X156</f>
        <v>2.7137950424153551E-9</v>
      </c>
      <c r="AE23" s="584">
        <f>'SC-Retro'!Y156</f>
        <v>9.4813685743578928E-4</v>
      </c>
      <c r="AF23" s="585">
        <f t="shared" si="2"/>
        <v>7.7435282207343965</v>
      </c>
      <c r="AG23" s="585">
        <f t="shared" si="3"/>
        <v>5.6496766883405245</v>
      </c>
      <c r="AH23" s="585">
        <f t="shared" si="4"/>
        <v>5.1194772919188756</v>
      </c>
      <c r="AI23" s="585">
        <f t="shared" si="5"/>
        <v>4.1037960613388398</v>
      </c>
      <c r="AJ23" s="585">
        <f t="shared" si="6"/>
        <v>1.6908094693655553</v>
      </c>
      <c r="AK23" s="585">
        <f t="shared" si="7"/>
        <v>0.47228837500650273</v>
      </c>
      <c r="AL23" s="585">
        <f t="shared" si="8"/>
        <v>0.11500610341725512</v>
      </c>
      <c r="AM23" s="585">
        <f t="shared" si="9"/>
        <v>9.6679347492481346E-2</v>
      </c>
      <c r="AN23" s="585">
        <f t="shared" si="10"/>
        <v>0.91740365416395953</v>
      </c>
      <c r="AO23" s="585">
        <f t="shared" si="11"/>
        <v>3.1510361629929946</v>
      </c>
      <c r="AP23" s="585">
        <f t="shared" si="12"/>
        <v>4.9842452600930995</v>
      </c>
      <c r="AQ23" s="585">
        <f t="shared" si="13"/>
        <v>9.0243339684871504</v>
      </c>
      <c r="AR23" s="585"/>
      <c r="AS23" s="585">
        <f t="shared" si="14"/>
        <v>4.9221249373602447</v>
      </c>
      <c r="AT23" s="585">
        <f t="shared" si="15"/>
        <v>3.6875612428886897</v>
      </c>
      <c r="AU23" s="585">
        <f t="shared" si="16"/>
        <v>2.85642209055439</v>
      </c>
      <c r="AV23" s="585">
        <f t="shared" si="17"/>
        <v>2.4496646585606703</v>
      </c>
      <c r="AW23" s="585">
        <f t="shared" si="18"/>
        <v>0.96237198478842267</v>
      </c>
      <c r="AX23" s="585">
        <f t="shared" si="19"/>
        <v>0.23891182519748883</v>
      </c>
      <c r="AY23" s="585">
        <f t="shared" si="20"/>
        <v>6.434819162645003E-2</v>
      </c>
      <c r="AZ23" s="585">
        <f t="shared" si="21"/>
        <v>4.3027343032121683E-2</v>
      </c>
      <c r="BA23" s="585">
        <f t="shared" si="22"/>
        <v>0.52682174992581887</v>
      </c>
      <c r="BB23" s="585">
        <f t="shared" si="23"/>
        <v>1.6245899918698075</v>
      </c>
      <c r="BC23" s="585">
        <f t="shared" si="24"/>
        <v>3.2610771228174791</v>
      </c>
      <c r="BD23" s="585">
        <f t="shared" si="25"/>
        <v>5.808855321984228</v>
      </c>
    </row>
    <row r="24" spans="1:56" ht="15">
      <c r="A24" s="580" t="str">
        <f>VLOOKUP(CONCATENATE($C24," - ",$B24),[2]ACHIEV!$B$12:$C$100,2,FALSE)</f>
        <v>Retro12Med</v>
      </c>
      <c r="B24" s="580" t="str">
        <f>'SC-Retro'!$C$7</f>
        <v>Retro</v>
      </c>
      <c r="C24" s="580" t="str">
        <f>'SC-Retro'!$C$8</f>
        <v>ResWx</v>
      </c>
      <c r="D24" s="580" t="s">
        <v>306</v>
      </c>
      <c r="E24" s="580" t="str">
        <f>'SC-Retro'!$A$9</f>
        <v>HVAC</v>
      </c>
      <c r="F24" s="581">
        <f t="shared" si="1"/>
        <v>4.477906767179906E-2</v>
      </c>
      <c r="G24" s="582">
        <f>'SC-Retro'!A157</f>
        <v>85.632917184081805</v>
      </c>
      <c r="H24" s="582">
        <f>'SC-Retro'!B157</f>
        <v>145.72691792511569</v>
      </c>
      <c r="I24" s="583" t="str">
        <f>'SC-Retro'!C157</f>
        <v>Multifamily - Low Rise</v>
      </c>
      <c r="J24" s="586" t="str">
        <f>'SC-Retro'!D157</f>
        <v>ATTIC R19 - R49_Electric FAF</v>
      </c>
      <c r="K24" s="584">
        <f>'SC-Retro'!E157</f>
        <v>1.9592704607738843E-3</v>
      </c>
      <c r="L24" s="584">
        <f>'SC-Retro'!F157</f>
        <v>1.9548213145154001E-3</v>
      </c>
      <c r="M24" s="584">
        <f>'SC-Retro'!G157</f>
        <v>1.9503822714574826E-3</v>
      </c>
      <c r="N24" s="584">
        <f>'SC-Retro'!H157</f>
        <v>1.9459533086576034E-3</v>
      </c>
      <c r="O24" s="584">
        <f>'SC-Retro'!I157</f>
        <v>1.9415344032253346E-3</v>
      </c>
      <c r="P24" s="584">
        <f>'SC-Retro'!J157</f>
        <v>1.743412979090002E-3</v>
      </c>
      <c r="Q24" s="584">
        <f>'SC-Retro'!K157</f>
        <v>1.3915632046764153E-3</v>
      </c>
      <c r="R24" s="584">
        <f>'SC-Retro'!L157</f>
        <v>1.1107225745331142E-3</v>
      </c>
      <c r="S24" s="584">
        <f>'SC-Retro'!M157</f>
        <v>8.8656026074241236E-4</v>
      </c>
      <c r="T24" s="584">
        <f>'SC-Retro'!N157</f>
        <v>7.0763763512958239E-4</v>
      </c>
      <c r="U24" s="584">
        <f>'SC-Retro'!O157</f>
        <v>5.6482457518731478E-4</v>
      </c>
      <c r="V24" s="584">
        <f>'SC-Retro'!P157</f>
        <v>4.5083356918560515E-4</v>
      </c>
      <c r="W24" s="584">
        <f>'SC-Retro'!Q157</f>
        <v>3.5984784662959624E-4</v>
      </c>
      <c r="X24" s="584">
        <f>'SC-Retro'!R157</f>
        <v>2.8722455818423569E-4</v>
      </c>
      <c r="Y24" s="584">
        <f>'SC-Retro'!S157</f>
        <v>2.2925785883345129E-4</v>
      </c>
      <c r="Z24" s="584">
        <f>'SC-Retro'!T157</f>
        <v>1.8298980480347863E-4</v>
      </c>
      <c r="AA24" s="584">
        <f>'SC-Retro'!U157</f>
        <v>1.2452965057216929E-6</v>
      </c>
      <c r="AB24" s="584">
        <f>'SC-Retro'!V157</f>
        <v>4.4373880865613056E-7</v>
      </c>
      <c r="AC24" s="584">
        <f>'SC-Retro'!W157</f>
        <v>1.5093107681885452E-7</v>
      </c>
      <c r="AD24" s="584">
        <f>'SC-Retro'!X157</f>
        <v>4.9104893426920128E-8</v>
      </c>
      <c r="AE24" s="584">
        <f>'SC-Retro'!Y157</f>
        <v>1.7156107447628511E-2</v>
      </c>
      <c r="AF24" s="585">
        <f t="shared" si="2"/>
        <v>9.5390909241371578</v>
      </c>
      <c r="AG24" s="585">
        <f t="shared" si="3"/>
        <v>6.9597188885749519</v>
      </c>
      <c r="AH24" s="585">
        <f t="shared" si="4"/>
        <v>6.3065773094113027</v>
      </c>
      <c r="AI24" s="585">
        <f t="shared" si="5"/>
        <v>5.0553807834530602</v>
      </c>
      <c r="AJ24" s="585">
        <f t="shared" si="6"/>
        <v>2.0828729235444663</v>
      </c>
      <c r="AK24" s="585">
        <f t="shared" si="7"/>
        <v>0.58180219961447277</v>
      </c>
      <c r="AL24" s="585">
        <f t="shared" si="8"/>
        <v>0.14167362035181852</v>
      </c>
      <c r="AM24" s="585">
        <f t="shared" si="9"/>
        <v>0.11909727193188516</v>
      </c>
      <c r="AN24" s="585">
        <f t="shared" si="10"/>
        <v>1.1301304291463827</v>
      </c>
      <c r="AO24" s="585">
        <f t="shared" si="11"/>
        <v>3.8816957344521366</v>
      </c>
      <c r="AP24" s="585">
        <f t="shared" si="12"/>
        <v>6.1399877896639916</v>
      </c>
      <c r="AQ24" s="585">
        <f t="shared" si="13"/>
        <v>11.116888813638782</v>
      </c>
      <c r="AR24" s="585"/>
      <c r="AS24" s="585">
        <f t="shared" si="14"/>
        <v>6.0634630596063479</v>
      </c>
      <c r="AT24" s="585">
        <f t="shared" si="15"/>
        <v>4.5426297911655755</v>
      </c>
      <c r="AU24" s="585">
        <f t="shared" si="16"/>
        <v>3.5187668027802577</v>
      </c>
      <c r="AV24" s="585">
        <f t="shared" si="17"/>
        <v>3.0176908052179159</v>
      </c>
      <c r="AW24" s="585">
        <f t="shared" si="18"/>
        <v>1.1855259778298397</v>
      </c>
      <c r="AX24" s="585">
        <f t="shared" si="19"/>
        <v>0.29431049496378903</v>
      </c>
      <c r="AY24" s="585">
        <f t="shared" si="20"/>
        <v>7.9269195285542993E-2</v>
      </c>
      <c r="AZ24" s="585">
        <f t="shared" si="21"/>
        <v>5.3004486547673715E-2</v>
      </c>
      <c r="BA24" s="585">
        <f t="shared" si="22"/>
        <v>0.6489807268861254</v>
      </c>
      <c r="BB24" s="585">
        <f t="shared" si="23"/>
        <v>2.0012985302221309</v>
      </c>
      <c r="BC24" s="585">
        <f t="shared" si="24"/>
        <v>4.0172528979599011</v>
      </c>
      <c r="BD24" s="585">
        <f t="shared" si="25"/>
        <v>7.1558077276962999</v>
      </c>
    </row>
    <row r="25" spans="1:56" ht="15">
      <c r="A25" s="580" t="str">
        <f>VLOOKUP(CONCATENATE($C25," - ",$B25),[2]ACHIEV!$B$12:$C$100,2,FALSE)</f>
        <v>Retro12Med</v>
      </c>
      <c r="B25" s="580" t="str">
        <f>'SC-Retro'!$C$7</f>
        <v>Retro</v>
      </c>
      <c r="C25" s="580" t="str">
        <f>'SC-Retro'!$C$8</f>
        <v>ResWx</v>
      </c>
      <c r="D25" s="580" t="s">
        <v>306</v>
      </c>
      <c r="E25" s="580" t="str">
        <f>'SC-Retro'!$A$9</f>
        <v>HVAC</v>
      </c>
      <c r="F25" s="581">
        <f t="shared" si="1"/>
        <v>2.2064305586675435</v>
      </c>
      <c r="G25" s="582">
        <f>'SC-Retro'!A158</f>
        <v>4219.451076731496</v>
      </c>
      <c r="H25" s="582">
        <f>'SC-Retro'!B158</f>
        <v>24.229598500728116</v>
      </c>
      <c r="I25" s="583" t="str">
        <f>'SC-Retro'!C158</f>
        <v>Multifamily - Low Rise</v>
      </c>
      <c r="J25" s="586" t="str">
        <f>'SC-Retro'!D158</f>
        <v>WINDOW CL22 Prime Window Replacement of Single Pane Base_Electric FAF</v>
      </c>
      <c r="K25" s="584">
        <f>'SC-Retro'!E158</f>
        <v>2.0235878178332445E-2</v>
      </c>
      <c r="L25" s="584">
        <f>'SC-Retro'!F158</f>
        <v>2.0189926185748074E-2</v>
      </c>
      <c r="M25" s="584">
        <f>'SC-Retro'!G158</f>
        <v>2.0144078541766895E-2</v>
      </c>
      <c r="N25" s="584">
        <f>'SC-Retro'!H158</f>
        <v>2.0098335009432259E-2</v>
      </c>
      <c r="O25" s="584">
        <f>'SC-Retro'!I158</f>
        <v>2.005269535232557E-2</v>
      </c>
      <c r="P25" s="584">
        <f>'SC-Retro'!J158</f>
        <v>1.8006443401108609E-2</v>
      </c>
      <c r="Q25" s="584">
        <f>'SC-Retro'!K158</f>
        <v>1.4372443238979486E-2</v>
      </c>
      <c r="R25" s="584">
        <f>'SC-Retro'!L158</f>
        <v>1.147184483111025E-2</v>
      </c>
      <c r="S25" s="584">
        <f>'SC-Retro'!M158</f>
        <v>9.1566354892360959E-3</v>
      </c>
      <c r="T25" s="584">
        <f>'SC-Retro'!N158</f>
        <v>7.3086739506241652E-3</v>
      </c>
      <c r="U25" s="584">
        <f>'SC-Retro'!O158</f>
        <v>5.8336618269150533E-3</v>
      </c>
      <c r="V25" s="584">
        <f>'SC-Retro'!P158</f>
        <v>4.6563317149890858E-3</v>
      </c>
      <c r="W25" s="584">
        <f>'SC-Retro'!Q158</f>
        <v>3.7166064271981851E-3</v>
      </c>
      <c r="X25" s="584">
        <f>'SC-Retro'!R158</f>
        <v>2.9665333529020799E-3</v>
      </c>
      <c r="Y25" s="584">
        <f>'SC-Retro'!S158</f>
        <v>2.3678375169024009E-3</v>
      </c>
      <c r="Z25" s="584">
        <f>'SC-Retro'!T158</f>
        <v>1.8899684714367665E-3</v>
      </c>
      <c r="AA25" s="584">
        <f>'SC-Retro'!U158</f>
        <v>1.2861760992269408E-5</v>
      </c>
      <c r="AB25" s="584">
        <f>'SC-Retro'!V158</f>
        <v>4.5830550986907009E-6</v>
      </c>
      <c r="AC25" s="584">
        <f>'SC-Retro'!W158</f>
        <v>1.5588572098537649E-6</v>
      </c>
      <c r="AD25" s="584">
        <f>'SC-Retro'!X158</f>
        <v>5.0716869428770123E-7</v>
      </c>
      <c r="AE25" s="584">
        <f>'SC-Retro'!Y158</f>
        <v>0.17719294363651342</v>
      </c>
      <c r="AF25" s="585">
        <f t="shared" si="2"/>
        <v>470.02634961468004</v>
      </c>
      <c r="AG25" s="585">
        <f t="shared" si="3"/>
        <v>342.93113353850521</v>
      </c>
      <c r="AH25" s="585">
        <f t="shared" si="4"/>
        <v>310.74842821812098</v>
      </c>
      <c r="AI25" s="585">
        <f t="shared" si="5"/>
        <v>249.09734003542636</v>
      </c>
      <c r="AJ25" s="585">
        <f t="shared" si="6"/>
        <v>102.63086543054585</v>
      </c>
      <c r="AK25" s="585">
        <f t="shared" si="7"/>
        <v>28.667549796661323</v>
      </c>
      <c r="AL25" s="585">
        <f t="shared" si="8"/>
        <v>6.9807841376335986</v>
      </c>
      <c r="AM25" s="585">
        <f t="shared" si="9"/>
        <v>5.8683638116463746</v>
      </c>
      <c r="AN25" s="585">
        <f t="shared" si="10"/>
        <v>55.685713075241921</v>
      </c>
      <c r="AO25" s="585">
        <f t="shared" si="11"/>
        <v>191.26552948172511</v>
      </c>
      <c r="AP25" s="585">
        <f t="shared" si="12"/>
        <v>302.53994541052327</v>
      </c>
      <c r="AQ25" s="585">
        <f t="shared" si="13"/>
        <v>547.77029694992109</v>
      </c>
      <c r="AR25" s="585"/>
      <c r="AS25" s="585">
        <f t="shared" si="14"/>
        <v>298.76928845691043</v>
      </c>
      <c r="AT25" s="585">
        <f t="shared" si="15"/>
        <v>223.83219904003417</v>
      </c>
      <c r="AU25" s="585">
        <f t="shared" si="16"/>
        <v>173.38267646355672</v>
      </c>
      <c r="AV25" s="585">
        <f t="shared" si="17"/>
        <v>148.69280571100751</v>
      </c>
      <c r="AW25" s="585">
        <f t="shared" si="18"/>
        <v>58.415256984578626</v>
      </c>
      <c r="AX25" s="585">
        <f t="shared" si="19"/>
        <v>14.501768428591864</v>
      </c>
      <c r="AY25" s="585">
        <f t="shared" si="20"/>
        <v>3.9058869229016326</v>
      </c>
      <c r="AZ25" s="585">
        <f t="shared" si="21"/>
        <v>2.6117274196604852</v>
      </c>
      <c r="BA25" s="585">
        <f t="shared" si="22"/>
        <v>31.977684713824956</v>
      </c>
      <c r="BB25" s="585">
        <f t="shared" si="23"/>
        <v>98.611392860228833</v>
      </c>
      <c r="BC25" s="585">
        <f t="shared" si="24"/>
        <v>197.94493313081426</v>
      </c>
      <c r="BD25" s="585">
        <f t="shared" si="25"/>
        <v>352.59315709875597</v>
      </c>
    </row>
    <row r="26" spans="1:56" ht="15">
      <c r="A26" s="580" t="str">
        <f>VLOOKUP(CONCATENATE($C26," - ",$B26),[2]ACHIEV!$B$12:$C$100,2,FALSE)</f>
        <v>Retro12Med</v>
      </c>
      <c r="B26" s="580" t="str">
        <f>'SC-Retro'!$C$7</f>
        <v>Retro</v>
      </c>
      <c r="C26" s="580" t="str">
        <f>'SC-Retro'!$C$8</f>
        <v>ResWx</v>
      </c>
      <c r="D26" s="580" t="s">
        <v>306</v>
      </c>
      <c r="E26" s="580" t="str">
        <f>'SC-Retro'!$A$9</f>
        <v>HVAC</v>
      </c>
      <c r="F26" s="581">
        <f t="shared" si="1"/>
        <v>1.2959772864260666</v>
      </c>
      <c r="G26" s="582">
        <f>'SC-Retro'!A159</f>
        <v>2478.352529676858</v>
      </c>
      <c r="H26" s="582">
        <f>'SC-Retro'!B159</f>
        <v>62.108893553617094</v>
      </c>
      <c r="I26" s="583" t="str">
        <f>'SC-Retro'!C159</f>
        <v>Multifamily - Low Rise</v>
      </c>
      <c r="J26" s="586" t="str">
        <f>'SC-Retro'!D159</f>
        <v>WINDOW CL22 Prime Window Replacement of Double Pane Base_Electric FAF</v>
      </c>
      <c r="K26" s="584">
        <f>'SC-Retro'!E159</f>
        <v>6.4303712836284402E-2</v>
      </c>
      <c r="L26" s="584">
        <f>'SC-Retro'!F159</f>
        <v>6.4157690819875698E-2</v>
      </c>
      <c r="M26" s="584">
        <f>'SC-Retro'!G159</f>
        <v>6.4012000392862631E-2</v>
      </c>
      <c r="N26" s="584">
        <f>'SC-Retro'!H159</f>
        <v>6.3866640802266103E-2</v>
      </c>
      <c r="O26" s="584">
        <f>'SC-Retro'!I159</f>
        <v>6.3721611296816832E-2</v>
      </c>
      <c r="P26" s="584">
        <f>'SC-Retro'!J159</f>
        <v>5.72192200142565E-2</v>
      </c>
      <c r="Q26" s="584">
        <f>'SC-Retro'!K159</f>
        <v>4.5671428472262805E-2</v>
      </c>
      <c r="R26" s="584">
        <f>'SC-Retro'!L159</f>
        <v>3.6454173583234925E-2</v>
      </c>
      <c r="S26" s="584">
        <f>'SC-Retro'!M159</f>
        <v>2.9097114237267532E-2</v>
      </c>
      <c r="T26" s="584">
        <f>'SC-Retro'!N159</f>
        <v>2.3224831993611913E-2</v>
      </c>
      <c r="U26" s="584">
        <f>'SC-Retro'!O159</f>
        <v>1.853767410517454E-2</v>
      </c>
      <c r="V26" s="584">
        <f>'SC-Retro'!P159</f>
        <v>1.4796462739716678E-2</v>
      </c>
      <c r="W26" s="584">
        <f>'SC-Retro'!Q159</f>
        <v>1.1810290134872486E-2</v>
      </c>
      <c r="X26" s="584">
        <f>'SC-Retro'!R159</f>
        <v>9.4267768941468759E-3</v>
      </c>
      <c r="Y26" s="584">
        <f>'SC-Retro'!S159</f>
        <v>7.5242963210218287E-3</v>
      </c>
      <c r="Z26" s="584">
        <f>'SC-Retro'!T159</f>
        <v>6.0057680119379002E-3</v>
      </c>
      <c r="AA26" s="584">
        <f>'SC-Retro'!U159</f>
        <v>4.0870921347084862E-5</v>
      </c>
      <c r="AB26" s="584">
        <f>'SC-Retro'!V159</f>
        <v>1.4563611046771065E-5</v>
      </c>
      <c r="AC26" s="584">
        <f>'SC-Retro'!W159</f>
        <v>4.9535930930114135E-6</v>
      </c>
      <c r="AD26" s="584">
        <f>'SC-Retro'!X159</f>
        <v>1.6116340387910525E-6</v>
      </c>
      <c r="AE26" s="584">
        <f>'SC-Retro'!Y159</f>
        <v>0.56306744208504778</v>
      </c>
      <c r="AF26" s="585">
        <f t="shared" si="2"/>
        <v>276.07643065378977</v>
      </c>
      <c r="AG26" s="585">
        <f t="shared" si="3"/>
        <v>201.42531027245994</v>
      </c>
      <c r="AH26" s="585">
        <f t="shared" si="4"/>
        <v>182.5223563829214</v>
      </c>
      <c r="AI26" s="585">
        <f t="shared" si="5"/>
        <v>146.31074317154841</v>
      </c>
      <c r="AJ26" s="585">
        <f t="shared" si="6"/>
        <v>60.281648095265822</v>
      </c>
      <c r="AK26" s="585">
        <f t="shared" si="7"/>
        <v>16.83827902401676</v>
      </c>
      <c r="AL26" s="585">
        <f t="shared" si="8"/>
        <v>4.1002594204822556</v>
      </c>
      <c r="AM26" s="585">
        <f t="shared" si="9"/>
        <v>3.4468640667174197</v>
      </c>
      <c r="AN26" s="585">
        <f t="shared" si="10"/>
        <v>32.707768227944705</v>
      </c>
      <c r="AO26" s="585">
        <f t="shared" si="11"/>
        <v>112.34243512030687</v>
      </c>
      <c r="AP26" s="585">
        <f t="shared" si="12"/>
        <v>177.70099129038491</v>
      </c>
      <c r="AQ26" s="585">
        <f t="shared" si="13"/>
        <v>321.74040566890284</v>
      </c>
      <c r="AR26" s="585"/>
      <c r="AS26" s="585">
        <f t="shared" si="14"/>
        <v>175.48624415157724</v>
      </c>
      <c r="AT26" s="585">
        <f t="shared" si="15"/>
        <v>131.47091567742879</v>
      </c>
      <c r="AU26" s="585">
        <f t="shared" si="16"/>
        <v>101.83869584013762</v>
      </c>
      <c r="AV26" s="585">
        <f t="shared" si="17"/>
        <v>87.33676122252507</v>
      </c>
      <c r="AW26" s="585">
        <f t="shared" si="18"/>
        <v>34.311003324062668</v>
      </c>
      <c r="AX26" s="585">
        <f t="shared" si="19"/>
        <v>8.5178128188250355</v>
      </c>
      <c r="AY26" s="585">
        <f t="shared" si="20"/>
        <v>2.2941763181914991</v>
      </c>
      <c r="AZ26" s="585">
        <f t="shared" si="21"/>
        <v>1.5340339630992881</v>
      </c>
      <c r="BA26" s="585">
        <f t="shared" si="22"/>
        <v>18.782532221017679</v>
      </c>
      <c r="BB26" s="585">
        <f t="shared" si="23"/>
        <v>57.920755687353711</v>
      </c>
      <c r="BC26" s="585">
        <f t="shared" si="24"/>
        <v>116.26567457241021</v>
      </c>
      <c r="BD26" s="585">
        <f t="shared" si="25"/>
        <v>207.10043248548817</v>
      </c>
    </row>
    <row r="27" spans="1:56" ht="15">
      <c r="A27" s="580" t="str">
        <f>VLOOKUP(CONCATENATE($C27," - ",$B27),[2]ACHIEV!$B$12:$C$100,2,FALSE)</f>
        <v>Retro12Med</v>
      </c>
      <c r="B27" s="580" t="str">
        <f>'SC-Retro'!$C$7</f>
        <v>Retro</v>
      </c>
      <c r="C27" s="580" t="str">
        <f>'SC-Retro'!$C$8</f>
        <v>ResWx</v>
      </c>
      <c r="D27" s="580" t="s">
        <v>306</v>
      </c>
      <c r="E27" s="580" t="str">
        <f>'SC-Retro'!$A$9</f>
        <v>HVAC</v>
      </c>
      <c r="F27" s="581">
        <f t="shared" si="1"/>
        <v>2.0287329941976973</v>
      </c>
      <c r="G27" s="582">
        <f>'SC-Retro'!A160</f>
        <v>3879.632460283558</v>
      </c>
      <c r="H27" s="582">
        <f>'SC-Retro'!B160</f>
        <v>15.194120042811599</v>
      </c>
      <c r="I27" s="583" t="str">
        <f>'SC-Retro'!C160</f>
        <v>Multifamily - Low Rise</v>
      </c>
      <c r="J27" s="586" t="str">
        <f>'SC-Retro'!D160</f>
        <v>WINDOW CL30 Prime Window Replacement of Single Pane Base_Electric FAF</v>
      </c>
      <c r="K27" s="584">
        <f>'SC-Retro'!E160</f>
        <v>7.4424628621423974E-2</v>
      </c>
      <c r="L27" s="584">
        <f>'SC-Retro'!F160</f>
        <v>7.4255623849188851E-2</v>
      </c>
      <c r="M27" s="584">
        <f>'SC-Retro'!G160</f>
        <v>7.4087002856000644E-2</v>
      </c>
      <c r="N27" s="584">
        <f>'SC-Retro'!H160</f>
        <v>7.3918764770367032E-2</v>
      </c>
      <c r="O27" s="584">
        <f>'SC-Retro'!I160</f>
        <v>7.3750908722774719E-2</v>
      </c>
      <c r="P27" s="584">
        <f>'SC-Retro'!J160</f>
        <v>6.6225090461116451E-2</v>
      </c>
      <c r="Q27" s="584">
        <f>'SC-Retro'!K160</f>
        <v>5.2859764276940835E-2</v>
      </c>
      <c r="R27" s="584">
        <f>'SC-Retro'!L160</f>
        <v>4.2191783506197192E-2</v>
      </c>
      <c r="S27" s="584">
        <f>'SC-Retro'!M160</f>
        <v>3.3676778922193784E-2</v>
      </c>
      <c r="T27" s="584">
        <f>'SC-Retro'!N160</f>
        <v>2.6880244074245722E-2</v>
      </c>
      <c r="U27" s="584">
        <f>'SC-Retro'!O160</f>
        <v>2.1455363149794793E-2</v>
      </c>
      <c r="V27" s="584">
        <f>'SC-Retro'!P160</f>
        <v>1.7125313543213783E-2</v>
      </c>
      <c r="W27" s="584">
        <f>'SC-Retro'!Q160</f>
        <v>1.3669140060963562E-2</v>
      </c>
      <c r="X27" s="584">
        <f>'SC-Retro'!R160</f>
        <v>1.0910479947403934E-2</v>
      </c>
      <c r="Y27" s="584">
        <f>'SC-Retro'!S160</f>
        <v>8.7085633881720612E-3</v>
      </c>
      <c r="Z27" s="584">
        <f>'SC-Retro'!T160</f>
        <v>6.9510302618590323E-3</v>
      </c>
      <c r="AA27" s="584">
        <f>'SC-Retro'!U160</f>
        <v>4.7303693807176767E-5</v>
      </c>
      <c r="AB27" s="584">
        <f>'SC-Retro'!V160</f>
        <v>1.6855812763134898E-5</v>
      </c>
      <c r="AC27" s="584">
        <f>'SC-Retro'!W160</f>
        <v>5.7332510057023935E-6</v>
      </c>
      <c r="AD27" s="584">
        <f>'SC-Retro'!X160</f>
        <v>1.8652929904070586E-6</v>
      </c>
      <c r="AE27" s="584">
        <f>'SC-Retro'!Y160</f>
        <v>0.65168997897036895</v>
      </c>
      <c r="AF27" s="585">
        <f t="shared" si="2"/>
        <v>432.17220676160969</v>
      </c>
      <c r="AG27" s="585">
        <f t="shared" si="3"/>
        <v>315.31275825300509</v>
      </c>
      <c r="AH27" s="585">
        <f t="shared" si="4"/>
        <v>285.72192618737517</v>
      </c>
      <c r="AI27" s="585">
        <f t="shared" si="5"/>
        <v>229.03598325883095</v>
      </c>
      <c r="AJ27" s="585">
        <f t="shared" si="6"/>
        <v>94.365364051044509</v>
      </c>
      <c r="AK27" s="585">
        <f t="shared" si="7"/>
        <v>26.358773860716578</v>
      </c>
      <c r="AL27" s="585">
        <f t="shared" si="8"/>
        <v>6.4185782098402768</v>
      </c>
      <c r="AM27" s="585">
        <f t="shared" si="9"/>
        <v>5.3957480056985627</v>
      </c>
      <c r="AN27" s="585">
        <f t="shared" si="10"/>
        <v>51.200996549554915</v>
      </c>
      <c r="AO27" s="585">
        <f t="shared" si="11"/>
        <v>175.86172779740517</v>
      </c>
      <c r="AP27" s="585">
        <f t="shared" si="12"/>
        <v>278.17452351083932</v>
      </c>
      <c r="AQ27" s="585">
        <f t="shared" si="13"/>
        <v>503.65495088813196</v>
      </c>
      <c r="AR27" s="585"/>
      <c r="AS27" s="585">
        <f t="shared" si="14"/>
        <v>274.70754099396601</v>
      </c>
      <c r="AT27" s="585">
        <f t="shared" si="15"/>
        <v>205.80560107478323</v>
      </c>
      <c r="AU27" s="585">
        <f t="shared" si="16"/>
        <v>159.41909206349149</v>
      </c>
      <c r="AV27" s="585">
        <f t="shared" si="17"/>
        <v>136.7176500346873</v>
      </c>
      <c r="AW27" s="585">
        <f t="shared" si="18"/>
        <v>53.71071332547141</v>
      </c>
      <c r="AX27" s="585">
        <f t="shared" si="19"/>
        <v>13.333850897653262</v>
      </c>
      <c r="AY27" s="585">
        <f t="shared" si="20"/>
        <v>3.5913215763659205</v>
      </c>
      <c r="AZ27" s="585">
        <f t="shared" si="21"/>
        <v>2.4013887803094009</v>
      </c>
      <c r="BA27" s="585">
        <f t="shared" si="22"/>
        <v>29.402323042591181</v>
      </c>
      <c r="BB27" s="585">
        <f t="shared" si="23"/>
        <v>90.669604585313024</v>
      </c>
      <c r="BC27" s="585">
        <f t="shared" si="24"/>
        <v>182.00319756233395</v>
      </c>
      <c r="BD27" s="585">
        <f t="shared" si="25"/>
        <v>324.19663901253989</v>
      </c>
    </row>
    <row r="28" spans="1:56" ht="15">
      <c r="A28" s="580" t="str">
        <f>VLOOKUP(CONCATENATE($C28," - ",$B28),[2]ACHIEV!$B$12:$C$100,2,FALSE)</f>
        <v>Retro12Med</v>
      </c>
      <c r="B28" s="580" t="str">
        <f>'SC-Retro'!$C$7</f>
        <v>Retro</v>
      </c>
      <c r="C28" s="580" t="str">
        <f>'SC-Retro'!$C$8</f>
        <v>ResWx</v>
      </c>
      <c r="D28" s="580" t="s">
        <v>306</v>
      </c>
      <c r="E28" s="580" t="str">
        <f>'SC-Retro'!$A$9</f>
        <v>HVAC</v>
      </c>
      <c r="F28" s="581">
        <f t="shared" si="1"/>
        <v>1.1182797219562208</v>
      </c>
      <c r="G28" s="582">
        <f>'SC-Retro'!A161</f>
        <v>2138.5339132289205</v>
      </c>
      <c r="H28" s="582">
        <f>'SC-Retro'!B161</f>
        <v>51.736251929647075</v>
      </c>
      <c r="I28" s="583" t="str">
        <f>'SC-Retro'!C161</f>
        <v>Multifamily - Low Rise</v>
      </c>
      <c r="J28" s="586" t="str">
        <f>'SC-Retro'!D161</f>
        <v>WINDOW CL30 Prime Window Replacement of Double Pane Base_Electric FAF</v>
      </c>
      <c r="K28" s="584">
        <f>'SC-Retro'!E161</f>
        <v>0.22194690868269354</v>
      </c>
      <c r="L28" s="584">
        <f>'SC-Retro'!F161</f>
        <v>0.22144290768940664</v>
      </c>
      <c r="M28" s="584">
        <f>'SC-Retro'!G161</f>
        <v>0.22094005119055191</v>
      </c>
      <c r="N28" s="584">
        <f>'SC-Retro'!H161</f>
        <v>0.22043833658719114</v>
      </c>
      <c r="O28" s="584">
        <f>'SC-Retro'!I161</f>
        <v>0.2199377612862875</v>
      </c>
      <c r="P28" s="584">
        <f>'SC-Retro'!J161</f>
        <v>0.19749449043062364</v>
      </c>
      <c r="Q28" s="584">
        <f>'SC-Retro'!K161</f>
        <v>0.15763681313937639</v>
      </c>
      <c r="R28" s="584">
        <f>'SC-Retro'!L161</f>
        <v>0.12582307892517033</v>
      </c>
      <c r="S28" s="584">
        <f>'SC-Retro'!M161</f>
        <v>0.10042988610923072</v>
      </c>
      <c r="T28" s="584">
        <f>'SC-Retro'!N161</f>
        <v>8.0161462508094444E-2</v>
      </c>
      <c r="U28" s="584">
        <f>'SC-Retro'!O161</f>
        <v>6.3983544345033547E-2</v>
      </c>
      <c r="V28" s="584">
        <f>'SC-Retro'!P161</f>
        <v>5.1070599498349793E-2</v>
      </c>
      <c r="W28" s="584">
        <f>'SC-Retro'!Q161</f>
        <v>4.0763701977120891E-2</v>
      </c>
      <c r="X28" s="584">
        <f>'SC-Retro'!R161</f>
        <v>3.253690802930994E-2</v>
      </c>
      <c r="Y28" s="584">
        <f>'SC-Retro'!S161</f>
        <v>2.5970418111239103E-2</v>
      </c>
      <c r="Z28" s="584">
        <f>'SC-Retro'!T161</f>
        <v>2.0729155218590711E-2</v>
      </c>
      <c r="AA28" s="584">
        <f>'SC-Retro'!U161</f>
        <v>1.4106766542538489E-4</v>
      </c>
      <c r="AB28" s="584">
        <f>'SC-Retro'!V161</f>
        <v>5.0266902306519076E-5</v>
      </c>
      <c r="AC28" s="584">
        <f>'SC-Retro'!W161</f>
        <v>1.7097530226053326E-5</v>
      </c>
      <c r="AD28" s="584">
        <f>'SC-Retro'!X161</f>
        <v>5.5626211467472526E-6</v>
      </c>
      <c r="AE28" s="584">
        <f>'SC-Retro'!Y161</f>
        <v>1.9434504267089689</v>
      </c>
      <c r="AF28" s="585">
        <f t="shared" si="2"/>
        <v>238.22228780071953</v>
      </c>
      <c r="AG28" s="585">
        <f t="shared" si="3"/>
        <v>173.80693498695987</v>
      </c>
      <c r="AH28" s="585">
        <f t="shared" si="4"/>
        <v>157.49585435217566</v>
      </c>
      <c r="AI28" s="585">
        <f t="shared" si="5"/>
        <v>126.24938639495305</v>
      </c>
      <c r="AJ28" s="585">
        <f t="shared" si="6"/>
        <v>52.016146715764492</v>
      </c>
      <c r="AK28" s="585">
        <f t="shared" si="7"/>
        <v>14.529503088072019</v>
      </c>
      <c r="AL28" s="585">
        <f t="shared" si="8"/>
        <v>3.5380534926889342</v>
      </c>
      <c r="AM28" s="585">
        <f t="shared" si="9"/>
        <v>2.9742482607696088</v>
      </c>
      <c r="AN28" s="585">
        <f t="shared" si="10"/>
        <v>28.22305170225771</v>
      </c>
      <c r="AO28" s="585">
        <f t="shared" si="11"/>
        <v>96.938633435986972</v>
      </c>
      <c r="AP28" s="585">
        <f t="shared" si="12"/>
        <v>153.33556939070098</v>
      </c>
      <c r="AQ28" s="585">
        <f t="shared" si="13"/>
        <v>277.62505960711388</v>
      </c>
      <c r="AR28" s="585"/>
      <c r="AS28" s="585">
        <f t="shared" si="14"/>
        <v>151.42449668863287</v>
      </c>
      <c r="AT28" s="585">
        <f t="shared" si="15"/>
        <v>113.44431771217788</v>
      </c>
      <c r="AU28" s="585">
        <f t="shared" si="16"/>
        <v>87.875111440072416</v>
      </c>
      <c r="AV28" s="585">
        <f t="shared" si="17"/>
        <v>75.361605546204871</v>
      </c>
      <c r="AW28" s="585">
        <f t="shared" si="18"/>
        <v>29.606459664955466</v>
      </c>
      <c r="AX28" s="585">
        <f t="shared" si="19"/>
        <v>7.3498952878864356</v>
      </c>
      <c r="AY28" s="585">
        <f t="shared" si="20"/>
        <v>1.9796109716557873</v>
      </c>
      <c r="AZ28" s="585">
        <f t="shared" si="21"/>
        <v>1.3236953237482045</v>
      </c>
      <c r="BA28" s="585">
        <f t="shared" si="22"/>
        <v>16.20717054978391</v>
      </c>
      <c r="BB28" s="585">
        <f t="shared" si="23"/>
        <v>49.978967412437925</v>
      </c>
      <c r="BC28" s="585">
        <f t="shared" si="24"/>
        <v>100.32393900392995</v>
      </c>
      <c r="BD28" s="585">
        <f t="shared" si="25"/>
        <v>178.70391439927218</v>
      </c>
    </row>
    <row r="29" spans="1:56" ht="15">
      <c r="A29" s="580" t="str">
        <f>VLOOKUP(CONCATENATE($C29," - ",$B29),[2]ACHIEV!$B$12:$C$100,2,FALSE)</f>
        <v>Retro12Med</v>
      </c>
      <c r="B29" s="580" t="str">
        <f>'SC-Retro'!$C$7</f>
        <v>Retro</v>
      </c>
      <c r="C29" s="580" t="str">
        <f>'SC-Retro'!$C$8</f>
        <v>ResWx</v>
      </c>
      <c r="D29" s="580" t="s">
        <v>306</v>
      </c>
      <c r="E29" s="580" t="str">
        <f>'SC-Retro'!$A$9</f>
        <v>HVAC</v>
      </c>
      <c r="F29" s="581">
        <f t="shared" si="1"/>
        <v>0.15278121519477739</v>
      </c>
      <c r="G29" s="582">
        <f>'SC-Retro'!A162</f>
        <v>292.170021134612</v>
      </c>
      <c r="H29" s="582">
        <f>'SC-Retro'!B162</f>
        <v>67.293970237357726</v>
      </c>
      <c r="I29" s="583" t="str">
        <f>'SC-Retro'!C162</f>
        <v>Multifamily - Low Rise</v>
      </c>
      <c r="J29" s="586" t="str">
        <f>'SC-Retro'!D162</f>
        <v>WALL R0 - R11_Heat Pump</v>
      </c>
      <c r="K29" s="584">
        <f>'SC-Retro'!E162</f>
        <v>0.17950403689663999</v>
      </c>
      <c r="L29" s="584">
        <f>'SC-Retro'!F162</f>
        <v>0.17909641593254608</v>
      </c>
      <c r="M29" s="584">
        <f>'SC-Retro'!G162</f>
        <v>0.1786897206013974</v>
      </c>
      <c r="N29" s="584">
        <f>'SC-Retro'!H162</f>
        <v>0.17828394880125029</v>
      </c>
      <c r="O29" s="584">
        <f>'SC-Retro'!I162</f>
        <v>0.17787909843493402</v>
      </c>
      <c r="P29" s="584">
        <f>'SC-Retro'!J162</f>
        <v>0.1597276506690363</v>
      </c>
      <c r="Q29" s="584">
        <f>'SC-Retro'!K162</f>
        <v>0.12749195062001692</v>
      </c>
      <c r="R29" s="584">
        <f>'SC-Retro'!L162</f>
        <v>0.10176195170225305</v>
      </c>
      <c r="S29" s="584">
        <f>'SC-Retro'!M162</f>
        <v>8.12246950798933E-2</v>
      </c>
      <c r="T29" s="584">
        <f>'SC-Retro'!N162</f>
        <v>6.483219887650378E-2</v>
      </c>
      <c r="U29" s="584">
        <f>'SC-Retro'!O162</f>
        <v>5.1747981411665762E-2</v>
      </c>
      <c r="V29" s="584">
        <f>'SC-Retro'!P162</f>
        <v>4.1304376939042896E-2</v>
      </c>
      <c r="W29" s="584">
        <f>'SC-Retro'!Q162</f>
        <v>3.2968465779380826E-2</v>
      </c>
      <c r="X29" s="584">
        <f>'SC-Retro'!R162</f>
        <v>2.6314880320075621E-2</v>
      </c>
      <c r="Y29" s="584">
        <f>'SC-Retro'!S162</f>
        <v>2.1004099216924744E-2</v>
      </c>
      <c r="Z29" s="584">
        <f>'SC-Retro'!T162</f>
        <v>1.676512218745865E-2</v>
      </c>
      <c r="AA29" s="584">
        <f>'SC-Retro'!U162</f>
        <v>1.1409131836858815E-4</v>
      </c>
      <c r="AB29" s="584">
        <f>'SC-Retro'!V162</f>
        <v>4.0654370632433944E-5</v>
      </c>
      <c r="AC29" s="584">
        <f>'SC-Retro'!W162</f>
        <v>1.3827972260368801E-5</v>
      </c>
      <c r="AD29" s="584">
        <f>'SC-Retro'!X162</f>
        <v>4.4988819961231041E-6</v>
      </c>
      <c r="AE29" s="584">
        <f>'SC-Retro'!Y162</f>
        <v>1.5718047129978341</v>
      </c>
      <c r="AF29" s="585">
        <f t="shared" si="2"/>
        <v>32.546320837335877</v>
      </c>
      <c r="AG29" s="585">
        <f t="shared" si="3"/>
        <v>23.745789372032419</v>
      </c>
      <c r="AH29" s="585">
        <f t="shared" si="4"/>
        <v>21.517342703820464</v>
      </c>
      <c r="AI29" s="585">
        <f t="shared" si="5"/>
        <v>17.248398850758239</v>
      </c>
      <c r="AJ29" s="585">
        <f t="shared" si="6"/>
        <v>7.1065315313796287</v>
      </c>
      <c r="AK29" s="585">
        <f t="shared" si="7"/>
        <v>1.9850446130675856</v>
      </c>
      <c r="AL29" s="585">
        <f t="shared" si="8"/>
        <v>0.48337468830388353</v>
      </c>
      <c r="AM29" s="585">
        <f t="shared" si="9"/>
        <v>0.40634669005392504</v>
      </c>
      <c r="AN29" s="585">
        <f t="shared" si="10"/>
        <v>3.8558797507595064</v>
      </c>
      <c r="AO29" s="585">
        <f t="shared" si="11"/>
        <v>13.24391556502799</v>
      </c>
      <c r="AP29" s="585">
        <f t="shared" si="12"/>
        <v>20.948957728674198</v>
      </c>
      <c r="AQ29" s="585">
        <f t="shared" si="13"/>
        <v>37.929592339471832</v>
      </c>
      <c r="AR29" s="585"/>
      <c r="AS29" s="585">
        <f t="shared" si="14"/>
        <v>20.687863832384298</v>
      </c>
      <c r="AT29" s="585">
        <f t="shared" si="15"/>
        <v>15.498949302853829</v>
      </c>
      <c r="AU29" s="585">
        <f t="shared" si="16"/>
        <v>12.005642280363503</v>
      </c>
      <c r="AV29" s="585">
        <f t="shared" si="17"/>
        <v>10.296026520303304</v>
      </c>
      <c r="AW29" s="585">
        <f t="shared" si="18"/>
        <v>4.0448832223429507</v>
      </c>
      <c r="AX29" s="585">
        <f t="shared" si="19"/>
        <v>1.0041547848809322</v>
      </c>
      <c r="AY29" s="585">
        <f t="shared" si="20"/>
        <v>0.27045770742709185</v>
      </c>
      <c r="AZ29" s="585">
        <f t="shared" si="21"/>
        <v>0.18084543262227928</v>
      </c>
      <c r="BA29" s="585">
        <f t="shared" si="22"/>
        <v>2.2142503014661048</v>
      </c>
      <c r="BB29" s="585">
        <f t="shared" si="23"/>
        <v>6.8282087437792045</v>
      </c>
      <c r="BC29" s="585">
        <f t="shared" si="24"/>
        <v>13.706421580581246</v>
      </c>
      <c r="BD29" s="585">
        <f t="shared" si="25"/>
        <v>24.414822754921722</v>
      </c>
    </row>
    <row r="30" spans="1:56" ht="15">
      <c r="A30" s="580" t="str">
        <f>VLOOKUP(CONCATENATE($C30," - ",$B30),[2]ACHIEV!$B$12:$C$100,2,FALSE)</f>
        <v>Retro12Med</v>
      </c>
      <c r="B30" s="580" t="str">
        <f>'SC-Retro'!$C$7</f>
        <v>Retro</v>
      </c>
      <c r="C30" s="580" t="str">
        <f>'SC-Retro'!$C$8</f>
        <v>ResWx</v>
      </c>
      <c r="D30" s="580" t="s">
        <v>306</v>
      </c>
      <c r="E30" s="580" t="str">
        <f>'SC-Retro'!$A$9</f>
        <v>HVAC</v>
      </c>
      <c r="F30" s="581">
        <f t="shared" si="1"/>
        <v>3.2004676096971697E-2</v>
      </c>
      <c r="G30" s="582">
        <f>'SC-Retro'!A163</f>
        <v>61.203904418075837</v>
      </c>
      <c r="H30" s="582">
        <f>'SC-Retro'!B163</f>
        <v>299.00212875285848</v>
      </c>
      <c r="I30" s="583" t="str">
        <f>'SC-Retro'!C163</f>
        <v>Multifamily - Low Rise</v>
      </c>
      <c r="J30" s="586" t="str">
        <f>'SC-Retro'!D163</f>
        <v>FLOOR R0 - R19_Heat Pump</v>
      </c>
      <c r="K30" s="584">
        <f>'SC-Retro'!E163</f>
        <v>1.0072989722055368E-2</v>
      </c>
      <c r="L30" s="584">
        <f>'SC-Retro'!F163</f>
        <v>1.0050115797586599E-2</v>
      </c>
      <c r="M30" s="584">
        <f>'SC-Retro'!G163</f>
        <v>1.0027293815632917E-2</v>
      </c>
      <c r="N30" s="584">
        <f>'SC-Retro'!H163</f>
        <v>1.0004523658242333E-2</v>
      </c>
      <c r="O30" s="584">
        <f>'SC-Retro'!I163</f>
        <v>9.9818052077307057E-3</v>
      </c>
      <c r="P30" s="584">
        <f>'SC-Retro'!J163</f>
        <v>8.9632245120130193E-3</v>
      </c>
      <c r="Q30" s="584">
        <f>'SC-Retro'!K163</f>
        <v>7.1542965297192122E-3</v>
      </c>
      <c r="R30" s="584">
        <f>'SC-Retro'!L163</f>
        <v>5.7104403405886682E-3</v>
      </c>
      <c r="S30" s="584">
        <f>'SC-Retro'!M163</f>
        <v>4.5579783767646358E-3</v>
      </c>
      <c r="T30" s="584">
        <f>'SC-Retro'!N163</f>
        <v>3.6381024306283778E-3</v>
      </c>
      <c r="U30" s="584">
        <f>'SC-Retro'!O163</f>
        <v>2.9038727702651369E-3</v>
      </c>
      <c r="V30" s="584">
        <f>'SC-Retro'!P163</f>
        <v>2.3178228834065165E-3</v>
      </c>
      <c r="W30" s="584">
        <f>'SC-Retro'!Q163</f>
        <v>1.8500476239364919E-3</v>
      </c>
      <c r="X30" s="584">
        <f>'SC-Retro'!R163</f>
        <v>1.4766772022729948E-3</v>
      </c>
      <c r="Y30" s="584">
        <f>'SC-Retro'!S163</f>
        <v>1.1786591499050264E-3</v>
      </c>
      <c r="Z30" s="584">
        <f>'SC-Retro'!T163</f>
        <v>9.4078610377165521E-4</v>
      </c>
      <c r="AA30" s="584">
        <f>'SC-Retro'!U163</f>
        <v>6.4023110408613164E-6</v>
      </c>
      <c r="AB30" s="584">
        <f>'SC-Retro'!V163</f>
        <v>2.2813473424719524E-6</v>
      </c>
      <c r="AC30" s="584">
        <f>'SC-Retro'!W163</f>
        <v>7.7596596078652837E-7</v>
      </c>
      <c r="AD30" s="584">
        <f>'SC-Retro'!X163</f>
        <v>2.5245778808741782E-7</v>
      </c>
      <c r="AE30" s="584">
        <f>'SC-Retro'!Y163</f>
        <v>8.8202878290820949E-2</v>
      </c>
      <c r="AF30" s="585">
        <f t="shared" si="2"/>
        <v>6.8178175911161496</v>
      </c>
      <c r="AG30" s="585">
        <f t="shared" si="3"/>
        <v>4.9742783924707856</v>
      </c>
      <c r="AH30" s="585">
        <f t="shared" si="4"/>
        <v>4.5074624051481678</v>
      </c>
      <c r="AI30" s="585">
        <f t="shared" si="5"/>
        <v>3.6132021708698034</v>
      </c>
      <c r="AJ30" s="585">
        <f t="shared" si="6"/>
        <v>1.4886793480779699</v>
      </c>
      <c r="AK30" s="585">
        <f t="shared" si="7"/>
        <v>0.41582801785070689</v>
      </c>
      <c r="AL30" s="585">
        <f t="shared" si="8"/>
        <v>0.10125754211941412</v>
      </c>
      <c r="AM30" s="585">
        <f t="shared" si="9"/>
        <v>8.5121683196933876E-2</v>
      </c>
      <c r="AN30" s="585">
        <f t="shared" si="10"/>
        <v>0.80773138461166272</v>
      </c>
      <c r="AO30" s="585">
        <f t="shared" si="11"/>
        <v>2.7743412524503341</v>
      </c>
      <c r="AP30" s="585">
        <f t="shared" si="12"/>
        <v>4.3883968707842067</v>
      </c>
      <c r="AQ30" s="585">
        <f t="shared" si="13"/>
        <v>7.9455076710011072</v>
      </c>
      <c r="AR30" s="585"/>
      <c r="AS30" s="585">
        <f t="shared" si="14"/>
        <v>4.3337028066546512</v>
      </c>
      <c r="AT30" s="585">
        <f t="shared" si="15"/>
        <v>3.2467267107990541</v>
      </c>
      <c r="AU30" s="585">
        <f t="shared" si="16"/>
        <v>2.5149472206336867</v>
      </c>
      <c r="AV30" s="585">
        <f t="shared" si="17"/>
        <v>2.1568161599450479</v>
      </c>
      <c r="AW30" s="585">
        <f t="shared" si="18"/>
        <v>0.84732391489439152</v>
      </c>
      <c r="AX30" s="585">
        <f t="shared" si="19"/>
        <v>0.21035078560127271</v>
      </c>
      <c r="AY30" s="585">
        <f t="shared" si="20"/>
        <v>5.6655599401394863E-2</v>
      </c>
      <c r="AZ30" s="585">
        <f t="shared" si="21"/>
        <v>3.7883580696186386E-2</v>
      </c>
      <c r="BA30" s="585">
        <f t="shared" si="22"/>
        <v>0.46384212617826515</v>
      </c>
      <c r="BB30" s="585">
        <f t="shared" si="23"/>
        <v>1.4303761682256453</v>
      </c>
      <c r="BC30" s="585">
        <f t="shared" si="24"/>
        <v>2.8712272158314454</v>
      </c>
      <c r="BD30" s="585">
        <f t="shared" si="25"/>
        <v>5.114427799517558</v>
      </c>
    </row>
    <row r="31" spans="1:56" ht="15">
      <c r="A31" s="580" t="str">
        <f>VLOOKUP(CONCATENATE($C31," - ",$B31),[2]ACHIEV!$B$12:$C$100,2,FALSE)</f>
        <v>Retro12Med</v>
      </c>
      <c r="B31" s="580" t="str">
        <f>'SC-Retro'!$C$7</f>
        <v>Retro</v>
      </c>
      <c r="C31" s="580" t="str">
        <f>'SC-Retro'!$C$8</f>
        <v>ResWx</v>
      </c>
      <c r="D31" s="580" t="s">
        <v>306</v>
      </c>
      <c r="E31" s="580" t="str">
        <f>'SC-Retro'!$A$9</f>
        <v>HVAC</v>
      </c>
      <c r="F31" s="581">
        <f t="shared" si="1"/>
        <v>4.1368445604760183E-2</v>
      </c>
      <c r="G31" s="582">
        <f>'SC-Retro'!A164</f>
        <v>79.110639428020434</v>
      </c>
      <c r="H31" s="582">
        <f>'SC-Retro'!B164</f>
        <v>242.45551108113341</v>
      </c>
      <c r="I31" s="583" t="str">
        <f>'SC-Retro'!C164</f>
        <v>Multifamily - Low Rise</v>
      </c>
      <c r="J31" s="586" t="str">
        <f>'SC-Retro'!D164</f>
        <v>FLOOR R0 - R30_Heat Pump</v>
      </c>
      <c r="K31" s="584">
        <f>'SC-Retro'!E164</f>
        <v>0.14415440387307987</v>
      </c>
      <c r="L31" s="584">
        <f>'SC-Retro'!F164</f>
        <v>0.14382705548526076</v>
      </c>
      <c r="M31" s="584">
        <f>'SC-Retro'!G164</f>
        <v>0.14350045044599102</v>
      </c>
      <c r="N31" s="584">
        <f>'SC-Retro'!H164</f>
        <v>0.14317458706726161</v>
      </c>
      <c r="O31" s="584">
        <f>'SC-Retro'!I164</f>
        <v>0.14284946366489645</v>
      </c>
      <c r="P31" s="584">
        <f>'SC-Retro'!J164</f>
        <v>0.12827257070268971</v>
      </c>
      <c r="Q31" s="584">
        <f>'SC-Retro'!K164</f>
        <v>0.10238502965160159</v>
      </c>
      <c r="R31" s="584">
        <f>'SC-Retro'!L164</f>
        <v>8.1722025522168187E-2</v>
      </c>
      <c r="S31" s="584">
        <f>'SC-Retro'!M164</f>
        <v>6.5229159752862739E-2</v>
      </c>
      <c r="T31" s="584">
        <f>'SC-Retro'!N164</f>
        <v>5.206482897209036E-2</v>
      </c>
      <c r="U31" s="584">
        <f>'SC-Retro'!O164</f>
        <v>4.1557279384915762E-2</v>
      </c>
      <c r="V31" s="584">
        <f>'SC-Retro'!P164</f>
        <v>3.3170328299776342E-2</v>
      </c>
      <c r="W31" s="584">
        <f>'SC-Retro'!Q164</f>
        <v>2.647600362198671E-2</v>
      </c>
      <c r="X31" s="584">
        <f>'SC-Retro'!R164</f>
        <v>2.1132705153122645E-2</v>
      </c>
      <c r="Y31" s="584">
        <f>'SC-Retro'!S164</f>
        <v>1.6867773303896577E-2</v>
      </c>
      <c r="Z31" s="584">
        <f>'SC-Retro'!T164</f>
        <v>1.3463575731079749E-2</v>
      </c>
      <c r="AA31" s="584">
        <f>'SC-Retro'!U164</f>
        <v>9.1623376670842141E-5</v>
      </c>
      <c r="AB31" s="584">
        <f>'SC-Retro'!V164</f>
        <v>3.2648327384014731E-5</v>
      </c>
      <c r="AC31" s="584">
        <f>'SC-Retro'!W164</f>
        <v>1.1104837152574707E-5</v>
      </c>
      <c r="AD31" s="584">
        <f>'SC-Retro'!X164</f>
        <v>3.612919594782646E-6</v>
      </c>
      <c r="AE31" s="584">
        <f>'SC-Retro'!Y164</f>
        <v>1.262270059907167</v>
      </c>
      <c r="AF31" s="585">
        <f t="shared" si="2"/>
        <v>8.8125408707995838</v>
      </c>
      <c r="AG31" s="585">
        <f t="shared" si="3"/>
        <v>6.429628110541401</v>
      </c>
      <c r="AH31" s="585">
        <f t="shared" si="4"/>
        <v>5.8262334153263655</v>
      </c>
      <c r="AI31" s="585">
        <f t="shared" si="5"/>
        <v>4.6703349539216887</v>
      </c>
      <c r="AJ31" s="585">
        <f t="shared" si="6"/>
        <v>1.9242297734024094</v>
      </c>
      <c r="AK31" s="585">
        <f t="shared" si="7"/>
        <v>0.53748891834652546</v>
      </c>
      <c r="AL31" s="585">
        <f t="shared" si="8"/>
        <v>0.1308829719303127</v>
      </c>
      <c r="AM31" s="585">
        <f t="shared" si="9"/>
        <v>0.11002616337839397</v>
      </c>
      <c r="AN31" s="585">
        <f t="shared" si="10"/>
        <v>1.0440534297651245</v>
      </c>
      <c r="AO31" s="585">
        <f t="shared" si="11"/>
        <v>3.5860442656344684</v>
      </c>
      <c r="AP31" s="585">
        <f t="shared" si="12"/>
        <v>5.672332277042285</v>
      </c>
      <c r="AQ31" s="585">
        <f t="shared" si="13"/>
        <v>10.270164925090908</v>
      </c>
      <c r="AR31" s="585"/>
      <c r="AS31" s="585">
        <f t="shared" si="14"/>
        <v>5.6016360947097024</v>
      </c>
      <c r="AT31" s="585">
        <f t="shared" si="15"/>
        <v>4.1966379201044726</v>
      </c>
      <c r="AU31" s="585">
        <f t="shared" si="16"/>
        <v>3.2507580136226335</v>
      </c>
      <c r="AV31" s="585">
        <f t="shared" si="17"/>
        <v>2.7878467422014284</v>
      </c>
      <c r="AW31" s="585">
        <f t="shared" si="18"/>
        <v>1.0952297463256557</v>
      </c>
      <c r="AX31" s="585">
        <f t="shared" si="19"/>
        <v>0.27189417589163484</v>
      </c>
      <c r="AY31" s="585">
        <f t="shared" si="20"/>
        <v>7.3231613872307089E-2</v>
      </c>
      <c r="AZ31" s="585">
        <f t="shared" si="21"/>
        <v>4.8967370974018938E-2</v>
      </c>
      <c r="BA31" s="585">
        <f t="shared" si="22"/>
        <v>0.59955075651640466</v>
      </c>
      <c r="BB31" s="585">
        <f t="shared" si="23"/>
        <v>1.8488685381567369</v>
      </c>
      <c r="BC31" s="585">
        <f t="shared" si="24"/>
        <v>3.7112766439860665</v>
      </c>
      <c r="BD31" s="585">
        <f t="shared" si="25"/>
        <v>6.6107817364799049</v>
      </c>
    </row>
    <row r="32" spans="1:56" ht="15">
      <c r="A32" s="580" t="str">
        <f>VLOOKUP(CONCATENATE($C32," - ",$B32),[2]ACHIEV!$B$12:$C$100,2,FALSE)</f>
        <v>Retro12Med</v>
      </c>
      <c r="B32" s="580" t="str">
        <f>'SC-Retro'!$C$7</f>
        <v>Retro</v>
      </c>
      <c r="C32" s="580" t="str">
        <f>'SC-Retro'!$C$8</f>
        <v>ResWx</v>
      </c>
      <c r="D32" s="580" t="s">
        <v>306</v>
      </c>
      <c r="E32" s="580" t="str">
        <f>'SC-Retro'!$A$9</f>
        <v>HVAC</v>
      </c>
      <c r="F32" s="581">
        <f t="shared" si="1"/>
        <v>4.9088511578958161E-2</v>
      </c>
      <c r="G32" s="582">
        <f>'SC-Retro'!A165</f>
        <v>93.874050204446334</v>
      </c>
      <c r="H32" s="582">
        <f>'SC-Retro'!B165</f>
        <v>104.09293638751957</v>
      </c>
      <c r="I32" s="583" t="str">
        <f>'SC-Retro'!C165</f>
        <v>Multifamily - Low Rise</v>
      </c>
      <c r="J32" s="586" t="str">
        <f>'SC-Retro'!D165</f>
        <v>ATTIC R0 - R19_Heat Pump</v>
      </c>
      <c r="K32" s="584">
        <f>'SC-Retro'!E165</f>
        <v>4.0549201571573837E-2</v>
      </c>
      <c r="L32" s="584">
        <f>'SC-Retro'!F165</f>
        <v>4.0457121722431703E-2</v>
      </c>
      <c r="M32" s="584">
        <f>'SC-Retro'!G165</f>
        <v>4.036525096985101E-2</v>
      </c>
      <c r="N32" s="584">
        <f>'SC-Retro'!H165</f>
        <v>4.0273588839011595E-2</v>
      </c>
      <c r="O32" s="584">
        <f>'SC-Retro'!I165</f>
        <v>4.0182134856171448E-2</v>
      </c>
      <c r="P32" s="584">
        <f>'SC-Retro'!J165</f>
        <v>3.6081799693797961E-2</v>
      </c>
      <c r="Q32" s="584">
        <f>'SC-Retro'!K165</f>
        <v>2.879989160032629E-2</v>
      </c>
      <c r="R32" s="584">
        <f>'SC-Retro'!L165</f>
        <v>2.2987593834825109E-2</v>
      </c>
      <c r="S32" s="584">
        <f>'SC-Retro'!M165</f>
        <v>1.8348314557854181E-2</v>
      </c>
      <c r="T32" s="584">
        <f>'SC-Retro'!N165</f>
        <v>1.4645319102686554E-2</v>
      </c>
      <c r="U32" s="584">
        <f>'SC-Retro'!O165</f>
        <v>1.168964980097875E-2</v>
      </c>
      <c r="V32" s="584">
        <f>'SC-Retro'!P165</f>
        <v>9.3304837888070133E-3</v>
      </c>
      <c r="W32" s="584">
        <f>'SC-Retro'!Q165</f>
        <v>7.4474367680288679E-3</v>
      </c>
      <c r="X32" s="584">
        <f>'SC-Retro'!R165</f>
        <v>5.944419996777024E-3</v>
      </c>
      <c r="Y32" s="584">
        <f>'SC-Retro'!S165</f>
        <v>4.7447370415788113E-3</v>
      </c>
      <c r="Z32" s="584">
        <f>'SC-Retro'!T165</f>
        <v>3.7871700865578159E-3</v>
      </c>
      <c r="AA32" s="584">
        <f>'SC-Retro'!U165</f>
        <v>2.5772745538632958E-5</v>
      </c>
      <c r="AB32" s="584">
        <f>'SC-Retro'!V165</f>
        <v>9.1836501175138373E-6</v>
      </c>
      <c r="AC32" s="584">
        <f>'SC-Retro'!W165</f>
        <v>3.1236803595380394E-6</v>
      </c>
      <c r="AD32" s="584">
        <f>'SC-Retro'!X165</f>
        <v>1.0162783860541405E-6</v>
      </c>
      <c r="AE32" s="584">
        <f>'SC-Retro'!Y165</f>
        <v>0.35506402663912412</v>
      </c>
      <c r="AF32" s="585">
        <f t="shared" si="2"/>
        <v>10.457113102806781</v>
      </c>
      <c r="AG32" s="585">
        <f t="shared" si="3"/>
        <v>7.6295076921234033</v>
      </c>
      <c r="AH32" s="585">
        <f t="shared" si="4"/>
        <v>6.9135091321161859</v>
      </c>
      <c r="AI32" s="585">
        <f t="shared" si="5"/>
        <v>5.5419000668668437</v>
      </c>
      <c r="AJ32" s="585">
        <f t="shared" si="6"/>
        <v>2.2833242615567642</v>
      </c>
      <c r="AK32" s="585">
        <f t="shared" si="7"/>
        <v>0.63779362763340319</v>
      </c>
      <c r="AL32" s="585">
        <f t="shared" si="8"/>
        <v>0.155307993548356</v>
      </c>
      <c r="AM32" s="585">
        <f t="shared" si="9"/>
        <v>0.13055894452962355</v>
      </c>
      <c r="AN32" s="585">
        <f t="shared" si="10"/>
        <v>1.2388918202471437</v>
      </c>
      <c r="AO32" s="585">
        <f t="shared" si="11"/>
        <v>4.2552620211574563</v>
      </c>
      <c r="AP32" s="585">
        <f t="shared" si="12"/>
        <v>6.7308873850761284</v>
      </c>
      <c r="AQ32" s="585">
        <f t="shared" si="13"/>
        <v>12.186754964395467</v>
      </c>
      <c r="AR32" s="585"/>
      <c r="AS32" s="585">
        <f t="shared" si="14"/>
        <v>6.6469980748956701</v>
      </c>
      <c r="AT32" s="585">
        <f t="shared" si="15"/>
        <v>4.9798029904715229</v>
      </c>
      <c r="AU32" s="585">
        <f t="shared" si="16"/>
        <v>3.8574055674391521</v>
      </c>
      <c r="AV32" s="585">
        <f t="shared" si="17"/>
        <v>3.3081070628664957</v>
      </c>
      <c r="AW32" s="585">
        <f t="shared" si="18"/>
        <v>1.2996185207872526</v>
      </c>
      <c r="AX32" s="585">
        <f t="shared" si="19"/>
        <v>0.32263432203921155</v>
      </c>
      <c r="AY32" s="585">
        <f t="shared" si="20"/>
        <v>8.6897897007348249E-2</v>
      </c>
      <c r="AZ32" s="585">
        <f t="shared" si="21"/>
        <v>5.8105527580486975E-2</v>
      </c>
      <c r="BA32" s="585">
        <f t="shared" si="22"/>
        <v>0.7114372760005776</v>
      </c>
      <c r="BB32" s="585">
        <f t="shared" si="23"/>
        <v>2.1938993190702591</v>
      </c>
      <c r="BC32" s="585">
        <f t="shared" si="24"/>
        <v>4.4038649228353837</v>
      </c>
      <c r="BD32" s="585">
        <f t="shared" si="25"/>
        <v>7.8444677113954171</v>
      </c>
    </row>
    <row r="33" spans="1:56" ht="15">
      <c r="A33" s="580" t="str">
        <f>VLOOKUP(CONCATENATE($C33," - ",$B33),[2]ACHIEV!$B$12:$C$100,2,FALSE)</f>
        <v>Retro12Med</v>
      </c>
      <c r="B33" s="580" t="str">
        <f>'SC-Retro'!$C$7</f>
        <v>Retro</v>
      </c>
      <c r="C33" s="580" t="str">
        <f>'SC-Retro'!$C$8</f>
        <v>ResWx</v>
      </c>
      <c r="D33" s="580" t="s">
        <v>306</v>
      </c>
      <c r="E33" s="580" t="str">
        <f>'SC-Retro'!$A$9</f>
        <v>HVAC</v>
      </c>
      <c r="F33" s="581">
        <f t="shared" si="1"/>
        <v>6.7026989190905231E-2</v>
      </c>
      <c r="G33" s="582">
        <f>'SC-Retro'!A166</f>
        <v>128.17856451481882</v>
      </c>
      <c r="H33" s="582">
        <f>'SC-Retro'!B166</f>
        <v>100.99625607405254</v>
      </c>
      <c r="I33" s="583" t="str">
        <f>'SC-Retro'!C166</f>
        <v>Multifamily - Low Rise</v>
      </c>
      <c r="J33" s="586" t="str">
        <f>'SC-Retro'!D166</f>
        <v>ATTIC R0 - R38_Heat Pump</v>
      </c>
      <c r="K33" s="584">
        <f>'SC-Retro'!E166</f>
        <v>1.0511992087294482E-2</v>
      </c>
      <c r="L33" s="584">
        <f>'SC-Retro'!F166</f>
        <v>1.0488121268435747E-2</v>
      </c>
      <c r="M33" s="584">
        <f>'SC-Retro'!G166</f>
        <v>1.0464304655857634E-2</v>
      </c>
      <c r="N33" s="584">
        <f>'SC-Retro'!H166</f>
        <v>1.0440542126467557E-2</v>
      </c>
      <c r="O33" s="584">
        <f>'SC-Retro'!I166</f>
        <v>1.0416833557452449E-2</v>
      </c>
      <c r="P33" s="584">
        <f>'SC-Retro'!J166</f>
        <v>9.3538609436503179E-3</v>
      </c>
      <c r="Q33" s="584">
        <f>'SC-Retro'!K166</f>
        <v>7.4660960236958458E-3</v>
      </c>
      <c r="R33" s="584">
        <f>'SC-Retro'!L166</f>
        <v>5.9593135038945215E-3</v>
      </c>
      <c r="S33" s="584">
        <f>'SC-Retro'!M166</f>
        <v>4.7566247909198263E-3</v>
      </c>
      <c r="T33" s="584">
        <f>'SC-Retro'!N166</f>
        <v>3.7966586901002808E-3</v>
      </c>
      <c r="U33" s="584">
        <f>'SC-Retro'!O166</f>
        <v>3.0304297359402422E-3</v>
      </c>
      <c r="V33" s="584">
        <f>'SC-Retro'!P166</f>
        <v>2.4188385456972122E-3</v>
      </c>
      <c r="W33" s="584">
        <f>'SC-Retro'!Q166</f>
        <v>1.9306766432369705E-3</v>
      </c>
      <c r="X33" s="584">
        <f>'SC-Retro'!R166</f>
        <v>1.5410339426629015E-3</v>
      </c>
      <c r="Y33" s="584">
        <f>'SC-Retro'!S166</f>
        <v>1.2300276282710943E-3</v>
      </c>
      <c r="Z33" s="584">
        <f>'SC-Retro'!T166</f>
        <v>9.8178756770004021E-4</v>
      </c>
      <c r="AA33" s="584">
        <f>'SC-Retro'!U166</f>
        <v>6.6813374041842682E-6</v>
      </c>
      <c r="AB33" s="584">
        <f>'SC-Retro'!V166</f>
        <v>2.3807733229317821E-6</v>
      </c>
      <c r="AC33" s="584">
        <f>'SC-Retro'!W166</f>
        <v>8.0978421152736353E-7</v>
      </c>
      <c r="AD33" s="584">
        <f>'SC-Retro'!X166</f>
        <v>2.6346043667056321E-7</v>
      </c>
      <c r="AE33" s="584">
        <f>'SC-Retro'!Y166</f>
        <v>9.2046947753711916E-2</v>
      </c>
      <c r="AF33" s="585">
        <f t="shared" si="2"/>
        <v>14.27846932744135</v>
      </c>
      <c r="AG33" s="585">
        <f t="shared" si="3"/>
        <v>10.41756845263747</v>
      </c>
      <c r="AH33" s="585">
        <f t="shared" si="4"/>
        <v>9.4399216224801883</v>
      </c>
      <c r="AI33" s="585">
        <f t="shared" si="5"/>
        <v>7.5670837010708274</v>
      </c>
      <c r="AJ33" s="585">
        <f t="shared" si="6"/>
        <v>3.1177223687568376</v>
      </c>
      <c r="AK33" s="585">
        <f t="shared" si="7"/>
        <v>0.87086336925597307</v>
      </c>
      <c r="AL33" s="585">
        <f t="shared" si="8"/>
        <v>0.21206239240077143</v>
      </c>
      <c r="AM33" s="585">
        <f t="shared" si="9"/>
        <v>0.17826926672419596</v>
      </c>
      <c r="AN33" s="585">
        <f t="shared" si="10"/>
        <v>1.6916216437086073</v>
      </c>
      <c r="AO33" s="585">
        <f t="shared" si="11"/>
        <v>5.8102678676215778</v>
      </c>
      <c r="AP33" s="585">
        <f t="shared" si="12"/>
        <v>9.1905641766918915</v>
      </c>
      <c r="AQ33" s="585">
        <f t="shared" si="13"/>
        <v>16.640176428182549</v>
      </c>
      <c r="AR33" s="585"/>
      <c r="AS33" s="585">
        <f t="shared" si="14"/>
        <v>9.0760190885269392</v>
      </c>
      <c r="AT33" s="585">
        <f t="shared" si="15"/>
        <v>6.7995787706516637</v>
      </c>
      <c r="AU33" s="585">
        <f t="shared" si="16"/>
        <v>5.267022220826707</v>
      </c>
      <c r="AV33" s="585">
        <f t="shared" si="17"/>
        <v>4.5169928607115413</v>
      </c>
      <c r="AW33" s="585">
        <f t="shared" si="18"/>
        <v>1.7745397801478058</v>
      </c>
      <c r="AX33" s="585">
        <f t="shared" si="19"/>
        <v>0.44053499526367662</v>
      </c>
      <c r="AY33" s="585">
        <f t="shared" si="20"/>
        <v>0.11865310672651577</v>
      </c>
      <c r="AZ33" s="585">
        <f t="shared" si="21"/>
        <v>7.9339104890248646E-2</v>
      </c>
      <c r="BA33" s="585">
        <f t="shared" si="22"/>
        <v>0.97141871029836258</v>
      </c>
      <c r="BB33" s="585">
        <f t="shared" si="23"/>
        <v>2.9956187550874924</v>
      </c>
      <c r="BC33" s="585">
        <f t="shared" si="24"/>
        <v>6.0131749178482377</v>
      </c>
      <c r="BD33" s="585">
        <f t="shared" si="25"/>
        <v>10.711081586867396</v>
      </c>
    </row>
    <row r="34" spans="1:56" ht="15">
      <c r="A34" s="580" t="str">
        <f>VLOOKUP(CONCATENATE($C34," - ",$B34),[2]ACHIEV!$B$12:$C$100,2,FALSE)</f>
        <v>Retro12Med</v>
      </c>
      <c r="B34" s="580" t="str">
        <f>'SC-Retro'!$C$7</f>
        <v>Retro</v>
      </c>
      <c r="C34" s="580" t="str">
        <f>'SC-Retro'!$C$8</f>
        <v>ResWx</v>
      </c>
      <c r="D34" s="580" t="s">
        <v>306</v>
      </c>
      <c r="E34" s="580" t="str">
        <f>'SC-Retro'!$A$9</f>
        <v>HVAC</v>
      </c>
      <c r="F34" s="581">
        <f t="shared" si="1"/>
        <v>7.1188193125719418E-2</v>
      </c>
      <c r="G34" s="582">
        <f>'SC-Retro'!A167</f>
        <v>136.13621192605405</v>
      </c>
      <c r="H34" s="582">
        <f>'SC-Retro'!B167</f>
        <v>109.88932783430955</v>
      </c>
      <c r="I34" s="583" t="str">
        <f>'SC-Retro'!C167</f>
        <v>Multifamily - Low Rise</v>
      </c>
      <c r="J34" s="586" t="str">
        <f>'SC-Retro'!D167</f>
        <v>ATTIC R0 - R49_Heat Pump</v>
      </c>
      <c r="K34" s="584">
        <f>'SC-Retro'!E167</f>
        <v>6.6596447833781144E-2</v>
      </c>
      <c r="L34" s="584">
        <f>'SC-Retro'!F167</f>
        <v>6.6445219433904704E-2</v>
      </c>
      <c r="M34" s="584">
        <f>'SC-Retro'!G167</f>
        <v>6.6294334446172207E-2</v>
      </c>
      <c r="N34" s="584">
        <f>'SC-Retro'!H167</f>
        <v>6.6143792090757242E-2</v>
      </c>
      <c r="O34" s="584">
        <f>'SC-Retro'!I167</f>
        <v>6.5993591589604217E-2</v>
      </c>
      <c r="P34" s="584">
        <f>'SC-Retro'!J167</f>
        <v>5.9259358949781953E-2</v>
      </c>
      <c r="Q34" s="584">
        <f>'SC-Retro'!K167</f>
        <v>4.7299833393618151E-2</v>
      </c>
      <c r="R34" s="584">
        <f>'SC-Retro'!L167</f>
        <v>3.7753939271600333E-2</v>
      </c>
      <c r="S34" s="584">
        <f>'SC-Retro'!M167</f>
        <v>3.0134565563099854E-2</v>
      </c>
      <c r="T34" s="584">
        <f>'SC-Retro'!N167</f>
        <v>2.4052908363918948E-2</v>
      </c>
      <c r="U34" s="584">
        <f>'SC-Retro'!O167</f>
        <v>1.9198630872963852E-2</v>
      </c>
      <c r="V34" s="584">
        <f>'SC-Retro'!P167</f>
        <v>1.5324027424027763E-2</v>
      </c>
      <c r="W34" s="584">
        <f>'SC-Retro'!Q167</f>
        <v>1.2231383479696168E-2</v>
      </c>
      <c r="X34" s="584">
        <f>'SC-Retro'!R167</f>
        <v>9.7628865889918797E-3</v>
      </c>
      <c r="Y34" s="584">
        <f>'SC-Retro'!S167</f>
        <v>7.7925734817926827E-3</v>
      </c>
      <c r="Z34" s="584">
        <f>'SC-Retro'!T167</f>
        <v>6.2199023737106564E-3</v>
      </c>
      <c r="AA34" s="584">
        <f>'SC-Retro'!U167</f>
        <v>4.2328165223359495E-5</v>
      </c>
      <c r="AB34" s="584">
        <f>'SC-Retro'!V167</f>
        <v>1.5082873454244698E-5</v>
      </c>
      <c r="AC34" s="584">
        <f>'SC-Retro'!W167</f>
        <v>5.1302123852227467E-6</v>
      </c>
      <c r="AD34" s="584">
        <f>'SC-Retro'!X167</f>
        <v>1.6690965024795922E-6</v>
      </c>
      <c r="AE34" s="584">
        <f>'SC-Retro'!Y167</f>
        <v>0.58314349016186906</v>
      </c>
      <c r="AF34" s="585">
        <f t="shared" si="2"/>
        <v>15.164912586577547</v>
      </c>
      <c r="AG34" s="585">
        <f t="shared" si="3"/>
        <v>11.064317282617635</v>
      </c>
      <c r="AH34" s="585">
        <f t="shared" si="4"/>
        <v>10.025975680315328</v>
      </c>
      <c r="AI34" s="585">
        <f t="shared" si="5"/>
        <v>8.0368672741070579</v>
      </c>
      <c r="AJ34" s="585">
        <f t="shared" si="6"/>
        <v>3.3112784085720577</v>
      </c>
      <c r="AK34" s="585">
        <f t="shared" si="7"/>
        <v>0.92492875579022615</v>
      </c>
      <c r="AL34" s="585">
        <f t="shared" si="8"/>
        <v>0.22522775865601025</v>
      </c>
      <c r="AM34" s="585">
        <f t="shared" si="9"/>
        <v>0.18933667081176939</v>
      </c>
      <c r="AN34" s="585">
        <f t="shared" si="10"/>
        <v>1.7966417665723722</v>
      </c>
      <c r="AO34" s="585">
        <f t="shared" si="11"/>
        <v>6.1709838986551189</v>
      </c>
      <c r="AP34" s="585">
        <f t="shared" si="12"/>
        <v>9.7611374976311218</v>
      </c>
      <c r="AQ34" s="585">
        <f t="shared" si="13"/>
        <v>17.673240399350014</v>
      </c>
      <c r="AR34" s="585"/>
      <c r="AS34" s="585">
        <f t="shared" si="14"/>
        <v>9.639481162529087</v>
      </c>
      <c r="AT34" s="585">
        <f t="shared" si="15"/>
        <v>7.2217137087872105</v>
      </c>
      <c r="AU34" s="585">
        <f t="shared" si="16"/>
        <v>5.5940121968740231</v>
      </c>
      <c r="AV34" s="585">
        <f t="shared" si="17"/>
        <v>4.797419129180585</v>
      </c>
      <c r="AW34" s="585">
        <f t="shared" si="18"/>
        <v>1.8847076693036759</v>
      </c>
      <c r="AX34" s="585">
        <f t="shared" si="19"/>
        <v>0.46788451488022087</v>
      </c>
      <c r="AY34" s="585">
        <f t="shared" si="20"/>
        <v>0.12601938977978022</v>
      </c>
      <c r="AZ34" s="585">
        <f t="shared" si="21"/>
        <v>8.4264675909314121E-2</v>
      </c>
      <c r="BA34" s="585">
        <f t="shared" si="22"/>
        <v>1.0317268251106293</v>
      </c>
      <c r="BB34" s="585">
        <f t="shared" si="23"/>
        <v>3.1815942957069518</v>
      </c>
      <c r="BC34" s="585">
        <f t="shared" si="24"/>
        <v>6.3864879284865141</v>
      </c>
      <c r="BD34" s="585">
        <f t="shared" si="25"/>
        <v>11.376052449849798</v>
      </c>
    </row>
    <row r="35" spans="1:56" ht="15">
      <c r="A35" s="580" t="str">
        <f>VLOOKUP(CONCATENATE($C35," - ",$B35),[2]ACHIEV!$B$12:$C$100,2,FALSE)</f>
        <v>Retro12Med</v>
      </c>
      <c r="B35" s="580" t="str">
        <f>'SC-Retro'!$C$7</f>
        <v>Retro</v>
      </c>
      <c r="C35" s="580" t="str">
        <f>'SC-Retro'!$C$8</f>
        <v>ResWx</v>
      </c>
      <c r="D35" s="580" t="s">
        <v>306</v>
      </c>
      <c r="E35" s="580" t="str">
        <f>'SC-Retro'!$A$9</f>
        <v>HVAC</v>
      </c>
      <c r="F35" s="581">
        <f t="shared" si="1"/>
        <v>1.3016311223615993E-2</v>
      </c>
      <c r="G35" s="582">
        <f>'SC-Retro'!A168</f>
        <v>24.891646007987582</v>
      </c>
      <c r="H35" s="582">
        <f>'SC-Retro'!B168</f>
        <v>405.8200525801218</v>
      </c>
      <c r="I35" s="583" t="str">
        <f>'SC-Retro'!C168</f>
        <v>Multifamily - Low Rise</v>
      </c>
      <c r="J35" s="586" t="str">
        <f>'SC-Retro'!D168</f>
        <v>ATTIC R19 - R30_Heat Pump</v>
      </c>
      <c r="K35" s="584">
        <f>'SC-Retro'!E168</f>
        <v>1.2493086423845364E-2</v>
      </c>
      <c r="L35" s="584">
        <f>'SC-Retro'!F168</f>
        <v>1.2464716900682331E-2</v>
      </c>
      <c r="M35" s="584">
        <f>'SC-Retro'!G168</f>
        <v>1.2436411799537779E-2</v>
      </c>
      <c r="N35" s="584">
        <f>'SC-Retro'!H168</f>
        <v>1.2408170974121047E-2</v>
      </c>
      <c r="O35" s="584">
        <f>'SC-Retro'!I168</f>
        <v>1.2379994278473656E-2</v>
      </c>
      <c r="P35" s="584">
        <f>'SC-Retro'!J168</f>
        <v>1.1116693410271734E-2</v>
      </c>
      <c r="Q35" s="584">
        <f>'SC-Retro'!K168</f>
        <v>8.8731595399028657E-3</v>
      </c>
      <c r="R35" s="584">
        <f>'SC-Retro'!L168</f>
        <v>7.0824081689453188E-3</v>
      </c>
      <c r="S35" s="584">
        <f>'SC-Retro'!M168</f>
        <v>5.6530602482655831E-3</v>
      </c>
      <c r="T35" s="584">
        <f>'SC-Retro'!N168</f>
        <v>4.5121785426946743E-3</v>
      </c>
      <c r="U35" s="584">
        <f>'SC-Retro'!O168</f>
        <v>3.6015457658355593E-3</v>
      </c>
      <c r="V35" s="584">
        <f>'SC-Retro'!P168</f>
        <v>2.8746938492512941E-3</v>
      </c>
      <c r="W35" s="584">
        <f>'SC-Retro'!Q168</f>
        <v>2.2945327546062709E-3</v>
      </c>
      <c r="X35" s="584">
        <f>'SC-Retro'!R168</f>
        <v>1.8314578310077326E-3</v>
      </c>
      <c r="Y35" s="584">
        <f>'SC-Retro'!S168</f>
        <v>1.4618391391562928E-3</v>
      </c>
      <c r="Z35" s="584">
        <f>'SC-Retro'!T168</f>
        <v>1.1668156550420665E-3</v>
      </c>
      <c r="AA35" s="584">
        <f>'SC-Retro'!U168</f>
        <v>7.9405049893666634E-6</v>
      </c>
      <c r="AB35" s="584">
        <f>'SC-Retro'!V168</f>
        <v>2.8294548390044892E-6</v>
      </c>
      <c r="AC35" s="584">
        <f>'SC-Retro'!W168</f>
        <v>9.6239647587868521E-7</v>
      </c>
      <c r="AD35" s="584">
        <f>'SC-Retro'!X168</f>
        <v>3.1311229853070765E-7</v>
      </c>
      <c r="AE35" s="584">
        <f>'SC-Retro'!Y168</f>
        <v>0.10939415324790927</v>
      </c>
      <c r="AF35" s="585">
        <f t="shared" si="2"/>
        <v>2.772808428459884</v>
      </c>
      <c r="AG35" s="585">
        <f t="shared" si="3"/>
        <v>2.0230404917434672</v>
      </c>
      <c r="AH35" s="585">
        <f t="shared" si="4"/>
        <v>1.8331862917903015</v>
      </c>
      <c r="AI35" s="585">
        <f t="shared" si="5"/>
        <v>1.4694903903225678</v>
      </c>
      <c r="AJ35" s="585">
        <f t="shared" si="6"/>
        <v>0.60544633065622855</v>
      </c>
      <c r="AK35" s="585">
        <f t="shared" si="7"/>
        <v>0.16911737770582488</v>
      </c>
      <c r="AL35" s="585">
        <f t="shared" si="8"/>
        <v>4.1181472293962983E-2</v>
      </c>
      <c r="AM35" s="585">
        <f t="shared" si="9"/>
        <v>3.4619013703256075E-2</v>
      </c>
      <c r="AN35" s="585">
        <f t="shared" si="10"/>
        <v>0.32850459274551086</v>
      </c>
      <c r="AO35" s="585">
        <f t="shared" si="11"/>
        <v>1.1283254069809834</v>
      </c>
      <c r="AP35" s="585">
        <f t="shared" si="12"/>
        <v>1.784762303789557</v>
      </c>
      <c r="AQ35" s="585">
        <f t="shared" si="13"/>
        <v>3.2314403170968031</v>
      </c>
      <c r="AR35" s="585"/>
      <c r="AS35" s="585">
        <f t="shared" si="14"/>
        <v>1.7625182117500795</v>
      </c>
      <c r="AT35" s="585">
        <f t="shared" si="15"/>
        <v>1.3204447124458252</v>
      </c>
      <c r="AU35" s="585">
        <f t="shared" si="16"/>
        <v>1.022829777609702</v>
      </c>
      <c r="AV35" s="585">
        <f t="shared" si="17"/>
        <v>0.87717776942680703</v>
      </c>
      <c r="AW35" s="585">
        <f t="shared" si="18"/>
        <v>0.34460688650811516</v>
      </c>
      <c r="AX35" s="585">
        <f t="shared" si="19"/>
        <v>8.5549726646893268E-2</v>
      </c>
      <c r="AY35" s="585">
        <f t="shared" si="20"/>
        <v>2.3041849014020965E-2</v>
      </c>
      <c r="AZ35" s="585">
        <f t="shared" si="21"/>
        <v>1.5407263460891295E-2</v>
      </c>
      <c r="BA35" s="585">
        <f t="shared" si="22"/>
        <v>0.18864472974720503</v>
      </c>
      <c r="BB35" s="585">
        <f t="shared" si="23"/>
        <v>0.5817344101860783</v>
      </c>
      <c r="BC35" s="585">
        <f t="shared" si="24"/>
        <v>1.1677289569106055</v>
      </c>
      <c r="BD35" s="585">
        <f t="shared" si="25"/>
        <v>2.0800392969930113</v>
      </c>
    </row>
    <row r="36" spans="1:56" ht="15">
      <c r="A36" s="580" t="str">
        <f>VLOOKUP(CONCATENATE($C36," - ",$B36),[2]ACHIEV!$B$12:$C$100,2,FALSE)</f>
        <v>Retro12Med</v>
      </c>
      <c r="B36" s="580" t="str">
        <f>'SC-Retro'!$C$7</f>
        <v>Retro</v>
      </c>
      <c r="C36" s="580" t="str">
        <f>'SC-Retro'!$C$8</f>
        <v>ResWx</v>
      </c>
      <c r="D36" s="580" t="s">
        <v>306</v>
      </c>
      <c r="E36" s="580" t="str">
        <f>'SC-Retro'!$A$9</f>
        <v>HVAC</v>
      </c>
      <c r="F36" s="581">
        <f t="shared" si="1"/>
        <v>1.7938477611947067E-2</v>
      </c>
      <c r="G36" s="582">
        <f>'SC-Retro'!A169</f>
        <v>34.304514310372483</v>
      </c>
      <c r="H36" s="582">
        <f>'SC-Retro'!B169</f>
        <v>338.86527554323317</v>
      </c>
      <c r="I36" s="583" t="str">
        <f>'SC-Retro'!C169</f>
        <v>Multifamily - Low Rise</v>
      </c>
      <c r="J36" s="586" t="str">
        <f>'SC-Retro'!D169</f>
        <v>ATTIC R19 - R38_Heat Pump</v>
      </c>
      <c r="K36" s="584">
        <f>'SC-Retro'!E169</f>
        <v>2.6577777386585302E-3</v>
      </c>
      <c r="L36" s="584">
        <f>'SC-Retro'!F169</f>
        <v>2.6517424096324572E-3</v>
      </c>
      <c r="M36" s="584">
        <f>'SC-Retro'!G169</f>
        <v>2.645720785739031E-3</v>
      </c>
      <c r="N36" s="584">
        <f>'SC-Retro'!H169</f>
        <v>2.639712835856393E-3</v>
      </c>
      <c r="O36" s="584">
        <f>'SC-Retro'!I169</f>
        <v>2.6337185289333526E-3</v>
      </c>
      <c r="P36" s="584">
        <f>'SC-Retro'!J169</f>
        <v>2.3649640505903143E-3</v>
      </c>
      <c r="Q36" s="584">
        <f>'SC-Retro'!K169</f>
        <v>1.8876749184818815E-3</v>
      </c>
      <c r="R36" s="584">
        <f>'SC-Retro'!L169</f>
        <v>1.5067106821248055E-3</v>
      </c>
      <c r="S36" s="584">
        <f>'SC-Retro'!M169</f>
        <v>1.2026313733377006E-3</v>
      </c>
      <c r="T36" s="584">
        <f>'SC-Retro'!N169</f>
        <v>9.599203332762464E-4</v>
      </c>
      <c r="U36" s="584">
        <f>'SC-Retro'!O169</f>
        <v>7.6619242326920101E-4</v>
      </c>
      <c r="V36" s="584">
        <f>'SC-Retro'!P169</f>
        <v>6.1156203189435788E-4</v>
      </c>
      <c r="W36" s="584">
        <f>'SC-Retro'!Q169</f>
        <v>4.8813862875194238E-4</v>
      </c>
      <c r="X36" s="584">
        <f>'SC-Retro'!R169</f>
        <v>3.8962412388770953E-4</v>
      </c>
      <c r="Y36" s="584">
        <f>'SC-Retro'!S169</f>
        <v>3.1099148679013678E-4</v>
      </c>
      <c r="Z36" s="584">
        <f>'SC-Retro'!T169</f>
        <v>2.4822822542634325E-4</v>
      </c>
      <c r="AA36" s="584">
        <f>'SC-Retro'!U169</f>
        <v>1.6892620989289432E-6</v>
      </c>
      <c r="AB36" s="584">
        <f>'SC-Retro'!V169</f>
        <v>6.0193789016718538E-7</v>
      </c>
      <c r="AC36" s="584">
        <f>'SC-Retro'!W169</f>
        <v>2.0474011325749633E-7</v>
      </c>
      <c r="AD36" s="584">
        <f>'SC-Retro'!X169</f>
        <v>6.6611473618460162E-8</v>
      </c>
      <c r="AE36" s="584">
        <f>'SC-Retro'!Y169</f>
        <v>2.3272499315041297E-2</v>
      </c>
      <c r="AF36" s="585">
        <f t="shared" si="2"/>
        <v>3.8213562246345671</v>
      </c>
      <c r="AG36" s="585">
        <f t="shared" si="3"/>
        <v>2.7880607605140657</v>
      </c>
      <c r="AH36" s="585">
        <f t="shared" si="4"/>
        <v>2.5264124903640015</v>
      </c>
      <c r="AI36" s="585">
        <f t="shared" si="5"/>
        <v>2.0251836342039837</v>
      </c>
      <c r="AJ36" s="585">
        <f t="shared" si="6"/>
        <v>0.83439810720007357</v>
      </c>
      <c r="AK36" s="585">
        <f t="shared" si="7"/>
        <v>0.23306974162256988</v>
      </c>
      <c r="AL36" s="585">
        <f t="shared" si="8"/>
        <v>5.6754398852415414E-2</v>
      </c>
      <c r="AM36" s="585">
        <f t="shared" si="9"/>
        <v>4.7710322194572392E-2</v>
      </c>
      <c r="AN36" s="585">
        <f t="shared" si="10"/>
        <v>0.45272982346146357</v>
      </c>
      <c r="AO36" s="585">
        <f t="shared" si="11"/>
        <v>1.5550058464641214</v>
      </c>
      <c r="AP36" s="585">
        <f t="shared" si="12"/>
        <v>2.4596767916157636</v>
      </c>
      <c r="AQ36" s="585">
        <f t="shared" si="13"/>
        <v>4.4534214637870804</v>
      </c>
      <c r="AR36" s="585"/>
      <c r="AS36" s="585">
        <f t="shared" si="14"/>
        <v>2.4290210136312691</v>
      </c>
      <c r="AT36" s="585">
        <f t="shared" si="15"/>
        <v>1.8197757801801409</v>
      </c>
      <c r="AU36" s="585">
        <f t="shared" si="16"/>
        <v>1.4096166533875543</v>
      </c>
      <c r="AV36" s="585">
        <f t="shared" si="17"/>
        <v>1.2088857978450458</v>
      </c>
      <c r="AW36" s="585">
        <f t="shared" si="18"/>
        <v>0.47492125936055302</v>
      </c>
      <c r="AX36" s="585">
        <f t="shared" si="19"/>
        <v>0.11790067322446508</v>
      </c>
      <c r="AY36" s="585">
        <f t="shared" si="20"/>
        <v>3.1755209719167503E-2</v>
      </c>
      <c r="AZ36" s="585">
        <f t="shared" si="21"/>
        <v>2.1233577309761661E-2</v>
      </c>
      <c r="BA36" s="585">
        <f t="shared" si="22"/>
        <v>0.25998143429778497</v>
      </c>
      <c r="BB36" s="585">
        <f t="shared" si="23"/>
        <v>0.80171943601723328</v>
      </c>
      <c r="BC36" s="585">
        <f t="shared" si="24"/>
        <v>1.6093099950128531</v>
      </c>
      <c r="BD36" s="585">
        <f t="shared" si="25"/>
        <v>2.8666138754719785</v>
      </c>
    </row>
    <row r="37" spans="1:56" ht="15">
      <c r="A37" s="580" t="str">
        <f>VLOOKUP(CONCATENATE($C37," - ",$B37),[2]ACHIEV!$B$12:$C$100,2,FALSE)</f>
        <v>Retro12Med</v>
      </c>
      <c r="B37" s="580" t="str">
        <f>'SC-Retro'!$C$7</f>
        <v>Retro</v>
      </c>
      <c r="C37" s="580" t="str">
        <f>'SC-Retro'!$C$8</f>
        <v>ResWx</v>
      </c>
      <c r="D37" s="580" t="s">
        <v>306</v>
      </c>
      <c r="E37" s="580" t="str">
        <f>'SC-Retro'!$A$9</f>
        <v>HVAC</v>
      </c>
      <c r="F37" s="581">
        <f t="shared" si="1"/>
        <v>2.2099681546761254E-2</v>
      </c>
      <c r="G37" s="582">
        <f>'SC-Retro'!A170</f>
        <v>42.262161721607704</v>
      </c>
      <c r="H37" s="582">
        <f>'SC-Retro'!B170</f>
        <v>325.74461796789939</v>
      </c>
      <c r="I37" s="583" t="str">
        <f>'SC-Retro'!C170</f>
        <v>Multifamily - Low Rise</v>
      </c>
      <c r="J37" s="586" t="str">
        <f>'SC-Retro'!D170</f>
        <v>ATTIC R19 - R49_Heat Pump</v>
      </c>
      <c r="K37" s="584">
        <f>'SC-Retro'!E170</f>
        <v>4.8094865804545431E-2</v>
      </c>
      <c r="L37" s="584">
        <f>'SC-Retro'!F170</f>
        <v>4.7985651126668818E-2</v>
      </c>
      <c r="M37" s="584">
        <f>'SC-Retro'!G170</f>
        <v>4.7876684455427913E-2</v>
      </c>
      <c r="N37" s="584">
        <f>'SC-Retro'!H170</f>
        <v>4.7767965227644864E-2</v>
      </c>
      <c r="O37" s="584">
        <f>'SC-Retro'!I170</f>
        <v>4.7659492881420629E-2</v>
      </c>
      <c r="P37" s="584">
        <f>'SC-Retro'!J170</f>
        <v>4.279614017051897E-2</v>
      </c>
      <c r="Q37" s="584">
        <f>'SC-Retro'!K170</f>
        <v>3.4159166346549294E-2</v>
      </c>
      <c r="R37" s="584">
        <f>'SC-Retro'!L170</f>
        <v>2.7265277682566178E-2</v>
      </c>
      <c r="S37" s="584">
        <f>'SC-Retro'!M170</f>
        <v>2.1762690563510736E-2</v>
      </c>
      <c r="T37" s="584">
        <f>'SC-Retro'!N170</f>
        <v>1.7370617166534687E-2</v>
      </c>
      <c r="U37" s="584">
        <f>'SC-Retro'!O170</f>
        <v>1.3864937327750773E-2</v>
      </c>
      <c r="V37" s="584">
        <f>'SC-Retro'!P170</f>
        <v>1.1066762064897123E-2</v>
      </c>
      <c r="W37" s="584">
        <f>'SC-Retro'!Q170</f>
        <v>8.8333051715938828E-3</v>
      </c>
      <c r="X37" s="584">
        <f>'SC-Retro'!R170</f>
        <v>7.0505970759056546E-3</v>
      </c>
      <c r="Y37" s="584">
        <f>'SC-Retro'!S170</f>
        <v>5.6276691635911763E-3</v>
      </c>
      <c r="Z37" s="584">
        <f>'SC-Retro'!T170</f>
        <v>4.4919118017769976E-3</v>
      </c>
      <c r="AA37" s="584">
        <f>'SC-Retro'!U170</f>
        <v>3.0568708878455463E-5</v>
      </c>
      <c r="AB37" s="584">
        <f>'SC-Retro'!V170</f>
        <v>1.0892604610675265E-5</v>
      </c>
      <c r="AC37" s="584">
        <f>'SC-Retro'!W170</f>
        <v>3.7049555080165604E-6</v>
      </c>
      <c r="AD37" s="584">
        <f>'SC-Retro'!X170</f>
        <v>1.2053942051376583E-6</v>
      </c>
      <c r="AE37" s="584">
        <f>'SC-Retro'!Y170</f>
        <v>0.42113669446950408</v>
      </c>
      <c r="AF37" s="585">
        <f t="shared" si="2"/>
        <v>4.7077994837707635</v>
      </c>
      <c r="AG37" s="585">
        <f t="shared" si="3"/>
        <v>3.4348095904942313</v>
      </c>
      <c r="AH37" s="585">
        <f t="shared" si="4"/>
        <v>3.1124665481991416</v>
      </c>
      <c r="AI37" s="585">
        <f t="shared" si="5"/>
        <v>2.4949672072402138</v>
      </c>
      <c r="AJ37" s="585">
        <f t="shared" si="6"/>
        <v>1.0279541470152933</v>
      </c>
      <c r="AK37" s="585">
        <f t="shared" si="7"/>
        <v>0.28713512815682296</v>
      </c>
      <c r="AL37" s="585">
        <f t="shared" si="8"/>
        <v>6.9919765107654228E-2</v>
      </c>
      <c r="AM37" s="585">
        <f t="shared" si="9"/>
        <v>5.8777726282145809E-2</v>
      </c>
      <c r="AN37" s="585">
        <f t="shared" si="10"/>
        <v>0.55774994632522834</v>
      </c>
      <c r="AO37" s="585">
        <f t="shared" si="11"/>
        <v>1.9157218774976619</v>
      </c>
      <c r="AP37" s="585">
        <f t="shared" si="12"/>
        <v>3.0302501125549925</v>
      </c>
      <c r="AQ37" s="585">
        <f t="shared" si="13"/>
        <v>5.486485434954548</v>
      </c>
      <c r="AR37" s="585"/>
      <c r="AS37" s="585">
        <f t="shared" si="14"/>
        <v>2.9924830876334161</v>
      </c>
      <c r="AT37" s="585">
        <f t="shared" si="15"/>
        <v>2.2419107183156872</v>
      </c>
      <c r="AU37" s="585">
        <f t="shared" si="16"/>
        <v>1.7366066294348708</v>
      </c>
      <c r="AV37" s="585">
        <f t="shared" si="17"/>
        <v>1.4893120663140891</v>
      </c>
      <c r="AW37" s="585">
        <f t="shared" si="18"/>
        <v>0.58508914851642313</v>
      </c>
      <c r="AX37" s="585">
        <f t="shared" si="19"/>
        <v>0.14525019284100932</v>
      </c>
      <c r="AY37" s="585">
        <f t="shared" si="20"/>
        <v>3.9121492772431959E-2</v>
      </c>
      <c r="AZ37" s="585">
        <f t="shared" si="21"/>
        <v>2.6159148328827143E-2</v>
      </c>
      <c r="BA37" s="585">
        <f t="shared" si="22"/>
        <v>0.32028954911005164</v>
      </c>
      <c r="BB37" s="585">
        <f t="shared" si="23"/>
        <v>0.98769497663669248</v>
      </c>
      <c r="BC37" s="585">
        <f t="shared" si="24"/>
        <v>1.9826230056511298</v>
      </c>
      <c r="BD37" s="585">
        <f t="shared" si="25"/>
        <v>3.5315847384543804</v>
      </c>
    </row>
    <row r="38" spans="1:56" ht="15">
      <c r="A38" s="580" t="str">
        <f>VLOOKUP(CONCATENATE($C38," - ",$B38),[2]ACHIEV!$B$12:$C$100,2,FALSE)</f>
        <v>Retro12Med</v>
      </c>
      <c r="B38" s="580" t="str">
        <f>'SC-Retro'!$C$7</f>
        <v>Retro</v>
      </c>
      <c r="C38" s="580" t="str">
        <f>'SC-Retro'!$C$8</f>
        <v>ResWx</v>
      </c>
      <c r="D38" s="580" t="s">
        <v>306</v>
      </c>
      <c r="E38" s="580" t="str">
        <f>'SC-Retro'!$A$9</f>
        <v>HVAC</v>
      </c>
      <c r="F38" s="581">
        <f t="shared" si="1"/>
        <v>1.1986210864023679</v>
      </c>
      <c r="G38" s="582">
        <f>'SC-Retro'!A171</f>
        <v>2292.1741242868616</v>
      </c>
      <c r="H38" s="582">
        <f>'SC-Retro'!B171</f>
        <v>69.565070249545158</v>
      </c>
      <c r="I38" s="583" t="str">
        <f>'SC-Retro'!C171</f>
        <v>Multifamily - Low Rise</v>
      </c>
      <c r="J38" s="586" t="str">
        <f>'SC-Retro'!D171</f>
        <v>WINDOW CL22 Prime Window Replacement of Single Pane Base_Heat Pump</v>
      </c>
      <c r="K38" s="584">
        <f>'SC-Retro'!E171</f>
        <v>0.54677300420312791</v>
      </c>
      <c r="L38" s="584">
        <f>'SC-Retro'!F171</f>
        <v>0.54553138232672327</v>
      </c>
      <c r="M38" s="584">
        <f>'SC-Retro'!G171</f>
        <v>0.54429257994738967</v>
      </c>
      <c r="N38" s="584">
        <f>'SC-Retro'!H171</f>
        <v>0.54305659066256329</v>
      </c>
      <c r="O38" s="584">
        <f>'SC-Retro'!I171</f>
        <v>0.54182340808421858</v>
      </c>
      <c r="P38" s="584">
        <f>'SC-Retro'!J171</f>
        <v>0.48653372325495325</v>
      </c>
      <c r="Q38" s="584">
        <f>'SC-Retro'!K171</f>
        <v>0.38834311504850805</v>
      </c>
      <c r="R38" s="584">
        <f>'SC-Retro'!L171</f>
        <v>0.30996900686892581</v>
      </c>
      <c r="S38" s="584">
        <f>'SC-Retro'!M171</f>
        <v>0.24741209898186745</v>
      </c>
      <c r="T38" s="584">
        <f>'SC-Retro'!N171</f>
        <v>0.19748021694471513</v>
      </c>
      <c r="U38" s="584">
        <f>'SC-Retro'!O171</f>
        <v>0.15762542028063845</v>
      </c>
      <c r="V38" s="584">
        <f>'SC-Retro'!P171</f>
        <v>0.12581398533506524</v>
      </c>
      <c r="W38" s="584">
        <f>'SC-Retro'!Q171</f>
        <v>0.10042262775705572</v>
      </c>
      <c r="X38" s="584">
        <f>'SC-Retro'!R171</f>
        <v>8.0155669012270794E-2</v>
      </c>
      <c r="Y38" s="584">
        <f>'SC-Retro'!S171</f>
        <v>6.3978920073153395E-2</v>
      </c>
      <c r="Z38" s="584">
        <f>'SC-Retro'!T171</f>
        <v>5.1066908481548844E-2</v>
      </c>
      <c r="AA38" s="584">
        <f>'SC-Retro'!U171</f>
        <v>3.4752451240864621E-4</v>
      </c>
      <c r="AB38" s="584">
        <f>'SC-Retro'!V171</f>
        <v>1.2383405269867452E-4</v>
      </c>
      <c r="AC38" s="584">
        <f>'SC-Retro'!W171</f>
        <v>4.2120289134182095E-5</v>
      </c>
      <c r="AD38" s="584">
        <f>'SC-Retro'!X171</f>
        <v>1.370368748861068E-5</v>
      </c>
      <c r="AE38" s="584">
        <f>'SC-Retro'!Y171</f>
        <v>4.7877496228194731</v>
      </c>
      <c r="AF38" s="585">
        <f t="shared" si="2"/>
        <v>255.33706084686958</v>
      </c>
      <c r="AG38" s="585">
        <f t="shared" si="3"/>
        <v>186.29387008279431</v>
      </c>
      <c r="AH38" s="585">
        <f t="shared" si="4"/>
        <v>168.81094089521932</v>
      </c>
      <c r="AI38" s="585">
        <f t="shared" si="5"/>
        <v>135.31961074429205</v>
      </c>
      <c r="AJ38" s="585">
        <f t="shared" si="6"/>
        <v>55.753179694476671</v>
      </c>
      <c r="AK38" s="585">
        <f t="shared" si="7"/>
        <v>15.573356499612204</v>
      </c>
      <c r="AL38" s="585">
        <f t="shared" si="8"/>
        <v>3.792240383057329</v>
      </c>
      <c r="AM38" s="585">
        <f t="shared" si="9"/>
        <v>3.1879292913563053</v>
      </c>
      <c r="AN38" s="585">
        <f t="shared" si="10"/>
        <v>30.250700454241699</v>
      </c>
      <c r="AO38" s="585">
        <f t="shared" si="11"/>
        <v>103.90306453929635</v>
      </c>
      <c r="AP38" s="585">
        <f t="shared" si="12"/>
        <v>164.35176562595566</v>
      </c>
      <c r="AQ38" s="585">
        <f t="shared" si="13"/>
        <v>297.57067397832003</v>
      </c>
      <c r="AR38" s="585"/>
      <c r="AS38" s="585">
        <f t="shared" si="14"/>
        <v>162.30339437020245</v>
      </c>
      <c r="AT38" s="585">
        <f t="shared" si="15"/>
        <v>121.59457841592636</v>
      </c>
      <c r="AU38" s="585">
        <f t="shared" si="16"/>
        <v>94.188385494262079</v>
      </c>
      <c r="AV38" s="585">
        <f t="shared" si="17"/>
        <v>80.775862907362182</v>
      </c>
      <c r="AW38" s="585">
        <f t="shared" si="18"/>
        <v>31.733497577921803</v>
      </c>
      <c r="AX38" s="585">
        <f t="shared" si="19"/>
        <v>7.87793903612872</v>
      </c>
      <c r="AY38" s="585">
        <f t="shared" si="20"/>
        <v>2.1218335689297234</v>
      </c>
      <c r="AZ38" s="585">
        <f t="shared" si="21"/>
        <v>1.4187945071930048</v>
      </c>
      <c r="BA38" s="585">
        <f t="shared" si="22"/>
        <v>17.371553816524415</v>
      </c>
      <c r="BB38" s="585">
        <f t="shared" si="23"/>
        <v>53.569641871329686</v>
      </c>
      <c r="BC38" s="585">
        <f t="shared" si="24"/>
        <v>107.53158301994412</v>
      </c>
      <c r="BD38" s="585">
        <f t="shared" si="25"/>
        <v>191.54266666564567</v>
      </c>
    </row>
    <row r="39" spans="1:56" ht="15">
      <c r="A39" s="580" t="str">
        <f>VLOOKUP(CONCATENATE($C39," - ",$B39),[2]ACHIEV!$B$12:$C$100,2,FALSE)</f>
        <v>Retro12Med</v>
      </c>
      <c r="B39" s="580" t="str">
        <f>'SC-Retro'!$C$7</f>
        <v>Retro</v>
      </c>
      <c r="C39" s="580" t="str">
        <f>'SC-Retro'!$C$8</f>
        <v>ResWx</v>
      </c>
      <c r="D39" s="580" t="s">
        <v>306</v>
      </c>
      <c r="E39" s="580" t="str">
        <f>'SC-Retro'!$A$9</f>
        <v>HVAC</v>
      </c>
      <c r="F39" s="581">
        <f t="shared" si="1"/>
        <v>0.77018708422896076</v>
      </c>
      <c r="G39" s="582">
        <f>'SC-Retro'!A172</f>
        <v>1472.8615451179683</v>
      </c>
      <c r="H39" s="582">
        <f>'SC-Retro'!B172</f>
        <v>124.77760257492093</v>
      </c>
      <c r="I39" s="583" t="str">
        <f>'SC-Retro'!C172</f>
        <v>Multifamily - Low Rise</v>
      </c>
      <c r="J39" s="586" t="str">
        <f>'SC-Retro'!D172</f>
        <v>WINDOW CL22 Prime Window Replacement of Double Pane Base_Heat Pump</v>
      </c>
      <c r="K39" s="584">
        <f>'SC-Retro'!E172</f>
        <v>1.9007642218338023</v>
      </c>
      <c r="L39" s="584">
        <f>'SC-Retro'!F172</f>
        <v>1.8964479325847456</v>
      </c>
      <c r="M39" s="584">
        <f>'SC-Retro'!G172</f>
        <v>1.8921414448421923</v>
      </c>
      <c r="N39" s="584">
        <f>'SC-Retro'!H172</f>
        <v>1.8878447363487074</v>
      </c>
      <c r="O39" s="584">
        <f>'SC-Retro'!I172</f>
        <v>1.8835577848973957</v>
      </c>
      <c r="P39" s="584">
        <f>'SC-Retro'!J172</f>
        <v>1.6913525114986157</v>
      </c>
      <c r="Q39" s="584">
        <f>'SC-Retro'!K172</f>
        <v>1.3500094064729415</v>
      </c>
      <c r="R39" s="584">
        <f>'SC-Retro'!L172</f>
        <v>1.0775550248543886</v>
      </c>
      <c r="S39" s="584">
        <f>'SC-Retro'!M172</f>
        <v>0.86008647496947255</v>
      </c>
      <c r="T39" s="584">
        <f>'SC-Retro'!N172</f>
        <v>0.68650670022663252</v>
      </c>
      <c r="U39" s="584">
        <f>'SC-Retro'!O172</f>
        <v>0.54795821486762386</v>
      </c>
      <c r="V39" s="584">
        <f>'SC-Retro'!P172</f>
        <v>0.43737112127498606</v>
      </c>
      <c r="W39" s="584">
        <f>'SC-Retro'!Q172</f>
        <v>0.34910234491429493</v>
      </c>
      <c r="X39" s="584">
        <f>'SC-Retro'!R172</f>
        <v>0.27864767767333948</v>
      </c>
      <c r="Y39" s="584">
        <f>'SC-Retro'!S172</f>
        <v>0.22241193565115439</v>
      </c>
      <c r="Z39" s="584">
        <f>'SC-Retro'!T172</f>
        <v>0.17752550293307601</v>
      </c>
      <c r="AA39" s="584">
        <f>'SC-Retro'!U172</f>
        <v>1.2081104120334203E-3</v>
      </c>
      <c r="AB39" s="584">
        <f>'SC-Retro'!V172</f>
        <v>4.3048821906883683E-4</v>
      </c>
      <c r="AC39" s="584">
        <f>'SC-Retro'!W172</f>
        <v>1.464240882123097E-4</v>
      </c>
      <c r="AD39" s="584">
        <f>'SC-Retro'!X172</f>
        <v>4.7638560582383776E-5</v>
      </c>
      <c r="AE39" s="584">
        <f>'SC-Retro'!Y172</f>
        <v>16.643804862708095</v>
      </c>
      <c r="AF39" s="585">
        <f t="shared" si="2"/>
        <v>164.06962018289312</v>
      </c>
      <c r="AG39" s="585">
        <f t="shared" si="3"/>
        <v>119.70516307155192</v>
      </c>
      <c r="AH39" s="585">
        <f t="shared" si="4"/>
        <v>108.47131577192278</v>
      </c>
      <c r="AI39" s="585">
        <f t="shared" si="5"/>
        <v>86.951095404939252</v>
      </c>
      <c r="AJ39" s="585">
        <f t="shared" si="6"/>
        <v>35.82481519181912</v>
      </c>
      <c r="AK39" s="585">
        <f t="shared" si="7"/>
        <v>10.006830490605962</v>
      </c>
      <c r="AL39" s="585">
        <f t="shared" si="8"/>
        <v>2.4367455207122672</v>
      </c>
      <c r="AM39" s="585">
        <f t="shared" si="9"/>
        <v>2.0484388214855613</v>
      </c>
      <c r="AN39" s="585">
        <f t="shared" si="10"/>
        <v>19.437918323852109</v>
      </c>
      <c r="AO39" s="585">
        <f t="shared" si="11"/>
        <v>66.764050147129211</v>
      </c>
      <c r="AP39" s="585">
        <f t="shared" si="12"/>
        <v>105.60602394812521</v>
      </c>
      <c r="AQ39" s="585">
        <f t="shared" si="13"/>
        <v>191.20729006303606</v>
      </c>
      <c r="AR39" s="585"/>
      <c r="AS39" s="585">
        <f t="shared" si="14"/>
        <v>104.28982060180982</v>
      </c>
      <c r="AT39" s="585">
        <f t="shared" si="15"/>
        <v>78.131925819277853</v>
      </c>
      <c r="AU39" s="585">
        <f t="shared" si="16"/>
        <v>60.521776910995399</v>
      </c>
      <c r="AV39" s="585">
        <f t="shared" si="17"/>
        <v>51.903413876547866</v>
      </c>
      <c r="AW39" s="585">
        <f t="shared" si="18"/>
        <v>20.390705827881469</v>
      </c>
      <c r="AX39" s="585">
        <f t="shared" si="19"/>
        <v>5.0620558613572388</v>
      </c>
      <c r="AY39" s="585">
        <f t="shared" si="20"/>
        <v>1.363407358849452</v>
      </c>
      <c r="AZ39" s="585">
        <f t="shared" si="21"/>
        <v>0.91166192303096372</v>
      </c>
      <c r="BA39" s="585">
        <f t="shared" si="22"/>
        <v>11.162281837234481</v>
      </c>
      <c r="BB39" s="585">
        <f t="shared" si="23"/>
        <v>34.42175908977697</v>
      </c>
      <c r="BC39" s="585">
        <f t="shared" si="24"/>
        <v>69.095594369389673</v>
      </c>
      <c r="BD39" s="585">
        <f t="shared" si="25"/>
        <v>123.07783470374459</v>
      </c>
    </row>
    <row r="40" spans="1:56" ht="15">
      <c r="A40" s="580" t="str">
        <f>VLOOKUP(CONCATENATE($C40," - ",$B40),[2]ACHIEV!$B$12:$C$100,2,FALSE)</f>
        <v>Retro12Med</v>
      </c>
      <c r="B40" s="580" t="str">
        <f>'SC-Retro'!$C$7</f>
        <v>Retro</v>
      </c>
      <c r="C40" s="580" t="str">
        <f>'SC-Retro'!$C$8</f>
        <v>ResWx</v>
      </c>
      <c r="D40" s="580" t="s">
        <v>306</v>
      </c>
      <c r="E40" s="580" t="str">
        <f>'SC-Retro'!$A$9</f>
        <v>HVAC</v>
      </c>
      <c r="F40" s="581">
        <f t="shared" si="1"/>
        <v>1.1114630293062562</v>
      </c>
      <c r="G40" s="582">
        <f>'SC-Retro'!A173</f>
        <v>2125.4980617136061</v>
      </c>
      <c r="H40" s="582">
        <f>'SC-Retro'!B173</f>
        <v>52.23564188606791</v>
      </c>
      <c r="I40" s="583" t="str">
        <f>'SC-Retro'!C173</f>
        <v>Multifamily - Low Rise</v>
      </c>
      <c r="J40" s="586" t="str">
        <f>'SC-Retro'!D173</f>
        <v>WINDOW CL30 Prime Window Replacement of Single Pane Base_Heat Pump</v>
      </c>
      <c r="K40" s="584">
        <f>'SC-Retro'!E173</f>
        <v>2.0280570281590546</v>
      </c>
      <c r="L40" s="584">
        <f>'SC-Retro'!F173</f>
        <v>2.023451680138209</v>
      </c>
      <c r="M40" s="584">
        <f>'SC-Retro'!G173</f>
        <v>2.018856790023674</v>
      </c>
      <c r="N40" s="584">
        <f>'SC-Retro'!H173</f>
        <v>2.0142723340674498</v>
      </c>
      <c r="O40" s="584">
        <f>'SC-Retro'!I173</f>
        <v>2.0096982885754637</v>
      </c>
      <c r="P40" s="584">
        <f>'SC-Retro'!J173</f>
        <v>1.8046211669167032</v>
      </c>
      <c r="Q40" s="584">
        <f>'SC-Retro'!K173</f>
        <v>1.4404185608233095</v>
      </c>
      <c r="R40" s="584">
        <f>'SC-Retro'!L173</f>
        <v>1.149718106160317</v>
      </c>
      <c r="S40" s="584">
        <f>'SC-Retro'!M173</f>
        <v>0.91768584464596625</v>
      </c>
      <c r="T40" s="584">
        <f>'SC-Retro'!N173</f>
        <v>0.73248155782818569</v>
      </c>
      <c r="U40" s="584">
        <f>'SC-Retro'!O173</f>
        <v>0.58465458052847452</v>
      </c>
      <c r="V40" s="584">
        <f>'SC-Retro'!P173</f>
        <v>0.46666154919507935</v>
      </c>
      <c r="W40" s="584">
        <f>'SC-Retro'!Q173</f>
        <v>0.37248147667004422</v>
      </c>
      <c r="X40" s="584">
        <f>'SC-Retro'!R173</f>
        <v>0.29730851127890551</v>
      </c>
      <c r="Y40" s="584">
        <f>'SC-Retro'!S173</f>
        <v>0.23730670225295458</v>
      </c>
      <c r="Z40" s="584">
        <f>'SC-Retro'!T173</f>
        <v>0.18941425757348662</v>
      </c>
      <c r="AA40" s="584">
        <f>'SC-Retro'!U173</f>
        <v>1.2890166932712506E-3</v>
      </c>
      <c r="AB40" s="584">
        <f>'SC-Retro'!V173</f>
        <v>4.5931770400219925E-4</v>
      </c>
      <c r="AC40" s="584">
        <f>'SC-Retro'!W173</f>
        <v>1.5623000358469557E-4</v>
      </c>
      <c r="AD40" s="584">
        <f>'SC-Retro'!X173</f>
        <v>5.0828880557986399E-5</v>
      </c>
      <c r="AE40" s="584">
        <f>'SC-Retro'!Y173</f>
        <v>17.758428446510614</v>
      </c>
      <c r="AF40" s="585">
        <f t="shared" si="2"/>
        <v>236.77015727700021</v>
      </c>
      <c r="AG40" s="585">
        <f t="shared" si="3"/>
        <v>172.74746083842933</v>
      </c>
      <c r="AH40" s="585">
        <f t="shared" si="4"/>
        <v>156.53580758419497</v>
      </c>
      <c r="AI40" s="585">
        <f t="shared" si="5"/>
        <v>125.47980858056187</v>
      </c>
      <c r="AJ40" s="585">
        <f t="shared" si="6"/>
        <v>51.699072125181218</v>
      </c>
      <c r="AK40" s="585">
        <f t="shared" si="7"/>
        <v>14.440935661726449</v>
      </c>
      <c r="AL40" s="585">
        <f t="shared" si="8"/>
        <v>3.5164865959946034</v>
      </c>
      <c r="AM40" s="585">
        <f t="shared" si="9"/>
        <v>2.9561181490808335</v>
      </c>
      <c r="AN40" s="585">
        <f t="shared" si="10"/>
        <v>28.051012573477109</v>
      </c>
      <c r="AO40" s="585">
        <f t="shared" si="11"/>
        <v>96.347725046013863</v>
      </c>
      <c r="AP40" s="585">
        <f t="shared" si="12"/>
        <v>152.40088245296835</v>
      </c>
      <c r="AQ40" s="585">
        <f t="shared" si="13"/>
        <v>275.93274178527292</v>
      </c>
      <c r="AR40" s="585"/>
      <c r="AS40" s="585">
        <f t="shared" si="14"/>
        <v>150.50145906813808</v>
      </c>
      <c r="AT40" s="585">
        <f t="shared" si="15"/>
        <v>112.75279569711701</v>
      </c>
      <c r="AU40" s="585">
        <f t="shared" si="16"/>
        <v>87.339451520190735</v>
      </c>
      <c r="AV40" s="585">
        <f t="shared" si="17"/>
        <v>74.902224147678112</v>
      </c>
      <c r="AW40" s="585">
        <f t="shared" si="18"/>
        <v>29.425987702505374</v>
      </c>
      <c r="AX40" s="585">
        <f t="shared" si="19"/>
        <v>7.3050925643788478</v>
      </c>
      <c r="AY40" s="585">
        <f t="shared" si="20"/>
        <v>1.9675438659975806</v>
      </c>
      <c r="AZ40" s="585">
        <f t="shared" si="21"/>
        <v>1.315626480142239</v>
      </c>
      <c r="BA40" s="585">
        <f t="shared" si="22"/>
        <v>16.108376573469847</v>
      </c>
      <c r="BB40" s="585">
        <f t="shared" si="23"/>
        <v>49.674310846532194</v>
      </c>
      <c r="BC40" s="585">
        <f t="shared" si="24"/>
        <v>99.712394822097437</v>
      </c>
      <c r="BD40" s="585">
        <f t="shared" si="25"/>
        <v>177.61458975545719</v>
      </c>
    </row>
    <row r="41" spans="1:56" ht="15">
      <c r="A41" s="580" t="str">
        <f>VLOOKUP(CONCATENATE($C41," - ",$B41),[2]ACHIEV!$B$12:$C$100,2,FALSE)</f>
        <v>Retro12Med</v>
      </c>
      <c r="B41" s="580" t="str">
        <f>'SC-Retro'!$C$7</f>
        <v>Retro</v>
      </c>
      <c r="C41" s="580" t="str">
        <f>'SC-Retro'!$C$8</f>
        <v>ResWx</v>
      </c>
      <c r="D41" s="580" t="s">
        <v>306</v>
      </c>
      <c r="E41" s="580" t="str">
        <f>'SC-Retro'!$A$9</f>
        <v>HVAC</v>
      </c>
      <c r="F41" s="581">
        <f t="shared" si="1"/>
        <v>0.68302902713284885</v>
      </c>
      <c r="G41" s="582">
        <f>'SC-Retro'!A174</f>
        <v>1306.1854825447131</v>
      </c>
      <c r="H41" s="582">
        <f>'SC-Retro'!B174</f>
        <v>103.62359399518033</v>
      </c>
      <c r="I41" s="583" t="str">
        <f>'SC-Retro'!C174</f>
        <v>Multifamily - Low Rise</v>
      </c>
      <c r="J41" s="586" t="str">
        <f>'SC-Retro'!D174</f>
        <v>WINDOW CL30 Prime Window Replacement of Double Pane Base_Heat Pump</v>
      </c>
      <c r="K41" s="584">
        <f>'SC-Retro'!E174</f>
        <v>6.7426585765082381</v>
      </c>
      <c r="L41" s="584">
        <f>'SC-Retro'!F174</f>
        <v>6.727347227320613</v>
      </c>
      <c r="M41" s="584">
        <f>'SC-Retro'!G174</f>
        <v>6.7120706474174305</v>
      </c>
      <c r="N41" s="584">
        <f>'SC-Retro'!H174</f>
        <v>6.6968287578439814</v>
      </c>
      <c r="O41" s="584">
        <f>'SC-Retro'!I174</f>
        <v>6.6816214798248419</v>
      </c>
      <c r="P41" s="584">
        <f>'SC-Retro'!J174</f>
        <v>5.9998038612871385</v>
      </c>
      <c r="Q41" s="584">
        <f>'SC-Retro'!K174</f>
        <v>4.7889435198541355</v>
      </c>
      <c r="R41" s="584">
        <f>'SC-Retro'!L174</f>
        <v>3.822454961291498</v>
      </c>
      <c r="S41" s="584">
        <f>'SC-Retro'!M174</f>
        <v>3.0510198899875571</v>
      </c>
      <c r="T41" s="584">
        <f>'SC-Retro'!N174</f>
        <v>2.435273263744234</v>
      </c>
      <c r="U41" s="584">
        <f>'SC-Retro'!O174</f>
        <v>1.9437945614742225</v>
      </c>
      <c r="V41" s="584">
        <f>'SC-Retro'!P174</f>
        <v>1.551504446530805</v>
      </c>
      <c r="W41" s="584">
        <f>'SC-Retro'!Q174</f>
        <v>1.2383850100800793</v>
      </c>
      <c r="X41" s="584">
        <f>'SC-Retro'!R174</f>
        <v>0.98845829067405766</v>
      </c>
      <c r="Y41" s="584">
        <f>'SC-Retro'!S174</f>
        <v>0.78897094558589587</v>
      </c>
      <c r="Z41" s="584">
        <f>'SC-Retro'!T174</f>
        <v>0.62974346904836953</v>
      </c>
      <c r="AA41" s="584">
        <f>'SC-Retro'!U174</f>
        <v>4.2855794198436341E-3</v>
      </c>
      <c r="AB41" s="584">
        <f>'SC-Retro'!V174</f>
        <v>1.5270884463460027E-3</v>
      </c>
      <c r="AC41" s="584">
        <f>'SC-Retro'!W174</f>
        <v>5.194161500155039E-4</v>
      </c>
      <c r="AD41" s="584">
        <f>'SC-Retro'!X174</f>
        <v>1.6899021214394628E-4</v>
      </c>
      <c r="AE41" s="584">
        <f>'SC-Retro'!Y174</f>
        <v>59.041248943016335</v>
      </c>
      <c r="AF41" s="585">
        <f t="shared" si="2"/>
        <v>145.50271661302372</v>
      </c>
      <c r="AG41" s="585">
        <f t="shared" si="3"/>
        <v>106.15875382718694</v>
      </c>
      <c r="AH41" s="585">
        <f t="shared" si="4"/>
        <v>96.196182460898441</v>
      </c>
      <c r="AI41" s="585">
        <f t="shared" si="5"/>
        <v>77.111293241209083</v>
      </c>
      <c r="AJ41" s="585">
        <f t="shared" si="6"/>
        <v>31.770707622523666</v>
      </c>
      <c r="AK41" s="585">
        <f t="shared" si="7"/>
        <v>8.874409652720205</v>
      </c>
      <c r="AL41" s="585">
        <f t="shared" si="8"/>
        <v>2.1609917336495412</v>
      </c>
      <c r="AM41" s="585">
        <f t="shared" si="9"/>
        <v>1.8166276792100895</v>
      </c>
      <c r="AN41" s="585">
        <f t="shared" si="10"/>
        <v>17.23823044308752</v>
      </c>
      <c r="AO41" s="585">
        <f t="shared" si="11"/>
        <v>59.208710653846715</v>
      </c>
      <c r="AP41" s="585">
        <f t="shared" si="12"/>
        <v>93.655140775137895</v>
      </c>
      <c r="AQ41" s="585">
        <f t="shared" si="13"/>
        <v>169.56935786998895</v>
      </c>
      <c r="AR41" s="585"/>
      <c r="AS41" s="585">
        <f t="shared" si="14"/>
        <v>92.487885299745457</v>
      </c>
      <c r="AT41" s="585">
        <f t="shared" si="15"/>
        <v>69.290143100468498</v>
      </c>
      <c r="AU41" s="585">
        <f t="shared" si="16"/>
        <v>53.672842936924056</v>
      </c>
      <c r="AV41" s="585">
        <f t="shared" si="17"/>
        <v>46.029775116863796</v>
      </c>
      <c r="AW41" s="585">
        <f t="shared" si="18"/>
        <v>18.08319595246504</v>
      </c>
      <c r="AX41" s="585">
        <f t="shared" si="19"/>
        <v>4.4892093896073666</v>
      </c>
      <c r="AY41" s="585">
        <f t="shared" si="20"/>
        <v>1.2091176559173091</v>
      </c>
      <c r="AZ41" s="585">
        <f t="shared" si="21"/>
        <v>0.80849389598019794</v>
      </c>
      <c r="BA41" s="585">
        <f t="shared" si="22"/>
        <v>9.8991045941799136</v>
      </c>
      <c r="BB41" s="585">
        <f t="shared" si="23"/>
        <v>30.526428064979484</v>
      </c>
      <c r="BC41" s="585">
        <f t="shared" si="24"/>
        <v>61.27640617154298</v>
      </c>
      <c r="BD41" s="585">
        <f t="shared" si="25"/>
        <v>109.14975779355611</v>
      </c>
    </row>
    <row r="42" spans="1:56" ht="15">
      <c r="A42" s="580"/>
      <c r="B42" s="580"/>
      <c r="C42" s="580"/>
      <c r="D42" s="580"/>
      <c r="E42" s="580"/>
      <c r="F42" s="581"/>
      <c r="G42" s="582"/>
      <c r="H42" s="582"/>
      <c r="I42" s="583"/>
      <c r="J42" s="586"/>
      <c r="K42" s="584"/>
      <c r="L42" s="584"/>
      <c r="M42" s="584"/>
      <c r="N42" s="584"/>
      <c r="O42" s="584"/>
      <c r="P42" s="584"/>
      <c r="Q42" s="584"/>
      <c r="R42" s="584"/>
      <c r="S42" s="584"/>
      <c r="T42" s="584"/>
      <c r="U42" s="584"/>
      <c r="V42" s="584"/>
      <c r="W42" s="584"/>
      <c r="X42" s="584"/>
      <c r="Y42" s="584"/>
      <c r="Z42" s="584"/>
      <c r="AA42" s="584"/>
      <c r="AB42" s="584"/>
      <c r="AC42" s="584"/>
      <c r="AD42" s="584"/>
      <c r="AE42" s="584"/>
      <c r="AF42" s="585"/>
      <c r="AG42" s="585"/>
      <c r="AH42" s="585"/>
      <c r="AI42" s="585"/>
      <c r="AJ42" s="585"/>
      <c r="AK42" s="585"/>
      <c r="AL42" s="585"/>
      <c r="AM42" s="585"/>
      <c r="AN42" s="585"/>
      <c r="AO42" s="585"/>
      <c r="AP42" s="585"/>
      <c r="AQ42" s="585"/>
      <c r="AR42" s="585"/>
      <c r="AS42" s="585"/>
      <c r="AT42" s="585"/>
      <c r="AU42" s="585"/>
      <c r="AV42" s="585"/>
      <c r="AW42" s="585"/>
      <c r="AX42" s="585"/>
      <c r="AY42" s="585"/>
      <c r="AZ42" s="585"/>
      <c r="BA42" s="585"/>
      <c r="BB42" s="585"/>
      <c r="BC42" s="585"/>
      <c r="BD42" s="58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5" tint="0.79998168889431442"/>
  </sheetPr>
  <dimension ref="A1:H33"/>
  <sheetViews>
    <sheetView workbookViewId="0">
      <selection activeCell="E7" sqref="E7"/>
    </sheetView>
  </sheetViews>
  <sheetFormatPr defaultRowHeight="12.75"/>
  <cols>
    <col min="1" max="1" width="26" bestFit="1" customWidth="1"/>
    <col min="6" max="6" width="18.7109375" customWidth="1"/>
  </cols>
  <sheetData>
    <row r="1" spans="1:8">
      <c r="A1" t="s">
        <v>1771</v>
      </c>
    </row>
    <row r="2" spans="1:8">
      <c r="A2" t="s">
        <v>1772</v>
      </c>
      <c r="F2" t="s">
        <v>1768</v>
      </c>
    </row>
    <row r="3" spans="1:8" ht="15">
      <c r="A3" s="604" t="s">
        <v>1738</v>
      </c>
      <c r="B3" s="605" t="s">
        <v>1758</v>
      </c>
      <c r="F3" t="s">
        <v>1769</v>
      </c>
      <c r="G3" s="51">
        <v>0.67</v>
      </c>
      <c r="H3" t="s">
        <v>1770</v>
      </c>
    </row>
    <row r="4" spans="1:8" ht="13.5" thickBot="1">
      <c r="A4" s="70"/>
      <c r="F4" t="s">
        <v>1773</v>
      </c>
    </row>
    <row r="5" spans="1:8" ht="15.75" thickBot="1">
      <c r="A5" s="606" t="s">
        <v>32</v>
      </c>
      <c r="B5" s="607" t="s">
        <v>1739</v>
      </c>
      <c r="F5" s="606" t="s">
        <v>32</v>
      </c>
      <c r="G5" s="607" t="s">
        <v>1739</v>
      </c>
      <c r="H5" s="607" t="s">
        <v>1761</v>
      </c>
    </row>
    <row r="6" spans="1:8" ht="15">
      <c r="A6" s="608" t="s">
        <v>1740</v>
      </c>
      <c r="B6" s="609">
        <v>0.59065496554483243</v>
      </c>
      <c r="F6" s="608" t="s">
        <v>1080</v>
      </c>
      <c r="G6" s="609">
        <v>0.81962356781088785</v>
      </c>
      <c r="H6" s="609">
        <f>G6*$G$3</f>
        <v>0.54914779043329487</v>
      </c>
    </row>
    <row r="7" spans="1:8" ht="15">
      <c r="A7" s="610" t="s">
        <v>1741</v>
      </c>
      <c r="B7" s="611">
        <v>0.62847158422710725</v>
      </c>
      <c r="F7" s="610" t="s">
        <v>1081</v>
      </c>
      <c r="G7" s="611">
        <v>0.70749172275052419</v>
      </c>
      <c r="H7" s="611">
        <f>G7*$G$3</f>
        <v>0.47401945424285125</v>
      </c>
    </row>
    <row r="8" spans="1:8" ht="15">
      <c r="A8" s="610" t="s">
        <v>1742</v>
      </c>
      <c r="B8" s="611">
        <v>0.55283834686255773</v>
      </c>
      <c r="F8" s="610" t="s">
        <v>66</v>
      </c>
      <c r="G8" s="611">
        <v>1.2401179867872516</v>
      </c>
      <c r="H8" s="611">
        <f>G8*$G$3</f>
        <v>0.83087905114745864</v>
      </c>
    </row>
    <row r="9" spans="1:8" ht="15">
      <c r="A9" s="610" t="s">
        <v>1743</v>
      </c>
      <c r="B9" s="611">
        <v>0.37320940812175235</v>
      </c>
    </row>
    <row r="10" spans="1:8" ht="15">
      <c r="A10" s="610" t="s">
        <v>1744</v>
      </c>
      <c r="B10" s="611">
        <v>0.73246728560336305</v>
      </c>
    </row>
    <row r="11" spans="1:8" ht="15">
      <c r="A11" s="610" t="s">
        <v>1745</v>
      </c>
      <c r="B11" s="611">
        <v>0.77028390428563787</v>
      </c>
    </row>
    <row r="12" spans="1:8" ht="15">
      <c r="A12" s="610" t="s">
        <v>1746</v>
      </c>
      <c r="B12" s="611">
        <v>0.73246728560336305</v>
      </c>
    </row>
    <row r="13" spans="1:8" ht="15">
      <c r="A13" s="610" t="s">
        <v>1747</v>
      </c>
      <c r="B13" s="611">
        <v>0.47720510949800804</v>
      </c>
    </row>
    <row r="14" spans="1:8" ht="15">
      <c r="A14" s="610" t="s">
        <v>1748</v>
      </c>
      <c r="B14" s="611">
        <v>0.37320940812175235</v>
      </c>
    </row>
    <row r="15" spans="1:8" ht="15.75" thickBot="1">
      <c r="A15" s="612" t="s">
        <v>1749</v>
      </c>
      <c r="B15" s="613">
        <v>0.65683404823881342</v>
      </c>
    </row>
    <row r="16" spans="1:8" ht="15">
      <c r="A16" s="608" t="s">
        <v>1750</v>
      </c>
      <c r="B16" s="609">
        <v>0.98244865861375763</v>
      </c>
    </row>
    <row r="17" spans="1:2" ht="15">
      <c r="A17" s="610" t="s">
        <v>1751</v>
      </c>
      <c r="B17" s="611">
        <v>0.95315354155731979</v>
      </c>
    </row>
    <row r="18" spans="1:2" ht="15">
      <c r="A18" s="610" t="s">
        <v>1752</v>
      </c>
      <c r="B18" s="611">
        <v>0.92971744791216981</v>
      </c>
    </row>
    <row r="19" spans="1:2" ht="15">
      <c r="A19" s="610" t="s">
        <v>1753</v>
      </c>
      <c r="B19" s="611">
        <v>0.91799940108959477</v>
      </c>
    </row>
    <row r="20" spans="1:2" ht="15.75" thickBot="1">
      <c r="A20" s="612" t="s">
        <v>1754</v>
      </c>
      <c r="B20" s="613">
        <v>0.91799940108959477</v>
      </c>
    </row>
    <row r="21" spans="1:2" ht="15">
      <c r="A21" s="614" t="s">
        <v>1755</v>
      </c>
      <c r="B21" s="615">
        <v>1.0627413567179083</v>
      </c>
    </row>
    <row r="22" spans="1:2" ht="15">
      <c r="A22" s="610" t="s">
        <v>1756</v>
      </c>
      <c r="B22" s="611">
        <v>1.0354836592527603</v>
      </c>
    </row>
    <row r="23" spans="1:2" ht="15.75" thickBot="1">
      <c r="A23" s="612" t="s">
        <v>1757</v>
      </c>
      <c r="B23" s="613">
        <v>1.0899990541830562</v>
      </c>
    </row>
    <row r="28" spans="1:2" ht="13.5" thickBot="1">
      <c r="A28" t="s">
        <v>1765</v>
      </c>
    </row>
    <row r="29" spans="1:2" ht="13.5" thickBot="1">
      <c r="A29" s="620" t="s">
        <v>32</v>
      </c>
      <c r="B29" s="621" t="s">
        <v>1762</v>
      </c>
    </row>
    <row r="30" spans="1:2">
      <c r="A30" s="622" t="s">
        <v>1763</v>
      </c>
      <c r="B30" s="623">
        <v>23.269535952606116</v>
      </c>
    </row>
    <row r="31" spans="1:2">
      <c r="A31" s="624" t="s">
        <v>1764</v>
      </c>
      <c r="B31" s="625">
        <v>17.810142881355933</v>
      </c>
    </row>
    <row r="32" spans="1:2">
      <c r="A32" s="624" t="s">
        <v>495</v>
      </c>
      <c r="B32" s="625">
        <v>1.8290398716390079</v>
      </c>
    </row>
    <row r="33" spans="1:2" ht="13.5" thickBot="1">
      <c r="A33" s="626" t="s">
        <v>496</v>
      </c>
      <c r="B33" s="627">
        <v>7.288432942889191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5" tint="0.79998168889431442"/>
  </sheetPr>
  <dimension ref="A1:N144"/>
  <sheetViews>
    <sheetView workbookViewId="0">
      <selection activeCell="J21" sqref="J21"/>
    </sheetView>
  </sheetViews>
  <sheetFormatPr defaultRowHeight="12.75"/>
  <cols>
    <col min="1" max="1" width="15.85546875" style="124" bestFit="1" customWidth="1"/>
    <col min="2" max="2" width="15.7109375" style="124" bestFit="1" customWidth="1"/>
    <col min="3" max="3" width="54.85546875" style="124" bestFit="1" customWidth="1"/>
    <col min="4" max="4" width="13.7109375" style="124" hidden="1" customWidth="1"/>
    <col min="5" max="5" width="14.140625" style="124" hidden="1" customWidth="1"/>
    <col min="6" max="6" width="13.140625" style="124" hidden="1" customWidth="1"/>
    <col min="7" max="7" width="20" style="124" hidden="1" customWidth="1"/>
    <col min="8" max="8" width="15.140625" style="124" hidden="1" customWidth="1"/>
    <col min="9" max="9" width="14.140625" style="147" bestFit="1" customWidth="1"/>
    <col min="10" max="10" width="14" style="148" customWidth="1"/>
    <col min="11" max="11" width="15.5703125" style="124" customWidth="1"/>
    <col min="12" max="12" width="12.85546875" style="124" customWidth="1"/>
    <col min="13" max="13" width="11.42578125" style="124" customWidth="1"/>
    <col min="14" max="14" width="12.5703125" style="124" customWidth="1"/>
    <col min="15" max="256" width="9.140625" style="124"/>
    <col min="257" max="257" width="15.85546875" style="124" bestFit="1" customWidth="1"/>
    <col min="258" max="258" width="15.7109375" style="124" bestFit="1" customWidth="1"/>
    <col min="259" max="259" width="54.85546875" style="124" bestFit="1" customWidth="1"/>
    <col min="260" max="264" width="0" style="124" hidden="1" customWidth="1"/>
    <col min="265" max="265" width="14.140625" style="124" bestFit="1" customWidth="1"/>
    <col min="266" max="266" width="14" style="124" customWidth="1"/>
    <col min="267" max="267" width="15.5703125" style="124" customWidth="1"/>
    <col min="268" max="268" width="12.85546875" style="124" customWidth="1"/>
    <col min="269" max="269" width="11.42578125" style="124" customWidth="1"/>
    <col min="270" max="270" width="12.5703125" style="124" customWidth="1"/>
    <col min="271" max="512" width="9.140625" style="124"/>
    <col min="513" max="513" width="15.85546875" style="124" bestFit="1" customWidth="1"/>
    <col min="514" max="514" width="15.7109375" style="124" bestFit="1" customWidth="1"/>
    <col min="515" max="515" width="54.85546875" style="124" bestFit="1" customWidth="1"/>
    <col min="516" max="520" width="0" style="124" hidden="1" customWidth="1"/>
    <col min="521" max="521" width="14.140625" style="124" bestFit="1" customWidth="1"/>
    <col min="522" max="522" width="14" style="124" customWidth="1"/>
    <col min="523" max="523" width="15.5703125" style="124" customWidth="1"/>
    <col min="524" max="524" width="12.85546875" style="124" customWidth="1"/>
    <col min="525" max="525" width="11.42578125" style="124" customWidth="1"/>
    <col min="526" max="526" width="12.5703125" style="124" customWidth="1"/>
    <col min="527" max="768" width="9.140625" style="124"/>
    <col min="769" max="769" width="15.85546875" style="124" bestFit="1" customWidth="1"/>
    <col min="770" max="770" width="15.7109375" style="124" bestFit="1" customWidth="1"/>
    <col min="771" max="771" width="54.85546875" style="124" bestFit="1" customWidth="1"/>
    <col min="772" max="776" width="0" style="124" hidden="1" customWidth="1"/>
    <col min="777" max="777" width="14.140625" style="124" bestFit="1" customWidth="1"/>
    <col min="778" max="778" width="14" style="124" customWidth="1"/>
    <col min="779" max="779" width="15.5703125" style="124" customWidth="1"/>
    <col min="780" max="780" width="12.85546875" style="124" customWidth="1"/>
    <col min="781" max="781" width="11.42578125" style="124" customWidth="1"/>
    <col min="782" max="782" width="12.5703125" style="124" customWidth="1"/>
    <col min="783" max="1024" width="9.140625" style="124"/>
    <col min="1025" max="1025" width="15.85546875" style="124" bestFit="1" customWidth="1"/>
    <col min="1026" max="1026" width="15.7109375" style="124" bestFit="1" customWidth="1"/>
    <col min="1027" max="1027" width="54.85546875" style="124" bestFit="1" customWidth="1"/>
    <col min="1028" max="1032" width="0" style="124" hidden="1" customWidth="1"/>
    <col min="1033" max="1033" width="14.140625" style="124" bestFit="1" customWidth="1"/>
    <col min="1034" max="1034" width="14" style="124" customWidth="1"/>
    <col min="1035" max="1035" width="15.5703125" style="124" customWidth="1"/>
    <col min="1036" max="1036" width="12.85546875" style="124" customWidth="1"/>
    <col min="1037" max="1037" width="11.42578125" style="124" customWidth="1"/>
    <col min="1038" max="1038" width="12.5703125" style="124" customWidth="1"/>
    <col min="1039" max="1280" width="9.140625" style="124"/>
    <col min="1281" max="1281" width="15.85546875" style="124" bestFit="1" customWidth="1"/>
    <col min="1282" max="1282" width="15.7109375" style="124" bestFit="1" customWidth="1"/>
    <col min="1283" max="1283" width="54.85546875" style="124" bestFit="1" customWidth="1"/>
    <col min="1284" max="1288" width="0" style="124" hidden="1" customWidth="1"/>
    <col min="1289" max="1289" width="14.140625" style="124" bestFit="1" customWidth="1"/>
    <col min="1290" max="1290" width="14" style="124" customWidth="1"/>
    <col min="1291" max="1291" width="15.5703125" style="124" customWidth="1"/>
    <col min="1292" max="1292" width="12.85546875" style="124" customWidth="1"/>
    <col min="1293" max="1293" width="11.42578125" style="124" customWidth="1"/>
    <col min="1294" max="1294" width="12.5703125" style="124" customWidth="1"/>
    <col min="1295" max="1536" width="9.140625" style="124"/>
    <col min="1537" max="1537" width="15.85546875" style="124" bestFit="1" customWidth="1"/>
    <col min="1538" max="1538" width="15.7109375" style="124" bestFit="1" customWidth="1"/>
    <col min="1539" max="1539" width="54.85546875" style="124" bestFit="1" customWidth="1"/>
    <col min="1540" max="1544" width="0" style="124" hidden="1" customWidth="1"/>
    <col min="1545" max="1545" width="14.140625" style="124" bestFit="1" customWidth="1"/>
    <col min="1546" max="1546" width="14" style="124" customWidth="1"/>
    <col min="1547" max="1547" width="15.5703125" style="124" customWidth="1"/>
    <col min="1548" max="1548" width="12.85546875" style="124" customWidth="1"/>
    <col min="1549" max="1549" width="11.42578125" style="124" customWidth="1"/>
    <col min="1550" max="1550" width="12.5703125" style="124" customWidth="1"/>
    <col min="1551" max="1792" width="9.140625" style="124"/>
    <col min="1793" max="1793" width="15.85546875" style="124" bestFit="1" customWidth="1"/>
    <col min="1794" max="1794" width="15.7109375" style="124" bestFit="1" customWidth="1"/>
    <col min="1795" max="1795" width="54.85546875" style="124" bestFit="1" customWidth="1"/>
    <col min="1796" max="1800" width="0" style="124" hidden="1" customWidth="1"/>
    <col min="1801" max="1801" width="14.140625" style="124" bestFit="1" customWidth="1"/>
    <col min="1802" max="1802" width="14" style="124" customWidth="1"/>
    <col min="1803" max="1803" width="15.5703125" style="124" customWidth="1"/>
    <col min="1804" max="1804" width="12.85546875" style="124" customWidth="1"/>
    <col min="1805" max="1805" width="11.42578125" style="124" customWidth="1"/>
    <col min="1806" max="1806" width="12.5703125" style="124" customWidth="1"/>
    <col min="1807" max="2048" width="9.140625" style="124"/>
    <col min="2049" max="2049" width="15.85546875" style="124" bestFit="1" customWidth="1"/>
    <col min="2050" max="2050" width="15.7109375" style="124" bestFit="1" customWidth="1"/>
    <col min="2051" max="2051" width="54.85546875" style="124" bestFit="1" customWidth="1"/>
    <col min="2052" max="2056" width="0" style="124" hidden="1" customWidth="1"/>
    <col min="2057" max="2057" width="14.140625" style="124" bestFit="1" customWidth="1"/>
    <col min="2058" max="2058" width="14" style="124" customWidth="1"/>
    <col min="2059" max="2059" width="15.5703125" style="124" customWidth="1"/>
    <col min="2060" max="2060" width="12.85546875" style="124" customWidth="1"/>
    <col min="2061" max="2061" width="11.42578125" style="124" customWidth="1"/>
    <col min="2062" max="2062" width="12.5703125" style="124" customWidth="1"/>
    <col min="2063" max="2304" width="9.140625" style="124"/>
    <col min="2305" max="2305" width="15.85546875" style="124" bestFit="1" customWidth="1"/>
    <col min="2306" max="2306" width="15.7109375" style="124" bestFit="1" customWidth="1"/>
    <col min="2307" max="2307" width="54.85546875" style="124" bestFit="1" customWidth="1"/>
    <col min="2308" max="2312" width="0" style="124" hidden="1" customWidth="1"/>
    <col min="2313" max="2313" width="14.140625" style="124" bestFit="1" customWidth="1"/>
    <col min="2314" max="2314" width="14" style="124" customWidth="1"/>
    <col min="2315" max="2315" width="15.5703125" style="124" customWidth="1"/>
    <col min="2316" max="2316" width="12.85546875" style="124" customWidth="1"/>
    <col min="2317" max="2317" width="11.42578125" style="124" customWidth="1"/>
    <col min="2318" max="2318" width="12.5703125" style="124" customWidth="1"/>
    <col min="2319" max="2560" width="9.140625" style="124"/>
    <col min="2561" max="2561" width="15.85546875" style="124" bestFit="1" customWidth="1"/>
    <col min="2562" max="2562" width="15.7109375" style="124" bestFit="1" customWidth="1"/>
    <col min="2563" max="2563" width="54.85546875" style="124" bestFit="1" customWidth="1"/>
    <col min="2564" max="2568" width="0" style="124" hidden="1" customWidth="1"/>
    <col min="2569" max="2569" width="14.140625" style="124" bestFit="1" customWidth="1"/>
    <col min="2570" max="2570" width="14" style="124" customWidth="1"/>
    <col min="2571" max="2571" width="15.5703125" style="124" customWidth="1"/>
    <col min="2572" max="2572" width="12.85546875" style="124" customWidth="1"/>
    <col min="2573" max="2573" width="11.42578125" style="124" customWidth="1"/>
    <col min="2574" max="2574" width="12.5703125" style="124" customWidth="1"/>
    <col min="2575" max="2816" width="9.140625" style="124"/>
    <col min="2817" max="2817" width="15.85546875" style="124" bestFit="1" customWidth="1"/>
    <col min="2818" max="2818" width="15.7109375" style="124" bestFit="1" customWidth="1"/>
    <col min="2819" max="2819" width="54.85546875" style="124" bestFit="1" customWidth="1"/>
    <col min="2820" max="2824" width="0" style="124" hidden="1" customWidth="1"/>
    <col min="2825" max="2825" width="14.140625" style="124" bestFit="1" customWidth="1"/>
    <col min="2826" max="2826" width="14" style="124" customWidth="1"/>
    <col min="2827" max="2827" width="15.5703125" style="124" customWidth="1"/>
    <col min="2828" max="2828" width="12.85546875" style="124" customWidth="1"/>
    <col min="2829" max="2829" width="11.42578125" style="124" customWidth="1"/>
    <col min="2830" max="2830" width="12.5703125" style="124" customWidth="1"/>
    <col min="2831" max="3072" width="9.140625" style="124"/>
    <col min="3073" max="3073" width="15.85546875" style="124" bestFit="1" customWidth="1"/>
    <col min="3074" max="3074" width="15.7109375" style="124" bestFit="1" customWidth="1"/>
    <col min="3075" max="3075" width="54.85546875" style="124" bestFit="1" customWidth="1"/>
    <col min="3076" max="3080" width="0" style="124" hidden="1" customWidth="1"/>
    <col min="3081" max="3081" width="14.140625" style="124" bestFit="1" customWidth="1"/>
    <col min="3082" max="3082" width="14" style="124" customWidth="1"/>
    <col min="3083" max="3083" width="15.5703125" style="124" customWidth="1"/>
    <col min="3084" max="3084" width="12.85546875" style="124" customWidth="1"/>
    <col min="3085" max="3085" width="11.42578125" style="124" customWidth="1"/>
    <col min="3086" max="3086" width="12.5703125" style="124" customWidth="1"/>
    <col min="3087" max="3328" width="9.140625" style="124"/>
    <col min="3329" max="3329" width="15.85546875" style="124" bestFit="1" customWidth="1"/>
    <col min="3330" max="3330" width="15.7109375" style="124" bestFit="1" customWidth="1"/>
    <col min="3331" max="3331" width="54.85546875" style="124" bestFit="1" customWidth="1"/>
    <col min="3332" max="3336" width="0" style="124" hidden="1" customWidth="1"/>
    <col min="3337" max="3337" width="14.140625" style="124" bestFit="1" customWidth="1"/>
    <col min="3338" max="3338" width="14" style="124" customWidth="1"/>
    <col min="3339" max="3339" width="15.5703125" style="124" customWidth="1"/>
    <col min="3340" max="3340" width="12.85546875" style="124" customWidth="1"/>
    <col min="3341" max="3341" width="11.42578125" style="124" customWidth="1"/>
    <col min="3342" max="3342" width="12.5703125" style="124" customWidth="1"/>
    <col min="3343" max="3584" width="9.140625" style="124"/>
    <col min="3585" max="3585" width="15.85546875" style="124" bestFit="1" customWidth="1"/>
    <col min="3586" max="3586" width="15.7109375" style="124" bestFit="1" customWidth="1"/>
    <col min="3587" max="3587" width="54.85546875" style="124" bestFit="1" customWidth="1"/>
    <col min="3588" max="3592" width="0" style="124" hidden="1" customWidth="1"/>
    <col min="3593" max="3593" width="14.140625" style="124" bestFit="1" customWidth="1"/>
    <col min="3594" max="3594" width="14" style="124" customWidth="1"/>
    <col min="3595" max="3595" width="15.5703125" style="124" customWidth="1"/>
    <col min="3596" max="3596" width="12.85546875" style="124" customWidth="1"/>
    <col min="3597" max="3597" width="11.42578125" style="124" customWidth="1"/>
    <col min="3598" max="3598" width="12.5703125" style="124" customWidth="1"/>
    <col min="3599" max="3840" width="9.140625" style="124"/>
    <col min="3841" max="3841" width="15.85546875" style="124" bestFit="1" customWidth="1"/>
    <col min="3842" max="3842" width="15.7109375" style="124" bestFit="1" customWidth="1"/>
    <col min="3843" max="3843" width="54.85546875" style="124" bestFit="1" customWidth="1"/>
    <col min="3844" max="3848" width="0" style="124" hidden="1" customWidth="1"/>
    <col min="3849" max="3849" width="14.140625" style="124" bestFit="1" customWidth="1"/>
    <col min="3850" max="3850" width="14" style="124" customWidth="1"/>
    <col min="3851" max="3851" width="15.5703125" style="124" customWidth="1"/>
    <col min="3852" max="3852" width="12.85546875" style="124" customWidth="1"/>
    <col min="3853" max="3853" width="11.42578125" style="124" customWidth="1"/>
    <col min="3854" max="3854" width="12.5703125" style="124" customWidth="1"/>
    <col min="3855" max="4096" width="9.140625" style="124"/>
    <col min="4097" max="4097" width="15.85546875" style="124" bestFit="1" customWidth="1"/>
    <col min="4098" max="4098" width="15.7109375" style="124" bestFit="1" customWidth="1"/>
    <col min="4099" max="4099" width="54.85546875" style="124" bestFit="1" customWidth="1"/>
    <col min="4100" max="4104" width="0" style="124" hidden="1" customWidth="1"/>
    <col min="4105" max="4105" width="14.140625" style="124" bestFit="1" customWidth="1"/>
    <col min="4106" max="4106" width="14" style="124" customWidth="1"/>
    <col min="4107" max="4107" width="15.5703125" style="124" customWidth="1"/>
    <col min="4108" max="4108" width="12.85546875" style="124" customWidth="1"/>
    <col min="4109" max="4109" width="11.42578125" style="124" customWidth="1"/>
    <col min="4110" max="4110" width="12.5703125" style="124" customWidth="1"/>
    <col min="4111" max="4352" width="9.140625" style="124"/>
    <col min="4353" max="4353" width="15.85546875" style="124" bestFit="1" customWidth="1"/>
    <col min="4354" max="4354" width="15.7109375" style="124" bestFit="1" customWidth="1"/>
    <col min="4355" max="4355" width="54.85546875" style="124" bestFit="1" customWidth="1"/>
    <col min="4356" max="4360" width="0" style="124" hidden="1" customWidth="1"/>
    <col min="4361" max="4361" width="14.140625" style="124" bestFit="1" customWidth="1"/>
    <col min="4362" max="4362" width="14" style="124" customWidth="1"/>
    <col min="4363" max="4363" width="15.5703125" style="124" customWidth="1"/>
    <col min="4364" max="4364" width="12.85546875" style="124" customWidth="1"/>
    <col min="4365" max="4365" width="11.42578125" style="124" customWidth="1"/>
    <col min="4366" max="4366" width="12.5703125" style="124" customWidth="1"/>
    <col min="4367" max="4608" width="9.140625" style="124"/>
    <col min="4609" max="4609" width="15.85546875" style="124" bestFit="1" customWidth="1"/>
    <col min="4610" max="4610" width="15.7109375" style="124" bestFit="1" customWidth="1"/>
    <col min="4611" max="4611" width="54.85546875" style="124" bestFit="1" customWidth="1"/>
    <col min="4612" max="4616" width="0" style="124" hidden="1" customWidth="1"/>
    <col min="4617" max="4617" width="14.140625" style="124" bestFit="1" customWidth="1"/>
    <col min="4618" max="4618" width="14" style="124" customWidth="1"/>
    <col min="4619" max="4619" width="15.5703125" style="124" customWidth="1"/>
    <col min="4620" max="4620" width="12.85546875" style="124" customWidth="1"/>
    <col min="4621" max="4621" width="11.42578125" style="124" customWidth="1"/>
    <col min="4622" max="4622" width="12.5703125" style="124" customWidth="1"/>
    <col min="4623" max="4864" width="9.140625" style="124"/>
    <col min="4865" max="4865" width="15.85546875" style="124" bestFit="1" customWidth="1"/>
    <col min="4866" max="4866" width="15.7109375" style="124" bestFit="1" customWidth="1"/>
    <col min="4867" max="4867" width="54.85546875" style="124" bestFit="1" customWidth="1"/>
    <col min="4868" max="4872" width="0" style="124" hidden="1" customWidth="1"/>
    <col min="4873" max="4873" width="14.140625" style="124" bestFit="1" customWidth="1"/>
    <col min="4874" max="4874" width="14" style="124" customWidth="1"/>
    <col min="4875" max="4875" width="15.5703125" style="124" customWidth="1"/>
    <col min="4876" max="4876" width="12.85546875" style="124" customWidth="1"/>
    <col min="4877" max="4877" width="11.42578125" style="124" customWidth="1"/>
    <col min="4878" max="4878" width="12.5703125" style="124" customWidth="1"/>
    <col min="4879" max="5120" width="9.140625" style="124"/>
    <col min="5121" max="5121" width="15.85546875" style="124" bestFit="1" customWidth="1"/>
    <col min="5122" max="5122" width="15.7109375" style="124" bestFit="1" customWidth="1"/>
    <col min="5123" max="5123" width="54.85546875" style="124" bestFit="1" customWidth="1"/>
    <col min="5124" max="5128" width="0" style="124" hidden="1" customWidth="1"/>
    <col min="5129" max="5129" width="14.140625" style="124" bestFit="1" customWidth="1"/>
    <col min="5130" max="5130" width="14" style="124" customWidth="1"/>
    <col min="5131" max="5131" width="15.5703125" style="124" customWidth="1"/>
    <col min="5132" max="5132" width="12.85546875" style="124" customWidth="1"/>
    <col min="5133" max="5133" width="11.42578125" style="124" customWidth="1"/>
    <col min="5134" max="5134" width="12.5703125" style="124" customWidth="1"/>
    <col min="5135" max="5376" width="9.140625" style="124"/>
    <col min="5377" max="5377" width="15.85546875" style="124" bestFit="1" customWidth="1"/>
    <col min="5378" max="5378" width="15.7109375" style="124" bestFit="1" customWidth="1"/>
    <col min="5379" max="5379" width="54.85546875" style="124" bestFit="1" customWidth="1"/>
    <col min="5380" max="5384" width="0" style="124" hidden="1" customWidth="1"/>
    <col min="5385" max="5385" width="14.140625" style="124" bestFit="1" customWidth="1"/>
    <col min="5386" max="5386" width="14" style="124" customWidth="1"/>
    <col min="5387" max="5387" width="15.5703125" style="124" customWidth="1"/>
    <col min="5388" max="5388" width="12.85546875" style="124" customWidth="1"/>
    <col min="5389" max="5389" width="11.42578125" style="124" customWidth="1"/>
    <col min="5390" max="5390" width="12.5703125" style="124" customWidth="1"/>
    <col min="5391" max="5632" width="9.140625" style="124"/>
    <col min="5633" max="5633" width="15.85546875" style="124" bestFit="1" customWidth="1"/>
    <col min="5634" max="5634" width="15.7109375" style="124" bestFit="1" customWidth="1"/>
    <col min="5635" max="5635" width="54.85546875" style="124" bestFit="1" customWidth="1"/>
    <col min="5636" max="5640" width="0" style="124" hidden="1" customWidth="1"/>
    <col min="5641" max="5641" width="14.140625" style="124" bestFit="1" customWidth="1"/>
    <col min="5642" max="5642" width="14" style="124" customWidth="1"/>
    <col min="5643" max="5643" width="15.5703125" style="124" customWidth="1"/>
    <col min="5644" max="5644" width="12.85546875" style="124" customWidth="1"/>
    <col min="5645" max="5645" width="11.42578125" style="124" customWidth="1"/>
    <col min="5646" max="5646" width="12.5703125" style="124" customWidth="1"/>
    <col min="5647" max="5888" width="9.140625" style="124"/>
    <col min="5889" max="5889" width="15.85546875" style="124" bestFit="1" customWidth="1"/>
    <col min="5890" max="5890" width="15.7109375" style="124" bestFit="1" customWidth="1"/>
    <col min="5891" max="5891" width="54.85546875" style="124" bestFit="1" customWidth="1"/>
    <col min="5892" max="5896" width="0" style="124" hidden="1" customWidth="1"/>
    <col min="5897" max="5897" width="14.140625" style="124" bestFit="1" customWidth="1"/>
    <col min="5898" max="5898" width="14" style="124" customWidth="1"/>
    <col min="5899" max="5899" width="15.5703125" style="124" customWidth="1"/>
    <col min="5900" max="5900" width="12.85546875" style="124" customWidth="1"/>
    <col min="5901" max="5901" width="11.42578125" style="124" customWidth="1"/>
    <col min="5902" max="5902" width="12.5703125" style="124" customWidth="1"/>
    <col min="5903" max="6144" width="9.140625" style="124"/>
    <col min="6145" max="6145" width="15.85546875" style="124" bestFit="1" customWidth="1"/>
    <col min="6146" max="6146" width="15.7109375" style="124" bestFit="1" customWidth="1"/>
    <col min="6147" max="6147" width="54.85546875" style="124" bestFit="1" customWidth="1"/>
    <col min="6148" max="6152" width="0" style="124" hidden="1" customWidth="1"/>
    <col min="6153" max="6153" width="14.140625" style="124" bestFit="1" customWidth="1"/>
    <col min="6154" max="6154" width="14" style="124" customWidth="1"/>
    <col min="6155" max="6155" width="15.5703125" style="124" customWidth="1"/>
    <col min="6156" max="6156" width="12.85546875" style="124" customWidth="1"/>
    <col min="6157" max="6157" width="11.42578125" style="124" customWidth="1"/>
    <col min="6158" max="6158" width="12.5703125" style="124" customWidth="1"/>
    <col min="6159" max="6400" width="9.140625" style="124"/>
    <col min="6401" max="6401" width="15.85546875" style="124" bestFit="1" customWidth="1"/>
    <col min="6402" max="6402" width="15.7109375" style="124" bestFit="1" customWidth="1"/>
    <col min="6403" max="6403" width="54.85546875" style="124" bestFit="1" customWidth="1"/>
    <col min="6404" max="6408" width="0" style="124" hidden="1" customWidth="1"/>
    <col min="6409" max="6409" width="14.140625" style="124" bestFit="1" customWidth="1"/>
    <col min="6410" max="6410" width="14" style="124" customWidth="1"/>
    <col min="6411" max="6411" width="15.5703125" style="124" customWidth="1"/>
    <col min="6412" max="6412" width="12.85546875" style="124" customWidth="1"/>
    <col min="6413" max="6413" width="11.42578125" style="124" customWidth="1"/>
    <col min="6414" max="6414" width="12.5703125" style="124" customWidth="1"/>
    <col min="6415" max="6656" width="9.140625" style="124"/>
    <col min="6657" max="6657" width="15.85546875" style="124" bestFit="1" customWidth="1"/>
    <col min="6658" max="6658" width="15.7109375" style="124" bestFit="1" customWidth="1"/>
    <col min="6659" max="6659" width="54.85546875" style="124" bestFit="1" customWidth="1"/>
    <col min="6660" max="6664" width="0" style="124" hidden="1" customWidth="1"/>
    <col min="6665" max="6665" width="14.140625" style="124" bestFit="1" customWidth="1"/>
    <col min="6666" max="6666" width="14" style="124" customWidth="1"/>
    <col min="6667" max="6667" width="15.5703125" style="124" customWidth="1"/>
    <col min="6668" max="6668" width="12.85546875" style="124" customWidth="1"/>
    <col min="6669" max="6669" width="11.42578125" style="124" customWidth="1"/>
    <col min="6670" max="6670" width="12.5703125" style="124" customWidth="1"/>
    <col min="6671" max="6912" width="9.140625" style="124"/>
    <col min="6913" max="6913" width="15.85546875" style="124" bestFit="1" customWidth="1"/>
    <col min="6914" max="6914" width="15.7109375" style="124" bestFit="1" customWidth="1"/>
    <col min="6915" max="6915" width="54.85546875" style="124" bestFit="1" customWidth="1"/>
    <col min="6916" max="6920" width="0" style="124" hidden="1" customWidth="1"/>
    <col min="6921" max="6921" width="14.140625" style="124" bestFit="1" customWidth="1"/>
    <col min="6922" max="6922" width="14" style="124" customWidth="1"/>
    <col min="6923" max="6923" width="15.5703125" style="124" customWidth="1"/>
    <col min="6924" max="6924" width="12.85546875" style="124" customWidth="1"/>
    <col min="6925" max="6925" width="11.42578125" style="124" customWidth="1"/>
    <col min="6926" max="6926" width="12.5703125" style="124" customWidth="1"/>
    <col min="6927" max="7168" width="9.140625" style="124"/>
    <col min="7169" max="7169" width="15.85546875" style="124" bestFit="1" customWidth="1"/>
    <col min="7170" max="7170" width="15.7109375" style="124" bestFit="1" customWidth="1"/>
    <col min="7171" max="7171" width="54.85546875" style="124" bestFit="1" customWidth="1"/>
    <col min="7172" max="7176" width="0" style="124" hidden="1" customWidth="1"/>
    <col min="7177" max="7177" width="14.140625" style="124" bestFit="1" customWidth="1"/>
    <col min="7178" max="7178" width="14" style="124" customWidth="1"/>
    <col min="7179" max="7179" width="15.5703125" style="124" customWidth="1"/>
    <col min="7180" max="7180" width="12.85546875" style="124" customWidth="1"/>
    <col min="7181" max="7181" width="11.42578125" style="124" customWidth="1"/>
    <col min="7182" max="7182" width="12.5703125" style="124" customWidth="1"/>
    <col min="7183" max="7424" width="9.140625" style="124"/>
    <col min="7425" max="7425" width="15.85546875" style="124" bestFit="1" customWidth="1"/>
    <col min="7426" max="7426" width="15.7109375" style="124" bestFit="1" customWidth="1"/>
    <col min="7427" max="7427" width="54.85546875" style="124" bestFit="1" customWidth="1"/>
    <col min="7428" max="7432" width="0" style="124" hidden="1" customWidth="1"/>
    <col min="7433" max="7433" width="14.140625" style="124" bestFit="1" customWidth="1"/>
    <col min="7434" max="7434" width="14" style="124" customWidth="1"/>
    <col min="7435" max="7435" width="15.5703125" style="124" customWidth="1"/>
    <col min="7436" max="7436" width="12.85546875" style="124" customWidth="1"/>
    <col min="7437" max="7437" width="11.42578125" style="124" customWidth="1"/>
    <col min="7438" max="7438" width="12.5703125" style="124" customWidth="1"/>
    <col min="7439" max="7680" width="9.140625" style="124"/>
    <col min="7681" max="7681" width="15.85546875" style="124" bestFit="1" customWidth="1"/>
    <col min="7682" max="7682" width="15.7109375" style="124" bestFit="1" customWidth="1"/>
    <col min="7683" max="7683" width="54.85546875" style="124" bestFit="1" customWidth="1"/>
    <col min="7684" max="7688" width="0" style="124" hidden="1" customWidth="1"/>
    <col min="7689" max="7689" width="14.140625" style="124" bestFit="1" customWidth="1"/>
    <col min="7690" max="7690" width="14" style="124" customWidth="1"/>
    <col min="7691" max="7691" width="15.5703125" style="124" customWidth="1"/>
    <col min="7692" max="7692" width="12.85546875" style="124" customWidth="1"/>
    <col min="7693" max="7693" width="11.42578125" style="124" customWidth="1"/>
    <col min="7694" max="7694" width="12.5703125" style="124" customWidth="1"/>
    <col min="7695" max="7936" width="9.140625" style="124"/>
    <col min="7937" max="7937" width="15.85546875" style="124" bestFit="1" customWidth="1"/>
    <col min="7938" max="7938" width="15.7109375" style="124" bestFit="1" customWidth="1"/>
    <col min="7939" max="7939" width="54.85546875" style="124" bestFit="1" customWidth="1"/>
    <col min="7940" max="7944" width="0" style="124" hidden="1" customWidth="1"/>
    <col min="7945" max="7945" width="14.140625" style="124" bestFit="1" customWidth="1"/>
    <col min="7946" max="7946" width="14" style="124" customWidth="1"/>
    <col min="7947" max="7947" width="15.5703125" style="124" customWidth="1"/>
    <col min="7948" max="7948" width="12.85546875" style="124" customWidth="1"/>
    <col min="7949" max="7949" width="11.42578125" style="124" customWidth="1"/>
    <col min="7950" max="7950" width="12.5703125" style="124" customWidth="1"/>
    <col min="7951" max="8192" width="9.140625" style="124"/>
    <col min="8193" max="8193" width="15.85546875" style="124" bestFit="1" customWidth="1"/>
    <col min="8194" max="8194" width="15.7109375" style="124" bestFit="1" customWidth="1"/>
    <col min="8195" max="8195" width="54.85546875" style="124" bestFit="1" customWidth="1"/>
    <col min="8196" max="8200" width="0" style="124" hidden="1" customWidth="1"/>
    <col min="8201" max="8201" width="14.140625" style="124" bestFit="1" customWidth="1"/>
    <col min="8202" max="8202" width="14" style="124" customWidth="1"/>
    <col min="8203" max="8203" width="15.5703125" style="124" customWidth="1"/>
    <col min="8204" max="8204" width="12.85546875" style="124" customWidth="1"/>
    <col min="8205" max="8205" width="11.42578125" style="124" customWidth="1"/>
    <col min="8206" max="8206" width="12.5703125" style="124" customWidth="1"/>
    <col min="8207" max="8448" width="9.140625" style="124"/>
    <col min="8449" max="8449" width="15.85546875" style="124" bestFit="1" customWidth="1"/>
    <col min="8450" max="8450" width="15.7109375" style="124" bestFit="1" customWidth="1"/>
    <col min="8451" max="8451" width="54.85546875" style="124" bestFit="1" customWidth="1"/>
    <col min="8452" max="8456" width="0" style="124" hidden="1" customWidth="1"/>
    <col min="8457" max="8457" width="14.140625" style="124" bestFit="1" customWidth="1"/>
    <col min="8458" max="8458" width="14" style="124" customWidth="1"/>
    <col min="8459" max="8459" width="15.5703125" style="124" customWidth="1"/>
    <col min="8460" max="8460" width="12.85546875" style="124" customWidth="1"/>
    <col min="8461" max="8461" width="11.42578125" style="124" customWidth="1"/>
    <col min="8462" max="8462" width="12.5703125" style="124" customWidth="1"/>
    <col min="8463" max="8704" width="9.140625" style="124"/>
    <col min="8705" max="8705" width="15.85546875" style="124" bestFit="1" customWidth="1"/>
    <col min="8706" max="8706" width="15.7109375" style="124" bestFit="1" customWidth="1"/>
    <col min="8707" max="8707" width="54.85546875" style="124" bestFit="1" customWidth="1"/>
    <col min="8708" max="8712" width="0" style="124" hidden="1" customWidth="1"/>
    <col min="8713" max="8713" width="14.140625" style="124" bestFit="1" customWidth="1"/>
    <col min="8714" max="8714" width="14" style="124" customWidth="1"/>
    <col min="8715" max="8715" width="15.5703125" style="124" customWidth="1"/>
    <col min="8716" max="8716" width="12.85546875" style="124" customWidth="1"/>
    <col min="8717" max="8717" width="11.42578125" style="124" customWidth="1"/>
    <col min="8718" max="8718" width="12.5703125" style="124" customWidth="1"/>
    <col min="8719" max="8960" width="9.140625" style="124"/>
    <col min="8961" max="8961" width="15.85546875" style="124" bestFit="1" customWidth="1"/>
    <col min="8962" max="8962" width="15.7109375" style="124" bestFit="1" customWidth="1"/>
    <col min="8963" max="8963" width="54.85546875" style="124" bestFit="1" customWidth="1"/>
    <col min="8964" max="8968" width="0" style="124" hidden="1" customWidth="1"/>
    <col min="8969" max="8969" width="14.140625" style="124" bestFit="1" customWidth="1"/>
    <col min="8970" max="8970" width="14" style="124" customWidth="1"/>
    <col min="8971" max="8971" width="15.5703125" style="124" customWidth="1"/>
    <col min="8972" max="8972" width="12.85546875" style="124" customWidth="1"/>
    <col min="8973" max="8973" width="11.42578125" style="124" customWidth="1"/>
    <col min="8974" max="8974" width="12.5703125" style="124" customWidth="1"/>
    <col min="8975" max="9216" width="9.140625" style="124"/>
    <col min="9217" max="9217" width="15.85546875" style="124" bestFit="1" customWidth="1"/>
    <col min="9218" max="9218" width="15.7109375" style="124" bestFit="1" customWidth="1"/>
    <col min="9219" max="9219" width="54.85546875" style="124" bestFit="1" customWidth="1"/>
    <col min="9220" max="9224" width="0" style="124" hidden="1" customWidth="1"/>
    <col min="9225" max="9225" width="14.140625" style="124" bestFit="1" customWidth="1"/>
    <col min="9226" max="9226" width="14" style="124" customWidth="1"/>
    <col min="9227" max="9227" width="15.5703125" style="124" customWidth="1"/>
    <col min="9228" max="9228" width="12.85546875" style="124" customWidth="1"/>
    <col min="9229" max="9229" width="11.42578125" style="124" customWidth="1"/>
    <col min="9230" max="9230" width="12.5703125" style="124" customWidth="1"/>
    <col min="9231" max="9472" width="9.140625" style="124"/>
    <col min="9473" max="9473" width="15.85546875" style="124" bestFit="1" customWidth="1"/>
    <col min="9474" max="9474" width="15.7109375" style="124" bestFit="1" customWidth="1"/>
    <col min="9475" max="9475" width="54.85546875" style="124" bestFit="1" customWidth="1"/>
    <col min="9476" max="9480" width="0" style="124" hidden="1" customWidth="1"/>
    <col min="9481" max="9481" width="14.140625" style="124" bestFit="1" customWidth="1"/>
    <col min="9482" max="9482" width="14" style="124" customWidth="1"/>
    <col min="9483" max="9483" width="15.5703125" style="124" customWidth="1"/>
    <col min="9484" max="9484" width="12.85546875" style="124" customWidth="1"/>
    <col min="9485" max="9485" width="11.42578125" style="124" customWidth="1"/>
    <col min="9486" max="9486" width="12.5703125" style="124" customWidth="1"/>
    <col min="9487" max="9728" width="9.140625" style="124"/>
    <col min="9729" max="9729" width="15.85546875" style="124" bestFit="1" customWidth="1"/>
    <col min="9730" max="9730" width="15.7109375" style="124" bestFit="1" customWidth="1"/>
    <col min="9731" max="9731" width="54.85546875" style="124" bestFit="1" customWidth="1"/>
    <col min="9732" max="9736" width="0" style="124" hidden="1" customWidth="1"/>
    <col min="9737" max="9737" width="14.140625" style="124" bestFit="1" customWidth="1"/>
    <col min="9738" max="9738" width="14" style="124" customWidth="1"/>
    <col min="9739" max="9739" width="15.5703125" style="124" customWidth="1"/>
    <col min="9740" max="9740" width="12.85546875" style="124" customWidth="1"/>
    <col min="9741" max="9741" width="11.42578125" style="124" customWidth="1"/>
    <col min="9742" max="9742" width="12.5703125" style="124" customWidth="1"/>
    <col min="9743" max="9984" width="9.140625" style="124"/>
    <col min="9985" max="9985" width="15.85546875" style="124" bestFit="1" customWidth="1"/>
    <col min="9986" max="9986" width="15.7109375" style="124" bestFit="1" customWidth="1"/>
    <col min="9987" max="9987" width="54.85546875" style="124" bestFit="1" customWidth="1"/>
    <col min="9988" max="9992" width="0" style="124" hidden="1" customWidth="1"/>
    <col min="9993" max="9993" width="14.140625" style="124" bestFit="1" customWidth="1"/>
    <col min="9994" max="9994" width="14" style="124" customWidth="1"/>
    <col min="9995" max="9995" width="15.5703125" style="124" customWidth="1"/>
    <col min="9996" max="9996" width="12.85546875" style="124" customWidth="1"/>
    <col min="9997" max="9997" width="11.42578125" style="124" customWidth="1"/>
    <col min="9998" max="9998" width="12.5703125" style="124" customWidth="1"/>
    <col min="9999" max="10240" width="9.140625" style="124"/>
    <col min="10241" max="10241" width="15.85546875" style="124" bestFit="1" customWidth="1"/>
    <col min="10242" max="10242" width="15.7109375" style="124" bestFit="1" customWidth="1"/>
    <col min="10243" max="10243" width="54.85546875" style="124" bestFit="1" customWidth="1"/>
    <col min="10244" max="10248" width="0" style="124" hidden="1" customWidth="1"/>
    <col min="10249" max="10249" width="14.140625" style="124" bestFit="1" customWidth="1"/>
    <col min="10250" max="10250" width="14" style="124" customWidth="1"/>
    <col min="10251" max="10251" width="15.5703125" style="124" customWidth="1"/>
    <col min="10252" max="10252" width="12.85546875" style="124" customWidth="1"/>
    <col min="10253" max="10253" width="11.42578125" style="124" customWidth="1"/>
    <col min="10254" max="10254" width="12.5703125" style="124" customWidth="1"/>
    <col min="10255" max="10496" width="9.140625" style="124"/>
    <col min="10497" max="10497" width="15.85546875" style="124" bestFit="1" customWidth="1"/>
    <col min="10498" max="10498" width="15.7109375" style="124" bestFit="1" customWidth="1"/>
    <col min="10499" max="10499" width="54.85546875" style="124" bestFit="1" customWidth="1"/>
    <col min="10500" max="10504" width="0" style="124" hidden="1" customWidth="1"/>
    <col min="10505" max="10505" width="14.140625" style="124" bestFit="1" customWidth="1"/>
    <col min="10506" max="10506" width="14" style="124" customWidth="1"/>
    <col min="10507" max="10507" width="15.5703125" style="124" customWidth="1"/>
    <col min="10508" max="10508" width="12.85546875" style="124" customWidth="1"/>
    <col min="10509" max="10509" width="11.42578125" style="124" customWidth="1"/>
    <col min="10510" max="10510" width="12.5703125" style="124" customWidth="1"/>
    <col min="10511" max="10752" width="9.140625" style="124"/>
    <col min="10753" max="10753" width="15.85546875" style="124" bestFit="1" customWidth="1"/>
    <col min="10754" max="10754" width="15.7109375" style="124" bestFit="1" customWidth="1"/>
    <col min="10755" max="10755" width="54.85546875" style="124" bestFit="1" customWidth="1"/>
    <col min="10756" max="10760" width="0" style="124" hidden="1" customWidth="1"/>
    <col min="10761" max="10761" width="14.140625" style="124" bestFit="1" customWidth="1"/>
    <col min="10762" max="10762" width="14" style="124" customWidth="1"/>
    <col min="10763" max="10763" width="15.5703125" style="124" customWidth="1"/>
    <col min="10764" max="10764" width="12.85546875" style="124" customWidth="1"/>
    <col min="10765" max="10765" width="11.42578125" style="124" customWidth="1"/>
    <col min="10766" max="10766" width="12.5703125" style="124" customWidth="1"/>
    <col min="10767" max="11008" width="9.140625" style="124"/>
    <col min="11009" max="11009" width="15.85546875" style="124" bestFit="1" customWidth="1"/>
    <col min="11010" max="11010" width="15.7109375" style="124" bestFit="1" customWidth="1"/>
    <col min="11011" max="11011" width="54.85546875" style="124" bestFit="1" customWidth="1"/>
    <col min="11012" max="11016" width="0" style="124" hidden="1" customWidth="1"/>
    <col min="11017" max="11017" width="14.140625" style="124" bestFit="1" customWidth="1"/>
    <col min="11018" max="11018" width="14" style="124" customWidth="1"/>
    <col min="11019" max="11019" width="15.5703125" style="124" customWidth="1"/>
    <col min="11020" max="11020" width="12.85546875" style="124" customWidth="1"/>
    <col min="11021" max="11021" width="11.42578125" style="124" customWidth="1"/>
    <col min="11022" max="11022" width="12.5703125" style="124" customWidth="1"/>
    <col min="11023" max="11264" width="9.140625" style="124"/>
    <col min="11265" max="11265" width="15.85546875" style="124" bestFit="1" customWidth="1"/>
    <col min="11266" max="11266" width="15.7109375" style="124" bestFit="1" customWidth="1"/>
    <col min="11267" max="11267" width="54.85546875" style="124" bestFit="1" customWidth="1"/>
    <col min="11268" max="11272" width="0" style="124" hidden="1" customWidth="1"/>
    <col min="11273" max="11273" width="14.140625" style="124" bestFit="1" customWidth="1"/>
    <col min="11274" max="11274" width="14" style="124" customWidth="1"/>
    <col min="11275" max="11275" width="15.5703125" style="124" customWidth="1"/>
    <col min="11276" max="11276" width="12.85546875" style="124" customWidth="1"/>
    <col min="11277" max="11277" width="11.42578125" style="124" customWidth="1"/>
    <col min="11278" max="11278" width="12.5703125" style="124" customWidth="1"/>
    <col min="11279" max="11520" width="9.140625" style="124"/>
    <col min="11521" max="11521" width="15.85546875" style="124" bestFit="1" customWidth="1"/>
    <col min="11522" max="11522" width="15.7109375" style="124" bestFit="1" customWidth="1"/>
    <col min="11523" max="11523" width="54.85546875" style="124" bestFit="1" customWidth="1"/>
    <col min="11524" max="11528" width="0" style="124" hidden="1" customWidth="1"/>
    <col min="11529" max="11529" width="14.140625" style="124" bestFit="1" customWidth="1"/>
    <col min="11530" max="11530" width="14" style="124" customWidth="1"/>
    <col min="11531" max="11531" width="15.5703125" style="124" customWidth="1"/>
    <col min="11532" max="11532" width="12.85546875" style="124" customWidth="1"/>
    <col min="11533" max="11533" width="11.42578125" style="124" customWidth="1"/>
    <col min="11534" max="11534" width="12.5703125" style="124" customWidth="1"/>
    <col min="11535" max="11776" width="9.140625" style="124"/>
    <col min="11777" max="11777" width="15.85546875" style="124" bestFit="1" customWidth="1"/>
    <col min="11778" max="11778" width="15.7109375" style="124" bestFit="1" customWidth="1"/>
    <col min="11779" max="11779" width="54.85546875" style="124" bestFit="1" customWidth="1"/>
    <col min="11780" max="11784" width="0" style="124" hidden="1" customWidth="1"/>
    <col min="11785" max="11785" width="14.140625" style="124" bestFit="1" customWidth="1"/>
    <col min="11786" max="11786" width="14" style="124" customWidth="1"/>
    <col min="11787" max="11787" width="15.5703125" style="124" customWidth="1"/>
    <col min="11788" max="11788" width="12.85546875" style="124" customWidth="1"/>
    <col min="11789" max="11789" width="11.42578125" style="124" customWidth="1"/>
    <col min="11790" max="11790" width="12.5703125" style="124" customWidth="1"/>
    <col min="11791" max="12032" width="9.140625" style="124"/>
    <col min="12033" max="12033" width="15.85546875" style="124" bestFit="1" customWidth="1"/>
    <col min="12034" max="12034" width="15.7109375" style="124" bestFit="1" customWidth="1"/>
    <col min="12035" max="12035" width="54.85546875" style="124" bestFit="1" customWidth="1"/>
    <col min="12036" max="12040" width="0" style="124" hidden="1" customWidth="1"/>
    <col min="12041" max="12041" width="14.140625" style="124" bestFit="1" customWidth="1"/>
    <col min="12042" max="12042" width="14" style="124" customWidth="1"/>
    <col min="12043" max="12043" width="15.5703125" style="124" customWidth="1"/>
    <col min="12044" max="12044" width="12.85546875" style="124" customWidth="1"/>
    <col min="12045" max="12045" width="11.42578125" style="124" customWidth="1"/>
    <col min="12046" max="12046" width="12.5703125" style="124" customWidth="1"/>
    <col min="12047" max="12288" width="9.140625" style="124"/>
    <col min="12289" max="12289" width="15.85546875" style="124" bestFit="1" customWidth="1"/>
    <col min="12290" max="12290" width="15.7109375" style="124" bestFit="1" customWidth="1"/>
    <col min="12291" max="12291" width="54.85546875" style="124" bestFit="1" customWidth="1"/>
    <col min="12292" max="12296" width="0" style="124" hidden="1" customWidth="1"/>
    <col min="12297" max="12297" width="14.140625" style="124" bestFit="1" customWidth="1"/>
    <col min="12298" max="12298" width="14" style="124" customWidth="1"/>
    <col min="12299" max="12299" width="15.5703125" style="124" customWidth="1"/>
    <col min="12300" max="12300" width="12.85546875" style="124" customWidth="1"/>
    <col min="12301" max="12301" width="11.42578125" style="124" customWidth="1"/>
    <col min="12302" max="12302" width="12.5703125" style="124" customWidth="1"/>
    <col min="12303" max="12544" width="9.140625" style="124"/>
    <col min="12545" max="12545" width="15.85546875" style="124" bestFit="1" customWidth="1"/>
    <col min="12546" max="12546" width="15.7109375" style="124" bestFit="1" customWidth="1"/>
    <col min="12547" max="12547" width="54.85546875" style="124" bestFit="1" customWidth="1"/>
    <col min="12548" max="12552" width="0" style="124" hidden="1" customWidth="1"/>
    <col min="12553" max="12553" width="14.140625" style="124" bestFit="1" customWidth="1"/>
    <col min="12554" max="12554" width="14" style="124" customWidth="1"/>
    <col min="12555" max="12555" width="15.5703125" style="124" customWidth="1"/>
    <col min="12556" max="12556" width="12.85546875" style="124" customWidth="1"/>
    <col min="12557" max="12557" width="11.42578125" style="124" customWidth="1"/>
    <col min="12558" max="12558" width="12.5703125" style="124" customWidth="1"/>
    <col min="12559" max="12800" width="9.140625" style="124"/>
    <col min="12801" max="12801" width="15.85546875" style="124" bestFit="1" customWidth="1"/>
    <col min="12802" max="12802" width="15.7109375" style="124" bestFit="1" customWidth="1"/>
    <col min="12803" max="12803" width="54.85546875" style="124" bestFit="1" customWidth="1"/>
    <col min="12804" max="12808" width="0" style="124" hidden="1" customWidth="1"/>
    <col min="12809" max="12809" width="14.140625" style="124" bestFit="1" customWidth="1"/>
    <col min="12810" max="12810" width="14" style="124" customWidth="1"/>
    <col min="12811" max="12811" width="15.5703125" style="124" customWidth="1"/>
    <col min="12812" max="12812" width="12.85546875" style="124" customWidth="1"/>
    <col min="12813" max="12813" width="11.42578125" style="124" customWidth="1"/>
    <col min="12814" max="12814" width="12.5703125" style="124" customWidth="1"/>
    <col min="12815" max="13056" width="9.140625" style="124"/>
    <col min="13057" max="13057" width="15.85546875" style="124" bestFit="1" customWidth="1"/>
    <col min="13058" max="13058" width="15.7109375" style="124" bestFit="1" customWidth="1"/>
    <col min="13059" max="13059" width="54.85546875" style="124" bestFit="1" customWidth="1"/>
    <col min="13060" max="13064" width="0" style="124" hidden="1" customWidth="1"/>
    <col min="13065" max="13065" width="14.140625" style="124" bestFit="1" customWidth="1"/>
    <col min="13066" max="13066" width="14" style="124" customWidth="1"/>
    <col min="13067" max="13067" width="15.5703125" style="124" customWidth="1"/>
    <col min="13068" max="13068" width="12.85546875" style="124" customWidth="1"/>
    <col min="13069" max="13069" width="11.42578125" style="124" customWidth="1"/>
    <col min="13070" max="13070" width="12.5703125" style="124" customWidth="1"/>
    <col min="13071" max="13312" width="9.140625" style="124"/>
    <col min="13313" max="13313" width="15.85546875" style="124" bestFit="1" customWidth="1"/>
    <col min="13314" max="13314" width="15.7109375" style="124" bestFit="1" customWidth="1"/>
    <col min="13315" max="13315" width="54.85546875" style="124" bestFit="1" customWidth="1"/>
    <col min="13316" max="13320" width="0" style="124" hidden="1" customWidth="1"/>
    <col min="13321" max="13321" width="14.140625" style="124" bestFit="1" customWidth="1"/>
    <col min="13322" max="13322" width="14" style="124" customWidth="1"/>
    <col min="13323" max="13323" width="15.5703125" style="124" customWidth="1"/>
    <col min="13324" max="13324" width="12.85546875" style="124" customWidth="1"/>
    <col min="13325" max="13325" width="11.42578125" style="124" customWidth="1"/>
    <col min="13326" max="13326" width="12.5703125" style="124" customWidth="1"/>
    <col min="13327" max="13568" width="9.140625" style="124"/>
    <col min="13569" max="13569" width="15.85546875" style="124" bestFit="1" customWidth="1"/>
    <col min="13570" max="13570" width="15.7109375" style="124" bestFit="1" customWidth="1"/>
    <col min="13571" max="13571" width="54.85546875" style="124" bestFit="1" customWidth="1"/>
    <col min="13572" max="13576" width="0" style="124" hidden="1" customWidth="1"/>
    <col min="13577" max="13577" width="14.140625" style="124" bestFit="1" customWidth="1"/>
    <col min="13578" max="13578" width="14" style="124" customWidth="1"/>
    <col min="13579" max="13579" width="15.5703125" style="124" customWidth="1"/>
    <col min="13580" max="13580" width="12.85546875" style="124" customWidth="1"/>
    <col min="13581" max="13581" width="11.42578125" style="124" customWidth="1"/>
    <col min="13582" max="13582" width="12.5703125" style="124" customWidth="1"/>
    <col min="13583" max="13824" width="9.140625" style="124"/>
    <col min="13825" max="13825" width="15.85546875" style="124" bestFit="1" customWidth="1"/>
    <col min="13826" max="13826" width="15.7109375" style="124" bestFit="1" customWidth="1"/>
    <col min="13827" max="13827" width="54.85546875" style="124" bestFit="1" customWidth="1"/>
    <col min="13828" max="13832" width="0" style="124" hidden="1" customWidth="1"/>
    <col min="13833" max="13833" width="14.140625" style="124" bestFit="1" customWidth="1"/>
    <col min="13834" max="13834" width="14" style="124" customWidth="1"/>
    <col min="13835" max="13835" width="15.5703125" style="124" customWidth="1"/>
    <col min="13836" max="13836" width="12.85546875" style="124" customWidth="1"/>
    <col min="13837" max="13837" width="11.42578125" style="124" customWidth="1"/>
    <col min="13838" max="13838" width="12.5703125" style="124" customWidth="1"/>
    <col min="13839" max="14080" width="9.140625" style="124"/>
    <col min="14081" max="14081" width="15.85546875" style="124" bestFit="1" customWidth="1"/>
    <col min="14082" max="14082" width="15.7109375" style="124" bestFit="1" customWidth="1"/>
    <col min="14083" max="14083" width="54.85546875" style="124" bestFit="1" customWidth="1"/>
    <col min="14084" max="14088" width="0" style="124" hidden="1" customWidth="1"/>
    <col min="14089" max="14089" width="14.140625" style="124" bestFit="1" customWidth="1"/>
    <col min="14090" max="14090" width="14" style="124" customWidth="1"/>
    <col min="14091" max="14091" width="15.5703125" style="124" customWidth="1"/>
    <col min="14092" max="14092" width="12.85546875" style="124" customWidth="1"/>
    <col min="14093" max="14093" width="11.42578125" style="124" customWidth="1"/>
    <col min="14094" max="14094" width="12.5703125" style="124" customWidth="1"/>
    <col min="14095" max="14336" width="9.140625" style="124"/>
    <col min="14337" max="14337" width="15.85546875" style="124" bestFit="1" customWidth="1"/>
    <col min="14338" max="14338" width="15.7109375" style="124" bestFit="1" customWidth="1"/>
    <col min="14339" max="14339" width="54.85546875" style="124" bestFit="1" customWidth="1"/>
    <col min="14340" max="14344" width="0" style="124" hidden="1" customWidth="1"/>
    <col min="14345" max="14345" width="14.140625" style="124" bestFit="1" customWidth="1"/>
    <col min="14346" max="14346" width="14" style="124" customWidth="1"/>
    <col min="14347" max="14347" width="15.5703125" style="124" customWidth="1"/>
    <col min="14348" max="14348" width="12.85546875" style="124" customWidth="1"/>
    <col min="14349" max="14349" width="11.42578125" style="124" customWidth="1"/>
    <col min="14350" max="14350" width="12.5703125" style="124" customWidth="1"/>
    <col min="14351" max="14592" width="9.140625" style="124"/>
    <col min="14593" max="14593" width="15.85546875" style="124" bestFit="1" customWidth="1"/>
    <col min="14594" max="14594" width="15.7109375" style="124" bestFit="1" customWidth="1"/>
    <col min="14595" max="14595" width="54.85546875" style="124" bestFit="1" customWidth="1"/>
    <col min="14596" max="14600" width="0" style="124" hidden="1" customWidth="1"/>
    <col min="14601" max="14601" width="14.140625" style="124" bestFit="1" customWidth="1"/>
    <col min="14602" max="14602" width="14" style="124" customWidth="1"/>
    <col min="14603" max="14603" width="15.5703125" style="124" customWidth="1"/>
    <col min="14604" max="14604" width="12.85546875" style="124" customWidth="1"/>
    <col min="14605" max="14605" width="11.42578125" style="124" customWidth="1"/>
    <col min="14606" max="14606" width="12.5703125" style="124" customWidth="1"/>
    <col min="14607" max="14848" width="9.140625" style="124"/>
    <col min="14849" max="14849" width="15.85546875" style="124" bestFit="1" customWidth="1"/>
    <col min="14850" max="14850" width="15.7109375" style="124" bestFit="1" customWidth="1"/>
    <col min="14851" max="14851" width="54.85546875" style="124" bestFit="1" customWidth="1"/>
    <col min="14852" max="14856" width="0" style="124" hidden="1" customWidth="1"/>
    <col min="14857" max="14857" width="14.140625" style="124" bestFit="1" customWidth="1"/>
    <col min="14858" max="14858" width="14" style="124" customWidth="1"/>
    <col min="14859" max="14859" width="15.5703125" style="124" customWidth="1"/>
    <col min="14860" max="14860" width="12.85546875" style="124" customWidth="1"/>
    <col min="14861" max="14861" width="11.42578125" style="124" customWidth="1"/>
    <col min="14862" max="14862" width="12.5703125" style="124" customWidth="1"/>
    <col min="14863" max="15104" width="9.140625" style="124"/>
    <col min="15105" max="15105" width="15.85546875" style="124" bestFit="1" customWidth="1"/>
    <col min="15106" max="15106" width="15.7109375" style="124" bestFit="1" customWidth="1"/>
    <col min="15107" max="15107" width="54.85546875" style="124" bestFit="1" customWidth="1"/>
    <col min="15108" max="15112" width="0" style="124" hidden="1" customWidth="1"/>
    <col min="15113" max="15113" width="14.140625" style="124" bestFit="1" customWidth="1"/>
    <col min="15114" max="15114" width="14" style="124" customWidth="1"/>
    <col min="15115" max="15115" width="15.5703125" style="124" customWidth="1"/>
    <col min="15116" max="15116" width="12.85546875" style="124" customWidth="1"/>
    <col min="15117" max="15117" width="11.42578125" style="124" customWidth="1"/>
    <col min="15118" max="15118" width="12.5703125" style="124" customWidth="1"/>
    <col min="15119" max="15360" width="9.140625" style="124"/>
    <col min="15361" max="15361" width="15.85546875" style="124" bestFit="1" customWidth="1"/>
    <col min="15362" max="15362" width="15.7109375" style="124" bestFit="1" customWidth="1"/>
    <col min="15363" max="15363" width="54.85546875" style="124" bestFit="1" customWidth="1"/>
    <col min="15364" max="15368" width="0" style="124" hidden="1" customWidth="1"/>
    <col min="15369" max="15369" width="14.140625" style="124" bestFit="1" customWidth="1"/>
    <col min="15370" max="15370" width="14" style="124" customWidth="1"/>
    <col min="15371" max="15371" width="15.5703125" style="124" customWidth="1"/>
    <col min="15372" max="15372" width="12.85546875" style="124" customWidth="1"/>
    <col min="15373" max="15373" width="11.42578125" style="124" customWidth="1"/>
    <col min="15374" max="15374" width="12.5703125" style="124" customWidth="1"/>
    <col min="15375" max="15616" width="9.140625" style="124"/>
    <col min="15617" max="15617" width="15.85546875" style="124" bestFit="1" customWidth="1"/>
    <col min="15618" max="15618" width="15.7109375" style="124" bestFit="1" customWidth="1"/>
    <col min="15619" max="15619" width="54.85546875" style="124" bestFit="1" customWidth="1"/>
    <col min="15620" max="15624" width="0" style="124" hidden="1" customWidth="1"/>
    <col min="15625" max="15625" width="14.140625" style="124" bestFit="1" customWidth="1"/>
    <col min="15626" max="15626" width="14" style="124" customWidth="1"/>
    <col min="15627" max="15627" width="15.5703125" style="124" customWidth="1"/>
    <col min="15628" max="15628" width="12.85546875" style="124" customWidth="1"/>
    <col min="15629" max="15629" width="11.42578125" style="124" customWidth="1"/>
    <col min="15630" max="15630" width="12.5703125" style="124" customWidth="1"/>
    <col min="15631" max="15872" width="9.140625" style="124"/>
    <col min="15873" max="15873" width="15.85546875" style="124" bestFit="1" customWidth="1"/>
    <col min="15874" max="15874" width="15.7109375" style="124" bestFit="1" customWidth="1"/>
    <col min="15875" max="15875" width="54.85546875" style="124" bestFit="1" customWidth="1"/>
    <col min="15876" max="15880" width="0" style="124" hidden="1" customWidth="1"/>
    <col min="15881" max="15881" width="14.140625" style="124" bestFit="1" customWidth="1"/>
    <col min="15882" max="15882" width="14" style="124" customWidth="1"/>
    <col min="15883" max="15883" width="15.5703125" style="124" customWidth="1"/>
    <col min="15884" max="15884" width="12.85546875" style="124" customWidth="1"/>
    <col min="15885" max="15885" width="11.42578125" style="124" customWidth="1"/>
    <col min="15886" max="15886" width="12.5703125" style="124" customWidth="1"/>
    <col min="15887" max="16128" width="9.140625" style="124"/>
    <col min="16129" max="16129" width="15.85546875" style="124" bestFit="1" customWidth="1"/>
    <col min="16130" max="16130" width="15.7109375" style="124" bestFit="1" customWidth="1"/>
    <col min="16131" max="16131" width="54.85546875" style="124" bestFit="1" customWidth="1"/>
    <col min="16132" max="16136" width="0" style="124" hidden="1" customWidth="1"/>
    <col min="16137" max="16137" width="14.140625" style="124" bestFit="1" customWidth="1"/>
    <col min="16138" max="16138" width="14" style="124" customWidth="1"/>
    <col min="16139" max="16139" width="15.5703125" style="124" customWidth="1"/>
    <col min="16140" max="16140" width="12.85546875" style="124" customWidth="1"/>
    <col min="16141" max="16141" width="11.42578125" style="124" customWidth="1"/>
    <col min="16142" max="16142" width="12.5703125" style="124" customWidth="1"/>
    <col min="16143" max="16384" width="9.140625" style="124"/>
  </cols>
  <sheetData>
    <row r="1" spans="1:14" ht="13.5" thickBot="1">
      <c r="A1" s="27" t="s">
        <v>1767</v>
      </c>
    </row>
    <row r="2" spans="1:14" ht="12.75" customHeight="1" thickBot="1">
      <c r="A2" s="119" t="s">
        <v>333</v>
      </c>
      <c r="B2" s="119" t="s">
        <v>334</v>
      </c>
      <c r="C2" s="120" t="s">
        <v>335</v>
      </c>
      <c r="D2" s="119" t="s">
        <v>336</v>
      </c>
      <c r="E2" s="119" t="s">
        <v>337</v>
      </c>
      <c r="F2" s="119" t="s">
        <v>338</v>
      </c>
      <c r="G2" s="121" t="s">
        <v>339</v>
      </c>
      <c r="H2" s="119" t="s">
        <v>340</v>
      </c>
      <c r="I2" s="122" t="s">
        <v>341</v>
      </c>
      <c r="J2" s="123" t="s">
        <v>342</v>
      </c>
      <c r="K2" s="119" t="s">
        <v>343</v>
      </c>
      <c r="L2" s="119" t="s">
        <v>344</v>
      </c>
      <c r="M2" s="119" t="s">
        <v>345</v>
      </c>
      <c r="N2" s="119" t="s">
        <v>346</v>
      </c>
    </row>
    <row r="3" spans="1:14" ht="12.75" customHeight="1">
      <c r="A3" s="125" t="s">
        <v>347</v>
      </c>
      <c r="B3" s="126" t="s">
        <v>348</v>
      </c>
      <c r="C3" s="126" t="s">
        <v>349</v>
      </c>
      <c r="D3" s="126" t="s">
        <v>350</v>
      </c>
      <c r="E3" s="127">
        <v>39198</v>
      </c>
      <c r="F3" s="126">
        <v>61135</v>
      </c>
      <c r="G3" s="126">
        <v>0</v>
      </c>
      <c r="H3" s="126">
        <v>3268.5</v>
      </c>
      <c r="I3" s="128">
        <v>13074</v>
      </c>
      <c r="J3" s="129">
        <v>13074</v>
      </c>
      <c r="K3" s="130">
        <v>1</v>
      </c>
      <c r="L3" s="131">
        <v>0</v>
      </c>
      <c r="M3" s="132">
        <v>38</v>
      </c>
      <c r="N3" s="133">
        <v>2.6315789473684209E-2</v>
      </c>
    </row>
    <row r="4" spans="1:14" ht="12.75" customHeight="1">
      <c r="A4" s="134" t="s">
        <v>347</v>
      </c>
      <c r="B4" s="135" t="s">
        <v>348</v>
      </c>
      <c r="C4" s="135" t="s">
        <v>349</v>
      </c>
      <c r="D4" s="135" t="s">
        <v>351</v>
      </c>
      <c r="E4" s="136">
        <v>39198</v>
      </c>
      <c r="F4" s="135">
        <v>13208</v>
      </c>
      <c r="G4" s="135">
        <v>0</v>
      </c>
      <c r="H4" s="135">
        <v>3395.75</v>
      </c>
      <c r="I4" s="137">
        <v>17014</v>
      </c>
      <c r="J4" s="138">
        <v>13583</v>
      </c>
      <c r="K4" s="130">
        <v>1.2525951557093427</v>
      </c>
      <c r="L4" s="131">
        <v>11</v>
      </c>
      <c r="M4" s="132">
        <v>38</v>
      </c>
      <c r="N4" s="133">
        <v>4.6392413174420097E-2</v>
      </c>
    </row>
    <row r="5" spans="1:14" ht="12.75" customHeight="1">
      <c r="A5" s="134" t="s">
        <v>347</v>
      </c>
      <c r="B5" s="135" t="s">
        <v>348</v>
      </c>
      <c r="C5" s="135" t="s">
        <v>349</v>
      </c>
      <c r="D5" s="135" t="s">
        <v>352</v>
      </c>
      <c r="E5" s="136">
        <v>39219</v>
      </c>
      <c r="F5" s="135">
        <v>5704</v>
      </c>
      <c r="G5" s="135">
        <v>0</v>
      </c>
      <c r="H5" s="135">
        <v>902.5</v>
      </c>
      <c r="I5" s="137">
        <v>2902</v>
      </c>
      <c r="J5" s="138">
        <v>3610</v>
      </c>
      <c r="K5" s="130">
        <v>0.80387811634349027</v>
      </c>
      <c r="L5" s="131">
        <v>2</v>
      </c>
      <c r="M5" s="132">
        <v>38</v>
      </c>
      <c r="N5" s="133">
        <v>2.2329947676208065E-2</v>
      </c>
    </row>
    <row r="6" spans="1:14" ht="12.75" customHeight="1">
      <c r="A6" s="134" t="s">
        <v>347</v>
      </c>
      <c r="B6" s="135" t="s">
        <v>348</v>
      </c>
      <c r="C6" s="135" t="s">
        <v>349</v>
      </c>
      <c r="D6" s="135" t="s">
        <v>353</v>
      </c>
      <c r="E6" s="136">
        <v>39282</v>
      </c>
      <c r="F6" s="135">
        <v>35591</v>
      </c>
      <c r="G6" s="135">
        <v>0</v>
      </c>
      <c r="H6" s="135">
        <v>1902.75</v>
      </c>
      <c r="I6" s="137">
        <v>9082</v>
      </c>
      <c r="J6" s="138">
        <v>7611</v>
      </c>
      <c r="K6" s="130">
        <v>1.1932728944948101</v>
      </c>
      <c r="L6" s="131">
        <v>0</v>
      </c>
      <c r="M6" s="132">
        <v>38</v>
      </c>
      <c r="N6" s="133">
        <v>3.1401918276179212E-2</v>
      </c>
    </row>
    <row r="7" spans="1:14" ht="12.75" customHeight="1">
      <c r="A7" s="134" t="s">
        <v>347</v>
      </c>
      <c r="B7" s="135" t="s">
        <v>348</v>
      </c>
      <c r="C7" s="135" t="s">
        <v>349</v>
      </c>
      <c r="D7" s="135" t="s">
        <v>354</v>
      </c>
      <c r="E7" s="136">
        <v>39317</v>
      </c>
      <c r="F7" s="135">
        <v>8192</v>
      </c>
      <c r="G7" s="135">
        <v>0</v>
      </c>
      <c r="H7" s="135">
        <v>2100</v>
      </c>
      <c r="I7" s="137">
        <v>6580</v>
      </c>
      <c r="J7" s="138">
        <v>8400</v>
      </c>
      <c r="K7" s="130">
        <v>0.78333333333333333</v>
      </c>
      <c r="L7" s="131">
        <v>11</v>
      </c>
      <c r="M7" s="132">
        <v>38</v>
      </c>
      <c r="N7" s="133">
        <v>2.9012345679012345E-2</v>
      </c>
    </row>
    <row r="8" spans="1:14" ht="12.75" customHeight="1">
      <c r="A8" s="134" t="s">
        <v>347</v>
      </c>
      <c r="B8" s="135" t="s">
        <v>348</v>
      </c>
      <c r="C8" s="135" t="s">
        <v>349</v>
      </c>
      <c r="D8" s="135" t="s">
        <v>355</v>
      </c>
      <c r="E8" s="136">
        <v>39407</v>
      </c>
      <c r="F8" s="135">
        <v>37129</v>
      </c>
      <c r="G8" s="135">
        <v>0</v>
      </c>
      <c r="H8" s="135">
        <v>2000</v>
      </c>
      <c r="I8" s="137">
        <v>4400</v>
      </c>
      <c r="J8" s="138">
        <v>8000</v>
      </c>
      <c r="K8" s="130">
        <v>0.55000000000000004</v>
      </c>
      <c r="L8" s="131">
        <v>0</v>
      </c>
      <c r="M8" s="132">
        <v>38</v>
      </c>
      <c r="N8" s="133">
        <v>1.4473684210526317E-2</v>
      </c>
    </row>
    <row r="9" spans="1:14" ht="12.75" customHeight="1">
      <c r="A9" s="134" t="s">
        <v>347</v>
      </c>
      <c r="B9" s="135" t="s">
        <v>348</v>
      </c>
      <c r="C9" s="135" t="s">
        <v>349</v>
      </c>
      <c r="D9" s="135" t="s">
        <v>356</v>
      </c>
      <c r="E9" s="136">
        <v>39353</v>
      </c>
      <c r="F9" s="135">
        <v>3394</v>
      </c>
      <c r="G9" s="135">
        <v>0</v>
      </c>
      <c r="H9" s="135">
        <v>872.25</v>
      </c>
      <c r="I9" s="137">
        <v>5624.25</v>
      </c>
      <c r="J9" s="138">
        <v>3489</v>
      </c>
      <c r="K9" s="130">
        <v>1.6119948409286329</v>
      </c>
      <c r="L9" s="131">
        <v>15</v>
      </c>
      <c r="M9" s="132">
        <v>38</v>
      </c>
      <c r="N9" s="133">
        <v>7.0086732214288391E-2</v>
      </c>
    </row>
    <row r="10" spans="1:14" ht="12.75" customHeight="1">
      <c r="A10" s="134" t="s">
        <v>347</v>
      </c>
      <c r="B10" s="135" t="s">
        <v>348</v>
      </c>
      <c r="C10" s="135" t="s">
        <v>349</v>
      </c>
      <c r="D10" s="135" t="s">
        <v>357</v>
      </c>
      <c r="E10" s="136">
        <v>39353</v>
      </c>
      <c r="F10" s="135">
        <v>12962</v>
      </c>
      <c r="G10" s="135">
        <v>0</v>
      </c>
      <c r="H10" s="135">
        <v>2050.75</v>
      </c>
      <c r="I10" s="137">
        <v>6253</v>
      </c>
      <c r="J10" s="138">
        <v>8203</v>
      </c>
      <c r="K10" s="130">
        <v>0.76228209191759111</v>
      </c>
      <c r="L10" s="131">
        <v>0</v>
      </c>
      <c r="M10" s="132">
        <v>25</v>
      </c>
      <c r="N10" s="133">
        <v>3.0491283676703645E-2</v>
      </c>
    </row>
    <row r="11" spans="1:14" ht="12.75" customHeight="1">
      <c r="A11" s="134" t="s">
        <v>347</v>
      </c>
      <c r="B11" s="135" t="s">
        <v>348</v>
      </c>
      <c r="C11" s="135" t="s">
        <v>349</v>
      </c>
      <c r="D11" s="135" t="s">
        <v>358</v>
      </c>
      <c r="E11" s="136">
        <v>39359</v>
      </c>
      <c r="F11" s="135">
        <v>19604</v>
      </c>
      <c r="G11" s="135">
        <v>0</v>
      </c>
      <c r="H11" s="135">
        <v>5040</v>
      </c>
      <c r="I11" s="137">
        <v>9269</v>
      </c>
      <c r="J11" s="138">
        <v>20160</v>
      </c>
      <c r="K11" s="130">
        <v>0.45977182539682537</v>
      </c>
      <c r="L11" s="131">
        <v>12</v>
      </c>
      <c r="M11" s="132">
        <v>38</v>
      </c>
      <c r="N11" s="133">
        <v>1.7683531746031746E-2</v>
      </c>
    </row>
    <row r="12" spans="1:14" ht="12.75" customHeight="1">
      <c r="A12" s="134" t="s">
        <v>347</v>
      </c>
      <c r="B12" s="135" t="s">
        <v>348</v>
      </c>
      <c r="C12" s="135" t="s">
        <v>349</v>
      </c>
      <c r="D12" s="135" t="s">
        <v>359</v>
      </c>
      <c r="E12" s="136">
        <v>39366</v>
      </c>
      <c r="F12" s="135">
        <v>13431</v>
      </c>
      <c r="G12" s="135">
        <v>0</v>
      </c>
      <c r="H12" s="135">
        <v>2125</v>
      </c>
      <c r="I12" s="137">
        <v>9147.69</v>
      </c>
      <c r="J12" s="138">
        <v>8500</v>
      </c>
      <c r="K12" s="130">
        <v>1.0761988235294118</v>
      </c>
      <c r="L12" s="131">
        <v>0</v>
      </c>
      <c r="M12" s="132">
        <v>30</v>
      </c>
      <c r="N12" s="133">
        <v>3.5873294117647059E-2</v>
      </c>
    </row>
    <row r="13" spans="1:14" ht="12.75" customHeight="1">
      <c r="A13" s="134" t="s">
        <v>347</v>
      </c>
      <c r="B13" s="135" t="s">
        <v>348</v>
      </c>
      <c r="C13" s="135" t="s">
        <v>349</v>
      </c>
      <c r="D13" s="135" t="s">
        <v>360</v>
      </c>
      <c r="E13" s="136">
        <v>39366</v>
      </c>
      <c r="F13" s="135">
        <v>18942</v>
      </c>
      <c r="G13" s="135">
        <v>0</v>
      </c>
      <c r="H13" s="135">
        <v>2997</v>
      </c>
      <c r="I13" s="137">
        <v>13066.49</v>
      </c>
      <c r="J13" s="138">
        <v>11988</v>
      </c>
      <c r="K13" s="130">
        <v>1.0899641307974641</v>
      </c>
      <c r="L13" s="131">
        <v>0</v>
      </c>
      <c r="M13" s="132">
        <v>38</v>
      </c>
      <c r="N13" s="133">
        <v>2.8683266599933265E-2</v>
      </c>
    </row>
    <row r="14" spans="1:14" ht="12.75" customHeight="1">
      <c r="A14" s="134" t="s">
        <v>347</v>
      </c>
      <c r="B14" s="135" t="s">
        <v>348</v>
      </c>
      <c r="C14" s="135" t="s">
        <v>349</v>
      </c>
      <c r="D14" s="135" t="s">
        <v>361</v>
      </c>
      <c r="E14" s="136">
        <v>39395</v>
      </c>
      <c r="F14" s="135">
        <v>59153</v>
      </c>
      <c r="G14" s="135">
        <v>0</v>
      </c>
      <c r="H14" s="135">
        <v>3332.5</v>
      </c>
      <c r="I14" s="137">
        <v>8390.9699999999993</v>
      </c>
      <c r="J14" s="138">
        <v>13330</v>
      </c>
      <c r="K14" s="130">
        <v>0.62948012003000742</v>
      </c>
      <c r="L14" s="131">
        <v>0</v>
      </c>
      <c r="M14" s="132">
        <v>38</v>
      </c>
      <c r="N14" s="133">
        <v>1.6565266316579143E-2</v>
      </c>
    </row>
    <row r="15" spans="1:14" ht="12.75" customHeight="1">
      <c r="A15" s="134" t="s">
        <v>347</v>
      </c>
      <c r="B15" s="135" t="s">
        <v>348</v>
      </c>
      <c r="C15" s="135" t="s">
        <v>349</v>
      </c>
      <c r="D15" s="135" t="s">
        <v>362</v>
      </c>
      <c r="E15" s="136">
        <v>39387</v>
      </c>
      <c r="F15" s="135">
        <v>5470</v>
      </c>
      <c r="G15" s="135">
        <v>0</v>
      </c>
      <c r="H15" s="135">
        <v>1406.25</v>
      </c>
      <c r="I15" s="137">
        <v>2945</v>
      </c>
      <c r="J15" s="138">
        <v>5625</v>
      </c>
      <c r="K15" s="130">
        <v>0.52355555555555555</v>
      </c>
      <c r="L15" s="131">
        <v>15</v>
      </c>
      <c r="M15" s="132">
        <v>38</v>
      </c>
      <c r="N15" s="133">
        <v>2.2763285024154589E-2</v>
      </c>
    </row>
    <row r="16" spans="1:14" ht="12.75" customHeight="1">
      <c r="A16" s="134" t="s">
        <v>347</v>
      </c>
      <c r="B16" s="135" t="s">
        <v>348</v>
      </c>
      <c r="C16" s="135" t="s">
        <v>349</v>
      </c>
      <c r="D16" s="135" t="s">
        <v>363</v>
      </c>
      <c r="E16" s="136">
        <v>39407</v>
      </c>
      <c r="F16" s="135">
        <v>9724</v>
      </c>
      <c r="G16" s="135">
        <v>0</v>
      </c>
      <c r="H16" s="135">
        <v>1538.5</v>
      </c>
      <c r="I16" s="137">
        <v>6620</v>
      </c>
      <c r="J16" s="138">
        <v>6154</v>
      </c>
      <c r="K16" s="130">
        <v>1.075723106922327</v>
      </c>
      <c r="L16" s="131">
        <v>8</v>
      </c>
      <c r="M16" s="132">
        <v>38</v>
      </c>
      <c r="N16" s="133">
        <v>3.5857436897410902E-2</v>
      </c>
    </row>
    <row r="17" spans="1:14" ht="12.75" customHeight="1">
      <c r="A17" s="134" t="s">
        <v>347</v>
      </c>
      <c r="B17" s="135" t="s">
        <v>348</v>
      </c>
      <c r="C17" s="135" t="s">
        <v>349</v>
      </c>
      <c r="D17" s="135" t="s">
        <v>364</v>
      </c>
      <c r="E17" s="136">
        <v>39407</v>
      </c>
      <c r="F17" s="135">
        <v>2237</v>
      </c>
      <c r="G17" s="135">
        <v>0</v>
      </c>
      <c r="H17" s="135">
        <v>575</v>
      </c>
      <c r="I17" s="137">
        <v>1495</v>
      </c>
      <c r="J17" s="138">
        <v>2300</v>
      </c>
      <c r="K17" s="130">
        <v>0.65</v>
      </c>
      <c r="L17" s="131">
        <v>11</v>
      </c>
      <c r="M17" s="132">
        <v>38</v>
      </c>
      <c r="N17" s="133">
        <v>2.4074074074074074E-2</v>
      </c>
    </row>
    <row r="18" spans="1:14" ht="12.75" customHeight="1">
      <c r="A18" s="134" t="s">
        <v>347</v>
      </c>
      <c r="B18" s="135" t="s">
        <v>348</v>
      </c>
      <c r="C18" s="135" t="s">
        <v>349</v>
      </c>
      <c r="D18" s="135" t="s">
        <v>365</v>
      </c>
      <c r="E18" s="136">
        <v>39429</v>
      </c>
      <c r="F18" s="135">
        <v>13226</v>
      </c>
      <c r="G18" s="135">
        <v>0</v>
      </c>
      <c r="H18" s="135">
        <v>2092.5</v>
      </c>
      <c r="I18" s="137">
        <v>4197</v>
      </c>
      <c r="J18" s="138">
        <v>8370</v>
      </c>
      <c r="K18" s="130">
        <v>0.50143369175627239</v>
      </c>
      <c r="L18" s="131">
        <v>8</v>
      </c>
      <c r="M18" s="132">
        <v>38</v>
      </c>
      <c r="N18" s="133">
        <v>1.6714456391875746E-2</v>
      </c>
    </row>
    <row r="19" spans="1:14" ht="12.75" customHeight="1">
      <c r="A19" s="134" t="s">
        <v>347</v>
      </c>
      <c r="B19" s="135" t="s">
        <v>348</v>
      </c>
      <c r="C19" s="135" t="s">
        <v>349</v>
      </c>
      <c r="D19" s="135" t="s">
        <v>366</v>
      </c>
      <c r="E19" s="136">
        <v>39429</v>
      </c>
      <c r="F19" s="135">
        <v>27977</v>
      </c>
      <c r="G19" s="135">
        <v>0</v>
      </c>
      <c r="H19" s="135">
        <v>7192.75</v>
      </c>
      <c r="I19" s="137">
        <v>17050</v>
      </c>
      <c r="J19" s="138">
        <v>28771</v>
      </c>
      <c r="K19" s="130">
        <v>0.59261061485523614</v>
      </c>
      <c r="L19" s="131">
        <v>15</v>
      </c>
      <c r="M19" s="132">
        <v>38</v>
      </c>
      <c r="N19" s="133">
        <v>2.5765678906749398E-2</v>
      </c>
    </row>
    <row r="20" spans="1:14" ht="12.75" customHeight="1">
      <c r="A20" s="134" t="s">
        <v>347</v>
      </c>
      <c r="B20" s="135" t="s">
        <v>348</v>
      </c>
      <c r="C20" s="135" t="s">
        <v>349</v>
      </c>
      <c r="D20" s="135" t="s">
        <v>367</v>
      </c>
      <c r="E20" s="136">
        <v>39429</v>
      </c>
      <c r="F20" s="135">
        <v>10282</v>
      </c>
      <c r="G20" s="135">
        <v>0</v>
      </c>
      <c r="H20" s="135">
        <v>1626.75</v>
      </c>
      <c r="I20" s="137">
        <v>8806</v>
      </c>
      <c r="J20" s="138">
        <v>6507</v>
      </c>
      <c r="K20" s="130">
        <v>1.3533118180421084</v>
      </c>
      <c r="L20" s="131">
        <v>15</v>
      </c>
      <c r="M20" s="132">
        <v>38</v>
      </c>
      <c r="N20" s="133">
        <v>5.8839644262700365E-2</v>
      </c>
    </row>
    <row r="21" spans="1:14" ht="12.75" customHeight="1">
      <c r="A21" s="134" t="s">
        <v>347</v>
      </c>
      <c r="B21" s="135" t="s">
        <v>348</v>
      </c>
      <c r="C21" s="135" t="s">
        <v>349</v>
      </c>
      <c r="D21" s="135" t="s">
        <v>368</v>
      </c>
      <c r="E21" s="136">
        <v>39443</v>
      </c>
      <c r="F21" s="135">
        <v>6097</v>
      </c>
      <c r="G21" s="135">
        <v>0</v>
      </c>
      <c r="H21" s="135">
        <v>1567.5</v>
      </c>
      <c r="I21" s="137">
        <v>8709.77</v>
      </c>
      <c r="J21" s="138">
        <v>6270</v>
      </c>
      <c r="K21" s="130">
        <v>1.3891180223285486</v>
      </c>
      <c r="L21" s="131">
        <v>11</v>
      </c>
      <c r="M21" s="132">
        <v>38</v>
      </c>
      <c r="N21" s="133">
        <v>5.1448815641798096E-2</v>
      </c>
    </row>
    <row r="22" spans="1:14" ht="12.75" customHeight="1">
      <c r="A22" s="134" t="s">
        <v>347</v>
      </c>
      <c r="B22" s="135" t="s">
        <v>348</v>
      </c>
      <c r="C22" s="135" t="s">
        <v>349</v>
      </c>
      <c r="D22" s="135" t="s">
        <v>369</v>
      </c>
      <c r="E22" s="136">
        <v>39443</v>
      </c>
      <c r="F22" s="135">
        <v>5348</v>
      </c>
      <c r="G22" s="135">
        <v>0</v>
      </c>
      <c r="H22" s="135">
        <v>1375</v>
      </c>
      <c r="I22" s="137">
        <v>109.12</v>
      </c>
      <c r="J22" s="138">
        <v>5500</v>
      </c>
      <c r="K22" s="130">
        <v>1.984E-2</v>
      </c>
      <c r="L22" s="131">
        <v>11</v>
      </c>
      <c r="M22" s="132">
        <v>38</v>
      </c>
      <c r="N22" s="133">
        <v>7.3481481481481477E-4</v>
      </c>
    </row>
    <row r="23" spans="1:14" ht="12.75" customHeight="1">
      <c r="A23" s="134" t="s">
        <v>347</v>
      </c>
      <c r="B23" s="135" t="s">
        <v>348</v>
      </c>
      <c r="C23" s="135" t="s">
        <v>349</v>
      </c>
      <c r="D23" s="135" t="s">
        <v>370</v>
      </c>
      <c r="E23" s="136">
        <v>39443</v>
      </c>
      <c r="F23" s="135">
        <v>6321</v>
      </c>
      <c r="G23" s="135">
        <v>0</v>
      </c>
      <c r="H23" s="135">
        <v>1625</v>
      </c>
      <c r="I23" s="137">
        <v>2410</v>
      </c>
      <c r="J23" s="138">
        <v>6500</v>
      </c>
      <c r="K23" s="130">
        <v>0.3707692307692308</v>
      </c>
      <c r="L23" s="131">
        <v>13</v>
      </c>
      <c r="M23" s="132">
        <v>38</v>
      </c>
      <c r="N23" s="133">
        <v>1.4830769230769232E-2</v>
      </c>
    </row>
    <row r="24" spans="1:14" ht="12.75" customHeight="1">
      <c r="A24" s="134" t="s">
        <v>347</v>
      </c>
      <c r="B24" s="135" t="s">
        <v>348</v>
      </c>
      <c r="C24" s="135" t="s">
        <v>349</v>
      </c>
      <c r="D24" s="135" t="s">
        <v>371</v>
      </c>
      <c r="E24" s="136">
        <v>39447</v>
      </c>
      <c r="F24" s="135">
        <v>6053</v>
      </c>
      <c r="G24" s="135">
        <v>0</v>
      </c>
      <c r="H24" s="135">
        <v>1556.25</v>
      </c>
      <c r="I24" s="137">
        <v>5100</v>
      </c>
      <c r="J24" s="138">
        <v>6225</v>
      </c>
      <c r="K24" s="130">
        <v>0.81927710843373491</v>
      </c>
      <c r="L24" s="131">
        <v>11</v>
      </c>
      <c r="M24" s="132">
        <v>38</v>
      </c>
      <c r="N24" s="133">
        <v>3.0343596608656848E-2</v>
      </c>
    </row>
    <row r="25" spans="1:14" ht="12.75" customHeight="1">
      <c r="A25" s="134" t="s">
        <v>347</v>
      </c>
      <c r="B25" s="135" t="s">
        <v>348</v>
      </c>
      <c r="C25" s="135" t="s">
        <v>349</v>
      </c>
      <c r="D25" s="135" t="s">
        <v>372</v>
      </c>
      <c r="E25" s="136">
        <v>39447</v>
      </c>
      <c r="F25" s="135">
        <v>5689</v>
      </c>
      <c r="G25" s="135">
        <v>0</v>
      </c>
      <c r="H25" s="135">
        <v>900</v>
      </c>
      <c r="I25" s="137">
        <v>3240</v>
      </c>
      <c r="J25" s="138">
        <v>3600</v>
      </c>
      <c r="K25" s="130">
        <v>0.9</v>
      </c>
      <c r="L25" s="131">
        <v>8</v>
      </c>
      <c r="M25" s="132">
        <v>38</v>
      </c>
      <c r="N25" s="133">
        <v>0.03</v>
      </c>
    </row>
    <row r="26" spans="1:14" ht="12.75" customHeight="1">
      <c r="A26" s="134" t="s">
        <v>347</v>
      </c>
      <c r="B26" s="135" t="s">
        <v>348</v>
      </c>
      <c r="C26" s="135" t="s">
        <v>349</v>
      </c>
      <c r="D26" s="135" t="s">
        <v>373</v>
      </c>
      <c r="E26" s="136">
        <v>39447</v>
      </c>
      <c r="F26" s="135">
        <v>3792</v>
      </c>
      <c r="G26" s="135">
        <v>0</v>
      </c>
      <c r="H26" s="135">
        <v>600</v>
      </c>
      <c r="I26" s="137">
        <v>12242.56</v>
      </c>
      <c r="J26" s="138">
        <v>2400</v>
      </c>
      <c r="K26" s="130">
        <v>5.1010666666666662</v>
      </c>
      <c r="L26" s="131">
        <v>8</v>
      </c>
      <c r="M26" s="132">
        <v>38</v>
      </c>
      <c r="N26" s="133">
        <v>0.17003555555555555</v>
      </c>
    </row>
    <row r="27" spans="1:14" ht="12.75" customHeight="1">
      <c r="A27" s="134" t="s">
        <v>347</v>
      </c>
      <c r="B27" s="135" t="s">
        <v>348</v>
      </c>
      <c r="C27" s="135" t="s">
        <v>349</v>
      </c>
      <c r="D27" s="135" t="s">
        <v>374</v>
      </c>
      <c r="E27" s="136">
        <v>39447</v>
      </c>
      <c r="F27" s="135">
        <v>3556</v>
      </c>
      <c r="G27" s="135">
        <v>0</v>
      </c>
      <c r="H27" s="135">
        <v>562.5</v>
      </c>
      <c r="I27" s="137">
        <v>11477.4</v>
      </c>
      <c r="J27" s="138">
        <v>2250</v>
      </c>
      <c r="K27" s="130">
        <v>5.1010666666666662</v>
      </c>
      <c r="L27" s="131">
        <v>8</v>
      </c>
      <c r="M27" s="132">
        <v>38</v>
      </c>
      <c r="N27" s="133">
        <v>0.17003555555555555</v>
      </c>
    </row>
    <row r="28" spans="1:14" ht="12.75" customHeight="1">
      <c r="A28" s="134" t="s">
        <v>347</v>
      </c>
      <c r="B28" s="135" t="s">
        <v>348</v>
      </c>
      <c r="C28" s="135" t="s">
        <v>349</v>
      </c>
      <c r="D28" s="135" t="s">
        <v>375</v>
      </c>
      <c r="E28" s="136">
        <v>39447</v>
      </c>
      <c r="F28" s="135">
        <v>4266</v>
      </c>
      <c r="G28" s="135">
        <v>0</v>
      </c>
      <c r="H28" s="135">
        <v>675</v>
      </c>
      <c r="I28" s="137">
        <v>13772.88</v>
      </c>
      <c r="J28" s="138">
        <v>2700</v>
      </c>
      <c r="K28" s="130">
        <v>5.1010666666666662</v>
      </c>
      <c r="L28" s="131">
        <v>8</v>
      </c>
      <c r="M28" s="132">
        <v>38</v>
      </c>
      <c r="N28" s="133">
        <v>0.17003555555555555</v>
      </c>
    </row>
    <row r="29" spans="1:14" ht="12.75" customHeight="1">
      <c r="A29" s="134" t="s">
        <v>347</v>
      </c>
      <c r="B29" s="135" t="s">
        <v>348</v>
      </c>
      <c r="C29" s="135" t="s">
        <v>349</v>
      </c>
      <c r="D29" s="135" t="s">
        <v>376</v>
      </c>
      <c r="E29" s="136">
        <v>39447</v>
      </c>
      <c r="F29" s="135">
        <v>3792</v>
      </c>
      <c r="G29" s="135">
        <v>0</v>
      </c>
      <c r="H29" s="135">
        <v>600</v>
      </c>
      <c r="I29" s="137">
        <v>12242.56</v>
      </c>
      <c r="J29" s="138">
        <v>2400</v>
      </c>
      <c r="K29" s="130">
        <v>5.1010666666666662</v>
      </c>
      <c r="L29" s="131">
        <v>8</v>
      </c>
      <c r="M29" s="132">
        <v>38</v>
      </c>
      <c r="N29" s="133">
        <v>0.17003555555555555</v>
      </c>
    </row>
    <row r="30" spans="1:14" ht="12.75" customHeight="1">
      <c r="A30" s="134" t="s">
        <v>347</v>
      </c>
      <c r="B30" s="135" t="s">
        <v>348</v>
      </c>
      <c r="C30" s="135" t="s">
        <v>349</v>
      </c>
      <c r="D30" s="135" t="s">
        <v>377</v>
      </c>
      <c r="E30" s="136">
        <v>39447</v>
      </c>
      <c r="F30" s="135">
        <v>4266</v>
      </c>
      <c r="G30" s="135">
        <v>0</v>
      </c>
      <c r="H30" s="135">
        <v>675</v>
      </c>
      <c r="I30" s="137">
        <v>13772.88</v>
      </c>
      <c r="J30" s="138">
        <v>2700</v>
      </c>
      <c r="K30" s="130">
        <v>5.1010666666666662</v>
      </c>
      <c r="L30" s="131">
        <v>8</v>
      </c>
      <c r="M30" s="132">
        <v>38</v>
      </c>
      <c r="N30" s="133">
        <v>0.17003555555555555</v>
      </c>
    </row>
    <row r="31" spans="1:14" ht="12.75" customHeight="1">
      <c r="A31" s="134" t="s">
        <v>347</v>
      </c>
      <c r="B31" s="135" t="s">
        <v>348</v>
      </c>
      <c r="C31" s="135" t="s">
        <v>349</v>
      </c>
      <c r="D31" s="135" t="s">
        <v>378</v>
      </c>
      <c r="E31" s="136">
        <v>39447</v>
      </c>
      <c r="F31" s="135">
        <v>4030</v>
      </c>
      <c r="G31" s="135">
        <v>0</v>
      </c>
      <c r="H31" s="135">
        <v>637.5</v>
      </c>
      <c r="I31" s="137">
        <v>13007.72</v>
      </c>
      <c r="J31" s="138">
        <v>2550</v>
      </c>
      <c r="K31" s="130">
        <v>5.1010666666666662</v>
      </c>
      <c r="L31" s="131">
        <v>8</v>
      </c>
      <c r="M31" s="132">
        <v>38</v>
      </c>
      <c r="N31" s="133">
        <v>0.17003555555555555</v>
      </c>
    </row>
    <row r="32" spans="1:14" ht="12.75" customHeight="1">
      <c r="A32" s="134" t="s">
        <v>347</v>
      </c>
      <c r="B32" s="135" t="s">
        <v>348</v>
      </c>
      <c r="C32" s="135" t="s">
        <v>349</v>
      </c>
      <c r="D32" s="135" t="s">
        <v>379</v>
      </c>
      <c r="E32" s="136">
        <v>39447</v>
      </c>
      <c r="F32" s="135">
        <v>6400</v>
      </c>
      <c r="G32" s="135">
        <v>0</v>
      </c>
      <c r="H32" s="135">
        <v>1012.5</v>
      </c>
      <c r="I32" s="137">
        <v>20659.32</v>
      </c>
      <c r="J32" s="138">
        <v>4050</v>
      </c>
      <c r="K32" s="130">
        <v>5.1010666666666662</v>
      </c>
      <c r="L32" s="131">
        <v>8</v>
      </c>
      <c r="M32" s="132">
        <v>38</v>
      </c>
      <c r="N32" s="133">
        <v>0.17003555555555555</v>
      </c>
    </row>
    <row r="33" spans="1:14" ht="12.75" customHeight="1">
      <c r="A33" s="134" t="s">
        <v>347</v>
      </c>
      <c r="B33" s="135" t="s">
        <v>348</v>
      </c>
      <c r="C33" s="135" t="s">
        <v>349</v>
      </c>
      <c r="D33" s="135" t="s">
        <v>380</v>
      </c>
      <c r="E33" s="136">
        <v>39447</v>
      </c>
      <c r="F33" s="135">
        <v>14680</v>
      </c>
      <c r="G33" s="135">
        <v>0</v>
      </c>
      <c r="H33" s="135">
        <v>2322.5</v>
      </c>
      <c r="I33" s="137">
        <v>5805.15</v>
      </c>
      <c r="J33" s="138">
        <v>9290</v>
      </c>
      <c r="K33" s="130">
        <v>0.62488159311087188</v>
      </c>
      <c r="L33" s="131">
        <v>8</v>
      </c>
      <c r="M33" s="132">
        <v>38</v>
      </c>
      <c r="N33" s="133">
        <v>2.0829386437029064E-2</v>
      </c>
    </row>
    <row r="34" spans="1:14" ht="12.75" customHeight="1">
      <c r="A34" s="134" t="s">
        <v>347</v>
      </c>
      <c r="B34" s="135" t="s">
        <v>348</v>
      </c>
      <c r="C34" s="135" t="s">
        <v>349</v>
      </c>
      <c r="D34" s="135" t="s">
        <v>381</v>
      </c>
      <c r="E34" s="136">
        <v>39447</v>
      </c>
      <c r="F34" s="135">
        <v>2705</v>
      </c>
      <c r="G34" s="135">
        <v>0</v>
      </c>
      <c r="H34" s="135">
        <v>775</v>
      </c>
      <c r="I34" s="137">
        <v>4500</v>
      </c>
      <c r="J34" s="138">
        <v>3100</v>
      </c>
      <c r="K34" s="130">
        <v>1.4516129032258065</v>
      </c>
      <c r="L34" s="131">
        <v>13</v>
      </c>
      <c r="M34" s="132">
        <v>38</v>
      </c>
      <c r="N34" s="133">
        <v>5.8064516129032261E-2</v>
      </c>
    </row>
    <row r="35" spans="1:14" ht="12.75" customHeight="1">
      <c r="A35" s="134" t="s">
        <v>347</v>
      </c>
      <c r="B35" s="135" t="s">
        <v>348</v>
      </c>
      <c r="C35" s="135" t="s">
        <v>349</v>
      </c>
      <c r="D35" s="135" t="s">
        <v>382</v>
      </c>
      <c r="E35" s="136">
        <v>39447</v>
      </c>
      <c r="F35" s="135">
        <v>16628</v>
      </c>
      <c r="G35" s="135">
        <v>0</v>
      </c>
      <c r="H35" s="135">
        <v>4275</v>
      </c>
      <c r="I35" s="137">
        <v>5775</v>
      </c>
      <c r="J35" s="138">
        <v>17100</v>
      </c>
      <c r="K35" s="130">
        <v>0.33771929824561403</v>
      </c>
      <c r="L35" s="131">
        <v>15</v>
      </c>
      <c r="M35" s="132">
        <v>38</v>
      </c>
      <c r="N35" s="133">
        <v>1.4683447749809305E-2</v>
      </c>
    </row>
    <row r="36" spans="1:14" ht="12.75" customHeight="1">
      <c r="A36" s="134" t="s">
        <v>347</v>
      </c>
      <c r="B36" s="135" t="s">
        <v>348</v>
      </c>
      <c r="C36" s="135" t="s">
        <v>349</v>
      </c>
      <c r="D36" s="135" t="s">
        <v>383</v>
      </c>
      <c r="E36" s="136">
        <v>39447</v>
      </c>
      <c r="F36" s="135">
        <v>12384</v>
      </c>
      <c r="G36" s="135">
        <v>0</v>
      </c>
      <c r="H36" s="135">
        <v>1959.25</v>
      </c>
      <c r="I36" s="137">
        <v>4500</v>
      </c>
      <c r="J36" s="138">
        <v>7837</v>
      </c>
      <c r="K36" s="130">
        <v>0.57419931096082688</v>
      </c>
      <c r="L36" s="131">
        <v>2</v>
      </c>
      <c r="M36" s="132">
        <v>38</v>
      </c>
      <c r="N36" s="133">
        <v>1.5949980860022969E-2</v>
      </c>
    </row>
    <row r="37" spans="1:14" ht="12.75" customHeight="1">
      <c r="A37" s="134" t="s">
        <v>347</v>
      </c>
      <c r="B37" s="135" t="s">
        <v>348</v>
      </c>
      <c r="C37" s="135" t="s">
        <v>349</v>
      </c>
      <c r="D37" s="135" t="s">
        <v>384</v>
      </c>
      <c r="E37" s="136">
        <v>39447</v>
      </c>
      <c r="F37" s="135">
        <v>18921</v>
      </c>
      <c r="G37" s="135">
        <v>0</v>
      </c>
      <c r="H37" s="135">
        <v>466.5</v>
      </c>
      <c r="I37" s="137">
        <v>2396.5</v>
      </c>
      <c r="J37" s="138">
        <v>1866</v>
      </c>
      <c r="K37" s="130">
        <v>1.2842979635584137</v>
      </c>
      <c r="L37" s="131">
        <v>2</v>
      </c>
      <c r="M37" s="132">
        <v>38</v>
      </c>
      <c r="N37" s="133">
        <v>3.5674943432178162E-2</v>
      </c>
    </row>
    <row r="38" spans="1:14" ht="12.75" customHeight="1">
      <c r="A38" s="134" t="s">
        <v>347</v>
      </c>
      <c r="B38" s="135" t="s">
        <v>348</v>
      </c>
      <c r="C38" s="135" t="s">
        <v>349</v>
      </c>
      <c r="D38" s="135" t="s">
        <v>385</v>
      </c>
      <c r="E38" s="136">
        <v>39447</v>
      </c>
      <c r="F38" s="135">
        <v>18117</v>
      </c>
      <c r="G38" s="135">
        <v>0</v>
      </c>
      <c r="H38" s="135">
        <v>2866.25</v>
      </c>
      <c r="I38" s="137">
        <v>5445</v>
      </c>
      <c r="J38" s="138">
        <v>11465</v>
      </c>
      <c r="K38" s="130">
        <v>0.47492368076755342</v>
      </c>
      <c r="L38" s="131">
        <v>8</v>
      </c>
      <c r="M38" s="132">
        <v>38</v>
      </c>
      <c r="N38" s="133">
        <v>1.5830789358918448E-2</v>
      </c>
    </row>
    <row r="39" spans="1:14" ht="12.75" customHeight="1">
      <c r="A39" s="134" t="s">
        <v>347</v>
      </c>
      <c r="B39" s="135" t="s">
        <v>348</v>
      </c>
      <c r="C39" s="135" t="s">
        <v>349</v>
      </c>
      <c r="D39" s="135" t="s">
        <v>386</v>
      </c>
      <c r="E39" s="136">
        <v>39447</v>
      </c>
      <c r="F39" s="135">
        <v>18568</v>
      </c>
      <c r="G39" s="135">
        <v>0</v>
      </c>
      <c r="H39" s="135">
        <v>4773.75</v>
      </c>
      <c r="I39" s="137">
        <v>8265</v>
      </c>
      <c r="J39" s="138">
        <v>19095</v>
      </c>
      <c r="K39" s="130">
        <v>0.43283582089552236</v>
      </c>
      <c r="L39" s="131">
        <v>15</v>
      </c>
      <c r="M39" s="132">
        <v>38</v>
      </c>
      <c r="N39" s="133">
        <v>1.8818948734587927E-2</v>
      </c>
    </row>
    <row r="40" spans="1:14" ht="12.75" customHeight="1">
      <c r="A40" s="134" t="s">
        <v>347</v>
      </c>
      <c r="B40" s="135" t="s">
        <v>348</v>
      </c>
      <c r="C40" s="135" t="s">
        <v>349</v>
      </c>
      <c r="D40" s="135" t="s">
        <v>387</v>
      </c>
      <c r="E40" s="136">
        <v>39499</v>
      </c>
      <c r="F40" s="135">
        <v>7706</v>
      </c>
      <c r="G40" s="135">
        <v>0</v>
      </c>
      <c r="H40" s="135">
        <v>1219</v>
      </c>
      <c r="I40" s="137">
        <v>3231.58</v>
      </c>
      <c r="J40" s="138">
        <v>4876</v>
      </c>
      <c r="K40" s="130">
        <v>0.66275225594749798</v>
      </c>
      <c r="L40" s="131">
        <v>8</v>
      </c>
      <c r="M40" s="132">
        <v>38</v>
      </c>
      <c r="N40" s="133">
        <v>2.2091741864916598E-2</v>
      </c>
    </row>
    <row r="41" spans="1:14" ht="12.75" customHeight="1">
      <c r="A41" s="134" t="s">
        <v>347</v>
      </c>
      <c r="B41" s="135" t="s">
        <v>348</v>
      </c>
      <c r="C41" s="135" t="s">
        <v>349</v>
      </c>
      <c r="D41" s="135" t="s">
        <v>388</v>
      </c>
      <c r="E41" s="136">
        <v>39534</v>
      </c>
      <c r="F41" s="135">
        <v>8197</v>
      </c>
      <c r="G41" s="135">
        <v>0</v>
      </c>
      <c r="H41" s="135">
        <v>2107.5</v>
      </c>
      <c r="I41" s="137">
        <v>6600</v>
      </c>
      <c r="J41" s="138">
        <v>8430</v>
      </c>
      <c r="K41" s="130">
        <v>0.7829181494661922</v>
      </c>
      <c r="L41" s="131">
        <v>14</v>
      </c>
      <c r="M41" s="132">
        <v>38</v>
      </c>
      <c r="N41" s="133">
        <v>3.262158956109134E-2</v>
      </c>
    </row>
    <row r="42" spans="1:14" ht="12.75" customHeight="1">
      <c r="A42" s="134" t="s">
        <v>347</v>
      </c>
      <c r="B42" s="135" t="s">
        <v>348</v>
      </c>
      <c r="C42" s="135" t="s">
        <v>349</v>
      </c>
      <c r="D42" s="135" t="s">
        <v>389</v>
      </c>
      <c r="E42" s="136">
        <v>39555</v>
      </c>
      <c r="F42" s="135">
        <v>3744</v>
      </c>
      <c r="G42" s="135">
        <v>0</v>
      </c>
      <c r="H42" s="135">
        <v>962.5</v>
      </c>
      <c r="I42" s="137">
        <v>2970</v>
      </c>
      <c r="J42" s="138">
        <v>3850</v>
      </c>
      <c r="K42" s="130">
        <v>0.77142857142857146</v>
      </c>
      <c r="L42" s="131">
        <v>11</v>
      </c>
      <c r="M42" s="132">
        <v>38</v>
      </c>
      <c r="N42" s="133">
        <v>2.8571428571428574E-2</v>
      </c>
    </row>
    <row r="43" spans="1:14" ht="12.75" customHeight="1">
      <c r="A43" s="134" t="s">
        <v>347</v>
      </c>
      <c r="B43" s="135" t="s">
        <v>348</v>
      </c>
      <c r="C43" s="135" t="s">
        <v>349</v>
      </c>
      <c r="D43" s="135" t="s">
        <v>390</v>
      </c>
      <c r="E43" s="136">
        <v>39534</v>
      </c>
      <c r="F43" s="135">
        <v>18472</v>
      </c>
      <c r="G43" s="135">
        <v>0</v>
      </c>
      <c r="H43" s="135">
        <v>2922.5</v>
      </c>
      <c r="I43" s="137">
        <v>6995</v>
      </c>
      <c r="J43" s="138">
        <v>11690</v>
      </c>
      <c r="K43" s="130">
        <v>0.59837467921300258</v>
      </c>
      <c r="L43" s="131">
        <v>8</v>
      </c>
      <c r="M43" s="132">
        <v>38</v>
      </c>
      <c r="N43" s="133">
        <v>1.994582264043342E-2</v>
      </c>
    </row>
    <row r="44" spans="1:14" ht="12.75" customHeight="1">
      <c r="A44" s="134" t="s">
        <v>347</v>
      </c>
      <c r="B44" s="135" t="s">
        <v>348</v>
      </c>
      <c r="C44" s="135" t="s">
        <v>349</v>
      </c>
      <c r="D44" s="135" t="s">
        <v>391</v>
      </c>
      <c r="E44" s="136">
        <v>39568</v>
      </c>
      <c r="F44" s="135">
        <v>5574</v>
      </c>
      <c r="G44" s="135">
        <v>0</v>
      </c>
      <c r="H44" s="135">
        <v>882</v>
      </c>
      <c r="I44" s="137">
        <v>1774.58</v>
      </c>
      <c r="J44" s="138">
        <v>3528</v>
      </c>
      <c r="K44" s="130">
        <v>0.50299886621315193</v>
      </c>
      <c r="L44" s="131">
        <v>0</v>
      </c>
      <c r="M44" s="132">
        <v>38</v>
      </c>
      <c r="N44" s="133">
        <v>1.3236812268767157E-2</v>
      </c>
    </row>
    <row r="45" spans="1:14" ht="12.75" customHeight="1">
      <c r="A45" s="134" t="s">
        <v>347</v>
      </c>
      <c r="B45" s="135" t="s">
        <v>348</v>
      </c>
      <c r="C45" s="135" t="s">
        <v>349</v>
      </c>
      <c r="D45" s="135" t="s">
        <v>392</v>
      </c>
      <c r="E45" s="136">
        <v>39611</v>
      </c>
      <c r="F45" s="135">
        <v>7367</v>
      </c>
      <c r="G45" s="135">
        <v>0</v>
      </c>
      <c r="H45" s="135">
        <v>1165.5</v>
      </c>
      <c r="I45" s="137">
        <v>2095</v>
      </c>
      <c r="J45" s="138">
        <v>4662</v>
      </c>
      <c r="K45" s="130">
        <v>0.44937794937794939</v>
      </c>
      <c r="L45" s="131">
        <v>10</v>
      </c>
      <c r="M45" s="132">
        <v>38</v>
      </c>
      <c r="N45" s="133">
        <v>1.6049212477783906E-2</v>
      </c>
    </row>
    <row r="46" spans="1:14" ht="12.75" customHeight="1">
      <c r="A46" s="134" t="s">
        <v>347</v>
      </c>
      <c r="B46" s="135" t="s">
        <v>348</v>
      </c>
      <c r="C46" s="135" t="s">
        <v>349</v>
      </c>
      <c r="D46" s="135" t="s">
        <v>393</v>
      </c>
      <c r="E46" s="136">
        <v>39625</v>
      </c>
      <c r="F46" s="135">
        <v>35411</v>
      </c>
      <c r="G46" s="135">
        <v>0</v>
      </c>
      <c r="H46" s="135">
        <v>5602.5</v>
      </c>
      <c r="I46" s="137">
        <v>11645</v>
      </c>
      <c r="J46" s="138">
        <v>22410</v>
      </c>
      <c r="K46" s="130">
        <v>0.5196340919232485</v>
      </c>
      <c r="L46" s="131">
        <v>8</v>
      </c>
      <c r="M46" s="132">
        <v>38</v>
      </c>
      <c r="N46" s="133">
        <v>1.7321136397441615E-2</v>
      </c>
    </row>
    <row r="47" spans="1:14" ht="12.75" customHeight="1">
      <c r="A47" s="134" t="s">
        <v>347</v>
      </c>
      <c r="B47" s="135" t="s">
        <v>348</v>
      </c>
      <c r="C47" s="135" t="s">
        <v>349</v>
      </c>
      <c r="D47" s="135" t="s">
        <v>394</v>
      </c>
      <c r="E47" s="136">
        <v>39646</v>
      </c>
      <c r="F47" s="135">
        <v>1373</v>
      </c>
      <c r="G47" s="135">
        <v>0</v>
      </c>
      <c r="H47" s="135">
        <v>800</v>
      </c>
      <c r="I47" s="137">
        <v>1637</v>
      </c>
      <c r="J47" s="138">
        <v>3200</v>
      </c>
      <c r="K47" s="130">
        <v>0.51156250000000003</v>
      </c>
      <c r="L47" s="131">
        <v>22</v>
      </c>
      <c r="M47" s="132">
        <v>38</v>
      </c>
      <c r="N47" s="133">
        <v>3.1972656250000002E-2</v>
      </c>
    </row>
    <row r="48" spans="1:14" ht="12.75" customHeight="1">
      <c r="A48" s="134" t="s">
        <v>347</v>
      </c>
      <c r="B48" s="135" t="s">
        <v>395</v>
      </c>
      <c r="C48" s="135" t="s">
        <v>396</v>
      </c>
      <c r="D48" s="135" t="s">
        <v>397</v>
      </c>
      <c r="E48" s="136">
        <v>39247</v>
      </c>
      <c r="F48" s="135">
        <v>0</v>
      </c>
      <c r="G48" s="135">
        <v>258.7</v>
      </c>
      <c r="H48" s="135">
        <v>855</v>
      </c>
      <c r="I48" s="137">
        <v>2214</v>
      </c>
      <c r="J48" s="138">
        <v>3420</v>
      </c>
      <c r="K48" s="130">
        <v>0.64736842105263159</v>
      </c>
      <c r="L48" s="131">
        <v>7</v>
      </c>
      <c r="M48" s="132">
        <v>38</v>
      </c>
      <c r="N48" s="133">
        <v>2.0882852292020374E-2</v>
      </c>
    </row>
    <row r="49" spans="1:14" ht="12.75" customHeight="1">
      <c r="A49" s="134" t="s">
        <v>347</v>
      </c>
      <c r="B49" s="135" t="s">
        <v>395</v>
      </c>
      <c r="C49" s="135" t="s">
        <v>396</v>
      </c>
      <c r="D49" s="135" t="s">
        <v>398</v>
      </c>
      <c r="E49" s="136">
        <v>39380</v>
      </c>
      <c r="F49" s="135">
        <v>0</v>
      </c>
      <c r="G49" s="135">
        <v>52.65</v>
      </c>
      <c r="H49" s="135">
        <v>655.5</v>
      </c>
      <c r="I49" s="137">
        <v>2097</v>
      </c>
      <c r="J49" s="138">
        <v>2622</v>
      </c>
      <c r="K49" s="130">
        <v>0.79977116704805495</v>
      </c>
      <c r="L49" s="131">
        <v>11</v>
      </c>
      <c r="M49" s="132">
        <v>38</v>
      </c>
      <c r="N49" s="133">
        <v>2.9621154335113146E-2</v>
      </c>
    </row>
    <row r="50" spans="1:14" ht="12.75" customHeight="1">
      <c r="A50" s="134" t="s">
        <v>347</v>
      </c>
      <c r="B50" s="135" t="s">
        <v>395</v>
      </c>
      <c r="C50" s="135" t="s">
        <v>396</v>
      </c>
      <c r="D50" s="135" t="s">
        <v>399</v>
      </c>
      <c r="E50" s="136">
        <v>39395</v>
      </c>
      <c r="F50" s="135">
        <v>0</v>
      </c>
      <c r="G50" s="135">
        <v>160.55000000000001</v>
      </c>
      <c r="H50" s="135">
        <v>600</v>
      </c>
      <c r="I50" s="137">
        <v>1700</v>
      </c>
      <c r="J50" s="138">
        <v>2400</v>
      </c>
      <c r="K50" s="130">
        <v>0.70833333333333337</v>
      </c>
      <c r="L50" s="131">
        <v>8</v>
      </c>
      <c r="M50" s="132">
        <v>38</v>
      </c>
      <c r="N50" s="133">
        <v>2.3611111111111114E-2</v>
      </c>
    </row>
    <row r="51" spans="1:14" ht="12.75" customHeight="1">
      <c r="A51" s="134" t="s">
        <v>347</v>
      </c>
      <c r="B51" s="135" t="s">
        <v>395</v>
      </c>
      <c r="C51" s="135" t="s">
        <v>396</v>
      </c>
      <c r="D51" s="135" t="s">
        <v>400</v>
      </c>
      <c r="E51" s="136">
        <v>39447</v>
      </c>
      <c r="F51" s="135">
        <v>0</v>
      </c>
      <c r="G51" s="135">
        <v>38.35</v>
      </c>
      <c r="H51" s="135">
        <v>408.75</v>
      </c>
      <c r="I51" s="137">
        <v>688</v>
      </c>
      <c r="J51" s="138">
        <v>1635</v>
      </c>
      <c r="K51" s="130">
        <v>0.42079510703363915</v>
      </c>
      <c r="L51" s="131">
        <v>15</v>
      </c>
      <c r="M51" s="132">
        <v>38</v>
      </c>
      <c r="N51" s="133">
        <v>1.8295439436245179E-2</v>
      </c>
    </row>
    <row r="52" spans="1:14" ht="12.75" customHeight="1">
      <c r="A52" s="134" t="s">
        <v>347</v>
      </c>
      <c r="B52" s="135" t="s">
        <v>395</v>
      </c>
      <c r="C52" s="135" t="s">
        <v>396</v>
      </c>
      <c r="D52" s="135" t="s">
        <v>401</v>
      </c>
      <c r="E52" s="136">
        <v>39513</v>
      </c>
      <c r="F52" s="135">
        <v>0</v>
      </c>
      <c r="G52" s="135">
        <v>1722.5</v>
      </c>
      <c r="H52" s="135">
        <v>1308.75</v>
      </c>
      <c r="I52" s="137">
        <v>2980</v>
      </c>
      <c r="J52" s="138">
        <v>5235</v>
      </c>
      <c r="K52" s="130">
        <v>0.5692454632282713</v>
      </c>
      <c r="L52" s="131">
        <v>2</v>
      </c>
      <c r="M52" s="132">
        <v>38</v>
      </c>
      <c r="N52" s="133">
        <v>1.5812373978563093E-2</v>
      </c>
    </row>
    <row r="53" spans="1:14" ht="12.75" customHeight="1">
      <c r="A53" s="134" t="s">
        <v>347</v>
      </c>
      <c r="B53" s="135" t="s">
        <v>395</v>
      </c>
      <c r="C53" s="135" t="s">
        <v>396</v>
      </c>
      <c r="D53" s="135" t="s">
        <v>402</v>
      </c>
      <c r="E53" s="136">
        <v>39562</v>
      </c>
      <c r="F53" s="135">
        <v>0</v>
      </c>
      <c r="G53" s="135">
        <v>60.45</v>
      </c>
      <c r="H53" s="135">
        <v>724</v>
      </c>
      <c r="I53" s="137">
        <v>2295.4</v>
      </c>
      <c r="J53" s="138">
        <v>2896</v>
      </c>
      <c r="K53" s="130">
        <v>0.79261049723756904</v>
      </c>
      <c r="L53" s="131">
        <v>11</v>
      </c>
      <c r="M53" s="132">
        <v>38</v>
      </c>
      <c r="N53" s="133">
        <v>2.9355944342132186E-2</v>
      </c>
    </row>
    <row r="54" spans="1:14" ht="12.75" customHeight="1">
      <c r="A54" s="134" t="s">
        <v>347</v>
      </c>
      <c r="B54" s="135" t="s">
        <v>395</v>
      </c>
      <c r="C54" s="135" t="s">
        <v>396</v>
      </c>
      <c r="D54" s="135" t="s">
        <v>403</v>
      </c>
      <c r="E54" s="136">
        <v>39568</v>
      </c>
      <c r="F54" s="135">
        <v>0</v>
      </c>
      <c r="G54" s="135">
        <v>15308.15</v>
      </c>
      <c r="H54" s="135">
        <v>17419.5</v>
      </c>
      <c r="I54" s="137">
        <v>35073.300000000003</v>
      </c>
      <c r="J54" s="138">
        <v>69678</v>
      </c>
      <c r="K54" s="130">
        <v>0.50336261086713174</v>
      </c>
      <c r="L54" s="131">
        <v>0</v>
      </c>
      <c r="M54" s="132">
        <v>38</v>
      </c>
      <c r="N54" s="133">
        <v>1.3246384496503467E-2</v>
      </c>
    </row>
    <row r="55" spans="1:14" ht="12.75" customHeight="1">
      <c r="A55" s="134" t="s">
        <v>347</v>
      </c>
      <c r="B55" s="135" t="s">
        <v>395</v>
      </c>
      <c r="C55" s="135" t="s">
        <v>396</v>
      </c>
      <c r="D55" s="135" t="s">
        <v>404</v>
      </c>
      <c r="E55" s="136">
        <v>39568</v>
      </c>
      <c r="F55" s="135">
        <v>0</v>
      </c>
      <c r="G55" s="135">
        <v>815.75</v>
      </c>
      <c r="H55" s="135">
        <v>928</v>
      </c>
      <c r="I55" s="137">
        <v>1867.12</v>
      </c>
      <c r="J55" s="138">
        <v>3712</v>
      </c>
      <c r="K55" s="130">
        <v>0.50299568965517238</v>
      </c>
      <c r="L55" s="131">
        <v>0</v>
      </c>
      <c r="M55" s="132">
        <v>38</v>
      </c>
      <c r="N55" s="133">
        <v>1.3236728675136115E-2</v>
      </c>
    </row>
    <row r="56" spans="1:14" ht="12.75" customHeight="1">
      <c r="A56" s="134" t="s">
        <v>347</v>
      </c>
      <c r="B56" s="135" t="s">
        <v>395</v>
      </c>
      <c r="C56" s="135" t="s">
        <v>396</v>
      </c>
      <c r="D56" s="135" t="s">
        <v>405</v>
      </c>
      <c r="E56" s="136">
        <v>39568</v>
      </c>
      <c r="F56" s="135">
        <v>0</v>
      </c>
      <c r="G56" s="135">
        <v>126.75</v>
      </c>
      <c r="H56" s="135">
        <v>1031</v>
      </c>
      <c r="I56" s="137">
        <v>3641</v>
      </c>
      <c r="J56" s="138">
        <v>4124</v>
      </c>
      <c r="K56" s="130">
        <v>0.88288069835111538</v>
      </c>
      <c r="L56" s="131">
        <v>8</v>
      </c>
      <c r="M56" s="132">
        <v>38</v>
      </c>
      <c r="N56" s="133">
        <v>2.9429356611703848E-2</v>
      </c>
    </row>
    <row r="57" spans="1:14" ht="12.75" customHeight="1">
      <c r="A57" s="134" t="s">
        <v>347</v>
      </c>
      <c r="B57" s="135" t="s">
        <v>395</v>
      </c>
      <c r="C57" s="135" t="s">
        <v>396</v>
      </c>
      <c r="D57" s="135" t="s">
        <v>406</v>
      </c>
      <c r="E57" s="136">
        <v>39625</v>
      </c>
      <c r="F57" s="135">
        <v>0</v>
      </c>
      <c r="G57" s="135">
        <v>43.55</v>
      </c>
      <c r="H57" s="135">
        <v>438.75</v>
      </c>
      <c r="I57" s="137">
        <v>1318</v>
      </c>
      <c r="J57" s="138">
        <v>1755</v>
      </c>
      <c r="K57" s="130">
        <v>0.75099715099715103</v>
      </c>
      <c r="L57" s="131">
        <v>12</v>
      </c>
      <c r="M57" s="132">
        <v>38</v>
      </c>
      <c r="N57" s="133">
        <v>2.8884505807582731E-2</v>
      </c>
    </row>
    <row r="58" spans="1:14" ht="12.75" customHeight="1" thickBot="1">
      <c r="A58" s="139" t="s">
        <v>347</v>
      </c>
      <c r="B58" s="140" t="s">
        <v>395</v>
      </c>
      <c r="C58" s="140" t="s">
        <v>396</v>
      </c>
      <c r="D58" s="140" t="s">
        <v>407</v>
      </c>
      <c r="E58" s="141">
        <v>39646</v>
      </c>
      <c r="F58" s="140">
        <v>0</v>
      </c>
      <c r="G58" s="140">
        <v>68.25</v>
      </c>
      <c r="H58" s="140">
        <v>683.5</v>
      </c>
      <c r="I58" s="142">
        <v>2420</v>
      </c>
      <c r="J58" s="143">
        <v>2734</v>
      </c>
      <c r="K58" s="144">
        <v>0.88514996342355523</v>
      </c>
      <c r="L58" s="145">
        <v>11</v>
      </c>
      <c r="M58" s="146">
        <v>38</v>
      </c>
      <c r="N58" s="133">
        <v>3.2783331978650194E-2</v>
      </c>
    </row>
    <row r="59" spans="1:14" ht="12.75" customHeight="1">
      <c r="A59" s="125" t="s">
        <v>347</v>
      </c>
      <c r="B59" s="126" t="s">
        <v>408</v>
      </c>
      <c r="C59" s="126" t="s">
        <v>409</v>
      </c>
      <c r="D59" s="126" t="s">
        <v>410</v>
      </c>
      <c r="E59" s="127">
        <v>39247</v>
      </c>
      <c r="F59" s="126">
        <v>22400</v>
      </c>
      <c r="G59" s="126">
        <v>0</v>
      </c>
      <c r="H59" s="126">
        <v>4607.1000000000004</v>
      </c>
      <c r="I59" s="128">
        <v>17395.2</v>
      </c>
      <c r="J59" s="129">
        <v>10238</v>
      </c>
      <c r="K59" s="130">
        <v>1.6990818519242039</v>
      </c>
      <c r="L59" s="131">
        <v>0</v>
      </c>
      <c r="M59" s="132">
        <v>25</v>
      </c>
      <c r="N59" s="133">
        <v>6.7963274076968158E-2</v>
      </c>
    </row>
    <row r="60" spans="1:14" ht="12.75" customHeight="1">
      <c r="A60" s="134" t="s">
        <v>347</v>
      </c>
      <c r="B60" s="135" t="s">
        <v>408</v>
      </c>
      <c r="C60" s="135" t="s">
        <v>409</v>
      </c>
      <c r="D60" s="135" t="s">
        <v>411</v>
      </c>
      <c r="E60" s="136">
        <v>39282</v>
      </c>
      <c r="F60" s="135">
        <v>22034</v>
      </c>
      <c r="G60" s="135">
        <v>0</v>
      </c>
      <c r="H60" s="135">
        <v>4531.95</v>
      </c>
      <c r="I60" s="137">
        <v>12812</v>
      </c>
      <c r="J60" s="138">
        <v>10071</v>
      </c>
      <c r="K60" s="130">
        <v>1.2721676099692185</v>
      </c>
      <c r="L60" s="131">
        <v>0</v>
      </c>
      <c r="M60" s="132">
        <v>25</v>
      </c>
      <c r="N60" s="133">
        <v>5.0886704398768738E-2</v>
      </c>
    </row>
    <row r="61" spans="1:14" ht="12.75" customHeight="1">
      <c r="A61" s="134" t="s">
        <v>347</v>
      </c>
      <c r="B61" s="135" t="s">
        <v>408</v>
      </c>
      <c r="C61" s="135" t="s">
        <v>409</v>
      </c>
      <c r="D61" s="135" t="s">
        <v>412</v>
      </c>
      <c r="E61" s="136">
        <v>39282</v>
      </c>
      <c r="F61" s="135">
        <v>8325</v>
      </c>
      <c r="G61" s="135">
        <v>0</v>
      </c>
      <c r="H61" s="135">
        <v>1712.25</v>
      </c>
      <c r="I61" s="137">
        <v>6181</v>
      </c>
      <c r="J61" s="138">
        <v>3805</v>
      </c>
      <c r="K61" s="130">
        <v>1.6244415243101182</v>
      </c>
      <c r="L61" s="131">
        <v>0</v>
      </c>
      <c r="M61" s="132">
        <v>25</v>
      </c>
      <c r="N61" s="133">
        <v>6.4977660972404733E-2</v>
      </c>
    </row>
    <row r="62" spans="1:14" ht="12.75" customHeight="1">
      <c r="A62" s="134" t="s">
        <v>347</v>
      </c>
      <c r="B62" s="135" t="s">
        <v>408</v>
      </c>
      <c r="C62" s="135" t="s">
        <v>409</v>
      </c>
      <c r="D62" s="135" t="s">
        <v>413</v>
      </c>
      <c r="E62" s="136">
        <v>39317</v>
      </c>
      <c r="F62" s="135">
        <v>9395</v>
      </c>
      <c r="G62" s="135">
        <v>0</v>
      </c>
      <c r="H62" s="135">
        <v>1890</v>
      </c>
      <c r="I62" s="137">
        <v>5544</v>
      </c>
      <c r="J62" s="138">
        <v>4200</v>
      </c>
      <c r="K62" s="130">
        <v>1.32</v>
      </c>
      <c r="L62" s="131">
        <v>0</v>
      </c>
      <c r="M62" s="132">
        <v>25</v>
      </c>
      <c r="N62" s="133">
        <v>5.28E-2</v>
      </c>
    </row>
    <row r="63" spans="1:14" ht="12.75" customHeight="1">
      <c r="A63" s="134" t="s">
        <v>347</v>
      </c>
      <c r="B63" s="135" t="s">
        <v>408</v>
      </c>
      <c r="C63" s="135" t="s">
        <v>409</v>
      </c>
      <c r="D63" s="135" t="s">
        <v>414</v>
      </c>
      <c r="E63" s="136">
        <v>39345</v>
      </c>
      <c r="F63" s="135">
        <v>13729</v>
      </c>
      <c r="G63" s="135">
        <v>0</v>
      </c>
      <c r="H63" s="135">
        <v>2823.75</v>
      </c>
      <c r="I63" s="137">
        <v>9620</v>
      </c>
      <c r="J63" s="138">
        <v>6275</v>
      </c>
      <c r="K63" s="130">
        <v>1.5330677290836654</v>
      </c>
      <c r="L63" s="131">
        <v>0</v>
      </c>
      <c r="M63" s="132">
        <v>25</v>
      </c>
      <c r="N63" s="133">
        <v>6.1322709163346617E-2</v>
      </c>
    </row>
    <row r="64" spans="1:14" ht="12.75" customHeight="1">
      <c r="A64" s="134" t="s">
        <v>347</v>
      </c>
      <c r="B64" s="135" t="s">
        <v>408</v>
      </c>
      <c r="C64" s="135" t="s">
        <v>409</v>
      </c>
      <c r="D64" s="135" t="s">
        <v>415</v>
      </c>
      <c r="E64" s="136">
        <v>39407</v>
      </c>
      <c r="F64" s="135">
        <v>18087</v>
      </c>
      <c r="G64" s="135">
        <v>0</v>
      </c>
      <c r="H64" s="135">
        <v>3600</v>
      </c>
      <c r="I64" s="137">
        <v>2570</v>
      </c>
      <c r="J64" s="138">
        <v>8000</v>
      </c>
      <c r="K64" s="130">
        <v>0.32124999999999998</v>
      </c>
      <c r="L64" s="131">
        <v>0</v>
      </c>
      <c r="M64" s="132">
        <v>25</v>
      </c>
      <c r="N64" s="133">
        <v>1.2849999999999999E-2</v>
      </c>
    </row>
    <row r="65" spans="1:14" ht="12.75" customHeight="1">
      <c r="A65" s="134" t="s">
        <v>347</v>
      </c>
      <c r="B65" s="135" t="s">
        <v>408</v>
      </c>
      <c r="C65" s="135" t="s">
        <v>409</v>
      </c>
      <c r="D65" s="135" t="s">
        <v>416</v>
      </c>
      <c r="E65" s="136">
        <v>39359</v>
      </c>
      <c r="F65" s="135">
        <v>9026</v>
      </c>
      <c r="G65" s="135">
        <v>0</v>
      </c>
      <c r="H65" s="135">
        <v>1856.25</v>
      </c>
      <c r="I65" s="137">
        <v>1110</v>
      </c>
      <c r="J65" s="138">
        <v>4125</v>
      </c>
      <c r="K65" s="130">
        <v>0.2690909090909091</v>
      </c>
      <c r="L65" s="131">
        <v>0</v>
      </c>
      <c r="M65" s="132">
        <v>19</v>
      </c>
      <c r="N65" s="133">
        <v>1.4162679425837321E-2</v>
      </c>
    </row>
    <row r="66" spans="1:14" ht="12.75" customHeight="1">
      <c r="A66" s="134" t="s">
        <v>347</v>
      </c>
      <c r="B66" s="135" t="s">
        <v>408</v>
      </c>
      <c r="C66" s="135" t="s">
        <v>409</v>
      </c>
      <c r="D66" s="135" t="s">
        <v>417</v>
      </c>
      <c r="E66" s="136">
        <v>39353</v>
      </c>
      <c r="F66" s="135">
        <v>7633</v>
      </c>
      <c r="G66" s="135">
        <v>0</v>
      </c>
      <c r="H66" s="135">
        <v>1570.05</v>
      </c>
      <c r="I66" s="137">
        <v>4800</v>
      </c>
      <c r="J66" s="138">
        <v>3489</v>
      </c>
      <c r="K66" s="130">
        <v>1.3757523645743766</v>
      </c>
      <c r="L66" s="131">
        <v>0</v>
      </c>
      <c r="M66" s="132">
        <v>25</v>
      </c>
      <c r="N66" s="133">
        <v>5.5030094582975059E-2</v>
      </c>
    </row>
    <row r="67" spans="1:14" ht="12.75" customHeight="1">
      <c r="A67" s="134" t="s">
        <v>347</v>
      </c>
      <c r="B67" s="135" t="s">
        <v>408</v>
      </c>
      <c r="C67" s="135" t="s">
        <v>409</v>
      </c>
      <c r="D67" s="135" t="s">
        <v>418</v>
      </c>
      <c r="E67" s="136">
        <v>39353</v>
      </c>
      <c r="F67" s="135">
        <v>16187</v>
      </c>
      <c r="G67" s="135">
        <v>0</v>
      </c>
      <c r="H67" s="135">
        <v>3329.1</v>
      </c>
      <c r="I67" s="137">
        <v>12925</v>
      </c>
      <c r="J67" s="138">
        <v>7398</v>
      </c>
      <c r="K67" s="130">
        <v>1.7470938091376047</v>
      </c>
      <c r="L67" s="131">
        <v>0</v>
      </c>
      <c r="M67" s="132">
        <v>25</v>
      </c>
      <c r="N67" s="133">
        <v>6.988375236550419E-2</v>
      </c>
    </row>
    <row r="68" spans="1:14" ht="12.75" customHeight="1">
      <c r="A68" s="134" t="s">
        <v>347</v>
      </c>
      <c r="B68" s="135" t="s">
        <v>408</v>
      </c>
      <c r="C68" s="135" t="s">
        <v>409</v>
      </c>
      <c r="D68" s="135" t="s">
        <v>419</v>
      </c>
      <c r="E68" s="136">
        <v>39359</v>
      </c>
      <c r="F68" s="135">
        <v>44108</v>
      </c>
      <c r="G68" s="135">
        <v>0</v>
      </c>
      <c r="H68" s="135">
        <v>9072</v>
      </c>
      <c r="I68" s="137">
        <v>13500</v>
      </c>
      <c r="J68" s="138">
        <v>20160</v>
      </c>
      <c r="K68" s="130">
        <v>0.6696428571428571</v>
      </c>
      <c r="L68" s="131">
        <v>0</v>
      </c>
      <c r="M68" s="132">
        <v>19</v>
      </c>
      <c r="N68" s="133">
        <v>3.5244360902255634E-2</v>
      </c>
    </row>
    <row r="69" spans="1:14" ht="12.75" customHeight="1">
      <c r="A69" s="134" t="s">
        <v>347</v>
      </c>
      <c r="B69" s="135" t="s">
        <v>408</v>
      </c>
      <c r="C69" s="135" t="s">
        <v>409</v>
      </c>
      <c r="D69" s="135" t="s">
        <v>420</v>
      </c>
      <c r="E69" s="136">
        <v>39366</v>
      </c>
      <c r="F69" s="135">
        <v>13009</v>
      </c>
      <c r="G69" s="135">
        <v>0</v>
      </c>
      <c r="H69" s="135">
        <v>2675.7</v>
      </c>
      <c r="I69" s="137">
        <v>8078</v>
      </c>
      <c r="J69" s="138">
        <v>5946</v>
      </c>
      <c r="K69" s="130">
        <v>1.3585603767238479</v>
      </c>
      <c r="L69" s="131">
        <v>0</v>
      </c>
      <c r="M69" s="132">
        <v>25</v>
      </c>
      <c r="N69" s="133">
        <v>5.4342415068953917E-2</v>
      </c>
    </row>
    <row r="70" spans="1:14" ht="12.75" customHeight="1">
      <c r="A70" s="134" t="s">
        <v>347</v>
      </c>
      <c r="B70" s="135" t="s">
        <v>408</v>
      </c>
      <c r="C70" s="135" t="s">
        <v>409</v>
      </c>
      <c r="D70" s="135" t="s">
        <v>421</v>
      </c>
      <c r="E70" s="136">
        <v>39380</v>
      </c>
      <c r="F70" s="135">
        <v>8752</v>
      </c>
      <c r="G70" s="135">
        <v>0</v>
      </c>
      <c r="H70" s="135">
        <v>1800</v>
      </c>
      <c r="I70" s="137">
        <v>4345</v>
      </c>
      <c r="J70" s="138">
        <v>4000</v>
      </c>
      <c r="K70" s="130">
        <v>1.0862499999999999</v>
      </c>
      <c r="L70" s="131">
        <v>0</v>
      </c>
      <c r="M70" s="132">
        <v>25</v>
      </c>
      <c r="N70" s="133">
        <v>4.3449999999999996E-2</v>
      </c>
    </row>
    <row r="71" spans="1:14" ht="12.75" customHeight="1">
      <c r="A71" s="134" t="s">
        <v>347</v>
      </c>
      <c r="B71" s="135" t="s">
        <v>408</v>
      </c>
      <c r="C71" s="135" t="s">
        <v>409</v>
      </c>
      <c r="D71" s="135" t="s">
        <v>422</v>
      </c>
      <c r="E71" s="136">
        <v>39395</v>
      </c>
      <c r="F71" s="135">
        <v>27866</v>
      </c>
      <c r="G71" s="135">
        <v>0</v>
      </c>
      <c r="H71" s="135">
        <v>5850</v>
      </c>
      <c r="I71" s="137">
        <v>14917.28</v>
      </c>
      <c r="J71" s="138">
        <v>13000</v>
      </c>
      <c r="K71" s="130">
        <v>1.147483076923077</v>
      </c>
      <c r="L71" s="131">
        <v>0</v>
      </c>
      <c r="M71" s="132">
        <v>30</v>
      </c>
      <c r="N71" s="133">
        <v>3.8249435897435902E-2</v>
      </c>
    </row>
    <row r="72" spans="1:14" ht="12.75" customHeight="1">
      <c r="A72" s="134" t="s">
        <v>347</v>
      </c>
      <c r="B72" s="135" t="s">
        <v>408</v>
      </c>
      <c r="C72" s="135" t="s">
        <v>409</v>
      </c>
      <c r="D72" s="135" t="s">
        <v>423</v>
      </c>
      <c r="E72" s="136">
        <v>39407</v>
      </c>
      <c r="F72" s="135">
        <v>10064</v>
      </c>
      <c r="G72" s="135">
        <v>0</v>
      </c>
      <c r="H72" s="135">
        <v>2070</v>
      </c>
      <c r="I72" s="137">
        <v>5630</v>
      </c>
      <c r="J72" s="138">
        <v>4600</v>
      </c>
      <c r="K72" s="130">
        <v>1.2239130434782608</v>
      </c>
      <c r="L72" s="131">
        <v>0</v>
      </c>
      <c r="M72" s="132">
        <v>25</v>
      </c>
      <c r="N72" s="133">
        <v>4.8956521739130433E-2</v>
      </c>
    </row>
    <row r="73" spans="1:14" ht="12.75" customHeight="1">
      <c r="A73" s="134" t="s">
        <v>347</v>
      </c>
      <c r="B73" s="135" t="s">
        <v>408</v>
      </c>
      <c r="C73" s="135" t="s">
        <v>409</v>
      </c>
      <c r="D73" s="135" t="s">
        <v>424</v>
      </c>
      <c r="E73" s="136">
        <v>39407</v>
      </c>
      <c r="F73" s="135">
        <v>57988</v>
      </c>
      <c r="G73" s="135">
        <v>0</v>
      </c>
      <c r="H73" s="135">
        <v>11926.8</v>
      </c>
      <c r="I73" s="137">
        <v>44367</v>
      </c>
      <c r="J73" s="138">
        <v>26504</v>
      </c>
      <c r="K73" s="130">
        <v>1.6739737398128585</v>
      </c>
      <c r="L73" s="131">
        <v>0</v>
      </c>
      <c r="M73" s="132">
        <v>20</v>
      </c>
      <c r="N73" s="133">
        <v>8.3698686990642923E-2</v>
      </c>
    </row>
    <row r="74" spans="1:14" ht="12.75" customHeight="1">
      <c r="A74" s="134" t="s">
        <v>347</v>
      </c>
      <c r="B74" s="135" t="s">
        <v>408</v>
      </c>
      <c r="C74" s="135" t="s">
        <v>409</v>
      </c>
      <c r="D74" s="135" t="s">
        <v>425</v>
      </c>
      <c r="E74" s="136">
        <v>39429</v>
      </c>
      <c r="F74" s="135">
        <v>2166</v>
      </c>
      <c r="G74" s="135">
        <v>0</v>
      </c>
      <c r="H74" s="135">
        <v>445.5</v>
      </c>
      <c r="I74" s="137">
        <v>798</v>
      </c>
      <c r="J74" s="138">
        <v>990</v>
      </c>
      <c r="K74" s="130">
        <v>0.80606060606060603</v>
      </c>
      <c r="L74" s="131">
        <v>0</v>
      </c>
      <c r="M74" s="132">
        <v>19</v>
      </c>
      <c r="N74" s="133">
        <v>4.242424242424242E-2</v>
      </c>
    </row>
    <row r="75" spans="1:14" ht="12.75" customHeight="1">
      <c r="A75" s="134" t="s">
        <v>347</v>
      </c>
      <c r="B75" s="135" t="s">
        <v>408</v>
      </c>
      <c r="C75" s="135" t="s">
        <v>409</v>
      </c>
      <c r="D75" s="135" t="s">
        <v>426</v>
      </c>
      <c r="E75" s="136">
        <v>39429</v>
      </c>
      <c r="F75" s="135">
        <v>62948</v>
      </c>
      <c r="G75" s="135">
        <v>0</v>
      </c>
      <c r="H75" s="135">
        <v>12946.95</v>
      </c>
      <c r="I75" s="137">
        <v>24240</v>
      </c>
      <c r="J75" s="138">
        <v>28771</v>
      </c>
      <c r="K75" s="130">
        <v>0.84251503249800141</v>
      </c>
      <c r="L75" s="131">
        <v>0</v>
      </c>
      <c r="M75" s="132">
        <v>21</v>
      </c>
      <c r="N75" s="133">
        <v>4.0119763452285781E-2</v>
      </c>
    </row>
    <row r="76" spans="1:14" ht="12.75" customHeight="1">
      <c r="A76" s="134" t="s">
        <v>347</v>
      </c>
      <c r="B76" s="135" t="s">
        <v>408</v>
      </c>
      <c r="C76" s="135" t="s">
        <v>409</v>
      </c>
      <c r="D76" s="135" t="s">
        <v>427</v>
      </c>
      <c r="E76" s="136">
        <v>39429</v>
      </c>
      <c r="F76" s="135">
        <v>14236</v>
      </c>
      <c r="G76" s="135">
        <v>0</v>
      </c>
      <c r="H76" s="135">
        <v>2928.15</v>
      </c>
      <c r="I76" s="137">
        <v>11046</v>
      </c>
      <c r="J76" s="138">
        <v>6507</v>
      </c>
      <c r="K76" s="130">
        <v>1.6975564776394652</v>
      </c>
      <c r="L76" s="131">
        <v>0</v>
      </c>
      <c r="M76" s="132">
        <v>25</v>
      </c>
      <c r="N76" s="133">
        <v>6.7902259105578608E-2</v>
      </c>
    </row>
    <row r="77" spans="1:14" ht="12.75" customHeight="1">
      <c r="A77" s="134" t="s">
        <v>347</v>
      </c>
      <c r="B77" s="135" t="s">
        <v>408</v>
      </c>
      <c r="C77" s="135" t="s">
        <v>409</v>
      </c>
      <c r="D77" s="135" t="s">
        <v>428</v>
      </c>
      <c r="E77" s="136">
        <v>39436</v>
      </c>
      <c r="F77" s="135">
        <v>16628</v>
      </c>
      <c r="G77" s="135">
        <v>0</v>
      </c>
      <c r="H77" s="135">
        <v>3420</v>
      </c>
      <c r="I77" s="137">
        <v>4538.79</v>
      </c>
      <c r="J77" s="138">
        <v>7600</v>
      </c>
      <c r="K77" s="130">
        <v>0.59720921052631581</v>
      </c>
      <c r="L77" s="131">
        <v>0</v>
      </c>
      <c r="M77" s="132">
        <v>21</v>
      </c>
      <c r="N77" s="133">
        <v>2.8438533834586468E-2</v>
      </c>
    </row>
    <row r="78" spans="1:14" ht="12.75" customHeight="1">
      <c r="A78" s="134" t="s">
        <v>347</v>
      </c>
      <c r="B78" s="135" t="s">
        <v>408</v>
      </c>
      <c r="C78" s="135" t="s">
        <v>409</v>
      </c>
      <c r="D78" s="135" t="s">
        <v>429</v>
      </c>
      <c r="E78" s="136">
        <v>39443</v>
      </c>
      <c r="F78" s="135">
        <v>13718</v>
      </c>
      <c r="G78" s="135">
        <v>0</v>
      </c>
      <c r="H78" s="135">
        <v>2821.5</v>
      </c>
      <c r="I78" s="137">
        <v>10618.45</v>
      </c>
      <c r="J78" s="138">
        <v>6270</v>
      </c>
      <c r="K78" s="130">
        <v>1.6935326953748007</v>
      </c>
      <c r="L78" s="131">
        <v>0</v>
      </c>
      <c r="M78" s="132">
        <v>21</v>
      </c>
      <c r="N78" s="133">
        <v>8.0644414065466699E-2</v>
      </c>
    </row>
    <row r="79" spans="1:14" ht="12.75" customHeight="1">
      <c r="A79" s="134" t="s">
        <v>347</v>
      </c>
      <c r="B79" s="135" t="s">
        <v>408</v>
      </c>
      <c r="C79" s="135" t="s">
        <v>409</v>
      </c>
      <c r="D79" s="135" t="s">
        <v>430</v>
      </c>
      <c r="E79" s="136">
        <v>39443</v>
      </c>
      <c r="F79" s="135">
        <v>10721</v>
      </c>
      <c r="G79" s="135">
        <v>0</v>
      </c>
      <c r="H79" s="135">
        <v>2205</v>
      </c>
      <c r="I79" s="137">
        <v>3137.19</v>
      </c>
      <c r="J79" s="138">
        <v>4900</v>
      </c>
      <c r="K79" s="130">
        <v>0.64024285714285711</v>
      </c>
      <c r="L79" s="131">
        <v>0</v>
      </c>
      <c r="M79" s="132">
        <v>25</v>
      </c>
      <c r="N79" s="133">
        <v>2.5609714285714284E-2</v>
      </c>
    </row>
    <row r="80" spans="1:14" ht="12.75" customHeight="1">
      <c r="A80" s="134" t="s">
        <v>347</v>
      </c>
      <c r="B80" s="135" t="s">
        <v>408</v>
      </c>
      <c r="C80" s="135" t="s">
        <v>409</v>
      </c>
      <c r="D80" s="135" t="s">
        <v>431</v>
      </c>
      <c r="E80" s="136">
        <v>39443</v>
      </c>
      <c r="F80" s="135">
        <v>14221</v>
      </c>
      <c r="G80" s="135">
        <v>0</v>
      </c>
      <c r="H80" s="135">
        <v>2925</v>
      </c>
      <c r="I80" s="137">
        <v>9175</v>
      </c>
      <c r="J80" s="138">
        <v>6500</v>
      </c>
      <c r="K80" s="130">
        <v>1.4115384615384616</v>
      </c>
      <c r="L80" s="131">
        <v>0</v>
      </c>
      <c r="M80" s="132">
        <v>25</v>
      </c>
      <c r="N80" s="133">
        <v>5.6461538461538466E-2</v>
      </c>
    </row>
    <row r="81" spans="1:14" ht="12.75" customHeight="1">
      <c r="A81" s="134" t="s">
        <v>347</v>
      </c>
      <c r="B81" s="135" t="s">
        <v>408</v>
      </c>
      <c r="C81" s="135" t="s">
        <v>409</v>
      </c>
      <c r="D81" s="135" t="s">
        <v>432</v>
      </c>
      <c r="E81" s="136">
        <v>39447</v>
      </c>
      <c r="F81" s="135">
        <v>33378</v>
      </c>
      <c r="G81" s="135">
        <v>0</v>
      </c>
      <c r="H81" s="135">
        <v>6865.2</v>
      </c>
      <c r="I81" s="137">
        <v>25453.439999999999</v>
      </c>
      <c r="J81" s="138">
        <v>15256</v>
      </c>
      <c r="K81" s="130">
        <v>1.6684216046145779</v>
      </c>
      <c r="L81" s="131">
        <v>0</v>
      </c>
      <c r="M81" s="132">
        <v>25</v>
      </c>
      <c r="N81" s="133">
        <v>6.673686418458312E-2</v>
      </c>
    </row>
    <row r="82" spans="1:14" ht="12.75" customHeight="1">
      <c r="A82" s="134" t="s">
        <v>347</v>
      </c>
      <c r="B82" s="135" t="s">
        <v>408</v>
      </c>
      <c r="C82" s="135" t="s">
        <v>409</v>
      </c>
      <c r="D82" s="135" t="s">
        <v>433</v>
      </c>
      <c r="E82" s="136">
        <v>39447</v>
      </c>
      <c r="F82" s="135">
        <v>31274</v>
      </c>
      <c r="G82" s="135">
        <v>0</v>
      </c>
      <c r="H82" s="135">
        <v>6432.3</v>
      </c>
      <c r="I82" s="137">
        <v>23850.19</v>
      </c>
      <c r="J82" s="138">
        <v>14294</v>
      </c>
      <c r="K82" s="130">
        <v>1.6685455435847207</v>
      </c>
      <c r="L82" s="131">
        <v>0</v>
      </c>
      <c r="M82" s="132">
        <v>25</v>
      </c>
      <c r="N82" s="133">
        <v>6.6741821743388829E-2</v>
      </c>
    </row>
    <row r="83" spans="1:14" ht="12.75" customHeight="1">
      <c r="A83" s="134" t="s">
        <v>347</v>
      </c>
      <c r="B83" s="135" t="s">
        <v>408</v>
      </c>
      <c r="C83" s="135" t="s">
        <v>409</v>
      </c>
      <c r="D83" s="135" t="s">
        <v>434</v>
      </c>
      <c r="E83" s="136">
        <v>39447</v>
      </c>
      <c r="F83" s="135">
        <v>37571</v>
      </c>
      <c r="G83" s="135">
        <v>0</v>
      </c>
      <c r="H83" s="135">
        <v>7727.4</v>
      </c>
      <c r="I83" s="137">
        <v>28648.26</v>
      </c>
      <c r="J83" s="138">
        <v>17172</v>
      </c>
      <c r="K83" s="130">
        <v>1.6683123689727462</v>
      </c>
      <c r="L83" s="131">
        <v>0</v>
      </c>
      <c r="M83" s="132">
        <v>25</v>
      </c>
      <c r="N83" s="133">
        <v>6.6732494758909841E-2</v>
      </c>
    </row>
    <row r="84" spans="1:14" ht="12.75" customHeight="1">
      <c r="A84" s="134" t="s">
        <v>347</v>
      </c>
      <c r="B84" s="135" t="s">
        <v>408</v>
      </c>
      <c r="C84" s="135" t="s">
        <v>409</v>
      </c>
      <c r="D84" s="135" t="s">
        <v>435</v>
      </c>
      <c r="E84" s="136">
        <v>39447</v>
      </c>
      <c r="F84" s="135">
        <v>33396</v>
      </c>
      <c r="G84" s="135">
        <v>0</v>
      </c>
      <c r="H84" s="135">
        <v>6868.8</v>
      </c>
      <c r="I84" s="137">
        <v>25465.119999999999</v>
      </c>
      <c r="J84" s="138">
        <v>15264</v>
      </c>
      <c r="K84" s="130">
        <v>1.6683123689727464</v>
      </c>
      <c r="L84" s="131">
        <v>0</v>
      </c>
      <c r="M84" s="132">
        <v>25</v>
      </c>
      <c r="N84" s="133">
        <v>6.6732494758909855E-2</v>
      </c>
    </row>
    <row r="85" spans="1:14" ht="12.75" customHeight="1">
      <c r="A85" s="134" t="s">
        <v>347</v>
      </c>
      <c r="B85" s="135" t="s">
        <v>408</v>
      </c>
      <c r="C85" s="135" t="s">
        <v>409</v>
      </c>
      <c r="D85" s="135" t="s">
        <v>436</v>
      </c>
      <c r="E85" s="136">
        <v>39447</v>
      </c>
      <c r="F85" s="135">
        <v>37571</v>
      </c>
      <c r="G85" s="135">
        <v>0</v>
      </c>
      <c r="H85" s="135">
        <v>7727.4</v>
      </c>
      <c r="I85" s="137">
        <v>28648.26</v>
      </c>
      <c r="J85" s="138">
        <v>17172</v>
      </c>
      <c r="K85" s="130">
        <v>1.6683123689727462</v>
      </c>
      <c r="L85" s="131">
        <v>0</v>
      </c>
      <c r="M85" s="132">
        <v>25</v>
      </c>
      <c r="N85" s="133">
        <v>6.6732494758909841E-2</v>
      </c>
    </row>
    <row r="86" spans="1:14" ht="12.75" customHeight="1">
      <c r="A86" s="134" t="s">
        <v>347</v>
      </c>
      <c r="B86" s="135" t="s">
        <v>408</v>
      </c>
      <c r="C86" s="135" t="s">
        <v>409</v>
      </c>
      <c r="D86" s="135" t="s">
        <v>437</v>
      </c>
      <c r="E86" s="136">
        <v>39447</v>
      </c>
      <c r="F86" s="135">
        <v>35483</v>
      </c>
      <c r="G86" s="135">
        <v>0</v>
      </c>
      <c r="H86" s="135">
        <v>7298.1</v>
      </c>
      <c r="I86" s="137">
        <v>27056.69</v>
      </c>
      <c r="J86" s="138">
        <v>16218</v>
      </c>
      <c r="K86" s="130">
        <v>1.6683123689727462</v>
      </c>
      <c r="L86" s="131">
        <v>0</v>
      </c>
      <c r="M86" s="132">
        <v>25</v>
      </c>
      <c r="N86" s="133">
        <v>6.6732494758909841E-2</v>
      </c>
    </row>
    <row r="87" spans="1:14" ht="12.75" customHeight="1">
      <c r="A87" s="134" t="s">
        <v>347</v>
      </c>
      <c r="B87" s="135" t="s">
        <v>408</v>
      </c>
      <c r="C87" s="135" t="s">
        <v>409</v>
      </c>
      <c r="D87" s="135" t="s">
        <v>438</v>
      </c>
      <c r="E87" s="136">
        <v>39447</v>
      </c>
      <c r="F87" s="135">
        <v>56356</v>
      </c>
      <c r="G87" s="135">
        <v>0</v>
      </c>
      <c r="H87" s="135">
        <v>11591.1</v>
      </c>
      <c r="I87" s="137">
        <v>42972.39</v>
      </c>
      <c r="J87" s="138">
        <v>25758</v>
      </c>
      <c r="K87" s="130">
        <v>1.6683123689727464</v>
      </c>
      <c r="L87" s="131">
        <v>0</v>
      </c>
      <c r="M87" s="132">
        <v>25</v>
      </c>
      <c r="N87" s="133">
        <v>6.6732494758909855E-2</v>
      </c>
    </row>
    <row r="88" spans="1:14" ht="12.75" customHeight="1">
      <c r="A88" s="134" t="s">
        <v>347</v>
      </c>
      <c r="B88" s="135" t="s">
        <v>408</v>
      </c>
      <c r="C88" s="135" t="s">
        <v>409</v>
      </c>
      <c r="D88" s="135" t="s">
        <v>439</v>
      </c>
      <c r="E88" s="136">
        <v>39447</v>
      </c>
      <c r="F88" s="135">
        <v>4715</v>
      </c>
      <c r="G88" s="135">
        <v>0</v>
      </c>
      <c r="H88" s="135">
        <v>969.75</v>
      </c>
      <c r="I88" s="137">
        <v>34237.61</v>
      </c>
      <c r="J88" s="138">
        <v>2155</v>
      </c>
      <c r="K88" s="130">
        <v>15.887522041763342</v>
      </c>
      <c r="L88" s="131">
        <v>0</v>
      </c>
      <c r="M88" s="132">
        <v>25</v>
      </c>
      <c r="N88" s="133">
        <v>0.63550088167053365</v>
      </c>
    </row>
    <row r="89" spans="1:14" ht="12.75" customHeight="1">
      <c r="A89" s="134" t="s">
        <v>347</v>
      </c>
      <c r="B89" s="135" t="s">
        <v>408</v>
      </c>
      <c r="C89" s="135" t="s">
        <v>409</v>
      </c>
      <c r="D89" s="135" t="s">
        <v>440</v>
      </c>
      <c r="E89" s="136">
        <v>39447</v>
      </c>
      <c r="F89" s="135">
        <v>53140</v>
      </c>
      <c r="G89" s="135">
        <v>0</v>
      </c>
      <c r="H89" s="135">
        <v>10929.6</v>
      </c>
      <c r="I89" s="137">
        <v>38952</v>
      </c>
      <c r="J89" s="138">
        <v>24288</v>
      </c>
      <c r="K89" s="130">
        <v>1.6037549407114624</v>
      </c>
      <c r="L89" s="131">
        <v>0</v>
      </c>
      <c r="M89" s="132">
        <v>25</v>
      </c>
      <c r="N89" s="133">
        <v>6.41501976284585E-2</v>
      </c>
    </row>
    <row r="90" spans="1:14" ht="12.75" customHeight="1">
      <c r="A90" s="134" t="s">
        <v>347</v>
      </c>
      <c r="B90" s="135" t="s">
        <v>408</v>
      </c>
      <c r="C90" s="135" t="s">
        <v>409</v>
      </c>
      <c r="D90" s="135" t="s">
        <v>441</v>
      </c>
      <c r="E90" s="136">
        <v>39447</v>
      </c>
      <c r="F90" s="135">
        <v>7002</v>
      </c>
      <c r="G90" s="135">
        <v>0</v>
      </c>
      <c r="H90" s="135">
        <v>1440</v>
      </c>
      <c r="I90" s="137">
        <v>3100</v>
      </c>
      <c r="J90" s="138">
        <v>3200</v>
      </c>
      <c r="K90" s="130">
        <v>0.96875</v>
      </c>
      <c r="L90" s="131">
        <v>0</v>
      </c>
      <c r="M90" s="132">
        <v>25</v>
      </c>
      <c r="N90" s="133">
        <v>3.875E-2</v>
      </c>
    </row>
    <row r="91" spans="1:14" ht="12.75" customHeight="1">
      <c r="A91" s="134" t="s">
        <v>347</v>
      </c>
      <c r="B91" s="135" t="s">
        <v>408</v>
      </c>
      <c r="C91" s="135" t="s">
        <v>409</v>
      </c>
      <c r="D91" s="135" t="s">
        <v>442</v>
      </c>
      <c r="E91" s="136">
        <v>39447</v>
      </c>
      <c r="F91" s="135">
        <v>2433</v>
      </c>
      <c r="G91" s="135">
        <v>0</v>
      </c>
      <c r="H91" s="135">
        <v>500.4</v>
      </c>
      <c r="I91" s="137">
        <v>694.85</v>
      </c>
      <c r="J91" s="138">
        <v>1112</v>
      </c>
      <c r="K91" s="130">
        <v>0.62486510791366912</v>
      </c>
      <c r="L91" s="131">
        <v>0</v>
      </c>
      <c r="M91" s="132">
        <v>25</v>
      </c>
      <c r="N91" s="133">
        <v>2.4994604316546765E-2</v>
      </c>
    </row>
    <row r="92" spans="1:14" ht="12.75" customHeight="1">
      <c r="A92" s="134" t="s">
        <v>347</v>
      </c>
      <c r="B92" s="135" t="s">
        <v>408</v>
      </c>
      <c r="C92" s="135" t="s">
        <v>409</v>
      </c>
      <c r="D92" s="135" t="s">
        <v>443</v>
      </c>
      <c r="E92" s="136">
        <v>39447</v>
      </c>
      <c r="F92" s="135">
        <v>3042</v>
      </c>
      <c r="G92" s="135">
        <v>0</v>
      </c>
      <c r="H92" s="135">
        <v>675</v>
      </c>
      <c r="I92" s="137">
        <v>3000</v>
      </c>
      <c r="J92" s="138">
        <v>1500</v>
      </c>
      <c r="K92" s="130">
        <v>2</v>
      </c>
      <c r="L92" s="131">
        <v>0</v>
      </c>
      <c r="M92" s="132">
        <v>25</v>
      </c>
      <c r="N92" s="133">
        <v>0.08</v>
      </c>
    </row>
    <row r="93" spans="1:14" ht="12.75" customHeight="1">
      <c r="A93" s="134" t="s">
        <v>347</v>
      </c>
      <c r="B93" s="135" t="s">
        <v>408</v>
      </c>
      <c r="C93" s="135" t="s">
        <v>409</v>
      </c>
      <c r="D93" s="135" t="s">
        <v>444</v>
      </c>
      <c r="E93" s="136">
        <v>39447</v>
      </c>
      <c r="F93" s="135">
        <v>17146</v>
      </c>
      <c r="G93" s="135">
        <v>0</v>
      </c>
      <c r="H93" s="135">
        <v>3526.65</v>
      </c>
      <c r="I93" s="137">
        <v>5100</v>
      </c>
      <c r="J93" s="138">
        <v>7837</v>
      </c>
      <c r="K93" s="130">
        <v>0.65075921908893708</v>
      </c>
      <c r="L93" s="131">
        <v>0</v>
      </c>
      <c r="M93" s="132">
        <v>30</v>
      </c>
      <c r="N93" s="133">
        <v>2.1691973969631236E-2</v>
      </c>
    </row>
    <row r="94" spans="1:14" ht="12.75" customHeight="1">
      <c r="A94" s="134" t="s">
        <v>347</v>
      </c>
      <c r="B94" s="135" t="s">
        <v>408</v>
      </c>
      <c r="C94" s="135" t="s">
        <v>409</v>
      </c>
      <c r="D94" s="135" t="s">
        <v>445</v>
      </c>
      <c r="E94" s="136">
        <v>39447</v>
      </c>
      <c r="F94" s="135">
        <v>14746</v>
      </c>
      <c r="G94" s="135">
        <v>0</v>
      </c>
      <c r="H94" s="135">
        <v>3033</v>
      </c>
      <c r="I94" s="137">
        <v>5296</v>
      </c>
      <c r="J94" s="138">
        <v>6740</v>
      </c>
      <c r="K94" s="130">
        <v>0.78575667655786352</v>
      </c>
      <c r="L94" s="131">
        <v>0</v>
      </c>
      <c r="M94" s="132">
        <v>25</v>
      </c>
      <c r="N94" s="133">
        <v>3.143026706231454E-2</v>
      </c>
    </row>
    <row r="95" spans="1:14" ht="12.75" customHeight="1">
      <c r="A95" s="134" t="s">
        <v>347</v>
      </c>
      <c r="B95" s="135" t="s">
        <v>408</v>
      </c>
      <c r="C95" s="135" t="s">
        <v>409</v>
      </c>
      <c r="D95" s="135" t="s">
        <v>446</v>
      </c>
      <c r="E95" s="136">
        <v>39447</v>
      </c>
      <c r="F95" s="135">
        <v>3763</v>
      </c>
      <c r="G95" s="135">
        <v>0</v>
      </c>
      <c r="H95" s="135">
        <v>774</v>
      </c>
      <c r="I95" s="137">
        <v>3588</v>
      </c>
      <c r="J95" s="138">
        <v>1720</v>
      </c>
      <c r="K95" s="130">
        <v>2.0860465116279068</v>
      </c>
      <c r="L95" s="131">
        <v>0</v>
      </c>
      <c r="M95" s="132">
        <v>25</v>
      </c>
      <c r="N95" s="133">
        <v>8.3441860465116272E-2</v>
      </c>
    </row>
    <row r="96" spans="1:14" ht="12.75" customHeight="1">
      <c r="A96" s="134" t="s">
        <v>347</v>
      </c>
      <c r="B96" s="135" t="s">
        <v>408</v>
      </c>
      <c r="C96" s="135" t="s">
        <v>409</v>
      </c>
      <c r="D96" s="135" t="s">
        <v>447</v>
      </c>
      <c r="E96" s="136">
        <v>39534</v>
      </c>
      <c r="F96" s="135">
        <v>54908</v>
      </c>
      <c r="G96" s="135">
        <v>0</v>
      </c>
      <c r="H96" s="135">
        <v>11293.2</v>
      </c>
      <c r="I96" s="137">
        <v>24750</v>
      </c>
      <c r="J96" s="138">
        <v>25096</v>
      </c>
      <c r="K96" s="130">
        <v>0.98621294230156198</v>
      </c>
      <c r="L96" s="131">
        <v>0</v>
      </c>
      <c r="M96" s="132">
        <v>25</v>
      </c>
      <c r="N96" s="133">
        <v>3.9448517692062479E-2</v>
      </c>
    </row>
    <row r="97" spans="1:14" ht="12.75" customHeight="1">
      <c r="A97" s="134" t="s">
        <v>347</v>
      </c>
      <c r="B97" s="135" t="s">
        <v>408</v>
      </c>
      <c r="C97" s="135" t="s">
        <v>409</v>
      </c>
      <c r="D97" s="135" t="s">
        <v>448</v>
      </c>
      <c r="E97" s="136">
        <v>39534</v>
      </c>
      <c r="F97" s="135">
        <v>18444</v>
      </c>
      <c r="G97" s="135">
        <v>0</v>
      </c>
      <c r="H97" s="135">
        <v>3793.5</v>
      </c>
      <c r="I97" s="137">
        <v>12225</v>
      </c>
      <c r="J97" s="138">
        <v>8430</v>
      </c>
      <c r="K97" s="130">
        <v>1.4501779359430604</v>
      </c>
      <c r="L97" s="131">
        <v>0</v>
      </c>
      <c r="M97" s="132">
        <v>30</v>
      </c>
      <c r="N97" s="133">
        <v>4.8339264531435347E-2</v>
      </c>
    </row>
    <row r="98" spans="1:14" ht="12.75" customHeight="1">
      <c r="A98" s="134" t="s">
        <v>347</v>
      </c>
      <c r="B98" s="135" t="s">
        <v>408</v>
      </c>
      <c r="C98" s="135" t="s">
        <v>409</v>
      </c>
      <c r="D98" s="135" t="s">
        <v>449</v>
      </c>
      <c r="E98" s="136">
        <v>39555</v>
      </c>
      <c r="F98" s="135">
        <v>10108</v>
      </c>
      <c r="G98" s="135">
        <v>0</v>
      </c>
      <c r="H98" s="135">
        <v>2079</v>
      </c>
      <c r="I98" s="137">
        <v>5590</v>
      </c>
      <c r="J98" s="138">
        <v>4620</v>
      </c>
      <c r="K98" s="130">
        <v>1.2099567099567099</v>
      </c>
      <c r="L98" s="131">
        <v>0</v>
      </c>
      <c r="M98" s="132">
        <v>25</v>
      </c>
      <c r="N98" s="133">
        <v>4.8398268398268399E-2</v>
      </c>
    </row>
    <row r="99" spans="1:14" ht="12.75" customHeight="1">
      <c r="A99" s="134" t="s">
        <v>347</v>
      </c>
      <c r="B99" s="135" t="s">
        <v>408</v>
      </c>
      <c r="C99" s="135" t="s">
        <v>409</v>
      </c>
      <c r="D99" s="135" t="s">
        <v>450</v>
      </c>
      <c r="E99" s="136">
        <v>39534</v>
      </c>
      <c r="F99" s="135">
        <v>10349</v>
      </c>
      <c r="G99" s="135">
        <v>0</v>
      </c>
      <c r="H99" s="135">
        <v>2128.5</v>
      </c>
      <c r="I99" s="137">
        <v>6495</v>
      </c>
      <c r="J99" s="138">
        <v>4730</v>
      </c>
      <c r="K99" s="130">
        <v>1.3731501057082451</v>
      </c>
      <c r="L99" s="131">
        <v>0</v>
      </c>
      <c r="M99" s="132">
        <v>25</v>
      </c>
      <c r="N99" s="133">
        <v>5.4926004228329807E-2</v>
      </c>
    </row>
    <row r="100" spans="1:14" ht="12.75" customHeight="1">
      <c r="A100" s="134" t="s">
        <v>347</v>
      </c>
      <c r="B100" s="135" t="s">
        <v>408</v>
      </c>
      <c r="C100" s="135" t="s">
        <v>409</v>
      </c>
      <c r="D100" s="135" t="s">
        <v>451</v>
      </c>
      <c r="E100" s="136">
        <v>39611</v>
      </c>
      <c r="F100" s="135">
        <v>6095</v>
      </c>
      <c r="G100" s="135">
        <v>0</v>
      </c>
      <c r="H100" s="135">
        <v>1253.7</v>
      </c>
      <c r="I100" s="137">
        <v>2560</v>
      </c>
      <c r="J100" s="138">
        <v>2786</v>
      </c>
      <c r="K100" s="130">
        <v>0.91888011486001431</v>
      </c>
      <c r="L100" s="131">
        <v>0</v>
      </c>
      <c r="M100" s="132">
        <v>30</v>
      </c>
      <c r="N100" s="133">
        <v>3.0629337162000479E-2</v>
      </c>
    </row>
    <row r="101" spans="1:14" ht="12.75" customHeight="1">
      <c r="A101" s="134" t="s">
        <v>347</v>
      </c>
      <c r="B101" s="135" t="s">
        <v>452</v>
      </c>
      <c r="C101" s="135" t="s">
        <v>453</v>
      </c>
      <c r="D101" s="135" t="s">
        <v>454</v>
      </c>
      <c r="E101" s="136">
        <v>39247</v>
      </c>
      <c r="F101" s="135">
        <v>0</v>
      </c>
      <c r="G101" s="135">
        <v>238.55</v>
      </c>
      <c r="H101" s="135">
        <v>445.5</v>
      </c>
      <c r="I101" s="137">
        <v>1207</v>
      </c>
      <c r="J101" s="138">
        <v>990</v>
      </c>
      <c r="K101" s="130">
        <v>1.2191919191919192</v>
      </c>
      <c r="L101" s="131">
        <v>0</v>
      </c>
      <c r="M101" s="132">
        <v>30</v>
      </c>
      <c r="N101" s="133">
        <v>4.0639730639730635E-2</v>
      </c>
    </row>
    <row r="102" spans="1:14" ht="12.75" customHeight="1">
      <c r="A102" s="134" t="s">
        <v>347</v>
      </c>
      <c r="B102" s="135" t="s">
        <v>452</v>
      </c>
      <c r="C102" s="135" t="s">
        <v>453</v>
      </c>
      <c r="D102" s="135" t="s">
        <v>455</v>
      </c>
      <c r="E102" s="136">
        <v>39395</v>
      </c>
      <c r="F102" s="135">
        <v>0</v>
      </c>
      <c r="G102" s="135">
        <v>133.25</v>
      </c>
      <c r="H102" s="135">
        <v>873</v>
      </c>
      <c r="I102" s="137">
        <v>2750</v>
      </c>
      <c r="J102" s="138">
        <v>1940</v>
      </c>
      <c r="K102" s="130">
        <v>1.4175257731958764</v>
      </c>
      <c r="L102" s="131">
        <v>0</v>
      </c>
      <c r="M102" s="132">
        <v>25</v>
      </c>
      <c r="N102" s="133">
        <v>5.6701030927835051E-2</v>
      </c>
    </row>
    <row r="103" spans="1:14" ht="12.75" customHeight="1">
      <c r="A103" s="134" t="s">
        <v>347</v>
      </c>
      <c r="B103" s="135" t="s">
        <v>452</v>
      </c>
      <c r="C103" s="135" t="s">
        <v>453</v>
      </c>
      <c r="D103" s="135" t="s">
        <v>456</v>
      </c>
      <c r="E103" s="136">
        <v>39395</v>
      </c>
      <c r="F103" s="135">
        <v>0</v>
      </c>
      <c r="G103" s="135">
        <v>147.55000000000001</v>
      </c>
      <c r="H103" s="135">
        <v>967.5</v>
      </c>
      <c r="I103" s="137">
        <v>2020</v>
      </c>
      <c r="J103" s="138">
        <v>2150</v>
      </c>
      <c r="K103" s="130">
        <v>0.93953488372093019</v>
      </c>
      <c r="L103" s="131">
        <v>0</v>
      </c>
      <c r="M103" s="132">
        <v>25</v>
      </c>
      <c r="N103" s="133">
        <v>3.7581395348837206E-2</v>
      </c>
    </row>
    <row r="104" spans="1:14" ht="12.75" customHeight="1">
      <c r="A104" s="134" t="s">
        <v>347</v>
      </c>
      <c r="B104" s="135" t="s">
        <v>452</v>
      </c>
      <c r="C104" s="135" t="s">
        <v>453</v>
      </c>
      <c r="D104" s="135" t="s">
        <v>457</v>
      </c>
      <c r="E104" s="136">
        <v>39447</v>
      </c>
      <c r="F104" s="135">
        <v>0</v>
      </c>
      <c r="G104" s="135">
        <v>89.7</v>
      </c>
      <c r="H104" s="135">
        <v>615.6</v>
      </c>
      <c r="I104" s="137">
        <v>1554</v>
      </c>
      <c r="J104" s="138">
        <v>1368</v>
      </c>
      <c r="K104" s="130">
        <v>1.1359649122807018</v>
      </c>
      <c r="L104" s="131">
        <v>0</v>
      </c>
      <c r="M104" s="132">
        <v>25</v>
      </c>
      <c r="N104" s="133">
        <v>4.5438596491228077E-2</v>
      </c>
    </row>
    <row r="105" spans="1:14" ht="12.75" customHeight="1" thickBot="1">
      <c r="A105" s="139" t="s">
        <v>347</v>
      </c>
      <c r="B105" s="140" t="s">
        <v>452</v>
      </c>
      <c r="C105" s="140" t="s">
        <v>453</v>
      </c>
      <c r="D105" s="140" t="s">
        <v>458</v>
      </c>
      <c r="E105" s="141">
        <v>39513</v>
      </c>
      <c r="F105" s="140">
        <v>0</v>
      </c>
      <c r="G105" s="140">
        <v>382.85</v>
      </c>
      <c r="H105" s="140">
        <v>2355.75</v>
      </c>
      <c r="I105" s="142">
        <v>6130</v>
      </c>
      <c r="J105" s="143">
        <v>5235</v>
      </c>
      <c r="K105" s="144">
        <v>1.1709646609360076</v>
      </c>
      <c r="L105" s="145">
        <v>0</v>
      </c>
      <c r="M105" s="146">
        <v>25</v>
      </c>
      <c r="N105" s="133">
        <v>4.6838586437440301E-2</v>
      </c>
    </row>
    <row r="106" spans="1:14" ht="12.75" customHeight="1">
      <c r="A106" s="125" t="s">
        <v>347</v>
      </c>
      <c r="B106" s="126" t="s">
        <v>459</v>
      </c>
      <c r="C106" s="126" t="s">
        <v>460</v>
      </c>
      <c r="D106" s="126" t="s">
        <v>461</v>
      </c>
      <c r="E106" s="127">
        <v>39317</v>
      </c>
      <c r="F106" s="126">
        <v>19946</v>
      </c>
      <c r="G106" s="126">
        <v>0</v>
      </c>
      <c r="H106" s="126">
        <v>1029</v>
      </c>
      <c r="I106" s="128">
        <v>2569</v>
      </c>
      <c r="J106" s="129">
        <v>3430</v>
      </c>
      <c r="K106" s="130">
        <v>0.74897959183673468</v>
      </c>
      <c r="L106" s="131">
        <v>0</v>
      </c>
      <c r="M106" s="132">
        <v>13</v>
      </c>
      <c r="N106" s="133">
        <v>5.7613814756671898E-2</v>
      </c>
    </row>
    <row r="107" spans="1:14" ht="12.75" customHeight="1">
      <c r="A107" s="134" t="s">
        <v>347</v>
      </c>
      <c r="B107" s="135" t="s">
        <v>459</v>
      </c>
      <c r="C107" s="135" t="s">
        <v>460</v>
      </c>
      <c r="D107" s="135" t="s">
        <v>462</v>
      </c>
      <c r="E107" s="136">
        <v>39407</v>
      </c>
      <c r="F107" s="135">
        <v>41083</v>
      </c>
      <c r="G107" s="135">
        <v>0</v>
      </c>
      <c r="H107" s="135">
        <v>3012</v>
      </c>
      <c r="I107" s="137">
        <v>11260</v>
      </c>
      <c r="J107" s="138">
        <v>10040</v>
      </c>
      <c r="K107" s="130">
        <v>1.1215139442231075</v>
      </c>
      <c r="L107" s="131">
        <v>0</v>
      </c>
      <c r="M107" s="132">
        <v>15</v>
      </c>
      <c r="N107" s="133">
        <v>7.4767596281540491E-2</v>
      </c>
    </row>
    <row r="108" spans="1:14" ht="12.75" customHeight="1">
      <c r="A108" s="134" t="s">
        <v>347</v>
      </c>
      <c r="B108" s="135" t="s">
        <v>459</v>
      </c>
      <c r="C108" s="135" t="s">
        <v>460</v>
      </c>
      <c r="D108" s="135" t="s">
        <v>463</v>
      </c>
      <c r="E108" s="136">
        <v>39447</v>
      </c>
      <c r="F108" s="135">
        <v>27383</v>
      </c>
      <c r="G108" s="135">
        <v>0</v>
      </c>
      <c r="H108" s="135">
        <v>1872</v>
      </c>
      <c r="I108" s="137">
        <v>5600</v>
      </c>
      <c r="J108" s="138">
        <v>6240</v>
      </c>
      <c r="K108" s="130">
        <v>0.89743589743589747</v>
      </c>
      <c r="L108" s="131">
        <v>0</v>
      </c>
      <c r="M108" s="132">
        <v>20</v>
      </c>
      <c r="N108" s="133">
        <v>4.4871794871794872E-2</v>
      </c>
    </row>
    <row r="109" spans="1:14" ht="12.75" customHeight="1">
      <c r="A109" s="134" t="s">
        <v>347</v>
      </c>
      <c r="B109" s="135" t="s">
        <v>459</v>
      </c>
      <c r="C109" s="135" t="s">
        <v>460</v>
      </c>
      <c r="D109" s="135" t="s">
        <v>464</v>
      </c>
      <c r="E109" s="136">
        <v>39447</v>
      </c>
      <c r="F109" s="135">
        <v>7410</v>
      </c>
      <c r="G109" s="135">
        <v>0</v>
      </c>
      <c r="H109" s="135">
        <v>1004.4</v>
      </c>
      <c r="I109" s="137">
        <v>4000</v>
      </c>
      <c r="J109" s="138">
        <v>3348</v>
      </c>
      <c r="K109" s="130">
        <v>1.1947431302270013</v>
      </c>
      <c r="L109" s="131">
        <v>0</v>
      </c>
      <c r="M109" s="132">
        <v>8</v>
      </c>
      <c r="N109" s="133">
        <v>0.14934289127837516</v>
      </c>
    </row>
    <row r="110" spans="1:14" ht="12.75" customHeight="1" thickBot="1">
      <c r="A110" s="139" t="s">
        <v>347</v>
      </c>
      <c r="B110" s="140" t="s">
        <v>459</v>
      </c>
      <c r="C110" s="140" t="s">
        <v>460</v>
      </c>
      <c r="D110" s="140" t="s">
        <v>465</v>
      </c>
      <c r="E110" s="141">
        <v>39447</v>
      </c>
      <c r="F110" s="140">
        <v>19809</v>
      </c>
      <c r="G110" s="140">
        <v>0</v>
      </c>
      <c r="H110" s="140">
        <v>1500</v>
      </c>
      <c r="I110" s="142">
        <v>2396.5</v>
      </c>
      <c r="J110" s="143">
        <v>5000</v>
      </c>
      <c r="K110" s="130">
        <v>0.4793</v>
      </c>
      <c r="L110" s="145">
        <v>0</v>
      </c>
      <c r="M110" s="146">
        <v>15</v>
      </c>
      <c r="N110" s="133">
        <v>3.1953333333333334E-2</v>
      </c>
    </row>
    <row r="111" spans="1:14">
      <c r="K111" s="133">
        <f>SUMPRODUCT(J106:J110,K106:K110)/SUM(J106:J110)</f>
        <v>0.92043267517285621</v>
      </c>
      <c r="M111" s="149">
        <f>SUMPRODUCT(J106:J110,M106:M110)/SUM(J106:J110)</f>
        <v>15.032218974980397</v>
      </c>
    </row>
    <row r="116" spans="3:11">
      <c r="C116" s="150" t="s">
        <v>32</v>
      </c>
      <c r="I116" s="151" t="s">
        <v>466</v>
      </c>
      <c r="J116" s="152" t="s">
        <v>346</v>
      </c>
    </row>
    <row r="117" spans="3:11">
      <c r="C117" s="153" t="s">
        <v>349</v>
      </c>
      <c r="I117" s="151"/>
      <c r="J117" s="152"/>
    </row>
    <row r="118" spans="3:11">
      <c r="C118" s="154" t="s">
        <v>467</v>
      </c>
      <c r="I118" s="155">
        <f>AVERAGE($K$3:$K$47)</f>
        <v>1.4465643284921073</v>
      </c>
      <c r="J118" s="155">
        <f>AVERAGE($N$3:$N$47)</f>
        <v>4.9613185480812137E-2</v>
      </c>
      <c r="K118" s="133"/>
    </row>
    <row r="119" spans="3:11">
      <c r="C119" s="154" t="s">
        <v>468</v>
      </c>
      <c r="I119" s="155">
        <f>MEDIAN($K$3:$K$47)</f>
        <v>0.7829181494661922</v>
      </c>
      <c r="J119" s="156">
        <f>MEDIAN($N$3:$N$47)</f>
        <v>2.8683266599933265E-2</v>
      </c>
    </row>
    <row r="120" spans="3:11">
      <c r="C120" s="157" t="s">
        <v>396</v>
      </c>
      <c r="I120" s="151"/>
      <c r="J120" s="152"/>
    </row>
    <row r="121" spans="3:11">
      <c r="C121" s="154" t="s">
        <v>467</v>
      </c>
      <c r="D121" s="133">
        <v>1.4465643284921073</v>
      </c>
      <c r="E121" s="133">
        <v>4.9613185480812137E-2</v>
      </c>
      <c r="I121" s="155">
        <f>AVERAGE($K$48:$K$58)</f>
        <v>0.67850091838432958</v>
      </c>
      <c r="J121" s="155">
        <f>AVERAGE($N$48:$N$58)</f>
        <v>2.3196289369523768E-2</v>
      </c>
    </row>
    <row r="122" spans="3:11">
      <c r="C122" s="154" t="s">
        <v>468</v>
      </c>
      <c r="D122" s="133">
        <v>0.7829181494661922</v>
      </c>
      <c r="E122" s="133">
        <v>2.8683266599933265E-2</v>
      </c>
      <c r="I122" s="155">
        <f>MEDIAN($K$48:$K$58)</f>
        <v>0.70833333333333337</v>
      </c>
      <c r="J122" s="155">
        <f>MEDIAN($N$48:$N$58)</f>
        <v>2.3611111111111114E-2</v>
      </c>
    </row>
    <row r="123" spans="3:11">
      <c r="C123" s="157" t="s">
        <v>409</v>
      </c>
      <c r="I123" s="151"/>
      <c r="J123" s="152"/>
    </row>
    <row r="124" spans="3:11">
      <c r="C124" s="154" t="s">
        <v>467</v>
      </c>
      <c r="D124" s="133">
        <v>0.67850091838432958</v>
      </c>
      <c r="E124" s="133">
        <v>2.3196289369523768E-2</v>
      </c>
      <c r="I124" s="155">
        <f>AVERAGE($K$59:$K$100)</f>
        <v>1.6246377507725556</v>
      </c>
      <c r="J124" s="155">
        <f>AVERAGE($N$59:$N$100)</f>
        <v>6.5815740430020336E-2</v>
      </c>
    </row>
    <row r="125" spans="3:11">
      <c r="C125" s="154" t="s">
        <v>468</v>
      </c>
      <c r="D125" s="133">
        <v>0.70833333333333337</v>
      </c>
      <c r="E125" s="133">
        <v>2.3611111111111114E-2</v>
      </c>
      <c r="I125" s="155">
        <f>MEDIAN($K$59:$K$100)</f>
        <v>1.374451235141311</v>
      </c>
      <c r="J125" s="156">
        <f>MEDIAN($N$59:$N$100)</f>
        <v>5.4634209648641865E-2</v>
      </c>
    </row>
    <row r="126" spans="3:11">
      <c r="C126" s="157" t="s">
        <v>453</v>
      </c>
      <c r="I126" s="151"/>
      <c r="J126" s="152"/>
    </row>
    <row r="127" spans="3:11">
      <c r="C127" s="154" t="s">
        <v>467</v>
      </c>
      <c r="I127" s="155">
        <f>AVERAGE($K$101:$K$105)</f>
        <v>1.1766364298650871</v>
      </c>
      <c r="J127" s="155">
        <f>AVERAGE($N$101:$N$105)</f>
        <v>4.5439867969014253E-2</v>
      </c>
    </row>
    <row r="128" spans="3:11">
      <c r="C128" s="154" t="s">
        <v>468</v>
      </c>
      <c r="I128" s="155">
        <f>MEDIAN($K$101:$K$105)</f>
        <v>1.1709646609360076</v>
      </c>
      <c r="J128" s="155">
        <f>MEDIAN($N$101:$N$105)</f>
        <v>4.5438596491228077E-2</v>
      </c>
    </row>
    <row r="129" spans="2:11">
      <c r="C129" s="157" t="s">
        <v>460</v>
      </c>
      <c r="I129" s="151"/>
      <c r="J129" s="152"/>
    </row>
    <row r="130" spans="2:11">
      <c r="C130" s="154" t="s">
        <v>467</v>
      </c>
      <c r="D130" s="133">
        <v>1.1766364298650871</v>
      </c>
      <c r="E130" s="133">
        <v>4.5439867969014253E-2</v>
      </c>
      <c r="I130" s="155">
        <f>AVERAGE($K$106:$K$110)</f>
        <v>0.88839451274454828</v>
      </c>
      <c r="J130" s="156">
        <f>AVERAGE($N$106:$N$110)</f>
        <v>7.170988610434316E-2</v>
      </c>
    </row>
    <row r="131" spans="2:11">
      <c r="C131" s="154" t="s">
        <v>468</v>
      </c>
      <c r="D131" s="133">
        <v>1.1709646609360076</v>
      </c>
      <c r="E131" s="133">
        <v>4.5438596491228077E-2</v>
      </c>
      <c r="I131" s="155">
        <f>MEDIAN($K$106:$K$110)</f>
        <v>0.89743589743589747</v>
      </c>
      <c r="J131" s="158">
        <f>MEDIAN($N$106:$N$110)</f>
        <v>5.7613814756671898E-2</v>
      </c>
    </row>
    <row r="132" spans="2:11" ht="13.5" thickBot="1"/>
    <row r="133" spans="2:11">
      <c r="C133" s="159"/>
      <c r="D133" s="160"/>
      <c r="E133" s="160"/>
      <c r="F133" s="160"/>
      <c r="G133" s="160"/>
      <c r="H133" s="160"/>
      <c r="I133" s="161"/>
      <c r="J133" s="162" t="s">
        <v>469</v>
      </c>
      <c r="K133" s="163">
        <v>1.0780000000000001</v>
      </c>
    </row>
    <row r="134" spans="2:11">
      <c r="C134" s="164" t="s">
        <v>57</v>
      </c>
      <c r="D134" s="165"/>
      <c r="E134" s="165"/>
      <c r="F134" s="165"/>
      <c r="G134" s="165"/>
      <c r="H134" s="165"/>
      <c r="I134" s="166" t="s">
        <v>470</v>
      </c>
      <c r="J134" s="167" t="s">
        <v>471</v>
      </c>
      <c r="K134" s="168" t="s">
        <v>477</v>
      </c>
    </row>
    <row r="135" spans="2:11">
      <c r="C135" s="169" t="s">
        <v>216</v>
      </c>
      <c r="D135" s="153"/>
      <c r="E135" s="153"/>
      <c r="F135" s="153"/>
      <c r="G135" s="153"/>
      <c r="H135" s="153"/>
      <c r="I135" s="170">
        <v>19</v>
      </c>
      <c r="J135" s="152">
        <f>I135*J$119</f>
        <v>0.54498206539873206</v>
      </c>
      <c r="K135" s="171">
        <f>J135*K$133</f>
        <v>0.58749066649983317</v>
      </c>
    </row>
    <row r="136" spans="2:11">
      <c r="C136" s="169" t="s">
        <v>472</v>
      </c>
      <c r="D136" s="153"/>
      <c r="E136" s="153"/>
      <c r="F136" s="153"/>
      <c r="G136" s="153"/>
      <c r="H136" s="153"/>
      <c r="I136" s="170">
        <v>11</v>
      </c>
      <c r="J136" s="152">
        <f>I136*J$119</f>
        <v>0.31551593259926591</v>
      </c>
      <c r="K136" s="171">
        <f>J136*K$133</f>
        <v>0.34012617534200867</v>
      </c>
    </row>
    <row r="137" spans="2:11">
      <c r="C137" s="169" t="s">
        <v>473</v>
      </c>
      <c r="D137" s="153"/>
      <c r="E137" s="153"/>
      <c r="F137" s="153"/>
      <c r="G137" s="153"/>
      <c r="H137" s="153"/>
      <c r="I137" s="170">
        <v>8</v>
      </c>
      <c r="J137" s="152">
        <f>I137*J$119</f>
        <v>0.22946613279946612</v>
      </c>
      <c r="K137" s="171">
        <f>J137*K$133</f>
        <v>0.2473644911578245</v>
      </c>
    </row>
    <row r="138" spans="2:11">
      <c r="C138" s="169" t="s">
        <v>474</v>
      </c>
      <c r="D138" s="153"/>
      <c r="E138" s="153"/>
      <c r="F138" s="153"/>
      <c r="G138" s="153"/>
      <c r="H138" s="153"/>
      <c r="I138" s="170">
        <f>49-38</f>
        <v>11</v>
      </c>
      <c r="J138" s="152">
        <f>I138*J$119</f>
        <v>0.31551593259926591</v>
      </c>
      <c r="K138" s="171">
        <f>J138*K$133</f>
        <v>0.34012617534200867</v>
      </c>
    </row>
    <row r="139" spans="2:11">
      <c r="C139" s="169" t="s">
        <v>56</v>
      </c>
      <c r="D139" s="153"/>
      <c r="E139" s="153"/>
      <c r="F139" s="153"/>
      <c r="G139" s="153"/>
      <c r="H139" s="153"/>
      <c r="I139" s="170"/>
      <c r="J139" s="152"/>
      <c r="K139" s="172"/>
    </row>
    <row r="140" spans="2:11">
      <c r="C140" s="169" t="s">
        <v>216</v>
      </c>
      <c r="D140" s="153"/>
      <c r="E140" s="153"/>
      <c r="F140" s="153"/>
      <c r="G140" s="153"/>
      <c r="H140" s="153"/>
      <c r="I140" s="170">
        <v>19</v>
      </c>
      <c r="J140" s="152">
        <f>I140*J$125</f>
        <v>1.0380499833241954</v>
      </c>
      <c r="K140" s="171">
        <f>J140*K$133</f>
        <v>1.1190178820234826</v>
      </c>
    </row>
    <row r="141" spans="2:11">
      <c r="C141" s="169" t="s">
        <v>472</v>
      </c>
      <c r="D141" s="153"/>
      <c r="E141" s="153"/>
      <c r="F141" s="153"/>
      <c r="G141" s="153"/>
      <c r="H141" s="153"/>
      <c r="I141" s="170">
        <f>30-19</f>
        <v>11</v>
      </c>
      <c r="J141" s="152">
        <f>I141*J$125</f>
        <v>0.60097630613506048</v>
      </c>
      <c r="K141" s="171">
        <f>J141*K$133</f>
        <v>0.64785245801359526</v>
      </c>
    </row>
    <row r="142" spans="2:11">
      <c r="C142" s="169" t="s">
        <v>473</v>
      </c>
      <c r="D142" s="153"/>
      <c r="E142" s="153"/>
      <c r="F142" s="153"/>
      <c r="G142" s="153"/>
      <c r="H142" s="153"/>
      <c r="I142" s="170">
        <v>8</v>
      </c>
      <c r="J142" s="152">
        <f>I142*J$125</f>
        <v>0.43707367718913492</v>
      </c>
      <c r="K142" s="171">
        <f>J142*K$133</f>
        <v>0.47116542400988748</v>
      </c>
    </row>
    <row r="143" spans="2:11">
      <c r="C143" s="169" t="s">
        <v>62</v>
      </c>
      <c r="D143" s="153"/>
      <c r="E143" s="153"/>
      <c r="F143" s="153"/>
      <c r="G143" s="153"/>
      <c r="H143" s="153"/>
      <c r="I143" s="170"/>
      <c r="J143" s="152"/>
      <c r="K143" s="172"/>
    </row>
    <row r="144" spans="2:11" ht="13.5" thickBot="1">
      <c r="B144" s="173" t="s">
        <v>475</v>
      </c>
      <c r="C144" s="174" t="s">
        <v>476</v>
      </c>
      <c r="D144" s="175"/>
      <c r="E144" s="175"/>
      <c r="F144" s="175"/>
      <c r="G144" s="175"/>
      <c r="H144" s="175"/>
      <c r="I144" s="176">
        <v>15</v>
      </c>
      <c r="J144" s="177">
        <f>K111</f>
        <v>0.92043267517285621</v>
      </c>
      <c r="K144" s="178">
        <f>J144*K$133</f>
        <v>0.99222642383633908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B266"/>
  <sheetViews>
    <sheetView tabSelected="1" topLeftCell="C1" zoomScaleNormal="100" workbookViewId="0">
      <selection activeCell="D13" sqref="D13"/>
    </sheetView>
  </sheetViews>
  <sheetFormatPr defaultRowHeight="12.75"/>
  <cols>
    <col min="1" max="1" width="35" style="57" customWidth="1"/>
    <col min="2" max="2" width="30.140625" style="57" customWidth="1"/>
    <col min="3" max="3" width="19.85546875" style="57" customWidth="1"/>
    <col min="4" max="4" width="40" style="57" customWidth="1"/>
    <col min="5" max="5" width="9.7109375" style="57" customWidth="1"/>
    <col min="6" max="6" width="9.85546875" style="57" customWidth="1"/>
    <col min="7" max="8" width="10.140625" style="57" customWidth="1"/>
    <col min="9" max="27" width="9.140625" style="57"/>
    <col min="28" max="28" width="21.7109375" style="57" customWidth="1"/>
    <col min="29" max="29" width="35.85546875" style="57" customWidth="1"/>
    <col min="30" max="30" width="35.28515625" style="57" customWidth="1"/>
    <col min="31" max="31" width="15" style="57" customWidth="1"/>
    <col min="32" max="32" width="17.7109375" style="57" customWidth="1"/>
    <col min="33" max="33" width="15.140625" style="57" customWidth="1"/>
    <col min="34" max="34" width="15.7109375" style="57" customWidth="1"/>
    <col min="35" max="35" width="21.28515625" style="57" customWidth="1"/>
    <col min="36" max="36" width="17.7109375" style="57" bestFit="1" customWidth="1"/>
    <col min="37" max="37" width="15.42578125" style="57" bestFit="1" customWidth="1"/>
    <col min="38" max="38" width="14.28515625" style="57" bestFit="1" customWidth="1"/>
    <col min="39" max="39" width="14.28515625" style="57" customWidth="1"/>
    <col min="40" max="40" width="12.5703125" style="57" customWidth="1"/>
    <col min="41" max="41" width="14" style="57" bestFit="1" customWidth="1"/>
    <col min="42" max="43" width="10.85546875" style="57" bestFit="1" customWidth="1"/>
    <col min="44" max="44" width="13.42578125" style="57" customWidth="1"/>
    <col min="45" max="45" width="11.85546875" style="57" bestFit="1" customWidth="1"/>
    <col min="46" max="46" width="11" style="57" bestFit="1" customWidth="1"/>
    <col min="47" max="47" width="14.28515625" style="57" bestFit="1" customWidth="1"/>
    <col min="48" max="48" width="10.7109375" style="57" customWidth="1"/>
    <col min="49" max="49" width="13.85546875" style="57" bestFit="1" customWidth="1"/>
    <col min="50" max="50" width="11.7109375" style="57" bestFit="1" customWidth="1"/>
    <col min="51" max="51" width="15.28515625" style="57" bestFit="1" customWidth="1"/>
    <col min="52" max="54" width="12.28515625" style="57" bestFit="1" customWidth="1"/>
    <col min="55" max="55" width="12.5703125" style="57" bestFit="1" customWidth="1"/>
    <col min="56" max="58" width="14.28515625" style="57" bestFit="1" customWidth="1"/>
    <col min="59" max="59" width="13.7109375" style="57" bestFit="1" customWidth="1"/>
    <col min="60" max="60" width="14" style="57" bestFit="1" customWidth="1"/>
    <col min="61" max="61" width="12.85546875" style="57" bestFit="1" customWidth="1"/>
    <col min="62" max="62" width="15.28515625" style="57" bestFit="1" customWidth="1"/>
    <col min="63" max="63" width="12.28515625" style="57" bestFit="1" customWidth="1"/>
    <col min="64" max="64" width="10.85546875" style="57" bestFit="1" customWidth="1"/>
    <col min="65" max="65" width="12.28515625" style="57" bestFit="1" customWidth="1"/>
    <col min="66" max="66" width="12.5703125" style="57" bestFit="1" customWidth="1"/>
    <col min="67" max="16384" width="9.140625" style="57"/>
  </cols>
  <sheetData>
    <row r="1" spans="1:68">
      <c r="A1" s="56" t="s">
        <v>80</v>
      </c>
      <c r="B1" s="630" t="s">
        <v>81</v>
      </c>
      <c r="C1" s="630"/>
      <c r="D1" s="630"/>
      <c r="E1" s="630"/>
      <c r="F1" s="630"/>
      <c r="G1" s="630"/>
      <c r="H1" s="630"/>
      <c r="I1" s="630"/>
      <c r="J1" s="630"/>
      <c r="K1" s="630"/>
      <c r="L1" s="630"/>
      <c r="M1" s="630"/>
      <c r="N1" s="630"/>
      <c r="O1" s="630"/>
      <c r="P1" s="630"/>
      <c r="Q1" s="630"/>
      <c r="R1" s="630"/>
      <c r="S1" s="630"/>
    </row>
    <row r="2" spans="1:68">
      <c r="A2" s="58" t="s">
        <v>287</v>
      </c>
      <c r="B2" s="630"/>
      <c r="C2" s="630"/>
      <c r="D2" s="630"/>
      <c r="E2" s="630"/>
      <c r="F2" s="630"/>
      <c r="G2" s="630"/>
      <c r="H2" s="630"/>
      <c r="I2" s="630"/>
      <c r="J2" s="630"/>
      <c r="K2" s="630"/>
      <c r="L2" s="630"/>
      <c r="M2" s="630"/>
      <c r="N2" s="630"/>
      <c r="O2" s="630"/>
      <c r="P2" s="630"/>
      <c r="Q2" s="630"/>
      <c r="R2" s="630"/>
      <c r="S2" s="630"/>
    </row>
    <row r="3" spans="1:68">
      <c r="B3" s="630"/>
      <c r="C3" s="630"/>
      <c r="D3" s="630"/>
      <c r="E3" s="630"/>
      <c r="F3" s="630"/>
      <c r="G3" s="630"/>
      <c r="H3" s="630"/>
      <c r="I3" s="630"/>
      <c r="J3" s="630"/>
      <c r="K3" s="630"/>
      <c r="L3" s="630"/>
      <c r="M3" s="630"/>
      <c r="N3" s="630"/>
      <c r="O3" s="630"/>
      <c r="P3" s="630"/>
      <c r="Q3" s="630"/>
      <c r="R3" s="630"/>
      <c r="S3" s="630"/>
    </row>
    <row r="4" spans="1:68">
      <c r="B4" s="630"/>
      <c r="C4" s="630"/>
      <c r="D4" s="630"/>
      <c r="E4" s="630"/>
      <c r="F4" s="630"/>
      <c r="G4" s="630"/>
      <c r="H4" s="630"/>
      <c r="I4" s="630"/>
      <c r="J4" s="630"/>
      <c r="K4" s="630"/>
      <c r="L4" s="630"/>
      <c r="M4" s="630"/>
      <c r="N4" s="630"/>
      <c r="O4" s="630"/>
      <c r="P4" s="630"/>
      <c r="Q4" s="630"/>
      <c r="R4" s="630"/>
      <c r="S4" s="630"/>
    </row>
    <row r="5" spans="1:68">
      <c r="B5" s="630"/>
      <c r="C5" s="630"/>
      <c r="D5" s="630"/>
      <c r="E5" s="630"/>
      <c r="F5" s="630"/>
      <c r="G5" s="630"/>
      <c r="H5" s="630"/>
      <c r="I5" s="630"/>
      <c r="J5" s="630"/>
      <c r="K5" s="630"/>
      <c r="L5" s="630"/>
      <c r="M5" s="630"/>
      <c r="N5" s="630"/>
      <c r="O5" s="630"/>
      <c r="P5" s="630"/>
      <c r="Q5" s="630"/>
      <c r="R5" s="630"/>
      <c r="S5" s="630"/>
    </row>
    <row r="6" spans="1:68">
      <c r="B6" s="630"/>
      <c r="C6" s="630"/>
      <c r="D6" s="630"/>
      <c r="E6" s="630"/>
      <c r="F6" s="630"/>
      <c r="G6" s="630"/>
      <c r="H6" s="630"/>
      <c r="I6" s="630"/>
      <c r="J6" s="630"/>
      <c r="K6" s="630"/>
      <c r="L6" s="630"/>
      <c r="M6" s="630"/>
      <c r="N6" s="630"/>
      <c r="O6" s="630"/>
      <c r="P6" s="630"/>
      <c r="Q6" s="630"/>
      <c r="R6" s="630"/>
      <c r="S6" s="630"/>
    </row>
    <row r="7" spans="1:68">
      <c r="A7" s="587"/>
      <c r="B7" s="587" t="s">
        <v>24</v>
      </c>
      <c r="C7" s="75" t="s">
        <v>82</v>
      </c>
      <c r="D7" s="75" t="s">
        <v>1211</v>
      </c>
    </row>
    <row r="8" spans="1:68">
      <c r="A8" s="587" t="s">
        <v>1722</v>
      </c>
      <c r="B8" s="587" t="s">
        <v>83</v>
      </c>
      <c r="C8" s="75" t="str">
        <f>[2]MLIST!$B$77</f>
        <v>ResWx</v>
      </c>
      <c r="D8" s="75" t="str">
        <f>[1]!switch_ForecastState</f>
        <v>Region</v>
      </c>
    </row>
    <row r="9" spans="1:68">
      <c r="A9" s="587" t="str">
        <f>INDEX([2]ACHIEV!$A$19:$B$100,MATCH(CONCATENATE($C$8," - ",$C$7),[2]ACHIEV!$B$19:$B$100,0),1)</f>
        <v>HVAC</v>
      </c>
      <c r="B9" s="588" t="s">
        <v>84</v>
      </c>
      <c r="C9" s="75">
        <f>[2]FILES!$H$4</f>
        <v>2035</v>
      </c>
      <c r="D9" s="75" t="str">
        <f>[1]!switch_ForecastScenario</f>
        <v>Base</v>
      </c>
    </row>
    <row r="10" spans="1:68">
      <c r="A10" s="587"/>
      <c r="B10" s="587" t="s">
        <v>1774</v>
      </c>
      <c r="C10" s="629">
        <f>MIN(SUM(E177:X177),Y177)</f>
        <v>119.2764142115731</v>
      </c>
      <c r="D10" s="76"/>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row>
    <row r="11" spans="1:68" ht="15">
      <c r="A11" s="77" t="str">
        <f>CONCATENATE("FLOOR AREA AVAILABLE FOR MEASURE -",$C$8)</f>
        <v>FLOOR AREA AVAILABLE FOR MEASURE -ResWx</v>
      </c>
      <c r="C11" s="57" t="s">
        <v>288</v>
      </c>
      <c r="E11" s="78">
        <v>2016</v>
      </c>
      <c r="F11" s="79">
        <v>2017</v>
      </c>
      <c r="G11" s="79">
        <v>2018</v>
      </c>
      <c r="H11" s="79">
        <v>2019</v>
      </c>
      <c r="I11" s="79">
        <v>2020</v>
      </c>
      <c r="J11" s="79">
        <v>2021</v>
      </c>
      <c r="K11" s="79">
        <v>2022</v>
      </c>
      <c r="L11" s="79">
        <v>2023</v>
      </c>
      <c r="M11" s="79">
        <v>2024</v>
      </c>
      <c r="N11" s="79">
        <v>2025</v>
      </c>
      <c r="O11" s="79">
        <v>2026</v>
      </c>
      <c r="P11" s="79">
        <v>2027</v>
      </c>
      <c r="Q11" s="79">
        <v>2028</v>
      </c>
      <c r="R11" s="79">
        <v>2029</v>
      </c>
      <c r="S11" s="79">
        <v>2030</v>
      </c>
      <c r="T11" s="79">
        <v>2031</v>
      </c>
      <c r="U11" s="79">
        <v>2032</v>
      </c>
      <c r="V11" s="79">
        <v>2033</v>
      </c>
      <c r="W11" s="79">
        <v>2034</v>
      </c>
      <c r="X11" s="79">
        <v>2035</v>
      </c>
      <c r="Y11" s="80"/>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row>
    <row r="12" spans="1:68" ht="15">
      <c r="E12" s="81" t="str">
        <f>CONCATENATE("HOMES_",E11)</f>
        <v>HOMES_2016</v>
      </c>
      <c r="F12" s="82" t="str">
        <f t="shared" ref="F12:X12" si="0">CONCATENATE("HOMES_",F11)</f>
        <v>HOMES_2017</v>
      </c>
      <c r="G12" s="82" t="str">
        <f t="shared" si="0"/>
        <v>HOMES_2018</v>
      </c>
      <c r="H12" s="82" t="str">
        <f t="shared" si="0"/>
        <v>HOMES_2019</v>
      </c>
      <c r="I12" s="82" t="str">
        <f t="shared" si="0"/>
        <v>HOMES_2020</v>
      </c>
      <c r="J12" s="82" t="str">
        <f t="shared" si="0"/>
        <v>HOMES_2021</v>
      </c>
      <c r="K12" s="82" t="str">
        <f t="shared" si="0"/>
        <v>HOMES_2022</v>
      </c>
      <c r="L12" s="82" t="str">
        <f t="shared" si="0"/>
        <v>HOMES_2023</v>
      </c>
      <c r="M12" s="82" t="str">
        <f t="shared" si="0"/>
        <v>HOMES_2024</v>
      </c>
      <c r="N12" s="82" t="str">
        <f t="shared" si="0"/>
        <v>HOMES_2025</v>
      </c>
      <c r="O12" s="82" t="str">
        <f t="shared" si="0"/>
        <v>HOMES_2026</v>
      </c>
      <c r="P12" s="82" t="str">
        <f t="shared" si="0"/>
        <v>HOMES_2027</v>
      </c>
      <c r="Q12" s="82" t="str">
        <f t="shared" si="0"/>
        <v>HOMES_2028</v>
      </c>
      <c r="R12" s="82" t="str">
        <f t="shared" si="0"/>
        <v>HOMES_2029</v>
      </c>
      <c r="S12" s="82" t="str">
        <f t="shared" si="0"/>
        <v>HOMES_2030</v>
      </c>
      <c r="T12" s="82" t="str">
        <f t="shared" si="0"/>
        <v>HOMES_2031</v>
      </c>
      <c r="U12" s="82" t="str">
        <f t="shared" si="0"/>
        <v>HOMES_2032</v>
      </c>
      <c r="V12" s="82" t="str">
        <f t="shared" si="0"/>
        <v>HOMES_2033</v>
      </c>
      <c r="W12" s="82" t="str">
        <f t="shared" si="0"/>
        <v>HOMES_2034</v>
      </c>
      <c r="X12" s="82" t="str">
        <f t="shared" si="0"/>
        <v>HOMES_2035</v>
      </c>
      <c r="Y12" s="83"/>
    </row>
    <row r="13" spans="1:68">
      <c r="C13" s="57" t="s">
        <v>25</v>
      </c>
      <c r="E13" s="48">
        <f>INDEX([1]!tbl_Forecast,MATCH($D$8&amp;$C13&amp;$D$7,[1]!rng_ForecastRowLookup,0),MATCH(E$11,[1]!rng_ForecastColumnLookup,0))</f>
        <v>4203528.2719999999</v>
      </c>
      <c r="F13" s="48">
        <f>INDEX([1]!tbl_Forecast,MATCH($D$8&amp;$C13&amp;$D$7,[1]!rng_ForecastRowLookup,0),MATCH(F$11,[1]!rng_ForecastColumnLookup,0))</f>
        <v>4193982.9785983553</v>
      </c>
      <c r="G13" s="48">
        <f>INDEX([1]!tbl_Forecast,MATCH($D$8&amp;$C13&amp;$D$7,[1]!rng_ForecastRowLookup,0),MATCH(G$11,[1]!rng_ForecastColumnLookup,0))</f>
        <v>4184459.3604704877</v>
      </c>
      <c r="H13" s="48">
        <f>INDEX([1]!tbl_Forecast,MATCH($D$8&amp;$C13&amp;$D$7,[1]!rng_ForecastRowLookup,0),MATCH(H$11,[1]!rng_ForecastColumnLookup,0))</f>
        <v>4174957.36839659</v>
      </c>
      <c r="I13" s="48">
        <f>INDEX([1]!tbl_Forecast,MATCH($D$8&amp;$C13&amp;$D$7,[1]!rng_ForecastRowLookup,0),MATCH(I$11,[1]!rng_ForecastColumnLookup,0))</f>
        <v>4165476.9532686244</v>
      </c>
      <c r="J13" s="48">
        <f>INDEX([1]!tbl_Forecast,MATCH($D$8&amp;$C13&amp;$D$7,[1]!rng_ForecastRowLookup,0),MATCH(J$11,[1]!rng_ForecastColumnLookup,0))</f>
        <v>4156018.0660900641</v>
      </c>
      <c r="K13" s="48">
        <f>INDEX([1]!tbl_Forecast,MATCH($D$8&amp;$C13&amp;$D$7,[1]!rng_ForecastRowLookup,0),MATCH(K$11,[1]!rng_ForecastColumnLookup,0))</f>
        <v>4146580.6579756448</v>
      </c>
      <c r="L13" s="48">
        <f>INDEX([1]!tbl_Forecast,MATCH($D$8&amp;$C13&amp;$D$7,[1]!rng_ForecastRowLookup,0),MATCH(L$11,[1]!rng_ForecastColumnLookup,0))</f>
        <v>4137164.6801511091</v>
      </c>
      <c r="M13" s="48">
        <f>INDEX([1]!tbl_Forecast,MATCH($D$8&amp;$C13&amp;$D$7,[1]!rng_ForecastRowLookup,0),MATCH(M$11,[1]!rng_ForecastColumnLookup,0))</f>
        <v>4127770.0839529554</v>
      </c>
      <c r="N13" s="48">
        <f>INDEX([1]!tbl_Forecast,MATCH($D$8&amp;$C13&amp;$D$7,[1]!rng_ForecastRowLookup,0),MATCH(N$11,[1]!rng_ForecastColumnLookup,0))</f>
        <v>4118396.8208281873</v>
      </c>
      <c r="O13" s="48">
        <f>INDEX([1]!tbl_Forecast,MATCH($D$8&amp;$C13&amp;$D$7,[1]!rng_ForecastRowLookup,0),MATCH(O$11,[1]!rng_ForecastColumnLookup,0))</f>
        <v>4109044.8423340586</v>
      </c>
      <c r="P13" s="48">
        <f>INDEX([1]!tbl_Forecast,MATCH($D$8&amp;$C13&amp;$D$7,[1]!rng_ForecastRowLookup,0),MATCH(P$11,[1]!rng_ForecastColumnLookup,0))</f>
        <v>4099714.1001378288</v>
      </c>
      <c r="Q13" s="48">
        <f>INDEX([1]!tbl_Forecast,MATCH($D$8&amp;$C13&amp;$D$7,[1]!rng_ForecastRowLookup,0),MATCH(Q$11,[1]!rng_ForecastColumnLookup,0))</f>
        <v>4090404.5460165106</v>
      </c>
      <c r="R13" s="48">
        <f>INDEX([1]!tbl_Forecast,MATCH($D$8&amp;$C13&amp;$D$7,[1]!rng_ForecastRowLookup,0),MATCH(R$11,[1]!rng_ForecastColumnLookup,0))</f>
        <v>4081116.1318566194</v>
      </c>
      <c r="S13" s="48">
        <f>INDEX([1]!tbl_Forecast,MATCH($D$8&amp;$C13&amp;$D$7,[1]!rng_ForecastRowLookup,0),MATCH(S$11,[1]!rng_ForecastColumnLookup,0))</f>
        <v>4071848.8096539262</v>
      </c>
      <c r="T13" s="48">
        <f>INDEX([1]!tbl_Forecast,MATCH($D$8&amp;$C13&amp;$D$7,[1]!rng_ForecastRowLookup,0),MATCH(T$11,[1]!rng_ForecastColumnLookup,0))</f>
        <v>4062602.5315132081</v>
      </c>
      <c r="U13" s="48">
        <f>INDEX([1]!tbl_Forecast,MATCH($D$8&amp;$C13&amp;$D$7,[1]!rng_ForecastRowLookup,0),MATCH(U$11,[1]!rng_ForecastColumnLookup,0))</f>
        <v>4053377.2496480034</v>
      </c>
      <c r="V13" s="48">
        <f>INDEX([1]!tbl_Forecast,MATCH($D$8&amp;$C13&amp;$D$7,[1]!rng_ForecastRowLookup,0),MATCH(V$11,[1]!rng_ForecastColumnLookup,0))</f>
        <v>4044172.9163803621</v>
      </c>
      <c r="W13" s="48">
        <f>INDEX([1]!tbl_Forecast,MATCH($D$8&amp;$C13&amp;$D$7,[1]!rng_ForecastRowLookup,0),MATCH(W$11,[1]!rng_ForecastColumnLookup,0))</f>
        <v>4034989.4841406001</v>
      </c>
      <c r="X13" s="48">
        <f>INDEX([1]!tbl_Forecast,MATCH($D$8&amp;$C13&amp;$D$7,[1]!rng_ForecastRowLookup,0),MATCH(X$11,[1]!rng_ForecastColumnLookup,0))</f>
        <v>4025826.9054670548</v>
      </c>
      <c r="Y13" s="48"/>
    </row>
    <row r="14" spans="1:68">
      <c r="C14" s="57" t="s">
        <v>85</v>
      </c>
      <c r="E14" s="48">
        <f>INDEX([1]!tbl_Forecast,MATCH($D$8&amp;$C14&amp;$D$7,[1]!rng_ForecastRowLookup,0),MATCH(E$11,[1]!rng_ForecastColumnLookup,0))</f>
        <v>926243.25609262148</v>
      </c>
      <c r="F14" s="48">
        <f>INDEX([1]!tbl_Forecast,MATCH($D$8&amp;$C14&amp;$D$7,[1]!rng_ForecastRowLookup,0),MATCH(F$11,[1]!rng_ForecastColumnLookup,0))</f>
        <v>924139.92640956037</v>
      </c>
      <c r="G14" s="48">
        <f>INDEX([1]!tbl_Forecast,MATCH($D$8&amp;$C14&amp;$D$7,[1]!rng_ForecastRowLookup,0),MATCH(G$11,[1]!rng_ForecastColumnLookup,0))</f>
        <v>922041.3730050053</v>
      </c>
      <c r="H14" s="48">
        <f>INDEX([1]!tbl_Forecast,MATCH($D$8&amp;$C14&amp;$D$7,[1]!rng_ForecastRowLookup,0),MATCH(H$11,[1]!rng_ForecastColumnLookup,0))</f>
        <v>919947.58503289847</v>
      </c>
      <c r="I14" s="48">
        <f>INDEX([1]!tbl_Forecast,MATCH($D$8&amp;$C14&amp;$D$7,[1]!rng_ForecastRowLookup,0),MATCH(I$11,[1]!rng_ForecastColumnLookup,0))</f>
        <v>917858.55167181045</v>
      </c>
      <c r="J14" s="48">
        <f>INDEX([1]!tbl_Forecast,MATCH($D$8&amp;$C14&amp;$D$7,[1]!rng_ForecastRowLookup,0),MATCH(J$11,[1]!rng_ForecastColumnLookup,0))</f>
        <v>915774.26212488639</v>
      </c>
      <c r="K14" s="48">
        <f>INDEX([1]!tbl_Forecast,MATCH($D$8&amp;$C14&amp;$D$7,[1]!rng_ForecastRowLookup,0),MATCH(K$11,[1]!rng_ForecastColumnLookup,0))</f>
        <v>913694.70561978838</v>
      </c>
      <c r="L14" s="48">
        <f>INDEX([1]!tbl_Forecast,MATCH($D$8&amp;$C14&amp;$D$7,[1]!rng_ForecastRowLookup,0),MATCH(L$11,[1]!rng_ForecastColumnLookup,0))</f>
        <v>911619.87140864041</v>
      </c>
      <c r="M14" s="48">
        <f>INDEX([1]!tbl_Forecast,MATCH($D$8&amp;$C14&amp;$D$7,[1]!rng_ForecastRowLookup,0),MATCH(M$11,[1]!rng_ForecastColumnLookup,0))</f>
        <v>909549.74876797362</v>
      </c>
      <c r="N14" s="48">
        <f>INDEX([1]!tbl_Forecast,MATCH($D$8&amp;$C14&amp;$D$7,[1]!rng_ForecastRowLookup,0),MATCH(N$11,[1]!rng_ForecastColumnLookup,0))</f>
        <v>907484.32699866977</v>
      </c>
      <c r="O14" s="48">
        <f>INDEX([1]!tbl_Forecast,MATCH($D$8&amp;$C14&amp;$D$7,[1]!rng_ForecastRowLookup,0),MATCH(O$11,[1]!rng_ForecastColumnLookup,0))</f>
        <v>905423.59542590659</v>
      </c>
      <c r="P14" s="48">
        <f>INDEX([1]!tbl_Forecast,MATCH($D$8&amp;$C14&amp;$D$7,[1]!rng_ForecastRowLookup,0),MATCH(P$11,[1]!rng_ForecastColumnLookup,0))</f>
        <v>903367.54339910217</v>
      </c>
      <c r="Q14" s="48">
        <f>INDEX([1]!tbl_Forecast,MATCH($D$8&amp;$C14&amp;$D$7,[1]!rng_ForecastRowLookup,0),MATCH(Q$11,[1]!rng_ForecastColumnLookup,0))</f>
        <v>901316.16029185988</v>
      </c>
      <c r="R14" s="48">
        <f>INDEX([1]!tbl_Forecast,MATCH($D$8&amp;$C14&amp;$D$7,[1]!rng_ForecastRowLookup,0),MATCH(R$11,[1]!rng_ForecastColumnLookup,0))</f>
        <v>899269.43550191447</v>
      </c>
      <c r="S14" s="48">
        <f>INDEX([1]!tbl_Forecast,MATCH($D$8&amp;$C14&amp;$D$7,[1]!rng_ForecastRowLookup,0),MATCH(S$11,[1]!rng_ForecastColumnLookup,0))</f>
        <v>897227.35845107585</v>
      </c>
      <c r="T14" s="48">
        <f>INDEX([1]!tbl_Forecast,MATCH($D$8&amp;$C14&amp;$D$7,[1]!rng_ForecastRowLookup,0),MATCH(T$11,[1]!rng_ForecastColumnLookup,0))</f>
        <v>895189.9185851753</v>
      </c>
      <c r="U14" s="48">
        <f>INDEX([1]!tbl_Forecast,MATCH($D$8&amp;$C14&amp;$D$7,[1]!rng_ForecastRowLookup,0),MATCH(U$11,[1]!rng_ForecastColumnLookup,0))</f>
        <v>893157.10537401051</v>
      </c>
      <c r="V14" s="48">
        <f>INDEX([1]!tbl_Forecast,MATCH($D$8&amp;$C14&amp;$D$7,[1]!rng_ForecastRowLookup,0),MATCH(V$11,[1]!rng_ForecastColumnLookup,0))</f>
        <v>891128.90831129183</v>
      </c>
      <c r="W14" s="48">
        <f>INDEX([1]!tbl_Forecast,MATCH($D$8&amp;$C14&amp;$D$7,[1]!rng_ForecastRowLookup,0),MATCH(W$11,[1]!rng_ForecastColumnLookup,0))</f>
        <v>889105.31691458682</v>
      </c>
      <c r="X14" s="48">
        <f>INDEX([1]!tbl_Forecast,MATCH($D$8&amp;$C14&amp;$D$7,[1]!rng_ForecastRowLookup,0),MATCH(X$11,[1]!rng_ForecastColumnLookup,0))</f>
        <v>887086.32072526717</v>
      </c>
      <c r="Y14" s="48"/>
    </row>
    <row r="15" spans="1:68">
      <c r="C15" s="57" t="s">
        <v>86</v>
      </c>
      <c r="E15" s="48">
        <f>INDEX([1]!tbl_Forecast,MATCH($D$8&amp;$C15&amp;$D$7,[1]!rng_ForecastRowLookup,0),MATCH(E$11,[1]!rng_ForecastColumnLookup,0))</f>
        <v>211180.07985625503</v>
      </c>
      <c r="F15" s="48">
        <f>INDEX([1]!tbl_Forecast,MATCH($D$8&amp;$C15&amp;$D$7,[1]!rng_ForecastRowLookup,0),MATCH(F$11,[1]!rng_ForecastColumnLookup,0))</f>
        <v>210700.52836963299</v>
      </c>
      <c r="G15" s="48">
        <f>INDEX([1]!tbl_Forecast,MATCH($D$8&amp;$C15&amp;$D$7,[1]!rng_ForecastRowLookup,0),MATCH(G$11,[1]!rng_ForecastColumnLookup,0))</f>
        <v>210222.06585706791</v>
      </c>
      <c r="H15" s="48">
        <f>INDEX([1]!tbl_Forecast,MATCH($D$8&amp;$C15&amp;$D$7,[1]!rng_ForecastRowLookup,0),MATCH(H$11,[1]!rng_ForecastColumnLookup,0))</f>
        <v>209744.68984569819</v>
      </c>
      <c r="I15" s="48">
        <f>INDEX([1]!tbl_Forecast,MATCH($D$8&amp;$C15&amp;$D$7,[1]!rng_ForecastRowLookup,0),MATCH(I$11,[1]!rng_ForecastColumnLookup,0))</f>
        <v>209268.39786827751</v>
      </c>
      <c r="J15" s="48">
        <f>INDEX([1]!tbl_Forecast,MATCH($D$8&amp;$C15&amp;$D$7,[1]!rng_ForecastRowLookup,0),MATCH(J$11,[1]!rng_ForecastColumnLookup,0))</f>
        <v>208793.18746316229</v>
      </c>
      <c r="K15" s="48">
        <f>INDEX([1]!tbl_Forecast,MATCH($D$8&amp;$C15&amp;$D$7,[1]!rng_ForecastRowLookup,0),MATCH(K$11,[1]!rng_ForecastColumnLookup,0))</f>
        <v>208319.05617429892</v>
      </c>
      <c r="L15" s="48">
        <f>INDEX([1]!tbl_Forecast,MATCH($D$8&amp;$C15&amp;$D$7,[1]!rng_ForecastRowLookup,0),MATCH(L$11,[1]!rng_ForecastColumnLookup,0))</f>
        <v>207846.00155121088</v>
      </c>
      <c r="M15" s="48">
        <f>INDEX([1]!tbl_Forecast,MATCH($D$8&amp;$C15&amp;$D$7,[1]!rng_ForecastRowLookup,0),MATCH(M$11,[1]!rng_ForecastColumnLookup,0))</f>
        <v>207374.0211489865</v>
      </c>
      <c r="N15" s="48">
        <f>INDEX([1]!tbl_Forecast,MATCH($D$8&amp;$C15&amp;$D$7,[1]!rng_ForecastRowLookup,0),MATCH(N$11,[1]!rng_ForecastColumnLookup,0))</f>
        <v>206903.11252826577</v>
      </c>
      <c r="O15" s="48">
        <f>INDEX([1]!tbl_Forecast,MATCH($D$8&amp;$C15&amp;$D$7,[1]!rng_ForecastRowLookup,0),MATCH(O$11,[1]!rng_ForecastColumnLookup,0))</f>
        <v>206433.27325522827</v>
      </c>
      <c r="P15" s="48">
        <f>INDEX([1]!tbl_Forecast,MATCH($D$8&amp;$C15&amp;$D$7,[1]!rng_ForecastRowLookup,0),MATCH(P$11,[1]!rng_ForecastColumnLookup,0))</f>
        <v>205964.50090158021</v>
      </c>
      <c r="Q15" s="48">
        <f>INDEX([1]!tbl_Forecast,MATCH($D$8&amp;$C15&amp;$D$7,[1]!rng_ForecastRowLookup,0),MATCH(Q$11,[1]!rng_ForecastColumnLookup,0))</f>
        <v>205496.79304454199</v>
      </c>
      <c r="R15" s="48">
        <f>INDEX([1]!tbl_Forecast,MATCH($D$8&amp;$C15&amp;$D$7,[1]!rng_ForecastRowLookup,0),MATCH(R$11,[1]!rng_ForecastColumnLookup,0))</f>
        <v>205030.14726683579</v>
      </c>
      <c r="S15" s="48">
        <f>INDEX([1]!tbl_Forecast,MATCH($D$8&amp;$C15&amp;$D$7,[1]!rng_ForecastRowLookup,0),MATCH(S$11,[1]!rng_ForecastColumnLookup,0))</f>
        <v>204564.56115667295</v>
      </c>
      <c r="T15" s="48">
        <f>INDEX([1]!tbl_Forecast,MATCH($D$8&amp;$C15&amp;$D$7,[1]!rng_ForecastRowLookup,0),MATCH(T$11,[1]!rng_ForecastColumnLookup,0))</f>
        <v>204100.03230774152</v>
      </c>
      <c r="U15" s="48">
        <f>INDEX([1]!tbl_Forecast,MATCH($D$8&amp;$C15&amp;$D$7,[1]!rng_ForecastRowLookup,0),MATCH(U$11,[1]!rng_ForecastColumnLookup,0))</f>
        <v>203636.55831919383</v>
      </c>
      <c r="V15" s="48">
        <f>INDEX([1]!tbl_Forecast,MATCH($D$8&amp;$C15&amp;$D$7,[1]!rng_ForecastRowLookup,0),MATCH(V$11,[1]!rng_ForecastColumnLookup,0))</f>
        <v>203174.13679563423</v>
      </c>
      <c r="W15" s="48">
        <f>INDEX([1]!tbl_Forecast,MATCH($D$8&amp;$C15&amp;$D$7,[1]!rng_ForecastRowLookup,0),MATCH(W$11,[1]!rng_ForecastColumnLookup,0))</f>
        <v>202712.76534710638</v>
      </c>
      <c r="X15" s="48">
        <f>INDEX([1]!tbl_Forecast,MATCH($D$8&amp;$C15&amp;$D$7,[1]!rng_ForecastRowLookup,0),MATCH(X$11,[1]!rng_ForecastColumnLookup,0))</f>
        <v>202252.44158908122</v>
      </c>
      <c r="Y15" s="48"/>
    </row>
    <row r="16" spans="1:68">
      <c r="C16" s="57" t="s">
        <v>87</v>
      </c>
      <c r="E16" s="48">
        <f>INDEX([1]!tbl_Forecast,MATCH($D$8&amp;$C16&amp;$D$7,[1]!rng_ForecastRowLookup,0),MATCH(E$11,[1]!rng_ForecastColumnLookup,0))</f>
        <v>572006.3278356482</v>
      </c>
      <c r="F16" s="48">
        <f>INDEX([1]!tbl_Forecast,MATCH($D$8&amp;$C16&amp;$D$7,[1]!rng_ForecastRowLookup,0),MATCH(F$11,[1]!rng_ForecastColumnLookup,0))</f>
        <v>565893.30394507048</v>
      </c>
      <c r="G16" s="48">
        <f>INDEX([1]!tbl_Forecast,MATCH($D$8&amp;$C16&amp;$D$7,[1]!rng_ForecastRowLookup,0),MATCH(G$11,[1]!rng_ForecastColumnLookup,0))</f>
        <v>559845.60985814757</v>
      </c>
      <c r="H16" s="48">
        <f>INDEX([1]!tbl_Forecast,MATCH($D$8&amp;$C16&amp;$D$7,[1]!rng_ForecastRowLookup,0),MATCH(H$11,[1]!rng_ForecastColumnLookup,0))</f>
        <v>553862.54739615123</v>
      </c>
      <c r="I16" s="48">
        <f>INDEX([1]!tbl_Forecast,MATCH($D$8&amp;$C16&amp;$D$7,[1]!rng_ForecastRowLookup,0),MATCH(I$11,[1]!rng_ForecastColumnLookup,0))</f>
        <v>547943.42584177968</v>
      </c>
      <c r="J16" s="48">
        <f>INDEX([1]!tbl_Forecast,MATCH($D$8&amp;$C16&amp;$D$7,[1]!rng_ForecastRowLookup,0),MATCH(J$11,[1]!rng_ForecastColumnLookup,0))</f>
        <v>542087.56185941794</v>
      </c>
      <c r="K16" s="48">
        <f>INDEX([1]!tbl_Forecast,MATCH($D$8&amp;$C16&amp;$D$7,[1]!rng_ForecastRowLookup,0),MATCH(K$11,[1]!rng_ForecastColumnLookup,0))</f>
        <v>536294.27941624937</v>
      </c>
      <c r="L16" s="48">
        <f>INDEX([1]!tbl_Forecast,MATCH($D$8&amp;$C16&amp;$D$7,[1]!rng_ForecastRowLookup,0),MATCH(L$11,[1]!rng_ForecastColumnLookup,0))</f>
        <v>530562.90970421082</v>
      </c>
      <c r="M16" s="48">
        <f>INDEX([1]!tbl_Forecast,MATCH($D$8&amp;$C16&amp;$D$7,[1]!rng_ForecastRowLookup,0),MATCH(M$11,[1]!rng_ForecastColumnLookup,0))</f>
        <v>524892.79106278194</v>
      </c>
      <c r="N16" s="48">
        <f>INDEX([1]!tbl_Forecast,MATCH($D$8&amp;$C16&amp;$D$7,[1]!rng_ForecastRowLookup,0),MATCH(N$11,[1]!rng_ForecastColumnLookup,0))</f>
        <v>519283.26890259917</v>
      </c>
      <c r="O16" s="48">
        <f>INDEX([1]!tbl_Forecast,MATCH($D$8&amp;$C16&amp;$D$7,[1]!rng_ForecastRowLookup,0),MATCH(O$11,[1]!rng_ForecastColumnLookup,0))</f>
        <v>513733.69562988722</v>
      </c>
      <c r="P16" s="48">
        <f>INDEX([1]!tbl_Forecast,MATCH($D$8&amp;$C16&amp;$D$7,[1]!rng_ForecastRowLookup,0),MATCH(P$11,[1]!rng_ForecastColumnLookup,0))</f>
        <v>508243.4305716962</v>
      </c>
      <c r="Q16" s="48">
        <f>INDEX([1]!tbl_Forecast,MATCH($D$8&amp;$C16&amp;$D$7,[1]!rng_ForecastRowLookup,0),MATCH(Q$11,[1]!rng_ForecastColumnLookup,0))</f>
        <v>502811.8399019395</v>
      </c>
      <c r="R16" s="48">
        <f>INDEX([1]!tbl_Forecast,MATCH($D$8&amp;$C16&amp;$D$7,[1]!rng_ForecastRowLookup,0),MATCH(R$11,[1]!rng_ForecastColumnLookup,0))</f>
        <v>497438.2965682213</v>
      </c>
      <c r="S16" s="48">
        <f>INDEX([1]!tbl_Forecast,MATCH($D$8&amp;$C16&amp;$D$7,[1]!rng_ForecastRowLookup,0),MATCH(S$11,[1]!rng_ForecastColumnLookup,0))</f>
        <v>492122.18021944637</v>
      </c>
      <c r="T16" s="48">
        <f>INDEX([1]!tbl_Forecast,MATCH($D$8&amp;$C16&amp;$D$7,[1]!rng_ForecastRowLookup,0),MATCH(T$11,[1]!rng_ForecastColumnLookup,0))</f>
        <v>486862.87713420321</v>
      </c>
      <c r="U16" s="48">
        <f>INDEX([1]!tbl_Forecast,MATCH($D$8&amp;$C16&amp;$D$7,[1]!rng_ForecastRowLookup,0),MATCH(U$11,[1]!rng_ForecastColumnLookup,0))</f>
        <v>481659.78014991269</v>
      </c>
      <c r="V16" s="48">
        <f>INDEX([1]!tbl_Forecast,MATCH($D$8&amp;$C16&amp;$D$7,[1]!rng_ForecastRowLookup,0),MATCH(V$11,[1]!rng_ForecastColumnLookup,0))</f>
        <v>476512.28859273402</v>
      </c>
      <c r="W16" s="48">
        <f>INDEX([1]!tbl_Forecast,MATCH($D$8&amp;$C16&amp;$D$7,[1]!rng_ForecastRowLookup,0),MATCH(W$11,[1]!rng_ForecastColumnLookup,0))</f>
        <v>471419.80820821953</v>
      </c>
      <c r="X16" s="48">
        <f>INDEX([1]!tbl_Forecast,MATCH($D$8&amp;$C16&amp;$D$7,[1]!rng_ForecastRowLookup,0),MATCH(X$11,[1]!rng_ForecastColumnLookup,0))</f>
        <v>466381.75109271082</v>
      </c>
      <c r="Y16" s="48"/>
    </row>
    <row r="17" spans="1:26">
      <c r="E17" s="60"/>
      <c r="F17" s="60"/>
      <c r="G17" s="60"/>
      <c r="H17" s="60"/>
      <c r="I17" s="60"/>
      <c r="J17" s="60"/>
      <c r="K17" s="60"/>
      <c r="L17" s="60"/>
      <c r="M17" s="60"/>
      <c r="N17" s="60"/>
      <c r="O17" s="60"/>
      <c r="P17" s="60"/>
      <c r="Q17" s="60"/>
      <c r="R17" s="60"/>
      <c r="S17" s="60"/>
      <c r="T17" s="60"/>
      <c r="U17" s="60"/>
      <c r="V17" s="60"/>
      <c r="W17" s="60"/>
      <c r="X17" s="60"/>
      <c r="Y17" s="60"/>
    </row>
    <row r="18" spans="1:26">
      <c r="B18" s="57" t="s">
        <v>88</v>
      </c>
      <c r="C18" s="57" t="s">
        <v>89</v>
      </c>
      <c r="E18" s="60">
        <f t="shared" ref="E18:X18" si="1">SUM(E13:E16)</f>
        <v>5912957.9357845243</v>
      </c>
      <c r="F18" s="60">
        <f t="shared" si="1"/>
        <v>5894716.7373226183</v>
      </c>
      <c r="G18" s="60">
        <f t="shared" si="1"/>
        <v>5876568.4091907088</v>
      </c>
      <c r="H18" s="60">
        <f t="shared" si="1"/>
        <v>5858512.1906713378</v>
      </c>
      <c r="I18" s="60">
        <f t="shared" si="1"/>
        <v>5840547.3286504922</v>
      </c>
      <c r="J18" s="60">
        <f t="shared" si="1"/>
        <v>5822673.077537531</v>
      </c>
      <c r="K18" s="60">
        <f t="shared" si="1"/>
        <v>5804888.6991859814</v>
      </c>
      <c r="L18" s="60">
        <f t="shared" si="1"/>
        <v>5787193.462815172</v>
      </c>
      <c r="M18" s="60">
        <f t="shared" si="1"/>
        <v>5769586.6449326966</v>
      </c>
      <c r="N18" s="60">
        <f t="shared" si="1"/>
        <v>5752067.5292577213</v>
      </c>
      <c r="O18" s="60">
        <f t="shared" si="1"/>
        <v>5734635.406645081</v>
      </c>
      <c r="P18" s="60">
        <f t="shared" si="1"/>
        <v>5717289.5750102066</v>
      </c>
      <c r="Q18" s="60">
        <f t="shared" si="1"/>
        <v>5700029.3392548524</v>
      </c>
      <c r="R18" s="60">
        <f t="shared" si="1"/>
        <v>5682854.0111935912</v>
      </c>
      <c r="S18" s="60">
        <f t="shared" si="1"/>
        <v>5665762.9094811222</v>
      </c>
      <c r="T18" s="60">
        <f t="shared" si="1"/>
        <v>5648755.3595403275</v>
      </c>
      <c r="U18" s="60">
        <f t="shared" si="1"/>
        <v>5631830.6934911208</v>
      </c>
      <c r="V18" s="60">
        <f t="shared" si="1"/>
        <v>5614988.250080023</v>
      </c>
      <c r="W18" s="60">
        <f t="shared" si="1"/>
        <v>5598227.3746105134</v>
      </c>
      <c r="X18" s="60">
        <f t="shared" si="1"/>
        <v>5581547.4188741138</v>
      </c>
      <c r="Y18" s="60"/>
    </row>
    <row r="19" spans="1:26">
      <c r="D19" s="60"/>
      <c r="E19" s="60"/>
      <c r="F19" s="60"/>
      <c r="G19" s="60"/>
      <c r="H19" s="60"/>
      <c r="I19" s="60"/>
      <c r="J19" s="60"/>
      <c r="K19" s="60"/>
      <c r="L19" s="60"/>
      <c r="M19" s="60"/>
      <c r="N19" s="60"/>
      <c r="O19" s="60"/>
      <c r="P19" s="60"/>
      <c r="Q19" s="60"/>
      <c r="R19" s="60"/>
      <c r="S19" s="60"/>
      <c r="T19" s="60"/>
      <c r="U19" s="60"/>
      <c r="V19" s="60"/>
      <c r="W19" s="60"/>
      <c r="X19" s="60"/>
    </row>
    <row r="20" spans="1:26">
      <c r="D20" s="60"/>
      <c r="E20" s="60"/>
      <c r="F20" s="60"/>
      <c r="G20" s="60"/>
      <c r="H20" s="60"/>
      <c r="I20" s="60"/>
      <c r="J20" s="60"/>
      <c r="K20" s="60"/>
      <c r="L20" s="60"/>
      <c r="M20" s="60"/>
      <c r="N20" s="60"/>
      <c r="O20" s="60"/>
      <c r="P20" s="60"/>
      <c r="Q20" s="60"/>
      <c r="R20" s="60"/>
      <c r="S20" s="60"/>
      <c r="T20" s="60"/>
      <c r="U20" s="60"/>
      <c r="V20" s="60"/>
      <c r="W20" s="60"/>
      <c r="X20" s="60"/>
    </row>
    <row r="21" spans="1:26" ht="15">
      <c r="A21" s="77" t="str">
        <f>CONCATENATE("# HOMES APPLICABLE BY YEAR FOR MEASURE - ",C22)</f>
        <v># HOMES APPLICABLE BY YEAR FOR MEASURE - ResWx - Retro</v>
      </c>
      <c r="D21" s="60"/>
      <c r="E21" s="60"/>
      <c r="F21" s="60"/>
      <c r="G21" s="60"/>
      <c r="H21" s="60"/>
      <c r="I21" s="60"/>
      <c r="J21" s="60"/>
      <c r="K21" s="60"/>
      <c r="L21" s="60"/>
      <c r="M21" s="60"/>
      <c r="N21" s="60"/>
      <c r="O21" s="60"/>
      <c r="P21" s="60"/>
      <c r="Q21" s="60"/>
      <c r="R21" s="60"/>
      <c r="S21" s="60"/>
      <c r="T21" s="60"/>
      <c r="U21" s="60"/>
      <c r="V21" s="60"/>
      <c r="W21" s="60"/>
      <c r="X21" s="60"/>
      <c r="Z21" s="548">
        <v>0.85</v>
      </c>
    </row>
    <row r="22" spans="1:26" ht="15">
      <c r="A22" s="84" t="s">
        <v>90</v>
      </c>
      <c r="B22" s="84" t="s">
        <v>289</v>
      </c>
      <c r="C22" s="84" t="str">
        <f>CONCATENATE(C8," - ",C7)</f>
        <v>ResWx - Retro</v>
      </c>
      <c r="D22" s="57">
        <v>2</v>
      </c>
      <c r="E22" s="57">
        <v>3</v>
      </c>
      <c r="F22" s="57">
        <v>4</v>
      </c>
      <c r="G22" s="57">
        <v>5</v>
      </c>
      <c r="H22" s="57">
        <v>6</v>
      </c>
      <c r="I22" s="57">
        <v>7</v>
      </c>
      <c r="J22" s="57">
        <v>8</v>
      </c>
      <c r="K22" s="57">
        <v>9</v>
      </c>
      <c r="L22" s="57">
        <v>10</v>
      </c>
      <c r="M22" s="57">
        <v>11</v>
      </c>
      <c r="N22" s="57">
        <v>12</v>
      </c>
      <c r="O22" s="57">
        <v>13</v>
      </c>
      <c r="P22" s="57">
        <v>14</v>
      </c>
      <c r="Q22" s="57">
        <v>15</v>
      </c>
      <c r="R22" s="57">
        <v>16</v>
      </c>
      <c r="S22" s="57">
        <v>17</v>
      </c>
      <c r="T22" s="57">
        <v>18</v>
      </c>
      <c r="U22" s="57">
        <v>19</v>
      </c>
      <c r="V22" s="57">
        <v>20</v>
      </c>
      <c r="W22" s="57">
        <v>21</v>
      </c>
      <c r="X22" s="57">
        <v>22</v>
      </c>
      <c r="Z22" s="543" t="s">
        <v>1664</v>
      </c>
    </row>
    <row r="23" spans="1:26">
      <c r="A23" s="91">
        <f>INDEX([2]!ResApplic,MATCH(CONCATENATE(LEFT($D23,FIND("_",$D23)-1)," - ",$C$7),[2]APPLIC!$B$9:$B$201,0)+1,MATCH($C23,[2]APPLIC!$C$8:$F$8,0)+1)</f>
        <v>7.6999999999999957E-2</v>
      </c>
      <c r="B23" s="87">
        <f>VLOOKUP(RIGHT($D23,LEN(D23)-FIND("_",$D23)),Weighting!$D$16:$H$19,5,FALSE)</f>
        <v>5.302693394780917E-2</v>
      </c>
      <c r="C23" s="57" t="s">
        <v>85</v>
      </c>
      <c r="D23" s="60" t="s">
        <v>232</v>
      </c>
      <c r="E23" s="60">
        <f>$A23*VLOOKUP($C23,$C$13:$Y$16,E$22,FALSE)*$B23</f>
        <v>3781.9196769528867</v>
      </c>
      <c r="F23" s="60">
        <f t="shared" ref="F23:U35" si="2">$A23*VLOOKUP($C23,$C$13:$Y$16,F$22,FALSE)*$B23</f>
        <v>3773.331626391478</v>
      </c>
      <c r="G23" s="60">
        <f t="shared" si="2"/>
        <v>3764.763077728242</v>
      </c>
      <c r="H23" s="60">
        <f t="shared" si="2"/>
        <v>3756.2139866779248</v>
      </c>
      <c r="I23" s="60">
        <f t="shared" si="2"/>
        <v>3747.68430905583</v>
      </c>
      <c r="J23" s="60">
        <f t="shared" si="2"/>
        <v>3739.1740007776002</v>
      </c>
      <c r="K23" s="60">
        <f t="shared" si="2"/>
        <v>3730.6830178589844</v>
      </c>
      <c r="L23" s="60">
        <f t="shared" si="2"/>
        <v>3722.2113164156099</v>
      </c>
      <c r="M23" s="60">
        <f t="shared" si="2"/>
        <v>3713.7588526627619</v>
      </c>
      <c r="N23" s="60">
        <f t="shared" si="2"/>
        <v>3705.3255829151485</v>
      </c>
      <c r="O23" s="60">
        <f t="shared" si="2"/>
        <v>3696.9114635866808</v>
      </c>
      <c r="P23" s="60">
        <f t="shared" si="2"/>
        <v>3688.5164511902476</v>
      </c>
      <c r="Q23" s="60">
        <f t="shared" si="2"/>
        <v>3680.1405023374841</v>
      </c>
      <c r="R23" s="60">
        <f t="shared" si="2"/>
        <v>3671.783573738559</v>
      </c>
      <c r="S23" s="60">
        <f t="shared" si="2"/>
        <v>3663.4456222019403</v>
      </c>
      <c r="T23" s="60">
        <f t="shared" si="2"/>
        <v>3655.1266046341761</v>
      </c>
      <c r="U23" s="60">
        <f t="shared" si="2"/>
        <v>3646.8264780396726</v>
      </c>
      <c r="V23" s="60">
        <f t="shared" ref="V23:X38" si="3">$A23*VLOOKUP($C23,$C$13:$Y$16,V$22,FALSE)*$B23</f>
        <v>3638.5451995204726</v>
      </c>
      <c r="W23" s="60">
        <f t="shared" si="3"/>
        <v>3630.2827262760293</v>
      </c>
      <c r="X23" s="60">
        <f>$A23*VLOOKUP($C23,$C$13:$Y$16,X$22,FALSE)*$B23</f>
        <v>3622.0390156029903</v>
      </c>
      <c r="Y23" s="60"/>
      <c r="Z23" s="549">
        <f>A23*B23*$Z$21*VLOOKUP($C23,$C$13:$X$16,$X$22,FALSE)</f>
        <v>3078.7331632625419</v>
      </c>
    </row>
    <row r="24" spans="1:26">
      <c r="A24" s="91">
        <f>INDEX([2]!ResApplic,MATCH(CONCATENATE(LEFT($D24,FIND("_",$D24)-1)," - ",$C$7),[2]APPLIC!$B$9:$B$201,0)+1,MATCH($C24,[2]APPLIC!$C$8:$F$8,0)+1)</f>
        <v>2.0626779203887391E-2</v>
      </c>
      <c r="B24" s="87">
        <f>VLOOKUP(RIGHT($D24,LEN(D24)-FIND("_",$D24)),Weighting!$D$16:$H$19,5,FALSE)</f>
        <v>5.302693394780917E-2</v>
      </c>
      <c r="C24" s="57" t="str">
        <f>$C$23</f>
        <v>Multifamily - Low Rise</v>
      </c>
      <c r="D24" s="60" t="s">
        <v>233</v>
      </c>
      <c r="E24" s="60">
        <f t="shared" ref="E24:T36" si="4">$A24*VLOOKUP($C24,$C$13:$Y$16,E$22,FALSE)*$B24</f>
        <v>1013.1015862771998</v>
      </c>
      <c r="F24" s="60">
        <f t="shared" si="2"/>
        <v>1010.8010171509397</v>
      </c>
      <c r="G24" s="60">
        <f t="shared" si="2"/>
        <v>1008.5056721980264</v>
      </c>
      <c r="H24" s="60">
        <f t="shared" si="2"/>
        <v>1006.2155395553145</v>
      </c>
      <c r="I24" s="60">
        <f t="shared" si="2"/>
        <v>1003.9306073865963</v>
      </c>
      <c r="J24" s="60">
        <f t="shared" si="2"/>
        <v>1001.6508638825437</v>
      </c>
      <c r="K24" s="60">
        <f t="shared" si="2"/>
        <v>999.37629726064404</v>
      </c>
      <c r="L24" s="60">
        <f t="shared" si="2"/>
        <v>997.10689576514096</v>
      </c>
      <c r="M24" s="60">
        <f t="shared" si="2"/>
        <v>994.84264766697402</v>
      </c>
      <c r="N24" s="60">
        <f t="shared" si="2"/>
        <v>992.58354126371603</v>
      </c>
      <c r="O24" s="60">
        <f t="shared" si="2"/>
        <v>990.32956487951537</v>
      </c>
      <c r="P24" s="60">
        <f t="shared" si="2"/>
        <v>988.08070686503311</v>
      </c>
      <c r="Q24" s="60">
        <f t="shared" si="2"/>
        <v>985.83695559738396</v>
      </c>
      <c r="R24" s="60">
        <f t="shared" si="2"/>
        <v>983.59829948007632</v>
      </c>
      <c r="S24" s="60">
        <f t="shared" si="2"/>
        <v>981.36472694295242</v>
      </c>
      <c r="T24" s="60">
        <f t="shared" si="2"/>
        <v>979.13622644212717</v>
      </c>
      <c r="U24" s="60">
        <f t="shared" si="2"/>
        <v>976.91278645993066</v>
      </c>
      <c r="V24" s="60">
        <f t="shared" si="3"/>
        <v>974.69439550484719</v>
      </c>
      <c r="W24" s="60">
        <f t="shared" si="3"/>
        <v>972.48104211145551</v>
      </c>
      <c r="X24" s="60">
        <f t="shared" si="3"/>
        <v>970.27271484037101</v>
      </c>
      <c r="Y24" s="60"/>
      <c r="Z24" s="549">
        <f t="shared" ref="Z24:Z61" si="5">A24*B24*$Z$21*VLOOKUP($C24,$C$13:$X$16,$X$22,FALSE)</f>
        <v>824.73180761431536</v>
      </c>
    </row>
    <row r="25" spans="1:26">
      <c r="A25" s="91">
        <f>INDEX([2]!ResApplic,MATCH(CONCATENATE(LEFT($D25,FIND("_",$D25)-1)," - ",$C$7),[2]APPLIC!$B$9:$B$201,0)+1,MATCH($C25,[2]APPLIC!$C$8:$F$8,0)+1)</f>
        <v>0.22837322079611261</v>
      </c>
      <c r="B25" s="87">
        <f>VLOOKUP(RIGHT($D25,LEN(D25)-FIND("_",$D25)),Weighting!$D$16:$H$19,5,FALSE)</f>
        <v>5.302693394780917E-2</v>
      </c>
      <c r="C25" s="57" t="str">
        <f t="shared" ref="C25:C61" si="6">$C$23</f>
        <v>Multifamily - Low Rise</v>
      </c>
      <c r="D25" s="60" t="s">
        <v>234</v>
      </c>
      <c r="E25" s="60">
        <f t="shared" si="4"/>
        <v>11216.742563869157</v>
      </c>
      <c r="F25" s="60">
        <f t="shared" si="2"/>
        <v>11191.271385076054</v>
      </c>
      <c r="G25" s="60">
        <f t="shared" si="2"/>
        <v>11165.858046689413</v>
      </c>
      <c r="H25" s="60">
        <f t="shared" si="2"/>
        <v>11140.502417364216</v>
      </c>
      <c r="I25" s="60">
        <f t="shared" si="2"/>
        <v>11115.204366053691</v>
      </c>
      <c r="J25" s="60">
        <f t="shared" si="2"/>
        <v>11089.963762008663</v>
      </c>
      <c r="K25" s="60">
        <f t="shared" si="2"/>
        <v>11064.780474776859</v>
      </c>
      <c r="L25" s="60">
        <f t="shared" si="2"/>
        <v>11039.654374202228</v>
      </c>
      <c r="M25" s="60">
        <f t="shared" si="2"/>
        <v>11014.585330424301</v>
      </c>
      <c r="N25" s="60">
        <f t="shared" si="2"/>
        <v>10989.573213877484</v>
      </c>
      <c r="O25" s="60">
        <f t="shared" si="2"/>
        <v>10964.617895290408</v>
      </c>
      <c r="P25" s="60">
        <f t="shared" si="2"/>
        <v>10939.719245685254</v>
      </c>
      <c r="Q25" s="60">
        <f t="shared" si="2"/>
        <v>10914.877136377085</v>
      </c>
      <c r="R25" s="60">
        <f t="shared" si="2"/>
        <v>10890.091438973193</v>
      </c>
      <c r="S25" s="60">
        <f t="shared" si="2"/>
        <v>10865.36202537242</v>
      </c>
      <c r="T25" s="60">
        <f t="shared" si="2"/>
        <v>10840.688767764503</v>
      </c>
      <c r="U25" s="60">
        <f t="shared" si="2"/>
        <v>10816.071538629409</v>
      </c>
      <c r="V25" s="60">
        <f t="shared" si="3"/>
        <v>10791.510210736687</v>
      </c>
      <c r="W25" s="60">
        <f t="shared" si="3"/>
        <v>10767.004657144802</v>
      </c>
      <c r="X25" s="60">
        <f t="shared" si="3"/>
        <v>10742.554751200476</v>
      </c>
      <c r="Y25" s="60"/>
      <c r="Z25" s="549">
        <f t="shared" si="5"/>
        <v>9131.1715385204043</v>
      </c>
    </row>
    <row r="26" spans="1:26">
      <c r="A26" s="91">
        <f>INDEX([2]!ResApplic,MATCH(CONCATENATE(LEFT($D26,FIND("_",$D26)-1)," - ",$C$7),[2]APPLIC!$B$9:$B$201,0)+1,MATCH($C26,[2]APPLIC!$C$8:$F$8,0)+1)</f>
        <v>5.4136342171710254E-2</v>
      </c>
      <c r="B26" s="87">
        <f>VLOOKUP(RIGHT($D26,LEN(D26)-FIND("_",$D26)),Weighting!$D$16:$H$19,5,FALSE)</f>
        <v>5.302693394780917E-2</v>
      </c>
      <c r="C26" s="57" t="str">
        <f t="shared" si="6"/>
        <v>Multifamily - Low Rise</v>
      </c>
      <c r="D26" s="60" t="s">
        <v>1205</v>
      </c>
      <c r="E26" s="60">
        <f t="shared" si="4"/>
        <v>2658.951918148643</v>
      </c>
      <c r="F26" s="60">
        <f t="shared" si="2"/>
        <v>2652.9139227748715</v>
      </c>
      <c r="G26" s="60">
        <f t="shared" si="2"/>
        <v>2646.8896385885359</v>
      </c>
      <c r="H26" s="60">
        <f t="shared" si="2"/>
        <v>2640.879034454028</v>
      </c>
      <c r="I26" s="60">
        <f t="shared" si="2"/>
        <v>2634.8820793064419</v>
      </c>
      <c r="J26" s="60">
        <f t="shared" si="2"/>
        <v>2628.8987421514166</v>
      </c>
      <c r="K26" s="60">
        <f t="shared" si="2"/>
        <v>2622.9289920649708</v>
      </c>
      <c r="L26" s="60">
        <f t="shared" si="2"/>
        <v>2616.9727981933465</v>
      </c>
      <c r="M26" s="60">
        <f t="shared" si="2"/>
        <v>2611.0301297528504</v>
      </c>
      <c r="N26" s="60">
        <f t="shared" si="2"/>
        <v>2605.1009560296925</v>
      </c>
      <c r="O26" s="60">
        <f t="shared" si="2"/>
        <v>2599.1852463798286</v>
      </c>
      <c r="P26" s="60">
        <f t="shared" si="2"/>
        <v>2593.2829702288018</v>
      </c>
      <c r="Q26" s="60">
        <f t="shared" si="2"/>
        <v>2587.3940970715826</v>
      </c>
      <c r="R26" s="60">
        <f t="shared" si="2"/>
        <v>2581.5185964724142</v>
      </c>
      <c r="S26" s="60">
        <f t="shared" si="2"/>
        <v>2575.6564380646537</v>
      </c>
      <c r="T26" s="60">
        <f t="shared" si="2"/>
        <v>2569.8075915506156</v>
      </c>
      <c r="U26" s="60">
        <f t="shared" si="2"/>
        <v>2563.9720267014136</v>
      </c>
      <c r="V26" s="60">
        <f t="shared" si="3"/>
        <v>2558.1497133568078</v>
      </c>
      <c r="W26" s="60">
        <f t="shared" si="3"/>
        <v>2552.340621425044</v>
      </c>
      <c r="X26" s="60">
        <f t="shared" si="3"/>
        <v>2546.5447208827036</v>
      </c>
      <c r="Y26" s="60"/>
      <c r="Z26" s="549">
        <f t="shared" si="5"/>
        <v>2164.5630127502982</v>
      </c>
    </row>
    <row r="27" spans="1:26">
      <c r="A27" s="91">
        <f>INDEX([2]!ResApplic,MATCH(CONCATENATE(LEFT($D27,FIND("_",$D27)-1)," - ",$C$7),[2]APPLIC!$B$9:$B$201,0)+1,MATCH($C27,[2]APPLIC!$C$8:$F$8,0)+1)</f>
        <v>1.0278311581146856E-2</v>
      </c>
      <c r="B27" s="87">
        <f>VLOOKUP(RIGHT($D27,LEN(D27)-FIND("_",$D27)),Weighting!$D$16:$H$19,5,FALSE)</f>
        <v>5.302693394780917E-2</v>
      </c>
      <c r="C27" s="57" t="str">
        <f t="shared" si="6"/>
        <v>Multifamily - Low Rise</v>
      </c>
      <c r="D27" s="60" t="s">
        <v>228</v>
      </c>
      <c r="E27" s="60">
        <f t="shared" si="4"/>
        <v>504.82790668301379</v>
      </c>
      <c r="F27" s="60">
        <f t="shared" si="2"/>
        <v>503.68153448113316</v>
      </c>
      <c r="G27" s="60">
        <f t="shared" si="2"/>
        <v>502.53776548166621</v>
      </c>
      <c r="H27" s="60">
        <f t="shared" si="2"/>
        <v>501.39659377321487</v>
      </c>
      <c r="I27" s="60">
        <f t="shared" si="2"/>
        <v>500.25801345780405</v>
      </c>
      <c r="J27" s="60">
        <f t="shared" si="2"/>
        <v>499.12201865085268</v>
      </c>
      <c r="K27" s="60">
        <f t="shared" si="2"/>
        <v>497.98860348114187</v>
      </c>
      <c r="L27" s="60">
        <f t="shared" si="2"/>
        <v>496.85776209078534</v>
      </c>
      <c r="M27" s="60">
        <f t="shared" si="2"/>
        <v>495.72948863519923</v>
      </c>
      <c r="N27" s="60">
        <f t="shared" si="2"/>
        <v>494.60377728307157</v>
      </c>
      <c r="O27" s="60">
        <f t="shared" si="2"/>
        <v>493.48062221633222</v>
      </c>
      <c r="P27" s="60">
        <f t="shared" si="2"/>
        <v>492.36001763012268</v>
      </c>
      <c r="Q27" s="60">
        <f t="shared" si="2"/>
        <v>491.24195773276625</v>
      </c>
      <c r="R27" s="60">
        <f t="shared" si="2"/>
        <v>490.12643674573832</v>
      </c>
      <c r="S27" s="60">
        <f t="shared" si="2"/>
        <v>489.013448903636</v>
      </c>
      <c r="T27" s="60">
        <f t="shared" si="2"/>
        <v>487.90298845414884</v>
      </c>
      <c r="U27" s="60">
        <f t="shared" si="2"/>
        <v>486.79504965802852</v>
      </c>
      <c r="V27" s="60">
        <f t="shared" si="3"/>
        <v>485.68962678905967</v>
      </c>
      <c r="W27" s="60">
        <f t="shared" si="3"/>
        <v>484.5867141340301</v>
      </c>
      <c r="X27" s="60">
        <f t="shared" si="3"/>
        <v>483.48630599270132</v>
      </c>
      <c r="Y27" s="60"/>
      <c r="Z27" s="549">
        <f t="shared" si="5"/>
        <v>410.96336009379604</v>
      </c>
    </row>
    <row r="28" spans="1:26">
      <c r="A28" s="91">
        <f>INDEX([2]!ResApplic,MATCH(CONCATENATE(LEFT($D28,FIND("_",$D28)-1)," - ",$C$7),[2]APPLIC!$B$9:$B$201,0)+1,MATCH($C28,[2]APPLIC!$C$8:$F$8,0)+1)</f>
        <v>6.1309752137076318E-2</v>
      </c>
      <c r="B28" s="87">
        <f>VLOOKUP(RIGHT($D28,LEN(D28)-FIND("_",$D28)),Weighting!$D$16:$H$19,5,FALSE)</f>
        <v>5.302693394780917E-2</v>
      </c>
      <c r="C28" s="57" t="str">
        <f t="shared" si="6"/>
        <v>Multifamily - Low Rise</v>
      </c>
      <c r="D28" s="60" t="s">
        <v>229</v>
      </c>
      <c r="E28" s="60">
        <f t="shared" si="4"/>
        <v>3011.2799739780958</v>
      </c>
      <c r="F28" s="60">
        <f t="shared" si="2"/>
        <v>3004.441905779905</v>
      </c>
      <c r="G28" s="60">
        <f t="shared" si="2"/>
        <v>2997.6193655887691</v>
      </c>
      <c r="H28" s="60">
        <f t="shared" si="2"/>
        <v>2990.8123181434157</v>
      </c>
      <c r="I28" s="60">
        <f t="shared" si="2"/>
        <v>2984.0207282626388</v>
      </c>
      <c r="J28" s="60">
        <f t="shared" si="2"/>
        <v>2977.2445608451271</v>
      </c>
      <c r="K28" s="60">
        <f t="shared" si="2"/>
        <v>2970.4837808692769</v>
      </c>
      <c r="L28" s="60">
        <f t="shared" si="2"/>
        <v>2963.7383533930097</v>
      </c>
      <c r="M28" s="60">
        <f t="shared" si="2"/>
        <v>2957.0082435535974</v>
      </c>
      <c r="N28" s="60">
        <f t="shared" si="2"/>
        <v>2950.2934165674765</v>
      </c>
      <c r="O28" s="60">
        <f t="shared" si="2"/>
        <v>2943.5938377300727</v>
      </c>
      <c r="P28" s="60">
        <f t="shared" si="2"/>
        <v>2936.9094724156175</v>
      </c>
      <c r="Q28" s="60">
        <f t="shared" si="2"/>
        <v>2930.2402860769721</v>
      </c>
      <c r="R28" s="60">
        <f t="shared" si="2"/>
        <v>2923.5862442454481</v>
      </c>
      <c r="S28" s="60">
        <f t="shared" si="2"/>
        <v>2916.947312530629</v>
      </c>
      <c r="T28" s="60">
        <f t="shared" si="2"/>
        <v>2910.3234566201922</v>
      </c>
      <c r="U28" s="60">
        <f t="shared" si="2"/>
        <v>2903.7146422797332</v>
      </c>
      <c r="V28" s="60">
        <f t="shared" si="3"/>
        <v>2897.1208353525872</v>
      </c>
      <c r="W28" s="60">
        <f t="shared" si="3"/>
        <v>2890.5420017596512</v>
      </c>
      <c r="X28" s="60">
        <f t="shared" si="3"/>
        <v>2883.9781074992129</v>
      </c>
      <c r="Y28" s="60"/>
      <c r="Z28" s="549">
        <f t="shared" si="5"/>
        <v>2451.3813913743306</v>
      </c>
    </row>
    <row r="29" spans="1:26">
      <c r="A29" s="91">
        <f>INDEX([2]!ResApplic,MATCH(CONCATENATE(LEFT($D29,FIND("_",$D29)-1)," - ",$C$7),[2]APPLIC!$B$9:$B$201,0)+1,MATCH($C29,[2]APPLIC!$C$8:$F$8,0)+1)</f>
        <v>6.290255489213914E-2</v>
      </c>
      <c r="B29" s="87">
        <f>VLOOKUP(RIGHT($D29,LEN(D29)-FIND("_",$D29)),Weighting!$D$16:$H$19,5,FALSE)</f>
        <v>5.302693394780917E-2</v>
      </c>
      <c r="C29" s="57" t="str">
        <f t="shared" si="6"/>
        <v>Multifamily - Low Rise</v>
      </c>
      <c r="D29" s="60" t="s">
        <v>1206</v>
      </c>
      <c r="E29" s="60">
        <f t="shared" si="4"/>
        <v>3089.5118191842889</v>
      </c>
      <c r="F29" s="60">
        <f t="shared" si="2"/>
        <v>3082.496100718633</v>
      </c>
      <c r="G29" s="60">
        <f t="shared" si="2"/>
        <v>3075.4963136714232</v>
      </c>
      <c r="H29" s="60">
        <f t="shared" si="2"/>
        <v>3068.5124218653132</v>
      </c>
      <c r="I29" s="60">
        <f t="shared" si="2"/>
        <v>3061.5443892051044</v>
      </c>
      <c r="J29" s="60">
        <f t="shared" si="2"/>
        <v>3054.5921796775669</v>
      </c>
      <c r="K29" s="60">
        <f t="shared" si="2"/>
        <v>3047.6557573512491</v>
      </c>
      <c r="L29" s="60">
        <f t="shared" si="2"/>
        <v>3040.7350863762927</v>
      </c>
      <c r="M29" s="60">
        <f t="shared" si="2"/>
        <v>3033.8301309842486</v>
      </c>
      <c r="N29" s="60">
        <f t="shared" si="2"/>
        <v>3026.9408554878919</v>
      </c>
      <c r="O29" s="60">
        <f t="shared" si="2"/>
        <v>3020.067224281036</v>
      </c>
      <c r="P29" s="60">
        <f t="shared" si="2"/>
        <v>3013.2092018383496</v>
      </c>
      <c r="Q29" s="60">
        <f t="shared" si="2"/>
        <v>3006.366752715172</v>
      </c>
      <c r="R29" s="60">
        <f t="shared" si="2"/>
        <v>2999.5398415473337</v>
      </c>
      <c r="S29" s="60">
        <f t="shared" si="2"/>
        <v>2992.7284330509679</v>
      </c>
      <c r="T29" s="60">
        <f t="shared" si="2"/>
        <v>2985.9324920223321</v>
      </c>
      <c r="U29" s="60">
        <f t="shared" si="2"/>
        <v>2979.1519833376246</v>
      </c>
      <c r="V29" s="60">
        <f t="shared" si="3"/>
        <v>2972.3868719528054</v>
      </c>
      <c r="W29" s="60">
        <f t="shared" si="3"/>
        <v>2965.6371229034107</v>
      </c>
      <c r="X29" s="60">
        <f t="shared" si="3"/>
        <v>2958.9027013043751</v>
      </c>
      <c r="Y29" s="60"/>
      <c r="Z29" s="549">
        <f t="shared" si="5"/>
        <v>2515.0672961087189</v>
      </c>
    </row>
    <row r="30" spans="1:26">
      <c r="A30" s="91">
        <f>INDEX([2]!ResApplic,MATCH(CONCATENATE(LEFT($D30,FIND("_",$D30)-1)," - ",$C$7),[2]APPLIC!$B$9:$B$201,0)+1,MATCH($C30,[2]APPLIC!$C$8:$F$8,0)+1)</f>
        <v>9.7100069732044877E-3</v>
      </c>
      <c r="B30" s="87">
        <f>VLOOKUP(RIGHT($D30,LEN(D30)-FIND("_",$D30)),Weighting!$D$16:$H$19,5,FALSE)</f>
        <v>5.302693394780917E-2</v>
      </c>
      <c r="C30" s="57" t="str">
        <f t="shared" si="6"/>
        <v>Multifamily - Low Rise</v>
      </c>
      <c r="D30" s="60" t="s">
        <v>230</v>
      </c>
      <c r="E30" s="60">
        <f t="shared" si="4"/>
        <v>476.91514851054308</v>
      </c>
      <c r="F30" s="60">
        <f t="shared" si="2"/>
        <v>475.83216109706882</v>
      </c>
      <c r="G30" s="60">
        <f t="shared" si="2"/>
        <v>474.75163295070183</v>
      </c>
      <c r="H30" s="60">
        <f t="shared" si="2"/>
        <v>473.67355848689482</v>
      </c>
      <c r="I30" s="60">
        <f t="shared" si="2"/>
        <v>472.5979321337814</v>
      </c>
      <c r="J30" s="60">
        <f t="shared" si="2"/>
        <v>471.52474833214865</v>
      </c>
      <c r="K30" s="60">
        <f t="shared" si="2"/>
        <v>470.45400153540675</v>
      </c>
      <c r="L30" s="60">
        <f t="shared" si="2"/>
        <v>469.38568620956175</v>
      </c>
      <c r="M30" s="60">
        <f t="shared" si="2"/>
        <v>468.31979683318616</v>
      </c>
      <c r="N30" s="60">
        <f t="shared" si="2"/>
        <v>467.2563278973908</v>
      </c>
      <c r="O30" s="60">
        <f t="shared" si="2"/>
        <v>466.19527390579611</v>
      </c>
      <c r="P30" s="60">
        <f t="shared" si="2"/>
        <v>465.1366293745038</v>
      </c>
      <c r="Q30" s="60">
        <f t="shared" si="2"/>
        <v>464.08038883206837</v>
      </c>
      <c r="R30" s="60">
        <f t="shared" si="2"/>
        <v>463.02654681946922</v>
      </c>
      <c r="S30" s="60">
        <f t="shared" si="2"/>
        <v>461.975097890082</v>
      </c>
      <c r="T30" s="60">
        <f t="shared" si="2"/>
        <v>460.92603660965085</v>
      </c>
      <c r="U30" s="60">
        <f t="shared" si="2"/>
        <v>459.87935755625978</v>
      </c>
      <c r="V30" s="60">
        <f t="shared" si="3"/>
        <v>458.83505532030551</v>
      </c>
      <c r="W30" s="60">
        <f t="shared" si="3"/>
        <v>457.79312450446832</v>
      </c>
      <c r="X30" s="60">
        <f t="shared" si="3"/>
        <v>456.75355972368544</v>
      </c>
      <c r="Y30" s="60"/>
      <c r="Z30" s="549">
        <f t="shared" si="5"/>
        <v>388.24052576513259</v>
      </c>
    </row>
    <row r="31" spans="1:26">
      <c r="A31" s="91">
        <f>INDEX([2]!ResApplic,MATCH(CONCATENATE(LEFT($D31,FIND("_",$D31)-1)," - ",$C$7),[2]APPLIC!$B$9:$B$201,0)+1,MATCH($C31,[2]APPLIC!$C$8:$F$8,0)+1)</f>
        <v>0.14262615254337155</v>
      </c>
      <c r="B31" s="87">
        <f>VLOOKUP(RIGHT($D31,LEN(D31)-FIND("_",$D31)),Weighting!$D$16:$H$19,5,FALSE)</f>
        <v>5.302693394780917E-2</v>
      </c>
      <c r="C31" s="57" t="str">
        <f t="shared" si="6"/>
        <v>Multifamily - Low Rise</v>
      </c>
      <c r="D31" s="60" t="s">
        <v>231</v>
      </c>
      <c r="E31" s="60">
        <f t="shared" si="4"/>
        <v>7005.2032824917042</v>
      </c>
      <c r="F31" s="60">
        <f t="shared" si="2"/>
        <v>6989.2957421096025</v>
      </c>
      <c r="G31" s="60">
        <f t="shared" si="2"/>
        <v>6973.4243248535267</v>
      </c>
      <c r="H31" s="60">
        <f t="shared" si="2"/>
        <v>6957.5889486944388</v>
      </c>
      <c r="I31" s="60">
        <f t="shared" si="2"/>
        <v>6941.7895317895727</v>
      </c>
      <c r="J31" s="60">
        <f t="shared" si="2"/>
        <v>6926.0259924820157</v>
      </c>
      <c r="K31" s="60">
        <f t="shared" si="2"/>
        <v>6910.2982493002801</v>
      </c>
      <c r="L31" s="60">
        <f t="shared" si="2"/>
        <v>6894.6062209578822</v>
      </c>
      <c r="M31" s="60">
        <f t="shared" si="2"/>
        <v>6878.9498263529331</v>
      </c>
      <c r="N31" s="60">
        <f t="shared" si="2"/>
        <v>6863.3289845677054</v>
      </c>
      <c r="O31" s="60">
        <f t="shared" si="2"/>
        <v>6847.7436148682236</v>
      </c>
      <c r="P31" s="60">
        <f t="shared" si="2"/>
        <v>6832.1936367038443</v>
      </c>
      <c r="Q31" s="60">
        <f t="shared" si="2"/>
        <v>6816.6789697068361</v>
      </c>
      <c r="R31" s="60">
        <f t="shared" si="2"/>
        <v>6801.1995336919745</v>
      </c>
      <c r="S31" s="60">
        <f t="shared" si="2"/>
        <v>6785.7552486561162</v>
      </c>
      <c r="T31" s="60">
        <f t="shared" si="2"/>
        <v>6770.3460347777927</v>
      </c>
      <c r="U31" s="60">
        <f t="shared" si="2"/>
        <v>6754.971812416793</v>
      </c>
      <c r="V31" s="60">
        <f t="shared" si="3"/>
        <v>6739.63250211376</v>
      </c>
      <c r="W31" s="60">
        <f t="shared" si="3"/>
        <v>6724.3280245897658</v>
      </c>
      <c r="X31" s="60">
        <f t="shared" si="3"/>
        <v>6709.058300745919</v>
      </c>
      <c r="Y31" s="60"/>
      <c r="Z31" s="549">
        <f t="shared" si="5"/>
        <v>5702.6995556340316</v>
      </c>
    </row>
    <row r="32" spans="1:26">
      <c r="A32" s="91">
        <f>INDEX([2]!ResApplic,MATCH(CONCATENATE(LEFT($D32,FIND("_",$D32)-1)," - ",$C$7),[2]APPLIC!$B$9:$B$201,0)+1,MATCH($C32,[2]APPLIC!$C$8:$F$8,0)+1)</f>
        <v>2.9895898862292738E-2</v>
      </c>
      <c r="B32" s="87">
        <f>VLOOKUP(RIGHT($D32,LEN(D32)-FIND("_",$D32)),Weighting!$D$16:$H$19,5,FALSE)</f>
        <v>5.302693394780917E-2</v>
      </c>
      <c r="C32" s="57" t="str">
        <f t="shared" si="6"/>
        <v>Multifamily - Low Rise</v>
      </c>
      <c r="D32" s="60" t="s">
        <v>237</v>
      </c>
      <c r="E32" s="60">
        <f t="shared" si="4"/>
        <v>1468.3621839934856</v>
      </c>
      <c r="F32" s="60">
        <f t="shared" si="2"/>
        <v>1465.0278009933797</v>
      </c>
      <c r="G32" s="60">
        <f t="shared" si="2"/>
        <v>1461.7009897695784</v>
      </c>
      <c r="H32" s="60">
        <f t="shared" si="2"/>
        <v>1458.3817331279572</v>
      </c>
      <c r="I32" s="60">
        <f t="shared" si="2"/>
        <v>1455.0700139134362</v>
      </c>
      <c r="J32" s="60">
        <f t="shared" si="2"/>
        <v>1451.7658150098923</v>
      </c>
      <c r="K32" s="60">
        <f t="shared" si="2"/>
        <v>1448.469119340069</v>
      </c>
      <c r="L32" s="60">
        <f t="shared" si="2"/>
        <v>1445.1799098654892</v>
      </c>
      <c r="M32" s="60">
        <f t="shared" si="2"/>
        <v>1441.8981695863674</v>
      </c>
      <c r="N32" s="60">
        <f t="shared" si="2"/>
        <v>1438.6238815415222</v>
      </c>
      <c r="O32" s="60">
        <f t="shared" si="2"/>
        <v>1435.3570288082869</v>
      </c>
      <c r="P32" s="60">
        <f t="shared" si="2"/>
        <v>1432.0975945024236</v>
      </c>
      <c r="Q32" s="60">
        <f t="shared" si="2"/>
        <v>1428.8455617780348</v>
      </c>
      <c r="R32" s="60">
        <f t="shared" si="2"/>
        <v>1425.6009138274783</v>
      </c>
      <c r="S32" s="60">
        <f t="shared" si="2"/>
        <v>1422.3636338812773</v>
      </c>
      <c r="T32" s="60">
        <f t="shared" si="2"/>
        <v>1419.1337052080371</v>
      </c>
      <c r="U32" s="60">
        <f t="shared" si="2"/>
        <v>1415.9111111143552</v>
      </c>
      <c r="V32" s="60">
        <f t="shared" si="3"/>
        <v>1412.6958349447384</v>
      </c>
      <c r="W32" s="60">
        <f t="shared" si="3"/>
        <v>1409.4878600815143</v>
      </c>
      <c r="X32" s="60">
        <f t="shared" si="3"/>
        <v>1406.2871699447458</v>
      </c>
      <c r="Y32" s="60"/>
      <c r="Z32" s="549">
        <f t="shared" si="5"/>
        <v>1195.3440944530339</v>
      </c>
    </row>
    <row r="33" spans="1:26">
      <c r="A33" s="91">
        <f>INDEX([2]!ResApplic,MATCH(CONCATENATE(LEFT($D33,FIND("_",$D33)-1)," - ",$C$7),[2]APPLIC!$B$9:$B$201,0)+1,MATCH($C33,[2]APPLIC!$C$8:$F$8,0)+1)</f>
        <v>0.16174038870037966</v>
      </c>
      <c r="B33" s="87">
        <f>VLOOKUP(RIGHT($D33,LEN(D33)-FIND("_",$D33)),Weighting!$D$16:$H$19,5,FALSE)</f>
        <v>5.302693394780917E-2</v>
      </c>
      <c r="C33" s="57" t="str">
        <f t="shared" si="6"/>
        <v>Multifamily - Low Rise</v>
      </c>
      <c r="D33" s="60" t="s">
        <v>238</v>
      </c>
      <c r="E33" s="60">
        <f t="shared" si="4"/>
        <v>7944.0150465451243</v>
      </c>
      <c r="F33" s="60">
        <f t="shared" si="2"/>
        <v>7925.975635688229</v>
      </c>
      <c r="G33" s="60">
        <f t="shared" si="2"/>
        <v>7907.9771890468037</v>
      </c>
      <c r="H33" s="60">
        <f t="shared" si="2"/>
        <v>7890.0196135985807</v>
      </c>
      <c r="I33" s="60">
        <f t="shared" si="2"/>
        <v>7872.1028165325197</v>
      </c>
      <c r="J33" s="60">
        <f t="shared" si="2"/>
        <v>7854.226705248353</v>
      </c>
      <c r="K33" s="60">
        <f t="shared" si="2"/>
        <v>7836.3911873560764</v>
      </c>
      <c r="L33" s="60">
        <f t="shared" si="2"/>
        <v>7818.5961706754933</v>
      </c>
      <c r="M33" s="60">
        <f t="shared" si="2"/>
        <v>7800.8415632357319</v>
      </c>
      <c r="N33" s="60">
        <f t="shared" si="2"/>
        <v>7783.1272732747693</v>
      </c>
      <c r="O33" s="60">
        <f t="shared" si="2"/>
        <v>7765.4532092389563</v>
      </c>
      <c r="P33" s="60">
        <f t="shared" si="2"/>
        <v>7747.8192797825441</v>
      </c>
      <c r="Q33" s="60">
        <f t="shared" si="2"/>
        <v>7730.2253937672149</v>
      </c>
      <c r="R33" s="60">
        <f t="shared" si="2"/>
        <v>7712.6714602616121</v>
      </c>
      <c r="S33" s="60">
        <f t="shared" si="2"/>
        <v>7695.1573885408625</v>
      </c>
      <c r="T33" s="60">
        <f t="shared" si="2"/>
        <v>7677.6830880861171</v>
      </c>
      <c r="U33" s="60">
        <f t="shared" si="2"/>
        <v>7660.2484685840727</v>
      </c>
      <c r="V33" s="60">
        <f t="shared" si="3"/>
        <v>7642.85343992652</v>
      </c>
      <c r="W33" s="60">
        <f t="shared" si="3"/>
        <v>7625.4979122098612</v>
      </c>
      <c r="X33" s="60">
        <f t="shared" si="3"/>
        <v>7608.1817957346566</v>
      </c>
      <c r="Y33" s="60"/>
      <c r="Z33" s="549">
        <f t="shared" si="5"/>
        <v>6466.9545263744576</v>
      </c>
    </row>
    <row r="34" spans="1:26">
      <c r="A34" s="91">
        <f>INDEX([2]!ResApplic,MATCH(CONCATENATE(LEFT($D34,FIND("_",$D34)-1)," - ",$C$7),[2]APPLIC!$B$9:$B$201,0)+1,MATCH($C34,[2]APPLIC!$C$8:$F$8,0)+1)</f>
        <v>0.11958359544917095</v>
      </c>
      <c r="B34" s="87">
        <f>VLOOKUP(RIGHT($D34,LEN(D34)-FIND("_",$D34)),Weighting!$D$16:$H$19,5,FALSE)</f>
        <v>5.302693394780917E-2</v>
      </c>
      <c r="C34" s="57" t="str">
        <f t="shared" si="6"/>
        <v>Multifamily - Low Rise</v>
      </c>
      <c r="D34" s="60" t="s">
        <v>235</v>
      </c>
      <c r="E34" s="60">
        <f t="shared" si="4"/>
        <v>5873.4487359739423</v>
      </c>
      <c r="F34" s="60">
        <f t="shared" si="2"/>
        <v>5860.111203973519</v>
      </c>
      <c r="G34" s="60">
        <f t="shared" si="2"/>
        <v>5846.8039590783137</v>
      </c>
      <c r="H34" s="60">
        <f t="shared" si="2"/>
        <v>5833.5269325118288</v>
      </c>
      <c r="I34" s="60">
        <f t="shared" si="2"/>
        <v>5820.280055653745</v>
      </c>
      <c r="J34" s="60">
        <f t="shared" si="2"/>
        <v>5807.0632600395693</v>
      </c>
      <c r="K34" s="60">
        <f t="shared" si="2"/>
        <v>5793.8764773602761</v>
      </c>
      <c r="L34" s="60">
        <f t="shared" si="2"/>
        <v>5780.7196394619568</v>
      </c>
      <c r="M34" s="60">
        <f t="shared" si="2"/>
        <v>5767.5926783454697</v>
      </c>
      <c r="N34" s="60">
        <f t="shared" si="2"/>
        <v>5754.4955261660889</v>
      </c>
      <c r="O34" s="60">
        <f t="shared" si="2"/>
        <v>5741.4281152331478</v>
      </c>
      <c r="P34" s="60">
        <f t="shared" si="2"/>
        <v>5728.3903780096944</v>
      </c>
      <c r="Q34" s="60">
        <f t="shared" si="2"/>
        <v>5715.3822471121393</v>
      </c>
      <c r="R34" s="60">
        <f t="shared" si="2"/>
        <v>5702.4036553099131</v>
      </c>
      <c r="S34" s="60">
        <f t="shared" si="2"/>
        <v>5689.4545355251093</v>
      </c>
      <c r="T34" s="60">
        <f t="shared" si="2"/>
        <v>5676.5348208321484</v>
      </c>
      <c r="U34" s="60">
        <f t="shared" si="2"/>
        <v>5663.6444444574208</v>
      </c>
      <c r="V34" s="60">
        <f t="shared" si="3"/>
        <v>5650.7833397789536</v>
      </c>
      <c r="W34" s="60">
        <f t="shared" si="3"/>
        <v>5637.9514403260573</v>
      </c>
      <c r="X34" s="60">
        <f t="shared" si="3"/>
        <v>5625.148679778983</v>
      </c>
      <c r="Y34" s="60"/>
      <c r="Z34" s="549">
        <f t="shared" si="5"/>
        <v>4781.3763778121356</v>
      </c>
    </row>
    <row r="35" spans="1:26">
      <c r="A35" s="91">
        <f>INDEX([2]!ResApplic,MATCH(CONCATENATE(LEFT($D35,FIND("_",$D35)-1)," - ",$C$7),[2]APPLIC!$B$9:$B$201,0)+1,MATCH($C35,[2]APPLIC!$C$8:$F$8,0)+1)</f>
        <v>0.64696155480151862</v>
      </c>
      <c r="B35" s="87">
        <f>VLOOKUP(RIGHT($D35,LEN(D35)-FIND("_",$D35)),Weighting!$D$16:$H$19,5,FALSE)</f>
        <v>5.302693394780917E-2</v>
      </c>
      <c r="C35" s="57" t="str">
        <f t="shared" si="6"/>
        <v>Multifamily - Low Rise</v>
      </c>
      <c r="D35" s="60" t="s">
        <v>236</v>
      </c>
      <c r="E35" s="60">
        <f t="shared" si="4"/>
        <v>31776.060186180497</v>
      </c>
      <c r="F35" s="60">
        <f t="shared" si="2"/>
        <v>31703.902542752916</v>
      </c>
      <c r="G35" s="60">
        <f t="shared" si="2"/>
        <v>31631.908756187215</v>
      </c>
      <c r="H35" s="60">
        <f t="shared" si="2"/>
        <v>31560.078454394323</v>
      </c>
      <c r="I35" s="60">
        <f t="shared" si="2"/>
        <v>31488.411266130079</v>
      </c>
      <c r="J35" s="60">
        <f t="shared" si="2"/>
        <v>31416.906820993412</v>
      </c>
      <c r="K35" s="60">
        <f t="shared" si="2"/>
        <v>31345.564749424306</v>
      </c>
      <c r="L35" s="60">
        <f t="shared" si="2"/>
        <v>31274.384682701973</v>
      </c>
      <c r="M35" s="60">
        <f t="shared" si="2"/>
        <v>31203.366252942928</v>
      </c>
      <c r="N35" s="60">
        <f t="shared" si="2"/>
        <v>31132.509093099077</v>
      </c>
      <c r="O35" s="60">
        <f t="shared" si="2"/>
        <v>31061.812836955825</v>
      </c>
      <c r="P35" s="60">
        <f t="shared" si="2"/>
        <v>30991.277119130176</v>
      </c>
      <c r="Q35" s="60">
        <f t="shared" si="2"/>
        <v>30920.90157506886</v>
      </c>
      <c r="R35" s="60">
        <f t="shared" si="2"/>
        <v>30850.685841046448</v>
      </c>
      <c r="S35" s="60">
        <f t="shared" si="2"/>
        <v>30780.62955416345</v>
      </c>
      <c r="T35" s="60">
        <f t="shared" si="2"/>
        <v>30710.732352344468</v>
      </c>
      <c r="U35" s="60">
        <f t="shared" si="2"/>
        <v>30640.993874336291</v>
      </c>
      <c r="V35" s="60">
        <f t="shared" si="3"/>
        <v>30571.41375970608</v>
      </c>
      <c r="W35" s="60">
        <f t="shared" si="3"/>
        <v>30501.991648839445</v>
      </c>
      <c r="X35" s="60">
        <f t="shared" si="3"/>
        <v>30432.727182938626</v>
      </c>
      <c r="Y35" s="60"/>
      <c r="Z35" s="549">
        <f t="shared" si="5"/>
        <v>25867.81810549783</v>
      </c>
    </row>
    <row r="36" spans="1:26">
      <c r="A36" s="91">
        <f>INDEX([2]!ResApplic,MATCH(CONCATENATE(LEFT($D36,FIND("_",$D36)-1)," - ",$C$7),[2]APPLIC!$B$9:$B$201,0)+1,MATCH($C36,[2]APPLIC!$C$8:$F$8,0)+1)</f>
        <v>7.6999999999999957E-2</v>
      </c>
      <c r="B36" s="87">
        <f>VLOOKUP(RIGHT($D36,LEN(D36)-FIND("_",$D36)),Weighting!$D$16:$H$19,5,FALSE)</f>
        <v>1.6319173126358888E-2</v>
      </c>
      <c r="C36" s="57" t="str">
        <f t="shared" si="6"/>
        <v>Multifamily - Low Rise</v>
      </c>
      <c r="D36" s="60" t="s">
        <v>221</v>
      </c>
      <c r="E36" s="60">
        <f t="shared" si="4"/>
        <v>1163.8953521039346</v>
      </c>
      <c r="F36" s="60">
        <f t="shared" si="4"/>
        <v>1161.2523578084792</v>
      </c>
      <c r="G36" s="60">
        <f t="shared" si="4"/>
        <v>1158.6153652715429</v>
      </c>
      <c r="H36" s="60">
        <f t="shared" si="4"/>
        <v>1155.9843608642273</v>
      </c>
      <c r="I36" s="60">
        <f t="shared" si="4"/>
        <v>1153.3593309885794</v>
      </c>
      <c r="J36" s="60">
        <f t="shared" si="4"/>
        <v>1150.7402620775274</v>
      </c>
      <c r="K36" s="60">
        <f t="shared" si="4"/>
        <v>1148.1271405948064</v>
      </c>
      <c r="L36" s="60">
        <f t="shared" si="4"/>
        <v>1145.5199530348898</v>
      </c>
      <c r="M36" s="60">
        <f t="shared" si="4"/>
        <v>1142.9186859229205</v>
      </c>
      <c r="N36" s="60">
        <f t="shared" si="4"/>
        <v>1140.3233258146397</v>
      </c>
      <c r="O36" s="60">
        <f t="shared" si="4"/>
        <v>1137.7338592963179</v>
      </c>
      <c r="P36" s="60">
        <f t="shared" si="4"/>
        <v>1135.150272984687</v>
      </c>
      <c r="Q36" s="60">
        <f t="shared" si="4"/>
        <v>1132.5725535268675</v>
      </c>
      <c r="R36" s="60">
        <f t="shared" si="4"/>
        <v>1130.0006876003044</v>
      </c>
      <c r="S36" s="60">
        <f t="shared" si="4"/>
        <v>1127.4346619126945</v>
      </c>
      <c r="T36" s="60">
        <f t="shared" si="4"/>
        <v>1124.8744632019191</v>
      </c>
      <c r="U36" s="60">
        <f t="shared" ref="U36:X48" si="7">$A36*VLOOKUP($C36,$C$13:$Y$16,U$22,FALSE)*$B36</f>
        <v>1122.3200782359747</v>
      </c>
      <c r="V36" s="60">
        <f t="shared" si="3"/>
        <v>1119.7714938129072</v>
      </c>
      <c r="W36" s="60">
        <f t="shared" si="3"/>
        <v>1117.2286967607395</v>
      </c>
      <c r="X36" s="60">
        <f t="shared" si="3"/>
        <v>1114.6916739374071</v>
      </c>
      <c r="Y36" s="60"/>
      <c r="Z36" s="549">
        <f t="shared" si="5"/>
        <v>947.48792284679621</v>
      </c>
    </row>
    <row r="37" spans="1:26">
      <c r="A37" s="91">
        <f>INDEX([2]!ResApplic,MATCH(CONCATENATE(LEFT($D37,FIND("_",$D37)-1)," - ",$C$7),[2]APPLIC!$B$9:$B$201,0)+1,MATCH($C37,[2]APPLIC!$C$8:$F$8,0)+1)</f>
        <v>2.0626779203887391E-2</v>
      </c>
      <c r="B37" s="87">
        <f>VLOOKUP(RIGHT($D37,LEN(D37)-FIND("_",$D37)),Weighting!$D$16:$H$19,5,FALSE)</f>
        <v>1.6319173126358888E-2</v>
      </c>
      <c r="C37" s="57" t="str">
        <f t="shared" si="6"/>
        <v>Multifamily - Low Rise</v>
      </c>
      <c r="D37" s="60" t="s">
        <v>222</v>
      </c>
      <c r="E37" s="60">
        <f t="shared" ref="E37:T49" si="8">$A37*VLOOKUP($C37,$C$13:$Y$16,E$22,FALSE)*$B37</f>
        <v>311.78457719842402</v>
      </c>
      <c r="F37" s="60">
        <f t="shared" si="8"/>
        <v>311.07657122739153</v>
      </c>
      <c r="G37" s="60">
        <f t="shared" si="8"/>
        <v>310.37017300892819</v>
      </c>
      <c r="H37" s="60">
        <f t="shared" si="8"/>
        <v>309.66537889212094</v>
      </c>
      <c r="I37" s="60">
        <f t="shared" si="8"/>
        <v>308.96218523434698</v>
      </c>
      <c r="J37" s="60">
        <f t="shared" si="8"/>
        <v>308.26058840125563</v>
      </c>
      <c r="K37" s="60">
        <f t="shared" si="8"/>
        <v>307.56058476674883</v>
      </c>
      <c r="L37" s="60">
        <f t="shared" si="8"/>
        <v>306.86217071296284</v>
      </c>
      <c r="M37" s="60">
        <f t="shared" si="8"/>
        <v>306.16534263024954</v>
      </c>
      <c r="N37" s="60">
        <f t="shared" si="8"/>
        <v>305.47009691715743</v>
      </c>
      <c r="O37" s="60">
        <f t="shared" si="8"/>
        <v>304.77642998041358</v>
      </c>
      <c r="P37" s="60">
        <f t="shared" si="8"/>
        <v>304.08433823490446</v>
      </c>
      <c r="Q37" s="60">
        <f t="shared" si="8"/>
        <v>303.39381810365774</v>
      </c>
      <c r="R37" s="60">
        <f t="shared" si="8"/>
        <v>302.70486601782375</v>
      </c>
      <c r="S37" s="60">
        <f t="shared" si="8"/>
        <v>302.01747841665707</v>
      </c>
      <c r="T37" s="60">
        <f t="shared" si="8"/>
        <v>301.33165174749803</v>
      </c>
      <c r="U37" s="60">
        <f t="shared" si="7"/>
        <v>300.64738246575439</v>
      </c>
      <c r="V37" s="60">
        <f t="shared" si="3"/>
        <v>299.96466703488323</v>
      </c>
      <c r="W37" s="60">
        <f t="shared" si="3"/>
        <v>299.28350192637208</v>
      </c>
      <c r="X37" s="60">
        <f t="shared" si="3"/>
        <v>298.60388361972139</v>
      </c>
      <c r="Y37" s="60"/>
      <c r="Z37" s="549">
        <f t="shared" si="5"/>
        <v>253.81330107676322</v>
      </c>
    </row>
    <row r="38" spans="1:26">
      <c r="A38" s="91">
        <f>INDEX([2]!ResApplic,MATCH(CONCATENATE(LEFT($D38,FIND("_",$D38)-1)," - ",$C$7),[2]APPLIC!$B$9:$B$201,0)+1,MATCH($C38,[2]APPLIC!$C$8:$F$8,0)+1)</f>
        <v>0.22837322079611261</v>
      </c>
      <c r="B38" s="87">
        <f>VLOOKUP(RIGHT($D38,LEN(D38)-FIND("_",$D38)),Weighting!$D$16:$H$19,5,FALSE)</f>
        <v>1.6319173126358888E-2</v>
      </c>
      <c r="C38" s="57" t="str">
        <f t="shared" si="6"/>
        <v>Multifamily - Low Rise</v>
      </c>
      <c r="D38" s="60" t="s">
        <v>223</v>
      </c>
      <c r="E38" s="60">
        <f t="shared" si="8"/>
        <v>3451.9809120727436</v>
      </c>
      <c r="F38" s="60">
        <f t="shared" si="8"/>
        <v>3444.1420923350947</v>
      </c>
      <c r="G38" s="60">
        <f t="shared" si="8"/>
        <v>3436.3210731289209</v>
      </c>
      <c r="H38" s="60">
        <f t="shared" si="8"/>
        <v>3428.5178140324601</v>
      </c>
      <c r="I38" s="60">
        <f t="shared" si="8"/>
        <v>3420.7322747157368</v>
      </c>
      <c r="J38" s="60">
        <f t="shared" si="8"/>
        <v>3412.9644149403612</v>
      </c>
      <c r="K38" s="60">
        <f t="shared" si="8"/>
        <v>3405.2141945593157</v>
      </c>
      <c r="L38" s="60">
        <f t="shared" si="8"/>
        <v>3397.4815735167476</v>
      </c>
      <c r="M38" s="60">
        <f t="shared" si="8"/>
        <v>3389.766511847768</v>
      </c>
      <c r="N38" s="60">
        <f t="shared" si="8"/>
        <v>3382.0689696782374</v>
      </c>
      <c r="O38" s="60">
        <f t="shared" si="8"/>
        <v>3374.3889072245652</v>
      </c>
      <c r="P38" s="60">
        <f t="shared" si="8"/>
        <v>3366.7262847935008</v>
      </c>
      <c r="Q38" s="60">
        <f t="shared" si="8"/>
        <v>3359.0810627819292</v>
      </c>
      <c r="R38" s="60">
        <f t="shared" si="8"/>
        <v>3351.4532016766698</v>
      </c>
      <c r="S38" s="60">
        <f t="shared" si="8"/>
        <v>3343.8426620542668</v>
      </c>
      <c r="T38" s="60">
        <f t="shared" si="8"/>
        <v>3336.249404580788</v>
      </c>
      <c r="U38" s="60">
        <f t="shared" si="7"/>
        <v>3328.673390011621</v>
      </c>
      <c r="V38" s="60">
        <f t="shared" si="3"/>
        <v>3321.1145791912732</v>
      </c>
      <c r="W38" s="60">
        <f t="shared" si="3"/>
        <v>3313.5729330531644</v>
      </c>
      <c r="X38" s="60">
        <f t="shared" si="3"/>
        <v>3306.0484126194287</v>
      </c>
      <c r="Y38" s="60"/>
      <c r="Z38" s="549">
        <f t="shared" si="5"/>
        <v>2810.1411507265143</v>
      </c>
    </row>
    <row r="39" spans="1:26">
      <c r="A39" s="91">
        <f>INDEX([2]!ResApplic,MATCH(CONCATENATE(LEFT($D39,FIND("_",$D39)-1)," - ",$C$7),[2]APPLIC!$B$9:$B$201,0)+1,MATCH($C39,[2]APPLIC!$C$8:$F$8,0)+1)</f>
        <v>5.4136342171710254E-2</v>
      </c>
      <c r="B39" s="87">
        <f>VLOOKUP(RIGHT($D39,LEN(D39)-FIND("_",$D39)),Weighting!$D$16:$H$19,5,FALSE)</f>
        <v>1.6319173126358888E-2</v>
      </c>
      <c r="C39" s="57" t="str">
        <f t="shared" si="6"/>
        <v>Multifamily - Low Rise</v>
      </c>
      <c r="D39" s="60" t="s">
        <v>1207</v>
      </c>
      <c r="E39" s="60">
        <f t="shared" si="8"/>
        <v>818.29918225404981</v>
      </c>
      <c r="F39" s="60">
        <f t="shared" si="8"/>
        <v>816.44097389643071</v>
      </c>
      <c r="G39" s="60">
        <f t="shared" si="8"/>
        <v>814.58698519144616</v>
      </c>
      <c r="H39" s="60">
        <f t="shared" si="8"/>
        <v>812.73720655703403</v>
      </c>
      <c r="I39" s="60">
        <f t="shared" si="8"/>
        <v>810.8916284328908</v>
      </c>
      <c r="J39" s="60">
        <f t="shared" si="8"/>
        <v>809.05024128042328</v>
      </c>
      <c r="K39" s="60">
        <f t="shared" si="8"/>
        <v>807.21303558269824</v>
      </c>
      <c r="L39" s="60">
        <f t="shared" si="8"/>
        <v>805.38000184439341</v>
      </c>
      <c r="M39" s="60">
        <f t="shared" si="8"/>
        <v>803.55113059174937</v>
      </c>
      <c r="N39" s="60">
        <f t="shared" si="8"/>
        <v>801.72641237251946</v>
      </c>
      <c r="O39" s="60">
        <f t="shared" si="8"/>
        <v>799.90583775592154</v>
      </c>
      <c r="P39" s="60">
        <f t="shared" si="8"/>
        <v>798.08939733258887</v>
      </c>
      <c r="Q39" s="60">
        <f t="shared" si="8"/>
        <v>796.27708171452173</v>
      </c>
      <c r="R39" s="60">
        <f t="shared" si="8"/>
        <v>794.46888153503892</v>
      </c>
      <c r="S39" s="60">
        <f t="shared" si="8"/>
        <v>792.66478744872916</v>
      </c>
      <c r="T39" s="60">
        <f t="shared" si="8"/>
        <v>790.86479013140286</v>
      </c>
      <c r="U39" s="60">
        <f t="shared" si="7"/>
        <v>789.06888028004403</v>
      </c>
      <c r="V39" s="60">
        <f t="shared" si="7"/>
        <v>787.27704861276254</v>
      </c>
      <c r="W39" s="60">
        <f t="shared" si="7"/>
        <v>785.48928586874479</v>
      </c>
      <c r="X39" s="60">
        <f t="shared" si="7"/>
        <v>783.70558280820762</v>
      </c>
      <c r="Y39" s="60"/>
      <c r="Z39" s="549">
        <f t="shared" si="5"/>
        <v>666.14974538697641</v>
      </c>
    </row>
    <row r="40" spans="1:26">
      <c r="A40" s="91">
        <f>INDEX([2]!ResApplic,MATCH(CONCATENATE(LEFT($D40,FIND("_",$D40)-1)," - ",$C$7),[2]APPLIC!$B$9:$B$201,0)+1,MATCH($C40,[2]APPLIC!$C$8:$F$8,0)+1)</f>
        <v>1.0278311581146856E-2</v>
      </c>
      <c r="B40" s="87">
        <f>VLOOKUP(RIGHT($D40,LEN(D40)-FIND("_",$D40)),Weighting!$D$16:$H$19,5,FALSE)</f>
        <v>1.6319173126358888E-2</v>
      </c>
      <c r="C40" s="57" t="str">
        <f t="shared" si="6"/>
        <v>Multifamily - Low Rise</v>
      </c>
      <c r="D40" s="60" t="s">
        <v>217</v>
      </c>
      <c r="E40" s="60">
        <f t="shared" si="8"/>
        <v>155.36206593211529</v>
      </c>
      <c r="F40" s="60">
        <f t="shared" si="8"/>
        <v>155.0092669856752</v>
      </c>
      <c r="G40" s="60">
        <f t="shared" si="8"/>
        <v>154.65726918136627</v>
      </c>
      <c r="H40" s="60">
        <f t="shared" si="8"/>
        <v>154.30607069994079</v>
      </c>
      <c r="I40" s="60">
        <f t="shared" si="8"/>
        <v>153.955669726282</v>
      </c>
      <c r="J40" s="60">
        <f t="shared" si="8"/>
        <v>153.60606444939515</v>
      </c>
      <c r="K40" s="60">
        <f t="shared" si="8"/>
        <v>153.25725306239781</v>
      </c>
      <c r="L40" s="60">
        <f t="shared" si="8"/>
        <v>152.90923376251061</v>
      </c>
      <c r="M40" s="60">
        <f t="shared" si="8"/>
        <v>152.56200475104811</v>
      </c>
      <c r="N40" s="60">
        <f t="shared" si="8"/>
        <v>152.21556423340928</v>
      </c>
      <c r="O40" s="60">
        <f t="shared" si="8"/>
        <v>151.86991041906833</v>
      </c>
      <c r="P40" s="60">
        <f t="shared" si="8"/>
        <v>151.52504152156533</v>
      </c>
      <c r="Q40" s="60">
        <f t="shared" si="8"/>
        <v>151.18095575849713</v>
      </c>
      <c r="R40" s="60">
        <f t="shared" si="8"/>
        <v>150.83765135150816</v>
      </c>
      <c r="S40" s="60">
        <f t="shared" si="8"/>
        <v>150.4951265262811</v>
      </c>
      <c r="T40" s="60">
        <f t="shared" si="8"/>
        <v>150.15337951252786</v>
      </c>
      <c r="U40" s="60">
        <f t="shared" si="7"/>
        <v>149.81240854398018</v>
      </c>
      <c r="V40" s="60">
        <f t="shared" si="7"/>
        <v>149.47221185838086</v>
      </c>
      <c r="W40" s="60">
        <f t="shared" si="7"/>
        <v>149.13278769747436</v>
      </c>
      <c r="X40" s="60">
        <f t="shared" si="7"/>
        <v>148.79413430699785</v>
      </c>
      <c r="Y40" s="60"/>
      <c r="Z40" s="549">
        <f t="shared" si="5"/>
        <v>126.47501416094819</v>
      </c>
    </row>
    <row r="41" spans="1:26">
      <c r="A41" s="91">
        <f>INDEX([2]!ResApplic,MATCH(CONCATENATE(LEFT($D41,FIND("_",$D41)-1)," - ",$C$7),[2]APPLIC!$B$9:$B$201,0)+1,MATCH($C41,[2]APPLIC!$C$8:$F$8,0)+1)</f>
        <v>6.1309752137076318E-2</v>
      </c>
      <c r="B41" s="87">
        <f>VLOOKUP(RIGHT($D41,LEN(D41)-FIND("_",$D41)),Weighting!$D$16:$H$19,5,FALSE)</f>
        <v>1.6319173126358888E-2</v>
      </c>
      <c r="C41" s="57" t="str">
        <f t="shared" si="6"/>
        <v>Multifamily - Low Rise</v>
      </c>
      <c r="D41" s="60" t="s">
        <v>218</v>
      </c>
      <c r="E41" s="60">
        <f t="shared" si="8"/>
        <v>926.72903312970709</v>
      </c>
      <c r="F41" s="60">
        <f t="shared" si="8"/>
        <v>924.62460033549803</v>
      </c>
      <c r="G41" s="60">
        <f t="shared" si="8"/>
        <v>922.52494632475953</v>
      </c>
      <c r="H41" s="60">
        <f t="shared" si="8"/>
        <v>920.43006024574549</v>
      </c>
      <c r="I41" s="60">
        <f t="shared" si="8"/>
        <v>918.33993127135079</v>
      </c>
      <c r="J41" s="60">
        <f t="shared" si="8"/>
        <v>916.25454859905824</v>
      </c>
      <c r="K41" s="60">
        <f t="shared" si="8"/>
        <v>914.17390145088052</v>
      </c>
      <c r="L41" s="60">
        <f t="shared" si="8"/>
        <v>912.09797907330437</v>
      </c>
      <c r="M41" s="60">
        <f t="shared" si="8"/>
        <v>910.02677073723726</v>
      </c>
      <c r="N41" s="60">
        <f t="shared" si="8"/>
        <v>907.9602657379495</v>
      </c>
      <c r="O41" s="60">
        <f t="shared" si="8"/>
        <v>905.89845339502028</v>
      </c>
      <c r="P41" s="60">
        <f t="shared" si="8"/>
        <v>903.84132305228195</v>
      </c>
      <c r="Q41" s="60">
        <f t="shared" si="8"/>
        <v>901.78886407776486</v>
      </c>
      <c r="R41" s="60">
        <f t="shared" si="8"/>
        <v>899.74106586364326</v>
      </c>
      <c r="S41" s="60">
        <f t="shared" si="8"/>
        <v>897.69791782617904</v>
      </c>
      <c r="T41" s="60">
        <f t="shared" si="8"/>
        <v>895.65940940566838</v>
      </c>
      <c r="U41" s="60">
        <f t="shared" si="7"/>
        <v>893.62553006638655</v>
      </c>
      <c r="V41" s="60">
        <f t="shared" si="7"/>
        <v>891.59626929653336</v>
      </c>
      <c r="W41" s="60">
        <f t="shared" si="7"/>
        <v>889.57161660817894</v>
      </c>
      <c r="X41" s="60">
        <f t="shared" si="7"/>
        <v>887.55156153720998</v>
      </c>
      <c r="Y41" s="60"/>
      <c r="Z41" s="549">
        <f t="shared" si="5"/>
        <v>754.41882730662837</v>
      </c>
    </row>
    <row r="42" spans="1:26">
      <c r="A42" s="91">
        <f>INDEX([2]!ResApplic,MATCH(CONCATENATE(LEFT($D42,FIND("_",$D42)-1)," - ",$C$7),[2]APPLIC!$B$9:$B$201,0)+1,MATCH($C42,[2]APPLIC!$C$8:$F$8,0)+1)</f>
        <v>6.290255489213914E-2</v>
      </c>
      <c r="B42" s="87">
        <f>VLOOKUP(RIGHT($D42,LEN(D42)-FIND("_",$D42)),Weighting!$D$16:$H$19,5,FALSE)</f>
        <v>1.6319173126358888E-2</v>
      </c>
      <c r="C42" s="57" t="str">
        <f t="shared" si="6"/>
        <v>Multifamily - Low Rise</v>
      </c>
      <c r="D42" s="60" t="s">
        <v>1208</v>
      </c>
      <c r="E42" s="60">
        <f t="shared" si="8"/>
        <v>950.80508148601825</v>
      </c>
      <c r="F42" s="60">
        <f t="shared" si="8"/>
        <v>948.6459763723883</v>
      </c>
      <c r="G42" s="60">
        <f t="shared" si="8"/>
        <v>946.49177419310547</v>
      </c>
      <c r="H42" s="60">
        <f t="shared" si="8"/>
        <v>944.34246381449975</v>
      </c>
      <c r="I42" s="60">
        <f t="shared" si="8"/>
        <v>942.19803412818226</v>
      </c>
      <c r="J42" s="60">
        <f t="shared" si="8"/>
        <v>940.05847405099075</v>
      </c>
      <c r="K42" s="60">
        <f t="shared" si="8"/>
        <v>937.92377252492997</v>
      </c>
      <c r="L42" s="60">
        <f t="shared" si="8"/>
        <v>935.79391851711489</v>
      </c>
      <c r="M42" s="60">
        <f t="shared" si="8"/>
        <v>933.66890101971524</v>
      </c>
      <c r="N42" s="60">
        <f t="shared" si="8"/>
        <v>931.54870904989696</v>
      </c>
      <c r="O42" s="60">
        <f t="shared" si="8"/>
        <v>929.43333164976616</v>
      </c>
      <c r="P42" s="60">
        <f t="shared" si="8"/>
        <v>927.32275788631216</v>
      </c>
      <c r="Q42" s="60">
        <f t="shared" si="8"/>
        <v>925.21697685135098</v>
      </c>
      <c r="R42" s="60">
        <f t="shared" si="8"/>
        <v>923.11597766146974</v>
      </c>
      <c r="S42" s="60">
        <f t="shared" si="8"/>
        <v>921.01974945796951</v>
      </c>
      <c r="T42" s="60">
        <f t="shared" si="8"/>
        <v>918.92828140680911</v>
      </c>
      <c r="U42" s="60">
        <f t="shared" si="7"/>
        <v>916.84156269854998</v>
      </c>
      <c r="V42" s="60">
        <f t="shared" si="7"/>
        <v>914.75958254829982</v>
      </c>
      <c r="W42" s="60">
        <f t="shared" si="7"/>
        <v>912.68233019565639</v>
      </c>
      <c r="X42" s="60">
        <f t="shared" si="7"/>
        <v>910.60979490465274</v>
      </c>
      <c r="Y42" s="60"/>
      <c r="Z42" s="549">
        <f t="shared" si="5"/>
        <v>774.01832566895484</v>
      </c>
    </row>
    <row r="43" spans="1:26">
      <c r="A43" s="91">
        <f>INDEX([2]!ResApplic,MATCH(CONCATENATE(LEFT($D43,FIND("_",$D43)-1)," - ",$C$7),[2]APPLIC!$B$9:$B$201,0)+1,MATCH($C43,[2]APPLIC!$C$8:$F$8,0)+1)</f>
        <v>9.7100069732044877E-3</v>
      </c>
      <c r="B43" s="87">
        <f>VLOOKUP(RIGHT($D43,LEN(D43)-FIND("_",$D43)),Weighting!$D$16:$H$19,5,FALSE)</f>
        <v>1.6319173126358888E-2</v>
      </c>
      <c r="C43" s="57" t="str">
        <f t="shared" si="6"/>
        <v>Multifamily - Low Rise</v>
      </c>
      <c r="D43" s="60" t="s">
        <v>219</v>
      </c>
      <c r="E43" s="60">
        <f t="shared" si="8"/>
        <v>146.7718439611624</v>
      </c>
      <c r="F43" s="60">
        <f t="shared" si="8"/>
        <v>146.43855184377259</v>
      </c>
      <c r="G43" s="60">
        <f t="shared" si="8"/>
        <v>146.10601657205913</v>
      </c>
      <c r="H43" s="60">
        <f t="shared" si="8"/>
        <v>145.77423642736343</v>
      </c>
      <c r="I43" s="60">
        <f t="shared" si="8"/>
        <v>145.44320969492955</v>
      </c>
      <c r="J43" s="60">
        <f t="shared" si="8"/>
        <v>145.11293466389557</v>
      </c>
      <c r="K43" s="60">
        <f t="shared" si="8"/>
        <v>144.7834096272845</v>
      </c>
      <c r="L43" s="60">
        <f t="shared" si="8"/>
        <v>144.45463288199565</v>
      </c>
      <c r="M43" s="60">
        <f t="shared" si="8"/>
        <v>144.12660272879575</v>
      </c>
      <c r="N43" s="60">
        <f t="shared" si="8"/>
        <v>143.79931747231026</v>
      </c>
      <c r="O43" s="60">
        <f t="shared" si="8"/>
        <v>143.4727754210144</v>
      </c>
      <c r="P43" s="60">
        <f t="shared" si="8"/>
        <v>143.14697488722459</v>
      </c>
      <c r="Q43" s="60">
        <f t="shared" si="8"/>
        <v>142.82191418708967</v>
      </c>
      <c r="R43" s="60">
        <f t="shared" si="8"/>
        <v>142.49759164058221</v>
      </c>
      <c r="S43" s="60">
        <f t="shared" si="8"/>
        <v>142.1740055714898</v>
      </c>
      <c r="T43" s="60">
        <f t="shared" si="8"/>
        <v>141.85115430740643</v>
      </c>
      <c r="U43" s="60">
        <f t="shared" si="7"/>
        <v>141.52903617972373</v>
      </c>
      <c r="V43" s="60">
        <f t="shared" si="7"/>
        <v>141.20764952362262</v>
      </c>
      <c r="W43" s="60">
        <f t="shared" si="7"/>
        <v>140.88699267806427</v>
      </c>
      <c r="X43" s="60">
        <f t="shared" si="7"/>
        <v>140.567063985782</v>
      </c>
      <c r="Y43" s="60"/>
      <c r="Z43" s="549">
        <f t="shared" si="5"/>
        <v>119.48200438791469</v>
      </c>
    </row>
    <row r="44" spans="1:26">
      <c r="A44" s="91">
        <f>INDEX([2]!ResApplic,MATCH(CONCATENATE(LEFT($D44,FIND("_",$D44)-1)," - ",$C$7),[2]APPLIC!$B$9:$B$201,0)+1,MATCH($C44,[2]APPLIC!$C$8:$F$8,0)+1)</f>
        <v>0.14262615254337155</v>
      </c>
      <c r="B44" s="87">
        <f>VLOOKUP(RIGHT($D44,LEN(D44)-FIND("_",$D44)),Weighting!$D$16:$H$19,5,FALSE)</f>
        <v>1.6319173126358888E-2</v>
      </c>
      <c r="C44" s="57" t="str">
        <f t="shared" si="6"/>
        <v>Multifamily - Low Rise</v>
      </c>
      <c r="D44" s="60" t="s">
        <v>220</v>
      </c>
      <c r="E44" s="60">
        <f t="shared" si="8"/>
        <v>2155.8690393986626</v>
      </c>
      <c r="F44" s="60">
        <f t="shared" si="8"/>
        <v>2150.9734535862608</v>
      </c>
      <c r="G44" s="60">
        <f t="shared" si="8"/>
        <v>2146.0889847573162</v>
      </c>
      <c r="H44" s="60">
        <f t="shared" si="8"/>
        <v>2141.2156076671845</v>
      </c>
      <c r="I44" s="60">
        <f t="shared" si="8"/>
        <v>2136.3532971285481</v>
      </c>
      <c r="J44" s="60">
        <f t="shared" si="8"/>
        <v>2131.502028011284</v>
      </c>
      <c r="K44" s="60">
        <f t="shared" si="8"/>
        <v>2126.6617752423372</v>
      </c>
      <c r="L44" s="60">
        <f t="shared" si="8"/>
        <v>2121.8325138055857</v>
      </c>
      <c r="M44" s="60">
        <f t="shared" si="8"/>
        <v>2117.0142187417182</v>
      </c>
      <c r="N44" s="60">
        <f t="shared" si="8"/>
        <v>2112.206865148099</v>
      </c>
      <c r="O44" s="60">
        <f t="shared" si="8"/>
        <v>2107.410428178644</v>
      </c>
      <c r="P44" s="60">
        <f t="shared" si="8"/>
        <v>2102.6248830436871</v>
      </c>
      <c r="Q44" s="60">
        <f t="shared" si="8"/>
        <v>2097.8502050098564</v>
      </c>
      <c r="R44" s="60">
        <f t="shared" si="8"/>
        <v>2093.0863693999463</v>
      </c>
      <c r="S44" s="60">
        <f t="shared" si="8"/>
        <v>2088.333351592787</v>
      </c>
      <c r="T44" s="60">
        <f t="shared" si="8"/>
        <v>2083.5911270231195</v>
      </c>
      <c r="U44" s="60">
        <f t="shared" si="7"/>
        <v>2078.8596711814666</v>
      </c>
      <c r="V44" s="60">
        <f t="shared" si="7"/>
        <v>2074.1389596140107</v>
      </c>
      <c r="W44" s="60">
        <f t="shared" si="7"/>
        <v>2069.4289679224612</v>
      </c>
      <c r="X44" s="60">
        <f t="shared" si="7"/>
        <v>2064.7296717639338</v>
      </c>
      <c r="Y44" s="60"/>
      <c r="Z44" s="549">
        <f t="shared" si="5"/>
        <v>1755.0202209993438</v>
      </c>
    </row>
    <row r="45" spans="1:26">
      <c r="A45" s="91">
        <f>INDEX([2]!ResApplic,MATCH(CONCATENATE(LEFT($D45,FIND("_",$D45)-1)," - ",$C$7),[2]APPLIC!$B$9:$B$201,0)+1,MATCH($C45,[2]APPLIC!$C$8:$F$8,0)+1)</f>
        <v>2.9895898862292738E-2</v>
      </c>
      <c r="B45" s="87">
        <f>VLOOKUP(RIGHT($D45,LEN(D45)-FIND("_",$D45)),Weighting!$D$16:$H$19,5,FALSE)</f>
        <v>1.6319173126358888E-2</v>
      </c>
      <c r="C45" s="57" t="str">
        <f t="shared" si="6"/>
        <v>Multifamily - Low Rise</v>
      </c>
      <c r="D45" s="60" t="s">
        <v>226</v>
      </c>
      <c r="E45" s="60">
        <f t="shared" si="8"/>
        <v>451.89217834794607</v>
      </c>
      <c r="F45" s="60">
        <f t="shared" si="8"/>
        <v>450.86601354079596</v>
      </c>
      <c r="G45" s="60">
        <f t="shared" si="8"/>
        <v>449.84217896696663</v>
      </c>
      <c r="H45" s="60">
        <f t="shared" si="8"/>
        <v>448.82066933492291</v>
      </c>
      <c r="I45" s="60">
        <f t="shared" si="8"/>
        <v>447.80147936514555</v>
      </c>
      <c r="J45" s="60">
        <f t="shared" si="8"/>
        <v>446.78460379010414</v>
      </c>
      <c r="K45" s="60">
        <f t="shared" si="8"/>
        <v>445.77003735423</v>
      </c>
      <c r="L45" s="60">
        <f t="shared" si="8"/>
        <v>444.75777481388849</v>
      </c>
      <c r="M45" s="60">
        <f t="shared" si="8"/>
        <v>443.74781093735282</v>
      </c>
      <c r="N45" s="60">
        <f t="shared" si="8"/>
        <v>442.74014050477621</v>
      </c>
      <c r="O45" s="60">
        <f t="shared" si="8"/>
        <v>441.73475830816545</v>
      </c>
      <c r="P45" s="60">
        <f t="shared" si="8"/>
        <v>440.73165915135337</v>
      </c>
      <c r="Q45" s="60">
        <f t="shared" si="8"/>
        <v>439.73083784997249</v>
      </c>
      <c r="R45" s="60">
        <f t="shared" si="8"/>
        <v>438.7322892314283</v>
      </c>
      <c r="S45" s="60">
        <f t="shared" si="8"/>
        <v>437.73600813487201</v>
      </c>
      <c r="T45" s="60">
        <f t="shared" si="8"/>
        <v>436.74198941117436</v>
      </c>
      <c r="U45" s="60">
        <f t="shared" si="7"/>
        <v>435.75022792289866</v>
      </c>
      <c r="V45" s="60">
        <f t="shared" si="7"/>
        <v>434.76071854427465</v>
      </c>
      <c r="W45" s="60">
        <f t="shared" si="7"/>
        <v>433.77345616117162</v>
      </c>
      <c r="X45" s="60">
        <f t="shared" si="7"/>
        <v>432.78843567107197</v>
      </c>
      <c r="Y45" s="60"/>
      <c r="Z45" s="549">
        <f t="shared" si="5"/>
        <v>367.87017032041109</v>
      </c>
    </row>
    <row r="46" spans="1:26">
      <c r="A46" s="91">
        <f>INDEX([2]!ResApplic,MATCH(CONCATENATE(LEFT($D46,FIND("_",$D46)-1)," - ",$C$7),[2]APPLIC!$B$9:$B$201,0)+1,MATCH($C46,[2]APPLIC!$C$8:$F$8,0)+1)</f>
        <v>0.16174038870037966</v>
      </c>
      <c r="B46" s="87">
        <f>VLOOKUP(RIGHT($D46,LEN(D46)-FIND("_",$D46)),Weighting!$D$16:$H$19,5,FALSE)</f>
        <v>1.6319173126358888E-2</v>
      </c>
      <c r="C46" s="57" t="str">
        <f t="shared" si="6"/>
        <v>Multifamily - Low Rise</v>
      </c>
      <c r="D46" s="60" t="s">
        <v>227</v>
      </c>
      <c r="E46" s="60">
        <f t="shared" si="8"/>
        <v>2444.7907357903341</v>
      </c>
      <c r="F46" s="60">
        <f t="shared" si="8"/>
        <v>2439.2390614438423</v>
      </c>
      <c r="G46" s="60">
        <f t="shared" si="8"/>
        <v>2433.6999939383354</v>
      </c>
      <c r="H46" s="60">
        <f t="shared" si="8"/>
        <v>2428.1735046459762</v>
      </c>
      <c r="I46" s="60">
        <f t="shared" si="8"/>
        <v>2422.6595650039321</v>
      </c>
      <c r="J46" s="60">
        <f t="shared" si="8"/>
        <v>2417.1581465142358</v>
      </c>
      <c r="K46" s="60">
        <f t="shared" si="8"/>
        <v>2411.6692207436304</v>
      </c>
      <c r="L46" s="60">
        <f t="shared" si="8"/>
        <v>2406.1927593234263</v>
      </c>
      <c r="M46" s="60">
        <f t="shared" si="8"/>
        <v>2400.728733949356</v>
      </c>
      <c r="N46" s="60">
        <f t="shared" si="8"/>
        <v>2395.2771163814232</v>
      </c>
      <c r="O46" s="60">
        <f t="shared" si="8"/>
        <v>2389.8378784437618</v>
      </c>
      <c r="P46" s="60">
        <f t="shared" si="8"/>
        <v>2384.4109920244864</v>
      </c>
      <c r="Q46" s="60">
        <f t="shared" si="8"/>
        <v>2378.9964290755483</v>
      </c>
      <c r="R46" s="60">
        <f t="shared" si="8"/>
        <v>2373.5941616125933</v>
      </c>
      <c r="S46" s="60">
        <f t="shared" si="8"/>
        <v>2368.2041617148111</v>
      </c>
      <c r="T46" s="60">
        <f t="shared" si="8"/>
        <v>2362.8264015247978</v>
      </c>
      <c r="U46" s="60">
        <f t="shared" si="7"/>
        <v>2357.4608532484053</v>
      </c>
      <c r="V46" s="60">
        <f t="shared" si="7"/>
        <v>2352.1074891546041</v>
      </c>
      <c r="W46" s="60">
        <f t="shared" si="7"/>
        <v>2346.7662815753342</v>
      </c>
      <c r="X46" s="60">
        <f t="shared" si="7"/>
        <v>2341.4372029053661</v>
      </c>
      <c r="Y46" s="60"/>
      <c r="Z46" s="549">
        <f t="shared" si="5"/>
        <v>1990.2216224695615</v>
      </c>
    </row>
    <row r="47" spans="1:26">
      <c r="A47" s="91">
        <f>INDEX([2]!ResApplic,MATCH(CONCATENATE(LEFT($D47,FIND("_",$D47)-1)," - ",$C$7),[2]APPLIC!$B$9:$B$201,0)+1,MATCH($C47,[2]APPLIC!$C$8:$F$8,0)+1)</f>
        <v>0.11958359544917095</v>
      </c>
      <c r="B47" s="87">
        <f>VLOOKUP(RIGHT($D47,LEN(D47)-FIND("_",$D47)),Weighting!$D$16:$H$19,5,FALSE)</f>
        <v>1.6319173126358888E-2</v>
      </c>
      <c r="C47" s="57" t="str">
        <f t="shared" si="6"/>
        <v>Multifamily - Low Rise</v>
      </c>
      <c r="D47" s="60" t="s">
        <v>224</v>
      </c>
      <c r="E47" s="60">
        <f t="shared" si="8"/>
        <v>1807.5687133917843</v>
      </c>
      <c r="F47" s="60">
        <f t="shared" si="8"/>
        <v>1803.4640541631838</v>
      </c>
      <c r="G47" s="60">
        <f t="shared" si="8"/>
        <v>1799.3687158678665</v>
      </c>
      <c r="H47" s="60">
        <f t="shared" si="8"/>
        <v>1795.2826773396916</v>
      </c>
      <c r="I47" s="60">
        <f t="shared" si="8"/>
        <v>1791.2059174605822</v>
      </c>
      <c r="J47" s="60">
        <f t="shared" si="8"/>
        <v>1787.1384151604166</v>
      </c>
      <c r="K47" s="60">
        <f t="shared" si="8"/>
        <v>1783.08014941692</v>
      </c>
      <c r="L47" s="60">
        <f t="shared" si="8"/>
        <v>1779.031099255554</v>
      </c>
      <c r="M47" s="60">
        <f t="shared" si="8"/>
        <v>1774.9912437494113</v>
      </c>
      <c r="N47" s="60">
        <f t="shared" si="8"/>
        <v>1770.9605620191048</v>
      </c>
      <c r="O47" s="60">
        <f t="shared" si="8"/>
        <v>1766.9390332326618</v>
      </c>
      <c r="P47" s="60">
        <f t="shared" si="8"/>
        <v>1762.9266366054135</v>
      </c>
      <c r="Q47" s="60">
        <f t="shared" si="8"/>
        <v>1758.92335139989</v>
      </c>
      <c r="R47" s="60">
        <f t="shared" si="8"/>
        <v>1754.9291569257132</v>
      </c>
      <c r="S47" s="60">
        <f t="shared" si="8"/>
        <v>1750.944032539488</v>
      </c>
      <c r="T47" s="60">
        <f t="shared" si="8"/>
        <v>1746.9679576446974</v>
      </c>
      <c r="U47" s="60">
        <f t="shared" si="7"/>
        <v>1743.0009116915946</v>
      </c>
      <c r="V47" s="60">
        <f t="shared" si="7"/>
        <v>1739.0428741770986</v>
      </c>
      <c r="W47" s="60">
        <f t="shared" si="7"/>
        <v>1735.0938246446865</v>
      </c>
      <c r="X47" s="60">
        <f t="shared" si="7"/>
        <v>1731.1537426842879</v>
      </c>
      <c r="Y47" s="60"/>
      <c r="Z47" s="549">
        <f t="shared" si="5"/>
        <v>1471.4806812816444</v>
      </c>
    </row>
    <row r="48" spans="1:26">
      <c r="A48" s="91">
        <f>INDEX([2]!ResApplic,MATCH(CONCATENATE(LEFT($D48,FIND("_",$D48)-1)," - ",$C$7),[2]APPLIC!$B$9:$B$201,0)+1,MATCH($C48,[2]APPLIC!$C$8:$F$8,0)+1)</f>
        <v>0.64696155480151862</v>
      </c>
      <c r="B48" s="87">
        <f>VLOOKUP(RIGHT($D48,LEN(D48)-FIND("_",$D48)),Weighting!$D$16:$H$19,5,FALSE)</f>
        <v>1.6319173126358888E-2</v>
      </c>
      <c r="C48" s="57" t="str">
        <f t="shared" si="6"/>
        <v>Multifamily - Low Rise</v>
      </c>
      <c r="D48" s="60" t="s">
        <v>225</v>
      </c>
      <c r="E48" s="60">
        <f t="shared" si="8"/>
        <v>9779.1629431613364</v>
      </c>
      <c r="F48" s="60">
        <f t="shared" si="8"/>
        <v>9756.9562457753691</v>
      </c>
      <c r="G48" s="60">
        <f t="shared" si="8"/>
        <v>9734.7999757533416</v>
      </c>
      <c r="H48" s="60">
        <f t="shared" si="8"/>
        <v>9712.6940185839048</v>
      </c>
      <c r="I48" s="60">
        <f t="shared" si="8"/>
        <v>9690.6382600157285</v>
      </c>
      <c r="J48" s="60">
        <f t="shared" si="8"/>
        <v>9668.6325860569432</v>
      </c>
      <c r="K48" s="60">
        <f t="shared" si="8"/>
        <v>9646.6768829745215</v>
      </c>
      <c r="L48" s="60">
        <f t="shared" si="8"/>
        <v>9624.7710372937054</v>
      </c>
      <c r="M48" s="60">
        <f t="shared" si="8"/>
        <v>9602.9149357974238</v>
      </c>
      <c r="N48" s="60">
        <f t="shared" si="8"/>
        <v>9581.1084655256927</v>
      </c>
      <c r="O48" s="60">
        <f t="shared" si="8"/>
        <v>9559.3515137750474</v>
      </c>
      <c r="P48" s="60">
        <f t="shared" si="8"/>
        <v>9537.6439680979456</v>
      </c>
      <c r="Q48" s="60">
        <f t="shared" si="8"/>
        <v>9515.9857163021934</v>
      </c>
      <c r="R48" s="60">
        <f t="shared" si="8"/>
        <v>9494.3766464503733</v>
      </c>
      <c r="S48" s="60">
        <f t="shared" si="8"/>
        <v>9472.8166468592444</v>
      </c>
      <c r="T48" s="60">
        <f t="shared" si="8"/>
        <v>9451.3056060991912</v>
      </c>
      <c r="U48" s="60">
        <f t="shared" si="7"/>
        <v>9429.8434129936213</v>
      </c>
      <c r="V48" s="60">
        <f t="shared" si="7"/>
        <v>9408.4299566184163</v>
      </c>
      <c r="W48" s="60">
        <f t="shared" si="7"/>
        <v>9387.0651263013369</v>
      </c>
      <c r="X48" s="60">
        <f t="shared" si="7"/>
        <v>9365.7488116214645</v>
      </c>
      <c r="Y48" s="60"/>
      <c r="Z48" s="549">
        <f t="shared" si="5"/>
        <v>7960.8864898782458</v>
      </c>
    </row>
    <row r="49" spans="1:27">
      <c r="A49" s="91">
        <f>INDEX([2]!ResApplic,MATCH(CONCATENATE(LEFT($D49,FIND("_",$D49)-1)," - ",$C$7),[2]APPLIC!$B$9:$B$201,0)+1,MATCH($C49,[2]APPLIC!$C$8:$F$8,0)+1)</f>
        <v>7.6999999999999957E-2</v>
      </c>
      <c r="B49" s="87">
        <f>VLOOKUP(RIGHT($D49,LEN(D49)-FIND("_",$D49)),Weighting!$D$16:$H$19,5,FALSE)</f>
        <v>0.81169245245930366</v>
      </c>
      <c r="C49" s="57" t="str">
        <f t="shared" si="6"/>
        <v>Multifamily - Low Rise</v>
      </c>
      <c r="D49" s="60" t="s">
        <v>243</v>
      </c>
      <c r="E49" s="60">
        <f t="shared" si="8"/>
        <v>57890.498828601696</v>
      </c>
      <c r="F49" s="60">
        <f t="shared" si="8"/>
        <v>57759.040052786084</v>
      </c>
      <c r="G49" s="60">
        <f t="shared" si="8"/>
        <v>57627.879795899942</v>
      </c>
      <c r="H49" s="60">
        <f t="shared" si="8"/>
        <v>57497.017380061239</v>
      </c>
      <c r="I49" s="60">
        <f t="shared" si="8"/>
        <v>57366.452128927165</v>
      </c>
      <c r="J49" s="60">
        <f t="shared" si="8"/>
        <v>57236.18336769085</v>
      </c>
      <c r="K49" s="60">
        <f t="shared" si="8"/>
        <v>57106.210423077748</v>
      </c>
      <c r="L49" s="60">
        <f t="shared" si="8"/>
        <v>56976.532623342173</v>
      </c>
      <c r="M49" s="60">
        <f t="shared" si="8"/>
        <v>56847.14929826391</v>
      </c>
      <c r="N49" s="60">
        <f t="shared" si="8"/>
        <v>56718.059779144656</v>
      </c>
      <c r="O49" s="60">
        <f t="shared" si="8"/>
        <v>56589.2633988046</v>
      </c>
      <c r="P49" s="60">
        <f t="shared" si="8"/>
        <v>56460.759491579003</v>
      </c>
      <c r="Q49" s="60">
        <f t="shared" si="8"/>
        <v>56332.547393314664</v>
      </c>
      <c r="R49" s="60">
        <f t="shared" si="8"/>
        <v>56204.626441366636</v>
      </c>
      <c r="S49" s="60">
        <f t="shared" si="8"/>
        <v>56076.995974594676</v>
      </c>
      <c r="T49" s="60">
        <f t="shared" ref="T49:T61" si="9">$A49*VLOOKUP($C49,$C$13:$Y$16,T$22,FALSE)*$B49</f>
        <v>55949.655333359857</v>
      </c>
      <c r="U49" s="60">
        <f t="shared" ref="U49:X61" si="10">$A49*VLOOKUP($C49,$C$13:$Y$16,U$22,FALSE)*$B49</f>
        <v>55822.603859521179</v>
      </c>
      <c r="V49" s="60">
        <f t="shared" si="10"/>
        <v>55695.840896432193</v>
      </c>
      <c r="W49" s="60">
        <f t="shared" si="10"/>
        <v>55569.365788937532</v>
      </c>
      <c r="X49" s="60">
        <f t="shared" si="10"/>
        <v>55443.177883369586</v>
      </c>
      <c r="Y49" s="60"/>
      <c r="Z49" s="549">
        <f t="shared" si="5"/>
        <v>47126.701200864161</v>
      </c>
    </row>
    <row r="50" spans="1:27">
      <c r="A50" s="91">
        <f>INDEX([2]!ResApplic,MATCH(CONCATENATE(LEFT($D50,FIND("_",$D50)-1)," - ",$C$7),[2]APPLIC!$B$9:$B$201,0)+1,MATCH($C50,[2]APPLIC!$C$8:$F$8,0)+1)</f>
        <v>2.0626779203887391E-2</v>
      </c>
      <c r="B50" s="87">
        <f>VLOOKUP(RIGHT($D50,LEN(D50)-FIND("_",$D50)),Weighting!$D$16:$H$19,5,FALSE)</f>
        <v>0.81169245245930366</v>
      </c>
      <c r="C50" s="57" t="str">
        <f t="shared" si="6"/>
        <v>Multifamily - Low Rise</v>
      </c>
      <c r="D50" s="60" t="s">
        <v>244</v>
      </c>
      <c r="E50" s="60">
        <f t="shared" ref="E50:S61" si="11">$A50*VLOOKUP($C50,$C$13:$Y$16,E$22,FALSE)*$B50</f>
        <v>15507.721264161943</v>
      </c>
      <c r="F50" s="60">
        <f t="shared" si="11"/>
        <v>15472.506054510484</v>
      </c>
      <c r="G50" s="60">
        <f t="shared" si="11"/>
        <v>15437.37081218431</v>
      </c>
      <c r="H50" s="60">
        <f t="shared" si="11"/>
        <v>15402.315355592204</v>
      </c>
      <c r="I50" s="60">
        <f t="shared" si="11"/>
        <v>15367.339503555286</v>
      </c>
      <c r="J50" s="60">
        <f t="shared" si="11"/>
        <v>15332.443075306126</v>
      </c>
      <c r="K50" s="60">
        <f t="shared" si="11"/>
        <v>15297.625890487767</v>
      </c>
      <c r="L50" s="60">
        <f t="shared" si="11"/>
        <v>15262.887769152811</v>
      </c>
      <c r="M50" s="60">
        <f t="shared" si="11"/>
        <v>15228.228531762499</v>
      </c>
      <c r="N50" s="60">
        <f t="shared" si="11"/>
        <v>15193.647999185758</v>
      </c>
      <c r="O50" s="60">
        <f t="shared" si="11"/>
        <v>15159.145992698303</v>
      </c>
      <c r="P50" s="60">
        <f t="shared" si="11"/>
        <v>15124.722333981686</v>
      </c>
      <c r="Q50" s="60">
        <f t="shared" si="11"/>
        <v>15090.376845122397</v>
      </c>
      <c r="R50" s="60">
        <f t="shared" si="11"/>
        <v>15056.109348610928</v>
      </c>
      <c r="S50" s="60">
        <f t="shared" si="11"/>
        <v>15021.919667340871</v>
      </c>
      <c r="T50" s="60">
        <f t="shared" si="9"/>
        <v>14987.807624607985</v>
      </c>
      <c r="U50" s="60">
        <f t="shared" si="10"/>
        <v>14953.773044109301</v>
      </c>
      <c r="V50" s="60">
        <f t="shared" si="10"/>
        <v>14919.815749942198</v>
      </c>
      <c r="W50" s="60">
        <f t="shared" si="10"/>
        <v>14885.935566603492</v>
      </c>
      <c r="X50" s="60">
        <f t="shared" si="10"/>
        <v>14852.132318988544</v>
      </c>
      <c r="Y50" s="60"/>
      <c r="Z50" s="549">
        <f t="shared" si="5"/>
        <v>12624.312471140263</v>
      </c>
    </row>
    <row r="51" spans="1:27">
      <c r="A51" s="91">
        <f>INDEX([2]!ResApplic,MATCH(CONCATENATE(LEFT($D51,FIND("_",$D51)-1)," - ",$C$7),[2]APPLIC!$B$9:$B$201,0)+1,MATCH($C51,[2]APPLIC!$C$8:$F$8,0)+1)</f>
        <v>0.22837322079611261</v>
      </c>
      <c r="B51" s="87">
        <f>VLOOKUP(RIGHT($D51,LEN(D51)-FIND("_",$D51)),Weighting!$D$16:$H$19,5,FALSE)</f>
        <v>0.81169245245930366</v>
      </c>
      <c r="C51" s="57" t="str">
        <f t="shared" si="6"/>
        <v>Multifamily - Low Rise</v>
      </c>
      <c r="D51" s="60" t="s">
        <v>245</v>
      </c>
      <c r="E51" s="60">
        <f t="shared" si="11"/>
        <v>171696.61910365405</v>
      </c>
      <c r="F51" s="60">
        <f t="shared" si="11"/>
        <v>171306.7273629407</v>
      </c>
      <c r="G51" s="60">
        <f t="shared" si="11"/>
        <v>170917.72099533639</v>
      </c>
      <c r="H51" s="60">
        <f t="shared" si="11"/>
        <v>170529.59799032021</v>
      </c>
      <c r="I51" s="60">
        <f t="shared" si="11"/>
        <v>170142.35634193657</v>
      </c>
      <c r="J51" s="60">
        <f t="shared" si="11"/>
        <v>169755.99404878516</v>
      </c>
      <c r="K51" s="60">
        <f t="shared" si="11"/>
        <v>169370.50911401052</v>
      </c>
      <c r="L51" s="60">
        <f t="shared" si="11"/>
        <v>168985.89954529147</v>
      </c>
      <c r="M51" s="60">
        <f t="shared" si="11"/>
        <v>168602.16335483128</v>
      </c>
      <c r="N51" s="60">
        <f t="shared" si="11"/>
        <v>168219.29855934705</v>
      </c>
      <c r="O51" s="60">
        <f t="shared" si="11"/>
        <v>167837.30318005956</v>
      </c>
      <c r="P51" s="60">
        <f t="shared" si="11"/>
        <v>167456.17524268298</v>
      </c>
      <c r="Q51" s="60">
        <f t="shared" si="11"/>
        <v>167075.91277741475</v>
      </c>
      <c r="R51" s="60">
        <f t="shared" si="11"/>
        <v>166696.51381892545</v>
      </c>
      <c r="S51" s="60">
        <f t="shared" si="11"/>
        <v>166317.97640634852</v>
      </c>
      <c r="T51" s="60">
        <f t="shared" si="9"/>
        <v>165940.29858327011</v>
      </c>
      <c r="U51" s="60">
        <f t="shared" si="10"/>
        <v>165563.47839771904</v>
      </c>
      <c r="V51" s="60">
        <f t="shared" si="10"/>
        <v>165187.51390215682</v>
      </c>
      <c r="W51" s="60">
        <f t="shared" si="10"/>
        <v>164812.40315346734</v>
      </c>
      <c r="X51" s="60">
        <f t="shared" si="10"/>
        <v>164438.14421294699</v>
      </c>
      <c r="Y51" s="60"/>
      <c r="Z51" s="549">
        <f t="shared" si="5"/>
        <v>139772.42258100494</v>
      </c>
    </row>
    <row r="52" spans="1:27">
      <c r="A52" s="91">
        <f>INDEX([2]!ResApplic,MATCH(CONCATENATE(LEFT($D52,FIND("_",$D52)-1)," - ",$C$7),[2]APPLIC!$B$9:$B$201,0)+1,MATCH($C52,[2]APPLIC!$C$8:$F$8,0)+1)</f>
        <v>5.4136342171710254E-2</v>
      </c>
      <c r="B52" s="87">
        <f>VLOOKUP(RIGHT($D52,LEN(D52)-FIND("_",$D52)),Weighting!$D$16:$H$19,5,FALSE)</f>
        <v>0.81169245245930366</v>
      </c>
      <c r="C52" s="57" t="str">
        <f t="shared" si="6"/>
        <v>Multifamily - Low Rise</v>
      </c>
      <c r="D52" s="60" t="s">
        <v>1209</v>
      </c>
      <c r="E52" s="60">
        <f t="shared" si="11"/>
        <v>40701.037052937339</v>
      </c>
      <c r="F52" s="60">
        <f t="shared" si="11"/>
        <v>40608.61241307982</v>
      </c>
      <c r="G52" s="60">
        <f t="shared" si="11"/>
        <v>40516.397652740641</v>
      </c>
      <c r="H52" s="60">
        <f t="shared" si="11"/>
        <v>40424.392295321668</v>
      </c>
      <c r="I52" s="60">
        <f t="shared" si="11"/>
        <v>40332.595865306997</v>
      </c>
      <c r="J52" s="60">
        <f t="shared" si="11"/>
        <v>40241.007888260581</v>
      </c>
      <c r="K52" s="60">
        <f t="shared" si="11"/>
        <v>40149.627890823707</v>
      </c>
      <c r="L52" s="60">
        <f t="shared" si="11"/>
        <v>40058.455400712548</v>
      </c>
      <c r="M52" s="60">
        <f t="shared" si="11"/>
        <v>39967.489946715781</v>
      </c>
      <c r="N52" s="60">
        <f t="shared" si="11"/>
        <v>39876.731058692123</v>
      </c>
      <c r="O52" s="60">
        <f t="shared" si="11"/>
        <v>39786.178267567877</v>
      </c>
      <c r="P52" s="60">
        <f t="shared" si="11"/>
        <v>39695.831105334546</v>
      </c>
      <c r="Q52" s="60">
        <f t="shared" si="11"/>
        <v>39605.689105046353</v>
      </c>
      <c r="R52" s="60">
        <f t="shared" si="11"/>
        <v>39515.751800817925</v>
      </c>
      <c r="S52" s="60">
        <f t="shared" si="11"/>
        <v>39426.018727821793</v>
      </c>
      <c r="T52" s="60">
        <f t="shared" si="9"/>
        <v>39336.489422286031</v>
      </c>
      <c r="U52" s="60">
        <f t="shared" si="10"/>
        <v>39247.163421491867</v>
      </c>
      <c r="V52" s="60">
        <f t="shared" si="10"/>
        <v>39158.040263771283</v>
      </c>
      <c r="W52" s="60">
        <f t="shared" si="10"/>
        <v>39069.119488504599</v>
      </c>
      <c r="X52" s="60">
        <f t="shared" si="10"/>
        <v>38980.400636118131</v>
      </c>
      <c r="Y52" s="60"/>
      <c r="Z52" s="549">
        <f t="shared" si="5"/>
        <v>33133.34054070041</v>
      </c>
    </row>
    <row r="53" spans="1:27">
      <c r="A53" s="91">
        <f>INDEX([2]!ResApplic,MATCH(CONCATENATE(LEFT($D53,FIND("_",$D53)-1)," - ",$C$7),[2]APPLIC!$B$9:$B$201,0)+1,MATCH($C53,[2]APPLIC!$C$8:$F$8,0)+1)</f>
        <v>1.0278311581146856E-2</v>
      </c>
      <c r="B53" s="87">
        <f>VLOOKUP(RIGHT($D53,LEN(D53)-FIND("_",$D53)),Weighting!$D$16:$H$19,5,FALSE)</f>
        <v>0.81169245245930366</v>
      </c>
      <c r="C53" s="57" t="str">
        <f t="shared" si="6"/>
        <v>Multifamily - Low Rise</v>
      </c>
      <c r="D53" s="60" t="s">
        <v>239</v>
      </c>
      <c r="E53" s="60">
        <f t="shared" si="11"/>
        <v>7727.4881110179967</v>
      </c>
      <c r="F53" s="60">
        <f t="shared" si="11"/>
        <v>7709.9403933828135</v>
      </c>
      <c r="G53" s="60">
        <f t="shared" si="11"/>
        <v>7692.432523417373</v>
      </c>
      <c r="H53" s="60">
        <f t="shared" si="11"/>
        <v>7674.9644106348815</v>
      </c>
      <c r="I53" s="60">
        <f t="shared" si="11"/>
        <v>7657.5359647540154</v>
      </c>
      <c r="J53" s="60">
        <f t="shared" si="11"/>
        <v>7640.1470956984722</v>
      </c>
      <c r="K53" s="60">
        <f t="shared" si="11"/>
        <v>7622.7977135964893</v>
      </c>
      <c r="L53" s="60">
        <f t="shared" si="11"/>
        <v>7605.4877287803874</v>
      </c>
      <c r="M53" s="60">
        <f t="shared" si="11"/>
        <v>7588.2170517861114</v>
      </c>
      <c r="N53" s="60">
        <f t="shared" si="11"/>
        <v>7570.9855933527597</v>
      </c>
      <c r="O53" s="60">
        <f t="shared" si="11"/>
        <v>7553.7932644221255</v>
      </c>
      <c r="P53" s="60">
        <f t="shared" si="11"/>
        <v>7536.6399761382345</v>
      </c>
      <c r="Q53" s="60">
        <f t="shared" si="11"/>
        <v>7519.5256398468919</v>
      </c>
      <c r="R53" s="60">
        <f t="shared" si="11"/>
        <v>7502.4501670952195</v>
      </c>
      <c r="S53" s="60">
        <f t="shared" si="11"/>
        <v>7485.4134696312003</v>
      </c>
      <c r="T53" s="60">
        <f t="shared" si="9"/>
        <v>7468.4154594032198</v>
      </c>
      <c r="U53" s="60">
        <f t="shared" si="10"/>
        <v>7451.4560485596121</v>
      </c>
      <c r="V53" s="60">
        <f t="shared" si="10"/>
        <v>7434.5351494482093</v>
      </c>
      <c r="W53" s="60">
        <f t="shared" si="10"/>
        <v>7417.6526746158825</v>
      </c>
      <c r="X53" s="60">
        <f t="shared" si="10"/>
        <v>7400.8085368080938</v>
      </c>
      <c r="Y53" s="60"/>
      <c r="Z53" s="549">
        <f t="shared" si="5"/>
        <v>6290.6872562868803</v>
      </c>
    </row>
    <row r="54" spans="1:27">
      <c r="A54" s="91">
        <f>INDEX([2]!ResApplic,MATCH(CONCATENATE(LEFT($D54,FIND("_",$D54)-1)," - ",$C$7),[2]APPLIC!$B$9:$B$201,0)+1,MATCH($C54,[2]APPLIC!$C$8:$F$8,0)+1)</f>
        <v>6.1309752137076318E-2</v>
      </c>
      <c r="B54" s="87">
        <f>VLOOKUP(RIGHT($D54,LEN(D54)-FIND("_",$D54)),Weighting!$D$16:$H$19,5,FALSE)</f>
        <v>0.81169245245930366</v>
      </c>
      <c r="C54" s="57" t="str">
        <f t="shared" si="6"/>
        <v>Multifamily - Low Rise</v>
      </c>
      <c r="D54" s="60" t="s">
        <v>240</v>
      </c>
      <c r="E54" s="60">
        <f t="shared" si="11"/>
        <v>46094.183561990634</v>
      </c>
      <c r="F54" s="60">
        <f t="shared" si="11"/>
        <v>45989.51206898415</v>
      </c>
      <c r="G54" s="60">
        <f t="shared" si="11"/>
        <v>45885.078265868258</v>
      </c>
      <c r="H54" s="60">
        <f t="shared" si="11"/>
        <v>45780.881612892546</v>
      </c>
      <c r="I54" s="60">
        <f t="shared" si="11"/>
        <v>45676.921571532213</v>
      </c>
      <c r="J54" s="60">
        <f t="shared" si="11"/>
        <v>45573.197604485431</v>
      </c>
      <c r="K54" s="60">
        <f t="shared" si="11"/>
        <v>45469.709175670425</v>
      </c>
      <c r="L54" s="60">
        <f t="shared" si="11"/>
        <v>45366.455750222769</v>
      </c>
      <c r="M54" s="60">
        <f t="shared" si="11"/>
        <v>45263.436794492656</v>
      </c>
      <c r="N54" s="60">
        <f t="shared" si="11"/>
        <v>45160.651776042054</v>
      </c>
      <c r="O54" s="60">
        <f t="shared" si="11"/>
        <v>45058.100163642041</v>
      </c>
      <c r="P54" s="60">
        <f t="shared" si="11"/>
        <v>44955.781427269998</v>
      </c>
      <c r="Q54" s="60">
        <f t="shared" si="11"/>
        <v>44853.695038106867</v>
      </c>
      <c r="R54" s="60">
        <f t="shared" si="11"/>
        <v>44751.840468534501</v>
      </c>
      <c r="S54" s="60">
        <f t="shared" si="11"/>
        <v>44650.217192132834</v>
      </c>
      <c r="T54" s="60">
        <f t="shared" si="9"/>
        <v>44548.824683677201</v>
      </c>
      <c r="U54" s="60">
        <f t="shared" si="10"/>
        <v>44447.662419135653</v>
      </c>
      <c r="V54" s="60">
        <f t="shared" si="10"/>
        <v>44346.729875666213</v>
      </c>
      <c r="W54" s="60">
        <f t="shared" si="10"/>
        <v>44246.026531614159</v>
      </c>
      <c r="X54" s="60">
        <f t="shared" si="10"/>
        <v>44145.551866509391</v>
      </c>
      <c r="Y54" s="60"/>
      <c r="Z54" s="549">
        <f t="shared" si="5"/>
        <v>37523.719086532983</v>
      </c>
    </row>
    <row r="55" spans="1:27">
      <c r="A55" s="91">
        <f>INDEX([2]!ResApplic,MATCH(CONCATENATE(LEFT($D55,FIND("_",$D55)-1)," - ",$C$7),[2]APPLIC!$B$9:$B$201,0)+1,MATCH($C55,[2]APPLIC!$C$8:$F$8,0)+1)</f>
        <v>6.290255489213914E-2</v>
      </c>
      <c r="B55" s="87">
        <f>VLOOKUP(RIGHT($D55,LEN(D55)-FIND("_",$D55)),Weighting!$D$16:$H$19,5,FALSE)</f>
        <v>0.81169245245930366</v>
      </c>
      <c r="C55" s="57" t="str">
        <f t="shared" si="6"/>
        <v>Multifamily - Low Rise</v>
      </c>
      <c r="D55" s="60" t="s">
        <v>1210</v>
      </c>
      <c r="E55" s="60">
        <f t="shared" si="11"/>
        <v>47291.691951940738</v>
      </c>
      <c r="F55" s="60">
        <f t="shared" si="11"/>
        <v>47184.301135553782</v>
      </c>
      <c r="G55" s="60">
        <f t="shared" si="11"/>
        <v>47077.15418414538</v>
      </c>
      <c r="H55" s="60">
        <f t="shared" si="11"/>
        <v>46970.250543942631</v>
      </c>
      <c r="I55" s="60">
        <f t="shared" si="11"/>
        <v>46863.589662430073</v>
      </c>
      <c r="J55" s="60">
        <f t="shared" si="11"/>
        <v>46757.170988346974</v>
      </c>
      <c r="K55" s="60">
        <f t="shared" si="11"/>
        <v>46650.993971684395</v>
      </c>
      <c r="L55" s="60">
        <f t="shared" si="11"/>
        <v>46545.058063682329</v>
      </c>
      <c r="M55" s="60">
        <f t="shared" si="11"/>
        <v>46439.362716826967</v>
      </c>
      <c r="N55" s="60">
        <f t="shared" si="11"/>
        <v>46333.907384847764</v>
      </c>
      <c r="O55" s="60">
        <f t="shared" si="11"/>
        <v>46228.69152271466</v>
      </c>
      <c r="P55" s="60">
        <f t="shared" si="11"/>
        <v>46123.714586635273</v>
      </c>
      <c r="Q55" s="60">
        <f t="shared" si="11"/>
        <v>46018.976034052044</v>
      </c>
      <c r="R55" s="60">
        <f t="shared" si="11"/>
        <v>45914.475323639512</v>
      </c>
      <c r="S55" s="60">
        <f t="shared" si="11"/>
        <v>45810.211915301421</v>
      </c>
      <c r="T55" s="60">
        <f t="shared" si="9"/>
        <v>45706.185270167996</v>
      </c>
      <c r="U55" s="60">
        <f t="shared" si="10"/>
        <v>45602.394850593133</v>
      </c>
      <c r="V55" s="60">
        <f t="shared" si="10"/>
        <v>45498.840120151639</v>
      </c>
      <c r="W55" s="60">
        <f t="shared" si="10"/>
        <v>45395.520543636419</v>
      </c>
      <c r="X55" s="60">
        <f t="shared" si="10"/>
        <v>45292.435587055748</v>
      </c>
      <c r="Y55" s="60"/>
      <c r="Z55" s="549">
        <f t="shared" si="5"/>
        <v>38498.570248997385</v>
      </c>
    </row>
    <row r="56" spans="1:27">
      <c r="A56" s="91">
        <f>INDEX([2]!ResApplic,MATCH(CONCATENATE(LEFT($D56,FIND("_",$D56)-1)," - ",$C$7),[2]APPLIC!$B$9:$B$201,0)+1,MATCH($C56,[2]APPLIC!$C$8:$F$8,0)+1)</f>
        <v>9.7100069732044877E-3</v>
      </c>
      <c r="B56" s="87">
        <f>VLOOKUP(RIGHT($D56,LEN(D56)-FIND("_",$D56)),Weighting!$D$16:$H$19,5,FALSE)</f>
        <v>0.81169245245930366</v>
      </c>
      <c r="C56" s="57" t="str">
        <f t="shared" si="6"/>
        <v>Multifamily - Low Rise</v>
      </c>
      <c r="D56" s="60" t="s">
        <v>241</v>
      </c>
      <c r="E56" s="60">
        <f t="shared" si="11"/>
        <v>7300.222692311806</v>
      </c>
      <c r="F56" s="60">
        <f t="shared" si="11"/>
        <v>7283.6452165993551</v>
      </c>
      <c r="G56" s="60">
        <f t="shared" si="11"/>
        <v>7267.1053853140102</v>
      </c>
      <c r="H56" s="60">
        <f t="shared" si="11"/>
        <v>7250.6031129721368</v>
      </c>
      <c r="I56" s="60">
        <f t="shared" si="11"/>
        <v>7234.1383142842142</v>
      </c>
      <c r="J56" s="60">
        <f t="shared" si="11"/>
        <v>7217.7109041544054</v>
      </c>
      <c r="K56" s="60">
        <f t="shared" si="11"/>
        <v>7201.3207976801041</v>
      </c>
      <c r="L56" s="60">
        <f t="shared" si="11"/>
        <v>7184.9679101515048</v>
      </c>
      <c r="M56" s="60">
        <f t="shared" si="11"/>
        <v>7168.6521570511622</v>
      </c>
      <c r="N56" s="60">
        <f t="shared" si="11"/>
        <v>7152.373454053557</v>
      </c>
      <c r="O56" s="60">
        <f t="shared" si="11"/>
        <v>7136.1317170246557</v>
      </c>
      <c r="P56" s="60">
        <f t="shared" si="11"/>
        <v>7119.9268620214789</v>
      </c>
      <c r="Q56" s="60">
        <f t="shared" si="11"/>
        <v>7103.7588052916626</v>
      </c>
      <c r="R56" s="60">
        <f t="shared" si="11"/>
        <v>7087.6274632730365</v>
      </c>
      <c r="S56" s="60">
        <f t="shared" si="11"/>
        <v>7071.5327525931771</v>
      </c>
      <c r="T56" s="60">
        <f t="shared" si="9"/>
        <v>7055.4745900689895</v>
      </c>
      <c r="U56" s="60">
        <f t="shared" si="10"/>
        <v>7039.4528927062684</v>
      </c>
      <c r="V56" s="60">
        <f t="shared" si="10"/>
        <v>7023.4675776992808</v>
      </c>
      <c r="W56" s="60">
        <f t="shared" si="10"/>
        <v>7007.5185624303203</v>
      </c>
      <c r="X56" s="60">
        <f t="shared" si="10"/>
        <v>6991.6057644692974</v>
      </c>
      <c r="Y56" s="60"/>
      <c r="Z56" s="549">
        <f t="shared" si="5"/>
        <v>5942.8648997989021</v>
      </c>
    </row>
    <row r="57" spans="1:27">
      <c r="A57" s="91">
        <f>INDEX([2]!ResApplic,MATCH(CONCATENATE(LEFT($D57,FIND("_",$D57)-1)," - ",$C$7),[2]APPLIC!$B$9:$B$201,0)+1,MATCH($C57,[2]APPLIC!$C$8:$F$8,0)+1)</f>
        <v>0.14262615254337155</v>
      </c>
      <c r="B57" s="87">
        <f>VLOOKUP(RIGHT($D57,LEN(D57)-FIND("_",$D57)),Weighting!$D$16:$H$19,5,FALSE)</f>
        <v>0.81169245245930366</v>
      </c>
      <c r="C57" s="57" t="str">
        <f t="shared" si="6"/>
        <v>Multifamily - Low Rise</v>
      </c>
      <c r="D57" s="60" t="s">
        <v>242</v>
      </c>
      <c r="E57" s="60">
        <f t="shared" si="11"/>
        <v>107229.85865896133</v>
      </c>
      <c r="F57" s="60">
        <f t="shared" si="11"/>
        <v>106986.35918606984</v>
      </c>
      <c r="G57" s="60">
        <f t="shared" si="11"/>
        <v>106743.41265611831</v>
      </c>
      <c r="H57" s="60">
        <f t="shared" si="11"/>
        <v>106501.01781347407</v>
      </c>
      <c r="I57" s="60">
        <f t="shared" si="11"/>
        <v>106259.17340535574</v>
      </c>
      <c r="J57" s="60">
        <f t="shared" si="11"/>
        <v>106017.87818182683</v>
      </c>
      <c r="K57" s="60">
        <f t="shared" si="11"/>
        <v>105777.13089578916</v>
      </c>
      <c r="L57" s="60">
        <f t="shared" si="11"/>
        <v>105536.9303029765</v>
      </c>
      <c r="M57" s="60">
        <f t="shared" si="11"/>
        <v>105297.27516194817</v>
      </c>
      <c r="N57" s="60">
        <f t="shared" si="11"/>
        <v>105058.16423408255</v>
      </c>
      <c r="O57" s="60">
        <f t="shared" si="11"/>
        <v>104819.59628357067</v>
      </c>
      <c r="P57" s="60">
        <f t="shared" si="11"/>
        <v>104581.57007740992</v>
      </c>
      <c r="Q57" s="60">
        <f t="shared" si="11"/>
        <v>104344.08438539752</v>
      </c>
      <c r="R57" s="60">
        <f t="shared" si="11"/>
        <v>104107.13798012439</v>
      </c>
      <c r="S57" s="60">
        <f t="shared" si="11"/>
        <v>103870.72963696854</v>
      </c>
      <c r="T57" s="60">
        <f t="shared" si="9"/>
        <v>103634.85813408895</v>
      </c>
      <c r="U57" s="60">
        <f t="shared" si="10"/>
        <v>103399.52225241913</v>
      </c>
      <c r="V57" s="60">
        <f t="shared" si="10"/>
        <v>103164.72077566097</v>
      </c>
      <c r="W57" s="60">
        <f t="shared" si="10"/>
        <v>102930.4524902782</v>
      </c>
      <c r="X57" s="60">
        <f t="shared" si="10"/>
        <v>102696.7161854904</v>
      </c>
      <c r="Y57" s="60"/>
      <c r="Z57" s="549">
        <f t="shared" si="5"/>
        <v>87292.208757666827</v>
      </c>
    </row>
    <row r="58" spans="1:27">
      <c r="A58" s="91">
        <f>INDEX([2]!ResApplic,MATCH(CONCATENATE(LEFT($D58,FIND("_",$D58)-1)," - ",$C$7),[2]APPLIC!$B$9:$B$201,0)+1,MATCH($C58,[2]APPLIC!$C$8:$F$8,0)+1)</f>
        <v>2.9895898862292738E-2</v>
      </c>
      <c r="B58" s="87">
        <f>VLOOKUP(RIGHT($D58,LEN(D58)-FIND("_",$D58)),Weighting!$D$16:$H$19,5,FALSE)</f>
        <v>0.81169245245930366</v>
      </c>
      <c r="C58" s="57" t="str">
        <f t="shared" si="6"/>
        <v>Multifamily - Low Rise</v>
      </c>
      <c r="D58" s="60" t="s">
        <v>248</v>
      </c>
      <c r="E58" s="60">
        <f t="shared" si="11"/>
        <v>22476.474000877319</v>
      </c>
      <c r="F58" s="60">
        <f t="shared" si="11"/>
        <v>22425.434023392325</v>
      </c>
      <c r="G58" s="60">
        <f t="shared" si="11"/>
        <v>22374.509948397259</v>
      </c>
      <c r="H58" s="60">
        <f t="shared" si="11"/>
        <v>22323.701512698695</v>
      </c>
      <c r="I58" s="60">
        <f t="shared" si="11"/>
        <v>22273.008453700852</v>
      </c>
      <c r="J58" s="60">
        <f t="shared" si="11"/>
        <v>22222.430509404265</v>
      </c>
      <c r="K58" s="60">
        <f t="shared" si="11"/>
        <v>22171.967418404427</v>
      </c>
      <c r="L58" s="60">
        <f t="shared" si="11"/>
        <v>22121.618919890407</v>
      </c>
      <c r="M58" s="60">
        <f t="shared" si="11"/>
        <v>22071.384753643564</v>
      </c>
      <c r="N58" s="60">
        <f t="shared" si="11"/>
        <v>22021.26466003614</v>
      </c>
      <c r="O58" s="60">
        <f t="shared" si="11"/>
        <v>21971.258380029969</v>
      </c>
      <c r="P58" s="60">
        <f t="shared" si="11"/>
        <v>21921.365655175083</v>
      </c>
      <c r="Q58" s="60">
        <f t="shared" si="11"/>
        <v>21871.586227608423</v>
      </c>
      <c r="R58" s="60">
        <f t="shared" si="11"/>
        <v>21821.919840052498</v>
      </c>
      <c r="S58" s="60">
        <f t="shared" si="11"/>
        <v>21772.366235814032</v>
      </c>
      <c r="T58" s="60">
        <f t="shared" si="9"/>
        <v>21722.925158782658</v>
      </c>
      <c r="U58" s="60">
        <f t="shared" si="10"/>
        <v>21673.596353429588</v>
      </c>
      <c r="V58" s="60">
        <f t="shared" si="10"/>
        <v>21624.379564806306</v>
      </c>
      <c r="W58" s="60">
        <f t="shared" si="10"/>
        <v>21575.274538543217</v>
      </c>
      <c r="X58" s="60">
        <f t="shared" si="10"/>
        <v>21526.281020848364</v>
      </c>
      <c r="Y58" s="60"/>
      <c r="Z58" s="549">
        <f t="shared" si="5"/>
        <v>18297.338867721108</v>
      </c>
    </row>
    <row r="59" spans="1:27">
      <c r="A59" s="91">
        <f>INDEX([2]!ResApplic,MATCH(CONCATENATE(LEFT($D59,FIND("_",$D59)-1)," - ",$C$7),[2]APPLIC!$B$9:$B$201,0)+1,MATCH($C59,[2]APPLIC!$C$8:$F$8,0)+1)</f>
        <v>0.16174038870037966</v>
      </c>
      <c r="B59" s="87">
        <f>VLOOKUP(RIGHT($D59,LEN(D59)-FIND("_",$D59)),Weighting!$D$16:$H$19,5,FALSE)</f>
        <v>0.81169245245930366</v>
      </c>
      <c r="C59" s="57" t="str">
        <f t="shared" si="6"/>
        <v>Multifamily - Low Rise</v>
      </c>
      <c r="D59" s="60" t="s">
        <v>249</v>
      </c>
      <c r="E59" s="60">
        <f t="shared" si="11"/>
        <v>121600.41276099892</v>
      </c>
      <c r="F59" s="60">
        <f t="shared" si="11"/>
        <v>121324.28037790158</v>
      </c>
      <c r="G59" s="60">
        <f t="shared" si="11"/>
        <v>121048.77504113789</v>
      </c>
      <c r="H59" s="60">
        <f t="shared" si="11"/>
        <v>120773.89532679995</v>
      </c>
      <c r="I59" s="60">
        <f t="shared" si="11"/>
        <v>120499.63981421306</v>
      </c>
      <c r="J59" s="60">
        <f t="shared" si="11"/>
        <v>120226.00708592896</v>
      </c>
      <c r="K59" s="60">
        <f t="shared" si="11"/>
        <v>119952.9957277178</v>
      </c>
      <c r="L59" s="60">
        <f t="shared" si="11"/>
        <v>119680.60432856144</v>
      </c>
      <c r="M59" s="60">
        <f t="shared" si="11"/>
        <v>119408.83148064578</v>
      </c>
      <c r="N59" s="60">
        <f t="shared" si="11"/>
        <v>119137.67577935365</v>
      </c>
      <c r="O59" s="60">
        <f t="shared" si="11"/>
        <v>118867.13582325753</v>
      </c>
      <c r="P59" s="60">
        <f t="shared" si="11"/>
        <v>118597.21021411225</v>
      </c>
      <c r="Q59" s="60">
        <f t="shared" si="11"/>
        <v>118327.89755684778</v>
      </c>
      <c r="R59" s="60">
        <f t="shared" si="11"/>
        <v>118059.19645956212</v>
      </c>
      <c r="S59" s="60">
        <f t="shared" si="11"/>
        <v>117791.10553351394</v>
      </c>
      <c r="T59" s="60">
        <f t="shared" si="9"/>
        <v>117523.62339311557</v>
      </c>
      <c r="U59" s="60">
        <f t="shared" si="10"/>
        <v>117256.74865592565</v>
      </c>
      <c r="V59" s="60">
        <f t="shared" si="10"/>
        <v>116990.47994264223</v>
      </c>
      <c r="W59" s="60">
        <f t="shared" si="10"/>
        <v>116724.81587709535</v>
      </c>
      <c r="X59" s="60">
        <f t="shared" si="10"/>
        <v>116459.75508624021</v>
      </c>
      <c r="Y59" s="60"/>
      <c r="Z59" s="549">
        <f t="shared" si="5"/>
        <v>98990.791823304156</v>
      </c>
    </row>
    <row r="60" spans="1:27">
      <c r="A60" s="91">
        <f>INDEX([2]!ResApplic,MATCH(CONCATENATE(LEFT($D60,FIND("_",$D60)-1)," - ",$C$7),[2]APPLIC!$B$9:$B$201,0)+1,MATCH($C60,[2]APPLIC!$C$8:$F$8,0)+1)</f>
        <v>0.11958359544917095</v>
      </c>
      <c r="B60" s="87">
        <f>VLOOKUP(RIGHT($D60,LEN(D60)-FIND("_",$D60)),Weighting!$D$16:$H$19,5,FALSE)</f>
        <v>0.81169245245930366</v>
      </c>
      <c r="C60" s="57" t="str">
        <f t="shared" si="6"/>
        <v>Multifamily - Low Rise</v>
      </c>
      <c r="D60" s="60" t="s">
        <v>246</v>
      </c>
      <c r="E60" s="60">
        <f t="shared" si="11"/>
        <v>89905.896003509275</v>
      </c>
      <c r="F60" s="60">
        <f t="shared" si="11"/>
        <v>89701.7360935693</v>
      </c>
      <c r="G60" s="60">
        <f t="shared" si="11"/>
        <v>89498.039793589036</v>
      </c>
      <c r="H60" s="60">
        <f t="shared" si="11"/>
        <v>89294.806050794781</v>
      </c>
      <c r="I60" s="60">
        <f t="shared" si="11"/>
        <v>89092.033814803406</v>
      </c>
      <c r="J60" s="60">
        <f t="shared" si="11"/>
        <v>88889.722037617059</v>
      </c>
      <c r="K60" s="60">
        <f t="shared" si="11"/>
        <v>88687.869673617708</v>
      </c>
      <c r="L60" s="60">
        <f t="shared" si="11"/>
        <v>88486.475679561627</v>
      </c>
      <c r="M60" s="60">
        <f t="shared" si="11"/>
        <v>88285.539014574257</v>
      </c>
      <c r="N60" s="60">
        <f t="shared" si="11"/>
        <v>88085.058640144562</v>
      </c>
      <c r="O60" s="60">
        <f t="shared" si="11"/>
        <v>87885.033520119876</v>
      </c>
      <c r="P60" s="60">
        <f t="shared" si="11"/>
        <v>87685.462620700331</v>
      </c>
      <c r="Q60" s="60">
        <f t="shared" si="11"/>
        <v>87486.344910433691</v>
      </c>
      <c r="R60" s="60">
        <f t="shared" si="11"/>
        <v>87287.679360209993</v>
      </c>
      <c r="S60" s="60">
        <f t="shared" si="11"/>
        <v>87089.464943256127</v>
      </c>
      <c r="T60" s="60">
        <f t="shared" si="9"/>
        <v>86891.700635130634</v>
      </c>
      <c r="U60" s="60">
        <f t="shared" si="10"/>
        <v>86694.385413718352</v>
      </c>
      <c r="V60" s="60">
        <f t="shared" si="10"/>
        <v>86497.518259225224</v>
      </c>
      <c r="W60" s="60">
        <f t="shared" si="10"/>
        <v>86301.098154172869</v>
      </c>
      <c r="X60" s="60">
        <f t="shared" si="10"/>
        <v>86105.124083393457</v>
      </c>
      <c r="Y60" s="60"/>
      <c r="Z60" s="549">
        <f t="shared" si="5"/>
        <v>73189.355470884431</v>
      </c>
    </row>
    <row r="61" spans="1:27">
      <c r="A61" s="91">
        <f>INDEX([2]!ResApplic,MATCH(CONCATENATE(LEFT($D61,FIND("_",$D61)-1)," - ",$C$7),[2]APPLIC!$B$9:$B$201,0)+1,MATCH($C61,[2]APPLIC!$C$8:$F$8,0)+1)</f>
        <v>0.64696155480151862</v>
      </c>
      <c r="B61" s="87">
        <f>VLOOKUP(RIGHT($D61,LEN(D61)-FIND("_",$D61)),Weighting!$D$16:$H$19,5,FALSE)</f>
        <v>0.81169245245930366</v>
      </c>
      <c r="C61" s="57" t="str">
        <f t="shared" si="6"/>
        <v>Multifamily - Low Rise</v>
      </c>
      <c r="D61" s="60" t="s">
        <v>247</v>
      </c>
      <c r="E61" s="60">
        <f t="shared" si="11"/>
        <v>486401.65104399569</v>
      </c>
      <c r="F61" s="60">
        <f t="shared" si="11"/>
        <v>485297.12151160632</v>
      </c>
      <c r="G61" s="60">
        <f t="shared" si="11"/>
        <v>484195.10016455158</v>
      </c>
      <c r="H61" s="60">
        <f t="shared" si="11"/>
        <v>483095.58130719978</v>
      </c>
      <c r="I61" s="60">
        <f t="shared" si="11"/>
        <v>481998.55925685226</v>
      </c>
      <c r="J61" s="60">
        <f t="shared" si="11"/>
        <v>480904.02834371582</v>
      </c>
      <c r="K61" s="60">
        <f t="shared" si="11"/>
        <v>479811.98291087121</v>
      </c>
      <c r="L61" s="60">
        <f t="shared" si="11"/>
        <v>478722.41731424577</v>
      </c>
      <c r="M61" s="60">
        <f t="shared" si="11"/>
        <v>477635.32592258311</v>
      </c>
      <c r="N61" s="60">
        <f t="shared" si="11"/>
        <v>476550.70311741461</v>
      </c>
      <c r="O61" s="60">
        <f t="shared" si="11"/>
        <v>475468.54329303012</v>
      </c>
      <c r="P61" s="60">
        <f t="shared" si="11"/>
        <v>474388.84085644898</v>
      </c>
      <c r="Q61" s="60">
        <f t="shared" si="11"/>
        <v>473311.59022739111</v>
      </c>
      <c r="R61" s="60">
        <f t="shared" si="11"/>
        <v>472236.7858382485</v>
      </c>
      <c r="S61" s="60">
        <f t="shared" si="11"/>
        <v>471164.42213405576</v>
      </c>
      <c r="T61" s="60">
        <f t="shared" si="9"/>
        <v>470094.49357246229</v>
      </c>
      <c r="U61" s="60">
        <f t="shared" si="10"/>
        <v>469026.9946237026</v>
      </c>
      <c r="V61" s="60">
        <f t="shared" si="10"/>
        <v>467961.9197705689</v>
      </c>
      <c r="W61" s="60">
        <f t="shared" si="10"/>
        <v>466899.26350838138</v>
      </c>
      <c r="X61" s="60">
        <f t="shared" si="10"/>
        <v>465839.02034496085</v>
      </c>
      <c r="Y61" s="60"/>
      <c r="Z61" s="549">
        <f t="shared" si="5"/>
        <v>395963.16729321663</v>
      </c>
    </row>
    <row r="62" spans="1:27">
      <c r="A62" s="91"/>
      <c r="B62" s="87"/>
      <c r="D62" s="60"/>
      <c r="E62" s="60"/>
      <c r="F62" s="60"/>
      <c r="G62" s="60"/>
      <c r="H62" s="60"/>
      <c r="I62" s="60"/>
      <c r="J62" s="60"/>
      <c r="K62" s="60"/>
      <c r="L62" s="60"/>
      <c r="M62" s="60"/>
      <c r="N62" s="60"/>
      <c r="O62" s="60"/>
      <c r="P62" s="60"/>
      <c r="Q62" s="60"/>
      <c r="R62" s="60"/>
      <c r="S62" s="60"/>
      <c r="T62" s="60"/>
      <c r="U62" s="60"/>
      <c r="V62" s="60"/>
      <c r="W62" s="60"/>
      <c r="X62" s="60"/>
      <c r="Y62" s="60"/>
      <c r="AA62" s="549"/>
    </row>
    <row r="63" spans="1:27">
      <c r="A63" s="91"/>
      <c r="B63" s="87"/>
      <c r="D63" s="60"/>
      <c r="E63" s="60"/>
      <c r="F63" s="60"/>
      <c r="G63" s="60"/>
      <c r="H63" s="60"/>
      <c r="I63" s="60"/>
      <c r="J63" s="60"/>
      <c r="K63" s="60"/>
      <c r="L63" s="60"/>
      <c r="M63" s="60"/>
      <c r="N63" s="60"/>
      <c r="O63" s="60"/>
      <c r="P63" s="60"/>
      <c r="Q63" s="60"/>
      <c r="R63" s="60"/>
      <c r="S63" s="60"/>
      <c r="T63" s="60"/>
      <c r="U63" s="60"/>
      <c r="V63" s="60"/>
      <c r="W63" s="60"/>
      <c r="X63" s="60"/>
      <c r="Y63" s="60"/>
      <c r="AA63" s="549"/>
    </row>
    <row r="64" spans="1:27">
      <c r="A64" s="91"/>
      <c r="B64" s="87"/>
      <c r="D64" s="60"/>
      <c r="E64" s="60"/>
      <c r="F64" s="60"/>
      <c r="G64" s="60"/>
      <c r="H64" s="60"/>
      <c r="I64" s="60"/>
      <c r="J64" s="60"/>
      <c r="K64" s="60"/>
      <c r="L64" s="60"/>
      <c r="M64" s="60"/>
      <c r="N64" s="60"/>
      <c r="O64" s="60"/>
      <c r="P64" s="60"/>
      <c r="Q64" s="60"/>
      <c r="R64" s="60"/>
      <c r="S64" s="60"/>
      <c r="T64" s="60"/>
      <c r="U64" s="60"/>
      <c r="V64" s="60"/>
      <c r="W64" s="60"/>
      <c r="X64" s="60"/>
      <c r="Y64" s="60"/>
      <c r="AA64" s="549"/>
    </row>
    <row r="65" spans="1:27">
      <c r="A65" s="91"/>
      <c r="B65" s="87"/>
      <c r="D65" s="60"/>
      <c r="E65" s="60"/>
      <c r="F65" s="60"/>
      <c r="G65" s="60"/>
      <c r="H65" s="60"/>
      <c r="I65" s="60"/>
      <c r="J65" s="60"/>
      <c r="K65" s="60"/>
      <c r="L65" s="60"/>
      <c r="M65" s="60"/>
      <c r="N65" s="60"/>
      <c r="O65" s="60"/>
      <c r="P65" s="60"/>
      <c r="Q65" s="60"/>
      <c r="R65" s="60"/>
      <c r="S65" s="60"/>
      <c r="T65" s="60"/>
      <c r="U65" s="60"/>
      <c r="V65" s="60"/>
      <c r="W65" s="60"/>
      <c r="X65" s="60"/>
      <c r="Y65" s="60"/>
      <c r="AA65" s="549"/>
    </row>
    <row r="66" spans="1:27">
      <c r="A66" s="91"/>
      <c r="B66" s="87"/>
      <c r="D66" s="60"/>
      <c r="E66" s="60"/>
      <c r="F66" s="60"/>
      <c r="G66" s="60"/>
      <c r="H66" s="60"/>
      <c r="I66" s="60"/>
      <c r="J66" s="60"/>
      <c r="K66" s="60"/>
      <c r="L66" s="60"/>
      <c r="M66" s="60"/>
      <c r="N66" s="60"/>
      <c r="O66" s="60"/>
      <c r="P66" s="60"/>
      <c r="Q66" s="60"/>
      <c r="R66" s="60"/>
      <c r="S66" s="60"/>
      <c r="T66" s="60"/>
      <c r="U66" s="60"/>
      <c r="V66" s="60"/>
      <c r="W66" s="60"/>
      <c r="X66" s="60"/>
      <c r="Y66" s="60"/>
      <c r="AA66" s="549"/>
    </row>
    <row r="67" spans="1:27">
      <c r="A67" s="91"/>
      <c r="B67" s="87"/>
      <c r="D67" s="60"/>
      <c r="E67" s="60"/>
      <c r="F67" s="60"/>
      <c r="G67" s="60"/>
      <c r="H67" s="60"/>
      <c r="I67" s="60"/>
      <c r="J67" s="60"/>
      <c r="K67" s="60"/>
      <c r="L67" s="60"/>
      <c r="M67" s="60"/>
      <c r="N67" s="60"/>
      <c r="O67" s="60"/>
      <c r="P67" s="60"/>
      <c r="Q67" s="60"/>
      <c r="R67" s="60"/>
      <c r="S67" s="60"/>
      <c r="T67" s="60"/>
      <c r="U67" s="60"/>
      <c r="V67" s="60"/>
      <c r="W67" s="60"/>
      <c r="X67" s="60"/>
      <c r="Y67" s="60"/>
      <c r="AA67" s="549"/>
    </row>
    <row r="68" spans="1:27">
      <c r="A68" s="91"/>
      <c r="B68" s="87"/>
      <c r="D68" s="60"/>
      <c r="E68" s="60"/>
      <c r="F68" s="60"/>
      <c r="G68" s="60"/>
      <c r="H68" s="60"/>
      <c r="I68" s="60"/>
      <c r="J68" s="60"/>
      <c r="K68" s="60"/>
      <c r="L68" s="60"/>
      <c r="M68" s="60"/>
      <c r="N68" s="60"/>
      <c r="O68" s="60"/>
      <c r="P68" s="60"/>
      <c r="Q68" s="60"/>
      <c r="R68" s="60"/>
      <c r="S68" s="60"/>
      <c r="T68" s="60"/>
      <c r="U68" s="60"/>
      <c r="V68" s="60"/>
      <c r="W68" s="60"/>
      <c r="X68" s="60"/>
      <c r="Y68" s="60"/>
      <c r="AA68" s="549"/>
    </row>
    <row r="69" spans="1:27">
      <c r="A69" s="91"/>
      <c r="B69" s="87"/>
      <c r="D69" s="60"/>
      <c r="E69" s="60"/>
      <c r="F69" s="60"/>
      <c r="G69" s="60"/>
      <c r="H69" s="60"/>
      <c r="I69" s="60"/>
      <c r="J69" s="60"/>
      <c r="K69" s="60"/>
      <c r="L69" s="60"/>
      <c r="M69" s="60"/>
      <c r="N69" s="60"/>
      <c r="O69" s="60"/>
      <c r="P69" s="60"/>
      <c r="Q69" s="60"/>
      <c r="R69" s="60"/>
      <c r="S69" s="60"/>
      <c r="T69" s="60"/>
      <c r="U69" s="60"/>
      <c r="V69" s="60"/>
      <c r="W69" s="60"/>
      <c r="X69" s="60"/>
      <c r="Y69" s="60"/>
      <c r="AA69" s="549"/>
    </row>
    <row r="70" spans="1:27">
      <c r="A70" s="91"/>
      <c r="B70" s="87"/>
      <c r="D70" s="60"/>
      <c r="E70" s="60"/>
      <c r="F70" s="60"/>
      <c r="G70" s="60"/>
      <c r="H70" s="60"/>
      <c r="I70" s="60"/>
      <c r="J70" s="60"/>
      <c r="K70" s="60"/>
      <c r="L70" s="60"/>
      <c r="M70" s="60"/>
      <c r="N70" s="60"/>
      <c r="O70" s="60"/>
      <c r="P70" s="60"/>
      <c r="Q70" s="60"/>
      <c r="R70" s="60"/>
      <c r="S70" s="60"/>
      <c r="T70" s="60"/>
      <c r="U70" s="60"/>
      <c r="V70" s="60"/>
      <c r="W70" s="60"/>
      <c r="X70" s="60"/>
      <c r="Y70" s="60"/>
      <c r="AA70" s="549"/>
    </row>
    <row r="71" spans="1:27">
      <c r="A71" s="91"/>
      <c r="B71" s="87"/>
      <c r="D71" s="60"/>
      <c r="E71" s="60"/>
      <c r="F71" s="60"/>
      <c r="G71" s="60"/>
      <c r="H71" s="60"/>
      <c r="I71" s="60"/>
      <c r="J71" s="60"/>
      <c r="K71" s="60"/>
      <c r="L71" s="60"/>
      <c r="M71" s="60"/>
      <c r="N71" s="60"/>
      <c r="O71" s="60"/>
      <c r="P71" s="60"/>
      <c r="Q71" s="60"/>
      <c r="R71" s="60"/>
      <c r="S71" s="60"/>
      <c r="T71" s="60"/>
      <c r="U71" s="60"/>
      <c r="V71" s="60"/>
      <c r="W71" s="60"/>
      <c r="X71" s="60"/>
      <c r="Y71" s="60"/>
      <c r="AA71" s="549"/>
    </row>
    <row r="72" spans="1:27">
      <c r="A72" s="91"/>
      <c r="B72" s="87"/>
      <c r="D72" s="60"/>
      <c r="E72" s="60"/>
      <c r="F72" s="60"/>
      <c r="G72" s="60"/>
      <c r="H72" s="60"/>
      <c r="I72" s="60"/>
      <c r="J72" s="60"/>
      <c r="K72" s="60"/>
      <c r="L72" s="60"/>
      <c r="M72" s="60"/>
      <c r="N72" s="60"/>
      <c r="O72" s="60"/>
      <c r="P72" s="60"/>
      <c r="Q72" s="60"/>
      <c r="R72" s="60"/>
      <c r="S72" s="60"/>
      <c r="T72" s="60"/>
      <c r="U72" s="60"/>
      <c r="V72" s="60"/>
      <c r="W72" s="60"/>
      <c r="X72" s="60"/>
      <c r="Y72" s="60"/>
      <c r="AA72" s="549"/>
    </row>
    <row r="73" spans="1:27">
      <c r="A73" s="91"/>
      <c r="B73" s="87"/>
      <c r="D73" s="60"/>
      <c r="E73" s="60"/>
      <c r="F73" s="60"/>
      <c r="G73" s="60"/>
      <c r="H73" s="60"/>
      <c r="I73" s="60"/>
      <c r="J73" s="60"/>
      <c r="K73" s="60"/>
      <c r="L73" s="60"/>
      <c r="M73" s="60"/>
      <c r="N73" s="60"/>
      <c r="O73" s="60"/>
      <c r="P73" s="60"/>
      <c r="Q73" s="60"/>
      <c r="R73" s="60"/>
      <c r="S73" s="60"/>
      <c r="T73" s="60"/>
      <c r="U73" s="60"/>
      <c r="V73" s="60"/>
      <c r="W73" s="60"/>
      <c r="X73" s="60"/>
      <c r="Y73" s="60"/>
      <c r="AA73" s="549"/>
    </row>
    <row r="74" spans="1:27">
      <c r="A74" s="91"/>
      <c r="B74" s="87"/>
      <c r="D74" s="60"/>
      <c r="E74" s="60"/>
      <c r="F74" s="60"/>
      <c r="G74" s="60"/>
      <c r="H74" s="60"/>
      <c r="I74" s="60"/>
      <c r="J74" s="60"/>
      <c r="K74" s="60"/>
      <c r="L74" s="60"/>
      <c r="M74" s="60"/>
      <c r="N74" s="60"/>
      <c r="O74" s="60"/>
      <c r="P74" s="60"/>
      <c r="Q74" s="60"/>
      <c r="R74" s="60"/>
      <c r="S74" s="60"/>
      <c r="T74" s="60"/>
      <c r="U74" s="60"/>
      <c r="V74" s="60"/>
      <c r="W74" s="60"/>
      <c r="X74" s="60"/>
      <c r="Y74" s="60"/>
      <c r="AA74" s="549"/>
    </row>
    <row r="75" spans="1:27">
      <c r="A75" s="91"/>
      <c r="B75" s="87"/>
      <c r="D75" s="60"/>
      <c r="E75" s="60"/>
      <c r="F75" s="60"/>
      <c r="G75" s="60"/>
      <c r="H75" s="60"/>
      <c r="I75" s="60"/>
      <c r="J75" s="60"/>
      <c r="K75" s="60"/>
      <c r="L75" s="60"/>
      <c r="M75" s="60"/>
      <c r="N75" s="60"/>
      <c r="O75" s="60"/>
      <c r="P75" s="60"/>
      <c r="Q75" s="60"/>
      <c r="R75" s="60"/>
      <c r="S75" s="60"/>
      <c r="T75" s="60"/>
      <c r="U75" s="60"/>
      <c r="V75" s="60"/>
      <c r="W75" s="60"/>
      <c r="X75" s="60"/>
      <c r="Y75" s="60"/>
      <c r="AA75" s="549"/>
    </row>
    <row r="76" spans="1:27">
      <c r="A76" s="91"/>
      <c r="B76" s="87"/>
      <c r="D76" s="60"/>
      <c r="E76" s="60"/>
      <c r="F76" s="60"/>
      <c r="G76" s="60"/>
      <c r="H76" s="60"/>
      <c r="I76" s="60"/>
      <c r="J76" s="60"/>
      <c r="K76" s="60"/>
      <c r="L76" s="60"/>
      <c r="M76" s="60"/>
      <c r="N76" s="60"/>
      <c r="O76" s="60"/>
      <c r="P76" s="60"/>
      <c r="Q76" s="60"/>
      <c r="R76" s="60"/>
      <c r="S76" s="60"/>
      <c r="T76" s="60"/>
      <c r="U76" s="60"/>
      <c r="V76" s="60"/>
      <c r="W76" s="60"/>
      <c r="X76" s="60"/>
      <c r="Y76" s="60"/>
      <c r="AA76" s="549"/>
    </row>
    <row r="77" spans="1:27">
      <c r="A77" s="91"/>
      <c r="B77" s="87"/>
      <c r="D77" s="60"/>
      <c r="E77" s="60"/>
      <c r="F77" s="60"/>
      <c r="G77" s="60"/>
      <c r="H77" s="60"/>
      <c r="I77" s="60"/>
      <c r="J77" s="60"/>
      <c r="K77" s="60"/>
      <c r="L77" s="60"/>
      <c r="M77" s="60"/>
      <c r="N77" s="60"/>
      <c r="O77" s="60"/>
      <c r="P77" s="60"/>
      <c r="Q77" s="60"/>
      <c r="R77" s="60"/>
      <c r="S77" s="60"/>
      <c r="T77" s="60"/>
      <c r="U77" s="60"/>
      <c r="V77" s="60"/>
      <c r="W77" s="60"/>
      <c r="X77" s="60"/>
      <c r="Y77" s="60"/>
      <c r="AA77" s="549"/>
    </row>
    <row r="78" spans="1:27">
      <c r="A78" s="91"/>
      <c r="B78" s="87"/>
      <c r="D78" s="60"/>
      <c r="E78" s="60"/>
      <c r="F78" s="60"/>
      <c r="G78" s="60"/>
      <c r="H78" s="60"/>
      <c r="I78" s="60"/>
      <c r="J78" s="60"/>
      <c r="K78" s="60"/>
      <c r="L78" s="60"/>
      <c r="M78" s="60"/>
      <c r="N78" s="60"/>
      <c r="O78" s="60"/>
      <c r="P78" s="60"/>
      <c r="Q78" s="60"/>
      <c r="R78" s="60"/>
      <c r="S78" s="60"/>
      <c r="T78" s="60"/>
      <c r="U78" s="60"/>
      <c r="V78" s="60"/>
      <c r="W78" s="60"/>
      <c r="X78" s="60"/>
      <c r="Y78" s="60"/>
      <c r="AA78" s="549"/>
    </row>
    <row r="79" spans="1:27">
      <c r="A79" s="91"/>
      <c r="B79" s="87"/>
      <c r="D79" s="60"/>
      <c r="E79" s="60"/>
      <c r="F79" s="60"/>
      <c r="G79" s="60"/>
      <c r="H79" s="60"/>
      <c r="I79" s="60"/>
      <c r="J79" s="60"/>
      <c r="K79" s="60"/>
      <c r="L79" s="60"/>
      <c r="M79" s="60"/>
      <c r="N79" s="60"/>
      <c r="O79" s="60"/>
      <c r="P79" s="60"/>
      <c r="Q79" s="60"/>
      <c r="R79" s="60"/>
      <c r="S79" s="60"/>
      <c r="T79" s="60"/>
      <c r="U79" s="60"/>
      <c r="V79" s="60"/>
      <c r="W79" s="60"/>
      <c r="X79" s="60"/>
      <c r="Y79" s="60"/>
      <c r="AA79" s="549"/>
    </row>
    <row r="80" spans="1:27">
      <c r="A80" s="91"/>
      <c r="B80" s="87"/>
      <c r="D80" s="60"/>
      <c r="E80" s="60"/>
      <c r="F80" s="60"/>
      <c r="G80" s="60"/>
      <c r="H80" s="60"/>
      <c r="I80" s="60"/>
      <c r="J80" s="60"/>
      <c r="K80" s="60"/>
      <c r="L80" s="60"/>
      <c r="M80" s="60"/>
      <c r="N80" s="60"/>
      <c r="O80" s="60"/>
      <c r="P80" s="60"/>
      <c r="Q80" s="60"/>
      <c r="R80" s="60"/>
      <c r="S80" s="60"/>
      <c r="T80" s="60"/>
      <c r="U80" s="60"/>
      <c r="V80" s="60"/>
      <c r="W80" s="60"/>
      <c r="X80" s="60"/>
      <c r="Y80" s="60"/>
      <c r="AA80" s="549"/>
    </row>
    <row r="81" spans="1:71">
      <c r="A81" s="91"/>
      <c r="B81" s="87"/>
      <c r="D81" s="60"/>
      <c r="E81" s="60"/>
      <c r="F81" s="60"/>
      <c r="G81" s="60"/>
      <c r="H81" s="60"/>
      <c r="I81" s="60"/>
      <c r="J81" s="60"/>
      <c r="K81" s="60"/>
      <c r="L81" s="60"/>
      <c r="M81" s="60"/>
      <c r="N81" s="60"/>
      <c r="O81" s="60"/>
      <c r="P81" s="60"/>
      <c r="Q81" s="60"/>
      <c r="R81" s="60"/>
      <c r="S81" s="60"/>
      <c r="T81" s="60"/>
      <c r="U81" s="60"/>
      <c r="V81" s="60"/>
      <c r="W81" s="60"/>
      <c r="X81" s="60"/>
      <c r="Y81" s="60"/>
      <c r="AA81" s="549"/>
    </row>
    <row r="82" spans="1:71">
      <c r="E82" s="60"/>
      <c r="F82" s="60"/>
      <c r="G82" s="60"/>
      <c r="H82" s="60"/>
      <c r="I82" s="60"/>
      <c r="J82" s="60"/>
      <c r="K82" s="60"/>
      <c r="L82" s="60"/>
      <c r="M82" s="60"/>
      <c r="N82" s="60"/>
      <c r="O82" s="60"/>
      <c r="P82" s="60"/>
      <c r="Q82" s="60"/>
      <c r="R82" s="60"/>
      <c r="S82" s="60"/>
      <c r="T82" s="60"/>
      <c r="U82" s="60"/>
      <c r="V82" s="60"/>
      <c r="W82" s="60"/>
      <c r="X82" s="60"/>
      <c r="Y82" s="60"/>
      <c r="AA82" s="549"/>
    </row>
    <row r="83" spans="1:71">
      <c r="E83" s="60">
        <f>SUM(E23:E81)</f>
        <v>1326209.0067219755</v>
      </c>
      <c r="F83" s="60">
        <f t="shared" ref="F83:X83" si="12">SUM(F23:F81)</f>
        <v>1323197.4276886785</v>
      </c>
      <c r="G83" s="60">
        <f t="shared" si="12"/>
        <v>1320192.6874026887</v>
      </c>
      <c r="H83" s="60">
        <f t="shared" si="12"/>
        <v>1317194.7703344573</v>
      </c>
      <c r="I83" s="60">
        <f t="shared" si="12"/>
        <v>1314203.6609896994</v>
      </c>
      <c r="J83" s="60">
        <f t="shared" si="12"/>
        <v>1311219.3439093158</v>
      </c>
      <c r="K83" s="60">
        <f t="shared" si="12"/>
        <v>1308241.8036693118</v>
      </c>
      <c r="L83" s="60">
        <f t="shared" si="12"/>
        <v>1305271.0248807166</v>
      </c>
      <c r="M83" s="60">
        <f t="shared" si="12"/>
        <v>1302306.9921895065</v>
      </c>
      <c r="N83" s="60">
        <f t="shared" si="12"/>
        <v>1299349.6902765234</v>
      </c>
      <c r="O83" s="60">
        <f t="shared" si="12"/>
        <v>1296399.1038573964</v>
      </c>
      <c r="P83" s="60">
        <f t="shared" si="12"/>
        <v>1293455.2176824622</v>
      </c>
      <c r="Q83" s="60">
        <f t="shared" si="12"/>
        <v>1290518.0165366868</v>
      </c>
      <c r="R83" s="60">
        <f t="shared" si="12"/>
        <v>1287587.4852395875</v>
      </c>
      <c r="S83" s="60">
        <f t="shared" si="12"/>
        <v>1284663.6086451523</v>
      </c>
      <c r="T83" s="60">
        <f t="shared" si="12"/>
        <v>1281746.3716417649</v>
      </c>
      <c r="U83" s="60">
        <f t="shared" si="12"/>
        <v>1278835.7591521223</v>
      </c>
      <c r="V83" s="60">
        <f t="shared" si="12"/>
        <v>1275931.7561331622</v>
      </c>
      <c r="W83" s="60">
        <f t="shared" si="12"/>
        <v>1273034.3475759798</v>
      </c>
      <c r="X83" s="60">
        <f t="shared" si="12"/>
        <v>1270143.5185057539</v>
      </c>
      <c r="Y83" s="60"/>
      <c r="AA83" s="549"/>
    </row>
    <row r="84" spans="1:71">
      <c r="D84" s="60"/>
      <c r="E84" s="60"/>
      <c r="F84" s="60"/>
      <c r="G84" s="60"/>
      <c r="H84" s="60"/>
      <c r="I84" s="60"/>
      <c r="J84" s="60"/>
      <c r="K84" s="60"/>
      <c r="L84" s="60"/>
      <c r="M84" s="60"/>
      <c r="N84" s="60"/>
      <c r="O84" s="60"/>
      <c r="P84" s="60"/>
      <c r="Q84" s="60"/>
      <c r="R84" s="60"/>
      <c r="S84" s="60"/>
      <c r="T84" s="60"/>
      <c r="U84" s="60"/>
      <c r="V84" s="60"/>
      <c r="W84" s="60"/>
      <c r="X84" s="60"/>
      <c r="AA84" s="549"/>
    </row>
    <row r="86" spans="1:71" ht="15">
      <c r="A86" s="77" t="str">
        <f>CONCATENATE("# HOMES ACHIEVABLE BY YEAR FOR MEASURE - ",C87)</f>
        <v># HOMES ACHIEVABLE BY YEAR FOR MEASURE - ResWx - Retro</v>
      </c>
      <c r="E86" s="84" t="s">
        <v>91</v>
      </c>
    </row>
    <row r="87" spans="1:71" ht="15">
      <c r="C87" s="84" t="str">
        <f>C22</f>
        <v>ResWx - Retro</v>
      </c>
      <c r="E87" s="85">
        <f>VLOOKUP($C$87,[2]ACHIEV!$B$9:$X$100,MATCH(E$11,$E$11:$Y$11,0)+2,FALSE)</f>
        <v>0.10937459468255628</v>
      </c>
      <c r="F87" s="85">
        <f>VLOOKUP($C$87,[2]ACHIEV!$B$9:$X$100,MATCH(F$11,$E$11:$Y$11,0)+2,FALSE)</f>
        <v>0.10937459468255628</v>
      </c>
      <c r="G87" s="85">
        <f>VLOOKUP($C$87,[2]ACHIEV!$B$9:$X$100,MATCH(G$11,$E$11:$Y$11,0)+2,FALSE)</f>
        <v>0.10937459468255628</v>
      </c>
      <c r="H87" s="85">
        <f>VLOOKUP($C$87,[2]ACHIEV!$B$9:$X$100,MATCH(H$11,$E$11:$Y$11,0)+2,FALSE)</f>
        <v>0.10937459468255628</v>
      </c>
      <c r="I87" s="85">
        <f>VLOOKUP($C$87,[2]ACHIEV!$B$9:$X$100,MATCH(I$11,$E$11:$Y$11,0)+2,FALSE)</f>
        <v>0.10937459468255628</v>
      </c>
      <c r="J87" s="85">
        <f>VLOOKUP($C$87,[2]ACHIEV!$B$9:$X$100,MATCH(J$11,$E$11:$Y$11,0)+2,FALSE)</f>
        <v>9.8437135214300656E-2</v>
      </c>
      <c r="K87" s="85">
        <f>VLOOKUP($C$87,[2]ACHIEV!$B$9:$X$100,MATCH(K$11,$E$11:$Y$11,0)+2,FALSE)</f>
        <v>7.874970817144053E-2</v>
      </c>
      <c r="L87" s="85">
        <f>VLOOKUP($C$87,[2]ACHIEV!$B$9:$X$100,MATCH(L$11,$E$11:$Y$11,0)+2,FALSE)</f>
        <v>6.2999766537152418E-2</v>
      </c>
      <c r="M87" s="85">
        <f>VLOOKUP($C$87,[2]ACHIEV!$B$9:$X$100,MATCH(M$11,$E$11:$Y$11,0)+2,FALSE)</f>
        <v>5.0399813229721938E-2</v>
      </c>
      <c r="N87" s="85">
        <f>VLOOKUP($C$87,[2]ACHIEV!$B$9:$X$100,MATCH(N$11,$E$11:$Y$11,0)+2,FALSE)</f>
        <v>4.0319850583777551E-2</v>
      </c>
      <c r="O87" s="85">
        <f>VLOOKUP($C$87,[2]ACHIEV!$B$9:$X$100,MATCH(O$11,$E$11:$Y$11,0)+2,FALSE)</f>
        <v>3.225588046702204E-2</v>
      </c>
      <c r="P87" s="85">
        <f>VLOOKUP($C$87,[2]ACHIEV!$B$9:$X$100,MATCH(P$11,$E$11:$Y$11,0)+2,FALSE)</f>
        <v>2.5804704373617631E-2</v>
      </c>
      <c r="Q87" s="85">
        <f>VLOOKUP($C$87,[2]ACHIEV!$B$9:$X$100,MATCH(Q$11,$E$11:$Y$11,0)+2,FALSE)</f>
        <v>2.0643763498894106E-2</v>
      </c>
      <c r="R87" s="85">
        <f>VLOOKUP($C$87,[2]ACHIEV!$B$9:$X$100,MATCH(R$11,$E$11:$Y$11,0)+2,FALSE)</f>
        <v>1.6515010799115284E-2</v>
      </c>
      <c r="S87" s="85">
        <f>VLOOKUP($C$87,[2]ACHIEV!$B$9:$X$100,MATCH(S$11,$E$11:$Y$11,0)+2,FALSE)</f>
        <v>1.3212008639292228E-2</v>
      </c>
      <c r="T87" s="85">
        <f>VLOOKUP($C$87,[2]ACHIEV!$B$9:$X$100,MATCH(T$11,$E$11:$Y$11,0)+2,FALSE)</f>
        <v>1.0569606911433781E-2</v>
      </c>
      <c r="U87" s="85">
        <f>VLOOKUP($C$87,[2]ACHIEV!$B$9:$X$100,MATCH(U$11,$E$11:$Y$11,0)+2,FALSE)</f>
        <v>7.2092823794611682E-5</v>
      </c>
      <c r="V87" s="85">
        <f>VLOOKUP($C$87,[2]ACHIEV!$B$9:$X$100,MATCH(V$11,$E$11:$Y$11,0)+2,FALSE)</f>
        <v>2.5747437069512102E-5</v>
      </c>
      <c r="W87" s="85">
        <f>VLOOKUP($C$87,[2]ACHIEV!$B$9:$X$100,MATCH(W$11,$E$11:$Y$11,0)+2,FALSE)</f>
        <v>8.7775353646568632E-6</v>
      </c>
      <c r="X87" s="85">
        <f>VLOOKUP($C$87,[2]ACHIEV!$B$9:$X$100,MATCH(X$11,$E$11:$Y$11,0)+2,FALSE)</f>
        <v>2.8622397928446119E-6</v>
      </c>
      <c r="Y87" s="85"/>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row>
    <row r="88" spans="1:71">
      <c r="C88" s="57" t="str">
        <f>C23&amp;D23</f>
        <v>Multifamily - Low RiseWALL R0 - R11_Electric Zonal</v>
      </c>
      <c r="E88" s="60">
        <f t="shared" ref="E88:X88" si="13">E23*E$87*$Z$21</f>
        <v>351.59904202040019</v>
      </c>
      <c r="F88" s="60">
        <f t="shared" si="13"/>
        <v>350.80062465352296</v>
      </c>
      <c r="G88" s="60">
        <f t="shared" si="13"/>
        <v>350.00402034702267</v>
      </c>
      <c r="H88" s="60">
        <f t="shared" si="13"/>
        <v>349.20922498376984</v>
      </c>
      <c r="I88" s="60">
        <f t="shared" si="13"/>
        <v>348.41623445598378</v>
      </c>
      <c r="J88" s="60">
        <f t="shared" si="13"/>
        <v>312.86254019869085</v>
      </c>
      <c r="K88" s="60">
        <f t="shared" si="13"/>
        <v>249.72166909606244</v>
      </c>
      <c r="L88" s="60">
        <f t="shared" si="13"/>
        <v>199.32367734571068</v>
      </c>
      <c r="M88" s="60">
        <f t="shared" si="13"/>
        <v>159.09683967126517</v>
      </c>
      <c r="N88" s="60">
        <f t="shared" si="13"/>
        <v>126.98844778727916</v>
      </c>
      <c r="O88" s="60">
        <f t="shared" si="13"/>
        <v>101.36006412662316</v>
      </c>
      <c r="P88" s="60">
        <f t="shared" si="13"/>
        <v>80.903915110161137</v>
      </c>
      <c r="Q88" s="60">
        <f t="shared" si="13"/>
        <v>64.576157647012906</v>
      </c>
      <c r="R88" s="60">
        <f t="shared" si="13"/>
        <v>51.543613566460451</v>
      </c>
      <c r="S88" s="60">
        <f t="shared" si="13"/>
        <v>41.141253928592924</v>
      </c>
      <c r="T88" s="60">
        <f t="shared" si="13"/>
        <v>32.83826370913085</v>
      </c>
      <c r="U88" s="60">
        <f t="shared" si="13"/>
        <v>0.22347351588721265</v>
      </c>
      <c r="V88" s="60">
        <f t="shared" si="13"/>
        <v>7.9630731516844411E-2</v>
      </c>
      <c r="W88" s="60">
        <f t="shared" si="13"/>
        <v>2.7085194761552162E-2</v>
      </c>
      <c r="X88" s="60">
        <f t="shared" si="13"/>
        <v>8.8120725714404147E-3</v>
      </c>
      <c r="Y88" s="60"/>
      <c r="AA88" s="60">
        <f>SUM(E88:Y88)</f>
        <v>3170.7245901624265</v>
      </c>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row>
    <row r="89" spans="1:71">
      <c r="C89" s="57" t="str">
        <f>C24&amp;D24</f>
        <v>Multifamily - Low RiseFLOOR R0 - R19_Electric Zonal</v>
      </c>
      <c r="E89" s="60">
        <f t="shared" ref="E89:X89" si="14">E24*E$87*$Z$21</f>
        <v>94.186439065625009</v>
      </c>
      <c r="F89" s="60">
        <f t="shared" si="14"/>
        <v>93.9725588222597</v>
      </c>
      <c r="G89" s="60">
        <f t="shared" si="14"/>
        <v>93.759164261960393</v>
      </c>
      <c r="H89" s="60">
        <f t="shared" si="14"/>
        <v>93.546254281829377</v>
      </c>
      <c r="I89" s="60">
        <f t="shared" si="14"/>
        <v>93.333827781473289</v>
      </c>
      <c r="J89" s="60">
        <f t="shared" si="14"/>
        <v>83.809695296697967</v>
      </c>
      <c r="K89" s="60">
        <f t="shared" si="14"/>
        <v>66.89550299832095</v>
      </c>
      <c r="L89" s="60">
        <f t="shared" si="14"/>
        <v>53.394876398920353</v>
      </c>
      <c r="M89" s="60">
        <f t="shared" si="14"/>
        <v>42.618901090070921</v>
      </c>
      <c r="N89" s="60">
        <f t="shared" si="14"/>
        <v>34.017697064319357</v>
      </c>
      <c r="O89" s="60">
        <f t="shared" si="14"/>
        <v>27.152359257554856</v>
      </c>
      <c r="P89" s="60">
        <f t="shared" si="14"/>
        <v>21.672560957238222</v>
      </c>
      <c r="Q89" s="60">
        <f t="shared" si="14"/>
        <v>17.298677215848837</v>
      </c>
      <c r="R89" s="60">
        <f t="shared" si="14"/>
        <v>13.807516057219155</v>
      </c>
      <c r="S89" s="60">
        <f t="shared" si="14"/>
        <v>11.020929363066903</v>
      </c>
      <c r="T89" s="60">
        <f t="shared" si="14"/>
        <v>8.7967222723022136</v>
      </c>
      <c r="U89" s="60">
        <f t="shared" si="14"/>
        <v>5.986414117041506E-2</v>
      </c>
      <c r="V89" s="60">
        <f t="shared" si="14"/>
        <v>2.1331500218727116E-2</v>
      </c>
      <c r="W89" s="60">
        <f t="shared" si="14"/>
        <v>7.2555887278029111E-3</v>
      </c>
      <c r="X89" s="60">
        <f t="shared" si="14"/>
        <v>2.3605801981783602E-3</v>
      </c>
      <c r="Y89" s="60"/>
      <c r="AA89" s="60">
        <f t="shared" ref="AA89:AA97" si="15">SUM(E89:Y89)</f>
        <v>849.3744939950227</v>
      </c>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row>
    <row r="90" spans="1:71">
      <c r="C90" s="57" t="str">
        <f>C25&amp;D25</f>
        <v>Multifamily - Low RiseFLOOR R0 - R30_Electric Zonal</v>
      </c>
      <c r="E90" s="60">
        <f t="shared" ref="E90:X90" si="16">E25*E$87*$Z$21</f>
        <v>1042.8026708445011</v>
      </c>
      <c r="F90" s="60">
        <f t="shared" si="16"/>
        <v>1040.4346559664059</v>
      </c>
      <c r="G90" s="60">
        <f t="shared" si="16"/>
        <v>1038.0720184186721</v>
      </c>
      <c r="H90" s="60">
        <f t="shared" si="16"/>
        <v>1035.7147459903622</v>
      </c>
      <c r="I90" s="60">
        <f t="shared" si="16"/>
        <v>1033.3628264982672</v>
      </c>
      <c r="J90" s="60">
        <f t="shared" si="16"/>
        <v>927.91462300815999</v>
      </c>
      <c r="K90" s="60">
        <f t="shared" si="16"/>
        <v>740.64599836427112</v>
      </c>
      <c r="L90" s="60">
        <f t="shared" si="16"/>
        <v>591.17130099175472</v>
      </c>
      <c r="M90" s="60">
        <f t="shared" si="16"/>
        <v>471.86308693778687</v>
      </c>
      <c r="N90" s="60">
        <f t="shared" si="16"/>
        <v>376.6332574685706</v>
      </c>
      <c r="O90" s="60">
        <f t="shared" si="16"/>
        <v>300.62239356749944</v>
      </c>
      <c r="P90" s="60">
        <f t="shared" si="16"/>
        <v>239.95178790549076</v>
      </c>
      <c r="Q90" s="60">
        <f t="shared" si="16"/>
        <v>191.52552088942682</v>
      </c>
      <c r="R90" s="60">
        <f t="shared" si="16"/>
        <v>152.87248106029591</v>
      </c>
      <c r="S90" s="60">
        <f t="shared" si="16"/>
        <v>122.02026840601938</v>
      </c>
      <c r="T90" s="60">
        <f t="shared" si="16"/>
        <v>97.394546085796307</v>
      </c>
      <c r="U90" s="60">
        <f t="shared" si="16"/>
        <v>0.66279696864667581</v>
      </c>
      <c r="V90" s="60">
        <f t="shared" si="16"/>
        <v>0.23617567053054914</v>
      </c>
      <c r="W90" s="60">
        <f t="shared" si="16"/>
        <v>8.03315995270866E-2</v>
      </c>
      <c r="X90" s="60">
        <f t="shared" si="16"/>
        <v>2.613560253284326E-2</v>
      </c>
      <c r="Y90" s="60"/>
      <c r="AA90" s="60">
        <f t="shared" si="15"/>
        <v>9404.007622244515</v>
      </c>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row>
    <row r="91" spans="1:71">
      <c r="C91" s="57" t="str">
        <f t="shared" ref="C91:C100" si="17">C26&amp;D26</f>
        <v>Multifamily - Low RiseATTIC R0 - R19_Electric Zonal</v>
      </c>
      <c r="E91" s="60">
        <f t="shared" ref="E91:X91" si="18">E26*E$87*$Z$21</f>
        <v>247.19852007872638</v>
      </c>
      <c r="F91" s="60">
        <f t="shared" si="18"/>
        <v>246.63717727653017</v>
      </c>
      <c r="G91" s="60">
        <f t="shared" si="18"/>
        <v>246.07710918156715</v>
      </c>
      <c r="H91" s="60">
        <f t="shared" si="18"/>
        <v>245.51831289920941</v>
      </c>
      <c r="I91" s="60">
        <f t="shared" si="18"/>
        <v>244.96078554140223</v>
      </c>
      <c r="J91" s="60">
        <f t="shared" si="18"/>
        <v>219.9640718039843</v>
      </c>
      <c r="K91" s="60">
        <f t="shared" si="18"/>
        <v>175.57165877759803</v>
      </c>
      <c r="L91" s="60">
        <f t="shared" si="18"/>
        <v>140.1383740222204</v>
      </c>
      <c r="M91" s="60">
        <f t="shared" si="18"/>
        <v>111.85611624521223</v>
      </c>
      <c r="N91" s="60">
        <f t="shared" si="18"/>
        <v>89.281689107357266</v>
      </c>
      <c r="O91" s="60">
        <f t="shared" si="18"/>
        <v>71.263157326043739</v>
      </c>
      <c r="P91" s="60">
        <f t="shared" si="18"/>
        <v>56.88106534330759</v>
      </c>
      <c r="Q91" s="60">
        <f t="shared" si="18"/>
        <v>45.401519045623346</v>
      </c>
      <c r="R91" s="60">
        <f t="shared" si="18"/>
        <v>36.238736374030019</v>
      </c>
      <c r="S91" s="60">
        <f t="shared" si="18"/>
        <v>28.925155844825021</v>
      </c>
      <c r="T91" s="60">
        <f t="shared" si="18"/>
        <v>23.087577668602126</v>
      </c>
      <c r="U91" s="60">
        <f t="shared" si="18"/>
        <v>0.15711738600500363</v>
      </c>
      <c r="V91" s="60">
        <f t="shared" si="18"/>
        <v>5.5985928945188106E-2</v>
      </c>
      <c r="W91" s="60">
        <f t="shared" si="18"/>
        <v>1.9042771057127306E-2</v>
      </c>
      <c r="X91" s="60">
        <f t="shared" si="18"/>
        <v>6.1954983892135223E-3</v>
      </c>
      <c r="Y91" s="60"/>
      <c r="AA91" s="60">
        <f t="shared" si="15"/>
        <v>2229.2393681206363</v>
      </c>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row>
    <row r="92" spans="1:71">
      <c r="C92" s="57" t="str">
        <f t="shared" si="17"/>
        <v>Multifamily - Low RiseATTIC R0 - R38_Electric Zonal</v>
      </c>
      <c r="E92" s="60">
        <f t="shared" ref="E92:X92" si="19">E27*E$87*$Z$21</f>
        <v>46.933045526213284</v>
      </c>
      <c r="F92" s="60">
        <f t="shared" si="19"/>
        <v>46.826469130517644</v>
      </c>
      <c r="G92" s="60">
        <f t="shared" si="19"/>
        <v>46.720134750399552</v>
      </c>
      <c r="H92" s="60">
        <f t="shared" si="19"/>
        <v>46.614041836285743</v>
      </c>
      <c r="I92" s="60">
        <f t="shared" si="19"/>
        <v>46.508189839850886</v>
      </c>
      <c r="J92" s="60">
        <f t="shared" si="19"/>
        <v>41.762320392613375</v>
      </c>
      <c r="K92" s="60">
        <f t="shared" si="19"/>
        <v>33.333988617316663</v>
      </c>
      <c r="L92" s="60">
        <f t="shared" si="19"/>
        <v>26.60663456180777</v>
      </c>
      <c r="M92" s="60">
        <f t="shared" si="19"/>
        <v>21.236972593727664</v>
      </c>
      <c r="N92" s="60">
        <f t="shared" si="19"/>
        <v>16.95099783849162</v>
      </c>
      <c r="O92" s="60">
        <f t="shared" si="19"/>
        <v>13.530004168551422</v>
      </c>
      <c r="P92" s="60">
        <f t="shared" si="19"/>
        <v>10.799423995284307</v>
      </c>
      <c r="Q92" s="60">
        <f t="shared" si="19"/>
        <v>8.6199203767436163</v>
      </c>
      <c r="R92" s="60">
        <f t="shared" si="19"/>
        <v>6.8802768864195984</v>
      </c>
      <c r="S92" s="60">
        <f t="shared" si="19"/>
        <v>5.491722424898188</v>
      </c>
      <c r="T92" s="60">
        <f t="shared" si="19"/>
        <v>4.3834013790430424</v>
      </c>
      <c r="U92" s="60">
        <f t="shared" si="19"/>
        <v>2.9830265278222665E-2</v>
      </c>
      <c r="V92" s="60">
        <f t="shared" si="19"/>
        <v>1.0629473635906213E-2</v>
      </c>
      <c r="W92" s="60">
        <f t="shared" si="19"/>
        <v>3.6154554674711682E-3</v>
      </c>
      <c r="X92" s="60">
        <f t="shared" si="19"/>
        <v>1.1762756826615927E-3</v>
      </c>
      <c r="Y92" s="60"/>
      <c r="AA92" s="60">
        <f>SUM(E92:Y92)</f>
        <v>423.24279578822865</v>
      </c>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row>
    <row r="93" spans="1:71">
      <c r="C93" s="57" t="str">
        <f t="shared" si="17"/>
        <v>Multifamily - Low RiseATTIC R0 - R49_Electric Zonal</v>
      </c>
      <c r="E93" s="60">
        <f t="shared" ref="E93:X93" si="20">E28*E$87*$Z$21</f>
        <v>279.95389763511992</v>
      </c>
      <c r="F93" s="60">
        <f t="shared" si="20"/>
        <v>279.31817333816946</v>
      </c>
      <c r="G93" s="60">
        <f t="shared" si="20"/>
        <v>278.68389265527514</v>
      </c>
      <c r="H93" s="60">
        <f t="shared" si="20"/>
        <v>278.05105230825279</v>
      </c>
      <c r="I93" s="60">
        <f t="shared" si="20"/>
        <v>277.41964902636164</v>
      </c>
      <c r="J93" s="60">
        <f t="shared" si="20"/>
        <v>249.11071159166002</v>
      </c>
      <c r="K93" s="60">
        <f t="shared" si="20"/>
        <v>198.83602124073491</v>
      </c>
      <c r="L93" s="60">
        <f t="shared" si="20"/>
        <v>158.70760068981951</v>
      </c>
      <c r="M93" s="60">
        <f t="shared" si="20"/>
        <v>126.67776371477201</v>
      </c>
      <c r="N93" s="60">
        <f t="shared" si="20"/>
        <v>101.11208127415775</v>
      </c>
      <c r="O93" s="60">
        <f t="shared" si="20"/>
        <v>80.705979327291303</v>
      </c>
      <c r="P93" s="60">
        <f t="shared" si="20"/>
        <v>64.418168601597984</v>
      </c>
      <c r="Q93" s="60">
        <f t="shared" si="20"/>
        <v>51.4175093415991</v>
      </c>
      <c r="R93" s="60">
        <f t="shared" si="20"/>
        <v>41.040599636479698</v>
      </c>
      <c r="S93" s="60">
        <f t="shared" si="20"/>
        <v>32.757923129487679</v>
      </c>
      <c r="T93" s="60">
        <f t="shared" si="20"/>
        <v>26.146828683360543</v>
      </c>
      <c r="U93" s="60">
        <f t="shared" si="20"/>
        <v>0.17793643984735069</v>
      </c>
      <c r="V93" s="60">
        <f t="shared" si="20"/>
        <v>6.3404420932361108E-2</v>
      </c>
      <c r="W93" s="60">
        <f t="shared" si="20"/>
        <v>2.1566059446950673E-2</v>
      </c>
      <c r="X93" s="60">
        <f t="shared" si="20"/>
        <v>7.0164413658304016E-3</v>
      </c>
      <c r="Y93" s="60"/>
      <c r="AA93" s="60">
        <f t="shared" ref="AA93:AA95" si="21">SUM(E93:Y93)</f>
        <v>2524.6277755557326</v>
      </c>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row>
    <row r="94" spans="1:71">
      <c r="C94" s="57" t="str">
        <f t="shared" si="17"/>
        <v>Multifamily - Low RiseATTIC R19 - R30_Electric Zonal</v>
      </c>
      <c r="E94" s="60">
        <f t="shared" ref="E94:X94" si="22">E29*E$87*$Z$21</f>
        <v>287.22698754171137</v>
      </c>
      <c r="F94" s="60">
        <f t="shared" si="22"/>
        <v>286.5747473826616</v>
      </c>
      <c r="G94" s="60">
        <f t="shared" si="22"/>
        <v>285.9239883421817</v>
      </c>
      <c r="H94" s="60">
        <f t="shared" si="22"/>
        <v>285.27470705692161</v>
      </c>
      <c r="I94" s="60">
        <f t="shared" si="22"/>
        <v>284.62690017116824</v>
      </c>
      <c r="J94" s="60">
        <f t="shared" si="22"/>
        <v>255.58250790314611</v>
      </c>
      <c r="K94" s="60">
        <f t="shared" si="22"/>
        <v>204.00170127365823</v>
      </c>
      <c r="L94" s="60">
        <f t="shared" si="22"/>
        <v>162.83076046157927</v>
      </c>
      <c r="M94" s="60">
        <f t="shared" si="22"/>
        <v>129.96880117646262</v>
      </c>
      <c r="N94" s="60">
        <f t="shared" si="22"/>
        <v>103.73893256632306</v>
      </c>
      <c r="O94" s="60">
        <f t="shared" si="22"/>
        <v>82.802688280463116</v>
      </c>
      <c r="P94" s="60">
        <f t="shared" si="22"/>
        <v>66.091726768907506</v>
      </c>
      <c r="Q94" s="60">
        <f t="shared" si="22"/>
        <v>52.753315598891724</v>
      </c>
      <c r="R94" s="60">
        <f t="shared" si="22"/>
        <v>42.106817944201154</v>
      </c>
      <c r="S94" s="60">
        <f t="shared" si="22"/>
        <v>33.608960825646143</v>
      </c>
      <c r="T94" s="60">
        <f t="shared" si="22"/>
        <v>26.826112799040846</v>
      </c>
      <c r="U94" s="60">
        <f t="shared" si="22"/>
        <v>0.1825591571433082</v>
      </c>
      <c r="V94" s="60">
        <f t="shared" si="22"/>
        <v>6.5051642342071461E-2</v>
      </c>
      <c r="W94" s="60">
        <f t="shared" si="22"/>
        <v>2.2126337016270332E-2</v>
      </c>
      <c r="X94" s="60">
        <f t="shared" si="22"/>
        <v>7.1987256966044768E-3</v>
      </c>
      <c r="Y94" s="60"/>
      <c r="AA94" s="60">
        <f t="shared" si="21"/>
        <v>2590.2165919551621</v>
      </c>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row>
    <row r="95" spans="1:71">
      <c r="C95" s="57" t="str">
        <f t="shared" si="17"/>
        <v>Multifamily - Low RiseATTIC R19 - R38_Electric Zonal</v>
      </c>
      <c r="E95" s="60">
        <f t="shared" ref="E95:X95" si="23">E30*E$87*$Z$21</f>
        <v>44.338040906365016</v>
      </c>
      <c r="F95" s="60">
        <f t="shared" si="23"/>
        <v>44.237357293379212</v>
      </c>
      <c r="G95" s="60">
        <f t="shared" si="23"/>
        <v>44.136902314535035</v>
      </c>
      <c r="H95" s="60">
        <f t="shared" si="23"/>
        <v>44.036675450646001</v>
      </c>
      <c r="I95" s="60">
        <f t="shared" si="23"/>
        <v>43.936676183704591</v>
      </c>
      <c r="J95" s="60">
        <f t="shared" si="23"/>
        <v>39.453213597191677</v>
      </c>
      <c r="K95" s="60">
        <f t="shared" si="23"/>
        <v>31.490898029649756</v>
      </c>
      <c r="L95" s="60">
        <f t="shared" si="23"/>
        <v>25.135510350020951</v>
      </c>
      <c r="M95" s="60">
        <f t="shared" si="23"/>
        <v>20.062745748347819</v>
      </c>
      <c r="N95" s="60">
        <f t="shared" si="23"/>
        <v>16.013749526375261</v>
      </c>
      <c r="O95" s="60">
        <f t="shared" si="23"/>
        <v>12.781908174986564</v>
      </c>
      <c r="P95" s="60">
        <f t="shared" si="23"/>
        <v>10.202306232197518</v>
      </c>
      <c r="Q95" s="60">
        <f t="shared" si="23"/>
        <v>8.1433109227954308</v>
      </c>
      <c r="R95" s="60">
        <f t="shared" si="23"/>
        <v>6.4998551578505044</v>
      </c>
      <c r="S95" s="60">
        <f t="shared" si="23"/>
        <v>5.1880761367923904</v>
      </c>
      <c r="T95" s="60">
        <f t="shared" si="23"/>
        <v>4.141035968877774</v>
      </c>
      <c r="U95" s="60">
        <f t="shared" si="23"/>
        <v>2.8180901267420257E-2</v>
      </c>
      <c r="V95" s="60">
        <f t="shared" si="23"/>
        <v>1.0041752705323819E-2</v>
      </c>
      <c r="W95" s="60">
        <f t="shared" si="23"/>
        <v>3.4155510390295228E-3</v>
      </c>
      <c r="X95" s="60">
        <f t="shared" si="23"/>
        <v>1.1112374820398765E-3</v>
      </c>
      <c r="Y95" s="60"/>
      <c r="AA95" s="60">
        <f t="shared" si="21"/>
        <v>399.84101143620939</v>
      </c>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row>
    <row r="96" spans="1:71">
      <c r="C96" s="57" t="str">
        <f t="shared" si="17"/>
        <v>Multifamily - Low RiseATTIC R19 - R49_Electric Zonal</v>
      </c>
      <c r="E96" s="60">
        <f t="shared" ref="E96:X96" si="24">E31*E$87*$Z$21</f>
        <v>651.26257923772653</v>
      </c>
      <c r="F96" s="60">
        <f t="shared" si="24"/>
        <v>649.78368057329101</v>
      </c>
      <c r="G96" s="60">
        <f t="shared" si="24"/>
        <v>648.30814021828314</v>
      </c>
      <c r="H96" s="60">
        <f t="shared" si="24"/>
        <v>646.83595054659406</v>
      </c>
      <c r="I96" s="60">
        <f t="shared" si="24"/>
        <v>645.36710394943213</v>
      </c>
      <c r="J96" s="60">
        <f t="shared" si="24"/>
        <v>579.51143355175611</v>
      </c>
      <c r="K96" s="60">
        <f t="shared" si="24"/>
        <v>462.55637493351139</v>
      </c>
      <c r="L96" s="60">
        <f t="shared" si="24"/>
        <v>369.20479494305346</v>
      </c>
      <c r="M96" s="60">
        <f t="shared" si="24"/>
        <v>294.69311849509359</v>
      </c>
      <c r="N96" s="60">
        <f t="shared" si="24"/>
        <v>235.21913929031763</v>
      </c>
      <c r="O96" s="60">
        <f t="shared" si="24"/>
        <v>187.74799958350238</v>
      </c>
      <c r="P96" s="60">
        <f t="shared" si="24"/>
        <v>149.8573264656861</v>
      </c>
      <c r="Q96" s="60">
        <f t="shared" si="24"/>
        <v>119.61362222373612</v>
      </c>
      <c r="R96" s="60">
        <f t="shared" si="24"/>
        <v>95.473601183981685</v>
      </c>
      <c r="S96" s="60">
        <f t="shared" si="24"/>
        <v>76.205438423962107</v>
      </c>
      <c r="T96" s="60">
        <f t="shared" si="24"/>
        <v>60.825911805687802</v>
      </c>
      <c r="U96" s="60">
        <f t="shared" si="24"/>
        <v>0.41393724371861268</v>
      </c>
      <c r="V96" s="60">
        <f t="shared" si="24"/>
        <v>0.14749902416184055</v>
      </c>
      <c r="W96" s="60">
        <f t="shared" si="24"/>
        <v>5.016957298348141E-2</v>
      </c>
      <c r="X96" s="60">
        <f t="shared" si="24"/>
        <v>1.6322493594773009E-2</v>
      </c>
      <c r="Y96" s="60"/>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row>
    <row r="97" spans="3:71">
      <c r="C97" s="57" t="str">
        <f t="shared" si="17"/>
        <v>Multifamily - Low RiseWINDOW CL22 Prime Window Replacement of Single Pane Base_Electric Zonal</v>
      </c>
      <c r="E97" s="60">
        <f t="shared" ref="E97:X97" si="25">E32*E$87*$Z$21</f>
        <v>136.51129091325851</v>
      </c>
      <c r="F97" s="60">
        <f t="shared" si="25"/>
        <v>136.20129864247849</v>
      </c>
      <c r="G97" s="60">
        <f t="shared" si="25"/>
        <v>135.89201030766813</v>
      </c>
      <c r="H97" s="60">
        <f t="shared" si="25"/>
        <v>135.58342431031716</v>
      </c>
      <c r="I97" s="60">
        <f t="shared" si="25"/>
        <v>135.27553905554507</v>
      </c>
      <c r="J97" s="60">
        <f t="shared" si="25"/>
        <v>121.47151765688395</v>
      </c>
      <c r="K97" s="60">
        <f t="shared" si="25"/>
        <v>96.956542376867816</v>
      </c>
      <c r="L97" s="60">
        <f t="shared" si="25"/>
        <v>77.38909738685247</v>
      </c>
      <c r="M97" s="60">
        <f t="shared" si="25"/>
        <v>61.770688676916215</v>
      </c>
      <c r="N97" s="60">
        <f t="shared" si="25"/>
        <v>49.304334957507031</v>
      </c>
      <c r="O97" s="60">
        <f t="shared" si="25"/>
        <v>39.353899036429013</v>
      </c>
      <c r="P97" s="60">
        <f t="shared" si="25"/>
        <v>31.411626801258379</v>
      </c>
      <c r="Q97" s="60">
        <f t="shared" si="25"/>
        <v>25.072237375721702</v>
      </c>
      <c r="R97" s="60">
        <f t="shared" si="25"/>
        <v>20.012242314026008</v>
      </c>
      <c r="S97" s="60">
        <f t="shared" si="25"/>
        <v>15.973438526196345</v>
      </c>
      <c r="T97" s="60">
        <f t="shared" si="25"/>
        <v>12.749732605993174</v>
      </c>
      <c r="U97" s="60">
        <f t="shared" si="25"/>
        <v>8.6765475706040041E-2</v>
      </c>
      <c r="V97" s="60">
        <f t="shared" si="25"/>
        <v>3.091730254231128E-2</v>
      </c>
      <c r="W97" s="60">
        <f t="shared" si="25"/>
        <v>1.0516055107232013E-2</v>
      </c>
      <c r="X97" s="60">
        <f t="shared" si="25"/>
        <v>3.4213614332852822E-3</v>
      </c>
      <c r="Y97" s="60"/>
      <c r="AA97" s="60">
        <f t="shared" si="15"/>
        <v>1231.0605411387082</v>
      </c>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row>
    <row r="98" spans="3:71">
      <c r="C98" s="57" t="str">
        <f t="shared" si="17"/>
        <v>Multifamily - Low RiseWINDOW CL22 Prime Window Replacement of Double Pane Base_Electric Zonal</v>
      </c>
      <c r="E98" s="60">
        <f t="shared" ref="E98:X98" si="26">E33*E$87*$Z$21</f>
        <v>738.54241198780119</v>
      </c>
      <c r="F98" s="60">
        <f t="shared" si="26"/>
        <v>736.86531672463389</v>
      </c>
      <c r="G98" s="60">
        <f t="shared" si="26"/>
        <v>735.19202983926061</v>
      </c>
      <c r="H98" s="60">
        <f t="shared" si="26"/>
        <v>733.52254268354943</v>
      </c>
      <c r="I98" s="60">
        <f t="shared" si="26"/>
        <v>731.85684662900599</v>
      </c>
      <c r="J98" s="60">
        <f t="shared" si="26"/>
        <v>657.17543976005777</v>
      </c>
      <c r="K98" s="60">
        <f t="shared" si="26"/>
        <v>524.54649125330843</v>
      </c>
      <c r="L98" s="60">
        <f t="shared" si="26"/>
        <v>418.68427339070547</v>
      </c>
      <c r="M98" s="60">
        <f t="shared" si="26"/>
        <v>334.18681414847305</v>
      </c>
      <c r="N98" s="60">
        <f t="shared" si="26"/>
        <v>266.74234942301825</v>
      </c>
      <c r="O98" s="60">
        <f t="shared" si="26"/>
        <v>212.9093009160448</v>
      </c>
      <c r="P98" s="60">
        <f t="shared" si="26"/>
        <v>169.94065814675307</v>
      </c>
      <c r="Q98" s="60">
        <f t="shared" si="26"/>
        <v>135.64380309876455</v>
      </c>
      <c r="R98" s="60">
        <f t="shared" si="26"/>
        <v>108.26862458781146</v>
      </c>
      <c r="S98" s="60">
        <f t="shared" si="26"/>
        <v>86.418213013398002</v>
      </c>
      <c r="T98" s="60">
        <f t="shared" si="26"/>
        <v>68.977578396888291</v>
      </c>
      <c r="U98" s="60">
        <f t="shared" si="26"/>
        <v>0.46941160160828921</v>
      </c>
      <c r="V98" s="60">
        <f t="shared" si="26"/>
        <v>0.16726630477961035</v>
      </c>
      <c r="W98" s="60">
        <f t="shared" si="26"/>
        <v>5.6893115957908268E-2</v>
      </c>
      <c r="X98" s="60">
        <f t="shared" si="26"/>
        <v>1.8509974583905554E-2</v>
      </c>
      <c r="Y98" s="60"/>
      <c r="AA98" s="60">
        <f>SUM(E98:Y98)</f>
        <v>6660.1847749964018</v>
      </c>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row>
    <row r="99" spans="3:71">
      <c r="C99" s="57" t="str">
        <f t="shared" si="17"/>
        <v>Multifamily - Low RiseWINDOW CL30 Prime Window Replacement of Single Pane Base_Electric Zonal</v>
      </c>
      <c r="E99" s="60">
        <f t="shared" ref="E99:X99" si="27">E34*E$87*$Z$21</f>
        <v>546.04516365303402</v>
      </c>
      <c r="F99" s="60">
        <f t="shared" si="27"/>
        <v>544.80519456991397</v>
      </c>
      <c r="G99" s="60">
        <f t="shared" si="27"/>
        <v>543.56804123067252</v>
      </c>
      <c r="H99" s="60">
        <f t="shared" si="27"/>
        <v>542.33369724126862</v>
      </c>
      <c r="I99" s="60">
        <f t="shared" si="27"/>
        <v>541.10215622218027</v>
      </c>
      <c r="J99" s="60">
        <f t="shared" si="27"/>
        <v>485.88607062753579</v>
      </c>
      <c r="K99" s="60">
        <f t="shared" si="27"/>
        <v>387.82616950747126</v>
      </c>
      <c r="L99" s="60">
        <f t="shared" si="27"/>
        <v>309.55638954740988</v>
      </c>
      <c r="M99" s="60">
        <f t="shared" si="27"/>
        <v>247.08275470766486</v>
      </c>
      <c r="N99" s="60">
        <f t="shared" si="27"/>
        <v>197.21733983002812</v>
      </c>
      <c r="O99" s="60">
        <f t="shared" si="27"/>
        <v>157.41559614571605</v>
      </c>
      <c r="P99" s="60">
        <f t="shared" si="27"/>
        <v>125.64650720503352</v>
      </c>
      <c r="Q99" s="60">
        <f t="shared" si="27"/>
        <v>100.28894950288681</v>
      </c>
      <c r="R99" s="60">
        <f t="shared" si="27"/>
        <v>80.04896925610403</v>
      </c>
      <c r="S99" s="60">
        <f t="shared" si="27"/>
        <v>63.89375410478538</v>
      </c>
      <c r="T99" s="60">
        <f t="shared" si="27"/>
        <v>50.998930423972695</v>
      </c>
      <c r="U99" s="60">
        <f t="shared" si="27"/>
        <v>0.34706190282416016</v>
      </c>
      <c r="V99" s="60">
        <f t="shared" si="27"/>
        <v>0.12366921016924512</v>
      </c>
      <c r="W99" s="60">
        <f t="shared" si="27"/>
        <v>4.2064220428928052E-2</v>
      </c>
      <c r="X99" s="60">
        <f t="shared" si="27"/>
        <v>1.3685445733141129E-2</v>
      </c>
      <c r="Y99" s="60"/>
      <c r="AA99" s="60">
        <f t="shared" ref="AA99:AA100" si="28">SUM(E99:Y99)</f>
        <v>4924.2421645548329</v>
      </c>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row>
    <row r="100" spans="3:71">
      <c r="C100" s="57" t="str">
        <f t="shared" si="17"/>
        <v>Multifamily - Low RiseWINDOW CL30 Prime Window Replacement of Double Pane Base_Electric Zonal</v>
      </c>
      <c r="E100" s="60">
        <f t="shared" ref="E100:X100" si="29">E35*E$87*$Z$21</f>
        <v>2954.1696479512048</v>
      </c>
      <c r="F100" s="60">
        <f t="shared" si="29"/>
        <v>2947.4612668985355</v>
      </c>
      <c r="G100" s="60">
        <f t="shared" si="29"/>
        <v>2940.7681193570425</v>
      </c>
      <c r="H100" s="60">
        <f t="shared" si="29"/>
        <v>2934.0901707341977</v>
      </c>
      <c r="I100" s="60">
        <f t="shared" si="29"/>
        <v>2927.4273865160239</v>
      </c>
      <c r="J100" s="60">
        <f t="shared" si="29"/>
        <v>2628.7017590402311</v>
      </c>
      <c r="K100" s="60">
        <f t="shared" si="29"/>
        <v>2098.1859650132337</v>
      </c>
      <c r="L100" s="60">
        <f t="shared" si="29"/>
        <v>1674.7370935628219</v>
      </c>
      <c r="M100" s="60">
        <f t="shared" si="29"/>
        <v>1336.7472565938922</v>
      </c>
      <c r="N100" s="60">
        <f t="shared" si="29"/>
        <v>1066.969397692073</v>
      </c>
      <c r="O100" s="60">
        <f t="shared" si="29"/>
        <v>851.6372036641792</v>
      </c>
      <c r="P100" s="60">
        <f t="shared" si="29"/>
        <v>679.76263258701226</v>
      </c>
      <c r="Q100" s="60">
        <f t="shared" si="29"/>
        <v>542.5752123950582</v>
      </c>
      <c r="R100" s="60">
        <f t="shared" si="29"/>
        <v>433.07449835124584</v>
      </c>
      <c r="S100" s="60">
        <f t="shared" si="29"/>
        <v>345.67285205359201</v>
      </c>
      <c r="T100" s="60">
        <f t="shared" si="29"/>
        <v>275.91031358755316</v>
      </c>
      <c r="U100" s="60">
        <f t="shared" si="29"/>
        <v>1.8776464064331568</v>
      </c>
      <c r="V100" s="60">
        <f t="shared" si="29"/>
        <v>0.66906521911844141</v>
      </c>
      <c r="W100" s="60">
        <f t="shared" si="29"/>
        <v>0.22757246383163307</v>
      </c>
      <c r="X100" s="60">
        <f t="shared" si="29"/>
        <v>7.4039898335622217E-2</v>
      </c>
      <c r="Y100" s="60"/>
      <c r="AA100" s="60">
        <f t="shared" si="28"/>
        <v>26640.739099985607</v>
      </c>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row>
    <row r="101" spans="3:71">
      <c r="C101" s="57" t="str">
        <f t="shared" ref="C101:C113" si="30">C36&amp;D36</f>
        <v>Multifamily - Low RiseWALL R0 - R11_Electric FAF</v>
      </c>
      <c r="E101" s="60">
        <f t="shared" ref="E101:X101" si="31">E36*E$87*$Z$21</f>
        <v>108.20549503088712</v>
      </c>
      <c r="F101" s="60">
        <f t="shared" si="31"/>
        <v>107.95978006554544</v>
      </c>
      <c r="G101" s="60">
        <f t="shared" si="31"/>
        <v>107.71462307412337</v>
      </c>
      <c r="H101" s="60">
        <f t="shared" si="31"/>
        <v>107.47002278956393</v>
      </c>
      <c r="I101" s="60">
        <f t="shared" si="31"/>
        <v>107.22597794768711</v>
      </c>
      <c r="J101" s="60">
        <f t="shared" si="31"/>
        <v>96.284238558465546</v>
      </c>
      <c r="K101" s="60">
        <f t="shared" si="31"/>
        <v>76.85247567571875</v>
      </c>
      <c r="L101" s="60">
        <f t="shared" si="31"/>
        <v>61.342366164120676</v>
      </c>
      <c r="M101" s="60">
        <f t="shared" si="31"/>
        <v>48.962455061183256</v>
      </c>
      <c r="N101" s="60">
        <f t="shared" si="31"/>
        <v>39.081016196936176</v>
      </c>
      <c r="O101" s="60">
        <f t="shared" si="31"/>
        <v>31.193816263433842</v>
      </c>
      <c r="P101" s="60">
        <f t="shared" si="31"/>
        <v>24.89838463190102</v>
      </c>
      <c r="Q101" s="60">
        <f t="shared" si="31"/>
        <v>19.873475949295152</v>
      </c>
      <c r="R101" s="60">
        <f t="shared" si="31"/>
        <v>15.862677524917716</v>
      </c>
      <c r="S101" s="60">
        <f t="shared" si="31"/>
        <v>12.661325019413827</v>
      </c>
      <c r="T101" s="60">
        <f t="shared" si="31"/>
        <v>10.106058765641212</v>
      </c>
      <c r="U101" s="60">
        <f t="shared" si="31"/>
        <v>6.8774540095207781E-2</v>
      </c>
      <c r="V101" s="60">
        <f t="shared" si="31"/>
        <v>2.4506559158804182E-2</v>
      </c>
      <c r="W101" s="60">
        <f t="shared" si="31"/>
        <v>8.3355372367928549E-3</v>
      </c>
      <c r="X101" s="60">
        <f t="shared" si="31"/>
        <v>2.7119376360117851E-3</v>
      </c>
      <c r="Y101" s="60"/>
      <c r="AA101" s="60">
        <f t="shared" ref="AA101:AA102" si="32">SUM(E101:Y101)</f>
        <v>975.79851729296104</v>
      </c>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row>
    <row r="102" spans="3:71">
      <c r="C102" s="57" t="str">
        <f t="shared" si="30"/>
        <v>Multifamily - Low RiseFLOOR R0 - R19_Electric FAF</v>
      </c>
      <c r="E102" s="60">
        <f t="shared" ref="E102:X102" si="33">E37*E$87*$Z$21</f>
        <v>28.986114995447334</v>
      </c>
      <c r="F102" s="60">
        <f t="shared" si="33"/>
        <v>28.92029280925</v>
      </c>
      <c r="G102" s="60">
        <f t="shared" si="33"/>
        <v>28.854620093245433</v>
      </c>
      <c r="H102" s="60">
        <f t="shared" si="33"/>
        <v>28.789096508014055</v>
      </c>
      <c r="I102" s="60">
        <f t="shared" si="33"/>
        <v>28.72372171490704</v>
      </c>
      <c r="J102" s="60">
        <f t="shared" si="33"/>
        <v>25.792645838440141</v>
      </c>
      <c r="K102" s="60">
        <f t="shared" si="33"/>
        <v>20.587260351106206</v>
      </c>
      <c r="L102" s="60">
        <f t="shared" si="33"/>
        <v>16.432408346900399</v>
      </c>
      <c r="M102" s="60">
        <f t="shared" si="33"/>
        <v>13.116074673081641</v>
      </c>
      <c r="N102" s="60">
        <f t="shared" si="33"/>
        <v>10.469032365685059</v>
      </c>
      <c r="O102" s="60">
        <f t="shared" si="33"/>
        <v>8.3562072804218435</v>
      </c>
      <c r="P102" s="60">
        <f t="shared" si="33"/>
        <v>6.669785484879033</v>
      </c>
      <c r="Q102" s="60">
        <f t="shared" si="33"/>
        <v>5.323711693764646</v>
      </c>
      <c r="R102" s="60">
        <f t="shared" si="33"/>
        <v>4.2492980115447381</v>
      </c>
      <c r="S102" s="60">
        <f t="shared" si="33"/>
        <v>3.3917189039494082</v>
      </c>
      <c r="T102" s="60">
        <f t="shared" si="33"/>
        <v>2.7072135426024957</v>
      </c>
      <c r="U102" s="60">
        <f t="shared" si="33"/>
        <v>1.8423340953152626E-2</v>
      </c>
      <c r="V102" s="60">
        <f t="shared" si="33"/>
        <v>6.5648231794241362E-3</v>
      </c>
      <c r="W102" s="60">
        <f t="shared" si="33"/>
        <v>2.2329257938845191E-3</v>
      </c>
      <c r="X102" s="60">
        <f t="shared" si="33"/>
        <v>7.2647453029516169E-4</v>
      </c>
      <c r="Y102" s="60"/>
      <c r="AA102" s="60">
        <f t="shared" si="32"/>
        <v>261.39715017769618</v>
      </c>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row>
    <row r="103" spans="3:71">
      <c r="C103" s="57" t="str">
        <f t="shared" si="30"/>
        <v>Multifamily - Low RiseFLOOR R0 - R30_Electric FAF</v>
      </c>
      <c r="E103" s="60">
        <f t="shared" ref="E103:X103" si="34">E38*E$87*$Z$21</f>
        <v>320.92516114339571</v>
      </c>
      <c r="F103" s="60">
        <f t="shared" si="34"/>
        <v>320.19639857153993</v>
      </c>
      <c r="G103" s="60">
        <f t="shared" si="34"/>
        <v>319.4692908867122</v>
      </c>
      <c r="H103" s="60">
        <f t="shared" si="34"/>
        <v>318.74383433096551</v>
      </c>
      <c r="I103" s="60">
        <f t="shared" si="34"/>
        <v>318.02002515488658</v>
      </c>
      <c r="J103" s="60">
        <f t="shared" si="34"/>
        <v>285.56807365581875</v>
      </c>
      <c r="K103" s="60">
        <f t="shared" si="34"/>
        <v>227.93568047037405</v>
      </c>
      <c r="L103" s="60">
        <f t="shared" si="34"/>
        <v>181.9344640539575</v>
      </c>
      <c r="M103" s="60">
        <f t="shared" si="34"/>
        <v>145.21705922606949</v>
      </c>
      <c r="N103" s="60">
        <f t="shared" si="34"/>
        <v>115.90983819323847</v>
      </c>
      <c r="O103" s="60">
        <f t="shared" si="34"/>
        <v>92.517302454578584</v>
      </c>
      <c r="P103" s="60">
        <f t="shared" si="34"/>
        <v>73.845770013086636</v>
      </c>
      <c r="Q103" s="60">
        <f t="shared" si="34"/>
        <v>58.942463778631407</v>
      </c>
      <c r="R103" s="60">
        <f t="shared" si="34"/>
        <v>47.046892945656737</v>
      </c>
      <c r="S103" s="60">
        <f t="shared" si="34"/>
        <v>37.552046418570654</v>
      </c>
      <c r="T103" s="60">
        <f t="shared" si="34"/>
        <v>29.973418050185341</v>
      </c>
      <c r="U103" s="60">
        <f t="shared" si="34"/>
        <v>0.20397744454953246</v>
      </c>
      <c r="V103" s="60">
        <f t="shared" si="34"/>
        <v>7.26836603341115E-2</v>
      </c>
      <c r="W103" s="60">
        <f t="shared" si="34"/>
        <v>2.472225306275733E-2</v>
      </c>
      <c r="X103" s="60">
        <f t="shared" si="34"/>
        <v>8.0432978251195782E-3</v>
      </c>
      <c r="Y103" s="60"/>
      <c r="AA103" s="60">
        <f>SUM(E103:Y103)</f>
        <v>2894.1071460034391</v>
      </c>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row>
    <row r="104" spans="3:71">
      <c r="C104" s="57" t="str">
        <f t="shared" si="30"/>
        <v>Multifamily - Low RiseATTIC R0 - R19_Electric FAF</v>
      </c>
      <c r="E104" s="60">
        <f t="shared" ref="E104:X104" si="35">E39*E$87*$Z$21</f>
        <v>76.075970179888358</v>
      </c>
      <c r="F104" s="60">
        <f t="shared" si="35"/>
        <v>75.903215511830567</v>
      </c>
      <c r="G104" s="60">
        <f t="shared" si="35"/>
        <v>75.730853138149911</v>
      </c>
      <c r="H104" s="60">
        <f t="shared" si="35"/>
        <v>75.55888216801732</v>
      </c>
      <c r="I104" s="60">
        <f t="shared" si="35"/>
        <v>75.387301712626638</v>
      </c>
      <c r="J104" s="60">
        <f t="shared" si="35"/>
        <v>67.694499796671053</v>
      </c>
      <c r="K104" s="60">
        <f t="shared" si="35"/>
        <v>54.032622336672105</v>
      </c>
      <c r="L104" s="60">
        <f t="shared" si="35"/>
        <v>43.127939276404938</v>
      </c>
      <c r="M104" s="60">
        <f t="shared" si="35"/>
        <v>34.424002867002663</v>
      </c>
      <c r="N104" s="60">
        <f t="shared" si="35"/>
        <v>27.476665782538809</v>
      </c>
      <c r="O104" s="60">
        <f t="shared" si="35"/>
        <v>21.931417024398911</v>
      </c>
      <c r="P104" s="60">
        <f t="shared" si="35"/>
        <v>17.505291817603201</v>
      </c>
      <c r="Q104" s="60">
        <f t="shared" si="35"/>
        <v>13.972432391328537</v>
      </c>
      <c r="R104" s="60">
        <f t="shared" si="35"/>
        <v>11.152562834395377</v>
      </c>
      <c r="S104" s="60">
        <f t="shared" si="35"/>
        <v>8.9017899168600447</v>
      </c>
      <c r="T104" s="60">
        <f t="shared" si="35"/>
        <v>7.1052604590151276</v>
      </c>
      <c r="U104" s="60">
        <f t="shared" si="35"/>
        <v>4.8353273185664646E-2</v>
      </c>
      <c r="V104" s="60">
        <f t="shared" si="35"/>
        <v>1.7229811325614075E-2</v>
      </c>
      <c r="W104" s="60">
        <f t="shared" si="35"/>
        <v>5.8604609874811755E-3</v>
      </c>
      <c r="X104" s="60">
        <f t="shared" si="35"/>
        <v>1.9066803092399106E-3</v>
      </c>
      <c r="Y104" s="60"/>
      <c r="AA104" s="60">
        <f t="shared" ref="AA104:AA106" si="36">SUM(E104:Y104)</f>
        <v>686.05405743921131</v>
      </c>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row>
    <row r="105" spans="3:71">
      <c r="C105" s="57" t="str">
        <f t="shared" si="30"/>
        <v>Multifamily - Low RiseATTIC R0 - R38_Electric FAF</v>
      </c>
      <c r="E105" s="60">
        <f t="shared" ref="E105:X105" si="37">E40*E$87*$Z$21</f>
        <v>14.44376354181424</v>
      </c>
      <c r="F105" s="60">
        <f t="shared" si="37"/>
        <v>14.410964386308621</v>
      </c>
      <c r="G105" s="60">
        <f t="shared" si="37"/>
        <v>14.378239711709497</v>
      </c>
      <c r="H105" s="60">
        <f t="shared" si="37"/>
        <v>14.345589348884314</v>
      </c>
      <c r="I105" s="60">
        <f t="shared" si="37"/>
        <v>14.313013129084553</v>
      </c>
      <c r="J105" s="60">
        <f t="shared" si="37"/>
        <v>12.852459795550436</v>
      </c>
      <c r="K105" s="60">
        <f t="shared" si="37"/>
        <v>10.258619360747371</v>
      </c>
      <c r="L105" s="60">
        <f t="shared" si="37"/>
        <v>8.1882591241510774</v>
      </c>
      <c r="M105" s="60">
        <f t="shared" si="37"/>
        <v>6.5357320635940592</v>
      </c>
      <c r="N105" s="60">
        <f t="shared" si="37"/>
        <v>5.2167124854539875</v>
      </c>
      <c r="O105" s="60">
        <f t="shared" si="37"/>
        <v>4.163893025462591</v>
      </c>
      <c r="P105" s="60">
        <f t="shared" si="37"/>
        <v>3.3235500664145103</v>
      </c>
      <c r="Q105" s="60">
        <f t="shared" si="37"/>
        <v>2.6528023117829096</v>
      </c>
      <c r="R105" s="60">
        <f t="shared" si="37"/>
        <v>2.1174226248358421</v>
      </c>
      <c r="S105" s="60">
        <f t="shared" si="37"/>
        <v>1.6900914750611122</v>
      </c>
      <c r="T105" s="60">
        <f t="shared" si="37"/>
        <v>1.3490028681901409</v>
      </c>
      <c r="U105" s="60">
        <f t="shared" si="37"/>
        <v>9.1803396356964096E-3</v>
      </c>
      <c r="V105" s="60">
        <f t="shared" si="37"/>
        <v>3.2712474131947754E-3</v>
      </c>
      <c r="W105" s="60">
        <f t="shared" si="37"/>
        <v>1.1126655703377782E-3</v>
      </c>
      <c r="X105" s="60">
        <f t="shared" si="37"/>
        <v>3.6200181833205168E-4</v>
      </c>
      <c r="Y105" s="60"/>
      <c r="AA105" s="60">
        <f t="shared" si="36"/>
        <v>130.25404157348279</v>
      </c>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row>
    <row r="106" spans="3:71">
      <c r="C106" s="57" t="str">
        <f t="shared" si="30"/>
        <v>Multifamily - Low RiseATTIC R0 - R49_Electric FAF</v>
      </c>
      <c r="E106" s="60">
        <f t="shared" ref="E106:X106" si="38">E41*E$87*$Z$21</f>
        <v>86.156520522251142</v>
      </c>
      <c r="F106" s="60">
        <f t="shared" si="38"/>
        <v>85.960874760933336</v>
      </c>
      <c r="G106" s="60">
        <f t="shared" si="38"/>
        <v>85.765673275494933</v>
      </c>
      <c r="H106" s="60">
        <f t="shared" si="38"/>
        <v>85.570915057066387</v>
      </c>
      <c r="I106" s="60">
        <f t="shared" si="38"/>
        <v>85.376599099068997</v>
      </c>
      <c r="J106" s="60">
        <f t="shared" si="38"/>
        <v>76.664451957488978</v>
      </c>
      <c r="K106" s="60">
        <f t="shared" si="38"/>
        <v>61.192288763623466</v>
      </c>
      <c r="L106" s="60">
        <f t="shared" si="38"/>
        <v>48.842665779532702</v>
      </c>
      <c r="M106" s="60">
        <f t="shared" si="38"/>
        <v>38.985402387323184</v>
      </c>
      <c r="N106" s="60">
        <f t="shared" si="38"/>
        <v>31.11749891297692</v>
      </c>
      <c r="O106" s="60">
        <f t="shared" si="38"/>
        <v>24.837469393774423</v>
      </c>
      <c r="P106" s="60">
        <f t="shared" si="38"/>
        <v>19.82485442072003</v>
      </c>
      <c r="Q106" s="60">
        <f t="shared" si="38"/>
        <v>15.82386863056408</v>
      </c>
      <c r="R106" s="60">
        <f t="shared" si="38"/>
        <v>12.630348406273729</v>
      </c>
      <c r="S106" s="60">
        <f t="shared" si="38"/>
        <v>10.081333748925003</v>
      </c>
      <c r="T106" s="60">
        <f t="shared" si="38"/>
        <v>8.0467527013531228</v>
      </c>
      <c r="U106" s="60">
        <f t="shared" si="38"/>
        <v>5.4760389695826098E-2</v>
      </c>
      <c r="V106" s="60">
        <f t="shared" si="38"/>
        <v>1.9512871009855617E-2</v>
      </c>
      <c r="W106" s="60">
        <f t="shared" si="38"/>
        <v>6.6370093755472774E-3</v>
      </c>
      <c r="X106" s="60">
        <f t="shared" si="38"/>
        <v>2.1593275879881993E-3</v>
      </c>
      <c r="Y106" s="60"/>
      <c r="AA106" s="60">
        <f t="shared" si="36"/>
        <v>776.96058741503964</v>
      </c>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row>
    <row r="107" spans="3:71">
      <c r="C107" s="57" t="str">
        <f t="shared" si="30"/>
        <v>Multifamily - Low RiseATTIC R19 - R30_Electric FAF</v>
      </c>
      <c r="E107" s="60">
        <f t="shared" ref="E107:X107" si="39">E42*E$87*$Z$21</f>
        <v>88.394832348200922</v>
      </c>
      <c r="F107" s="60">
        <f t="shared" si="39"/>
        <v>88.194103788522654</v>
      </c>
      <c r="G107" s="60">
        <f t="shared" si="39"/>
        <v>87.99383104683281</v>
      </c>
      <c r="H107" s="60">
        <f t="shared" si="39"/>
        <v>87.794013088051855</v>
      </c>
      <c r="I107" s="60">
        <f t="shared" si="39"/>
        <v>87.594648879450574</v>
      </c>
      <c r="J107" s="60">
        <f t="shared" si="39"/>
        <v>78.656163651580542</v>
      </c>
      <c r="K107" s="60">
        <f t="shared" si="39"/>
        <v>62.782039867385585</v>
      </c>
      <c r="L107" s="60">
        <f t="shared" si="39"/>
        <v>50.111578634445479</v>
      </c>
      <c r="M107" s="60">
        <f t="shared" si="39"/>
        <v>39.998227495324379</v>
      </c>
      <c r="N107" s="60">
        <f t="shared" si="39"/>
        <v>31.925919046342301</v>
      </c>
      <c r="O107" s="60">
        <f t="shared" si="39"/>
        <v>25.482736880596772</v>
      </c>
      <c r="P107" s="60">
        <f t="shared" si="39"/>
        <v>20.339896182256471</v>
      </c>
      <c r="Q107" s="60">
        <f t="shared" si="39"/>
        <v>16.234966386988908</v>
      </c>
      <c r="R107" s="60">
        <f t="shared" si="39"/>
        <v>12.958479788927781</v>
      </c>
      <c r="S107" s="60">
        <f t="shared" si="39"/>
        <v>10.343242753777837</v>
      </c>
      <c r="T107" s="60">
        <f t="shared" si="39"/>
        <v>8.2558041071289683</v>
      </c>
      <c r="U107" s="60">
        <f t="shared" si="39"/>
        <v>5.6183042643122537E-2</v>
      </c>
      <c r="V107" s="60">
        <f t="shared" si="39"/>
        <v>2.0019807567586183E-2</v>
      </c>
      <c r="W107" s="60">
        <f t="shared" si="39"/>
        <v>6.809436215491336E-3</v>
      </c>
      <c r="X107" s="60">
        <f t="shared" si="39"/>
        <v>2.2154260521206424E-3</v>
      </c>
      <c r="Y107" s="60"/>
      <c r="AA107" s="60">
        <f>SUM(E107:Y107)</f>
        <v>797.14571165829216</v>
      </c>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row>
    <row r="108" spans="3:71">
      <c r="C108" s="57" t="str">
        <f t="shared" si="30"/>
        <v>Multifamily - Low RiseATTIC R19 - R38_Electric FAF</v>
      </c>
      <c r="E108" s="60">
        <f t="shared" ref="E108:X108" si="40">E43*E$87*$Z$21</f>
        <v>13.645144302454003</v>
      </c>
      <c r="F108" s="60">
        <f t="shared" si="40"/>
        <v>13.614158665741162</v>
      </c>
      <c r="G108" s="60">
        <f t="shared" si="40"/>
        <v>13.583243391764046</v>
      </c>
      <c r="H108" s="60">
        <f t="shared" si="40"/>
        <v>13.552398320741705</v>
      </c>
      <c r="I108" s="60">
        <f t="shared" si="40"/>
        <v>13.521623293256015</v>
      </c>
      <c r="J108" s="60">
        <f t="shared" si="40"/>
        <v>12.141826335225785</v>
      </c>
      <c r="K108" s="60">
        <f t="shared" si="40"/>
        <v>9.6914035677825687</v>
      </c>
      <c r="L108" s="60">
        <f t="shared" si="40"/>
        <v>7.7355169247594189</v>
      </c>
      <c r="M108" s="60">
        <f t="shared" si="40"/>
        <v>6.174360780120792</v>
      </c>
      <c r="N108" s="60">
        <f t="shared" si="40"/>
        <v>4.9282719453528303</v>
      </c>
      <c r="O108" s="60">
        <f t="shared" si="40"/>
        <v>3.9336645901143177</v>
      </c>
      <c r="P108" s="60">
        <f t="shared" si="40"/>
        <v>3.1397855636011229</v>
      </c>
      <c r="Q108" s="60">
        <f t="shared" si="40"/>
        <v>2.5061245460969834</v>
      </c>
      <c r="R108" s="60">
        <f t="shared" si="40"/>
        <v>2.0003468750733147</v>
      </c>
      <c r="S108" s="60">
        <f t="shared" si="40"/>
        <v>1.5966435614093089</v>
      </c>
      <c r="T108" s="60">
        <f t="shared" si="40"/>
        <v>1.2744142998180594</v>
      </c>
      <c r="U108" s="60">
        <f t="shared" si="40"/>
        <v>8.6727436870571387E-3</v>
      </c>
      <c r="V108" s="60">
        <f t="shared" si="40"/>
        <v>3.0903748093667146E-3</v>
      </c>
      <c r="W108" s="60">
        <f t="shared" si="40"/>
        <v>1.0511444765540824E-3</v>
      </c>
      <c r="X108" s="60">
        <f t="shared" si="40"/>
        <v>3.4198614748792396E-4</v>
      </c>
      <c r="Y108" s="60"/>
      <c r="AA108" s="60">
        <f t="shared" ref="AA108:AA110" si="41">SUM(E108:Y108)</f>
        <v>123.05208321243191</v>
      </c>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row>
    <row r="109" spans="3:71">
      <c r="C109" s="57" t="str">
        <f t="shared" si="30"/>
        <v>Multifamily - Low RiseATTIC R19 - R49_Electric FAF</v>
      </c>
      <c r="E109" s="60">
        <f t="shared" ref="E109:X109" si="42">E44*E$87*$Z$21</f>
        <v>200.42770701696557</v>
      </c>
      <c r="F109" s="60">
        <f t="shared" si="42"/>
        <v>199.97257221009522</v>
      </c>
      <c r="G109" s="60">
        <f t="shared" si="42"/>
        <v>199.51847093145065</v>
      </c>
      <c r="H109" s="60">
        <f t="shared" si="42"/>
        <v>199.06540083407748</v>
      </c>
      <c r="I109" s="60">
        <f t="shared" si="42"/>
        <v>198.61335957635103</v>
      </c>
      <c r="J109" s="60">
        <f t="shared" si="42"/>
        <v>178.34611033976739</v>
      </c>
      <c r="K109" s="60">
        <f t="shared" si="42"/>
        <v>142.35289505273795</v>
      </c>
      <c r="L109" s="60">
        <f t="shared" si="42"/>
        <v>113.62371005058748</v>
      </c>
      <c r="M109" s="60">
        <f t="shared" si="42"/>
        <v>90.692553044861043</v>
      </c>
      <c r="N109" s="60">
        <f t="shared" si="42"/>
        <v>72.389285424080455</v>
      </c>
      <c r="O109" s="60">
        <f t="shared" si="42"/>
        <v>57.779922036343159</v>
      </c>
      <c r="P109" s="60">
        <f t="shared" si="42"/>
        <v>46.11897148822149</v>
      </c>
      <c r="Q109" s="60">
        <f t="shared" si="42"/>
        <v>36.811394965080488</v>
      </c>
      <c r="R109" s="60">
        <f t="shared" si="42"/>
        <v>29.382242395002947</v>
      </c>
      <c r="S109" s="60">
        <f t="shared" si="42"/>
        <v>23.452416540521096</v>
      </c>
      <c r="T109" s="60">
        <f t="shared" si="42"/>
        <v>18.719328300267815</v>
      </c>
      <c r="U109" s="60">
        <f t="shared" si="42"/>
        <v>0.12739023437297839</v>
      </c>
      <c r="V109" s="60">
        <f t="shared" si="42"/>
        <v>4.5393197985672283E-2</v>
      </c>
      <c r="W109" s="60">
        <f t="shared" si="42"/>
        <v>1.5439813057997043E-2</v>
      </c>
      <c r="X109" s="60">
        <f t="shared" si="42"/>
        <v>5.0232887137912664E-3</v>
      </c>
      <c r="Y109" s="60"/>
      <c r="AA109" s="60">
        <f t="shared" si="41"/>
        <v>1807.4595867405421</v>
      </c>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row>
    <row r="110" spans="3:71">
      <c r="C110" s="57" t="str">
        <f t="shared" si="30"/>
        <v>Multifamily - Low RiseWINDOW CL22 Prime Window Replacement of Single Pane Base_Electric FAF</v>
      </c>
      <c r="E110" s="60">
        <f t="shared" ref="E110:X110" si="43">E45*E$87*$Z$21</f>
        <v>42.011695269970431</v>
      </c>
      <c r="F110" s="60">
        <f t="shared" si="43"/>
        <v>41.916294364089815</v>
      </c>
      <c r="G110" s="60">
        <f t="shared" si="43"/>
        <v>41.82111009628543</v>
      </c>
      <c r="H110" s="60">
        <f t="shared" si="43"/>
        <v>41.726141974611693</v>
      </c>
      <c r="I110" s="60">
        <f t="shared" si="43"/>
        <v>41.631389508240105</v>
      </c>
      <c r="J110" s="60">
        <f t="shared" si="43"/>
        <v>37.383166986711089</v>
      </c>
      <c r="K110" s="60">
        <f t="shared" si="43"/>
        <v>29.83862130023509</v>
      </c>
      <c r="L110" s="60">
        <f t="shared" si="43"/>
        <v>23.816690582029626</v>
      </c>
      <c r="M110" s="60">
        <f t="shared" si="43"/>
        <v>19.010085773489461</v>
      </c>
      <c r="N110" s="60">
        <f t="shared" si="43"/>
        <v>15.173533865704266</v>
      </c>
      <c r="O110" s="60">
        <f t="shared" si="43"/>
        <v>12.111262027799496</v>
      </c>
      <c r="P110" s="60">
        <f t="shared" si="43"/>
        <v>9.6670076466204797</v>
      </c>
      <c r="Q110" s="60">
        <f t="shared" si="43"/>
        <v>7.7160445067835761</v>
      </c>
      <c r="R110" s="60">
        <f t="shared" si="43"/>
        <v>6.1588182203909669</v>
      </c>
      <c r="S110" s="60">
        <f t="shared" si="43"/>
        <v>4.915866133026138</v>
      </c>
      <c r="T110" s="60">
        <f t="shared" si="43"/>
        <v>3.9237624773246349</v>
      </c>
      <c r="U110" s="60">
        <f t="shared" si="43"/>
        <v>2.6702294740091302E-2</v>
      </c>
      <c r="V110" s="60">
        <f t="shared" si="43"/>
        <v>9.5148781048623888E-3</v>
      </c>
      <c r="W110" s="60">
        <f t="shared" si="43"/>
        <v>3.2363425739485E-3</v>
      </c>
      <c r="X110" s="60">
        <f t="shared" si="43"/>
        <v>1.0529326400916057E-3</v>
      </c>
      <c r="Y110" s="60"/>
      <c r="AA110" s="60">
        <f t="shared" si="41"/>
        <v>378.86199718137146</v>
      </c>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row>
    <row r="111" spans="3:71">
      <c r="C111" s="57" t="str">
        <f t="shared" si="30"/>
        <v>Multifamily - Low RiseWINDOW CL22 Prime Window Replacement of Double Pane Base_Electric FAF</v>
      </c>
      <c r="E111" s="60">
        <f t="shared" ref="E111:X111" si="44">E46*E$87*$Z$21</f>
        <v>227.2882964391259</v>
      </c>
      <c r="F111" s="60">
        <f t="shared" si="44"/>
        <v>226.77216612738735</v>
      </c>
      <c r="G111" s="60">
        <f t="shared" si="44"/>
        <v>226.25720785355335</v>
      </c>
      <c r="H111" s="60">
        <f t="shared" si="44"/>
        <v>225.74341895613946</v>
      </c>
      <c r="I111" s="60">
        <f t="shared" si="44"/>
        <v>225.23079677970469</v>
      </c>
      <c r="J111" s="60">
        <f t="shared" si="44"/>
        <v>202.24740480735466</v>
      </c>
      <c r="K111" s="60">
        <f t="shared" si="44"/>
        <v>161.43051023866533</v>
      </c>
      <c r="L111" s="60">
        <f t="shared" si="44"/>
        <v>128.85114476864806</v>
      </c>
      <c r="M111" s="60">
        <f t="shared" si="44"/>
        <v>102.84683783533319</v>
      </c>
      <c r="N111" s="60">
        <f t="shared" si="44"/>
        <v>82.090633123354451</v>
      </c>
      <c r="O111" s="60">
        <f t="shared" si="44"/>
        <v>65.523376201247004</v>
      </c>
      <c r="P111" s="60">
        <f t="shared" si="44"/>
        <v>52.299667641236788</v>
      </c>
      <c r="Q111" s="60">
        <f t="shared" si="44"/>
        <v>41.74472369956684</v>
      </c>
      <c r="R111" s="60">
        <f t="shared" si="44"/>
        <v>33.31994322998662</v>
      </c>
      <c r="S111" s="60">
        <f t="shared" si="44"/>
        <v>26.595423767556309</v>
      </c>
      <c r="T111" s="60">
        <f t="shared" si="44"/>
        <v>21.228024324463508</v>
      </c>
      <c r="U111" s="60">
        <f t="shared" si="44"/>
        <v>0.14446260841154238</v>
      </c>
      <c r="V111" s="60">
        <f t="shared" si="44"/>
        <v>5.1476628624075843E-2</v>
      </c>
      <c r="W111" s="60">
        <f t="shared" si="44"/>
        <v>1.7509000424745014E-2</v>
      </c>
      <c r="X111" s="60">
        <f t="shared" si="44"/>
        <v>5.6964915244121445E-3</v>
      </c>
      <c r="Y111" s="60"/>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row>
    <row r="112" spans="3:71">
      <c r="C112" s="57" t="str">
        <f t="shared" si="30"/>
        <v>Multifamily - Low RiseWINDOW CL30 Prime Window Replacement of Single Pane Base_Electric FAF</v>
      </c>
      <c r="E112" s="60">
        <f t="shared" ref="E112:X112" si="45">E47*E$87*$Z$21</f>
        <v>168.04678107988173</v>
      </c>
      <c r="F112" s="60">
        <f t="shared" si="45"/>
        <v>167.66517745635926</v>
      </c>
      <c r="G112" s="60">
        <f t="shared" si="45"/>
        <v>167.28444038514172</v>
      </c>
      <c r="H112" s="60">
        <f t="shared" si="45"/>
        <v>166.90456789844677</v>
      </c>
      <c r="I112" s="60">
        <f t="shared" si="45"/>
        <v>166.52555803296042</v>
      </c>
      <c r="J112" s="60">
        <f t="shared" si="45"/>
        <v>149.53266794684436</v>
      </c>
      <c r="K112" s="60">
        <f t="shared" si="45"/>
        <v>119.35448520094036</v>
      </c>
      <c r="L112" s="60">
        <f t="shared" si="45"/>
        <v>95.266762328118503</v>
      </c>
      <c r="M112" s="60">
        <f t="shared" si="45"/>
        <v>76.040343093957844</v>
      </c>
      <c r="N112" s="60">
        <f t="shared" si="45"/>
        <v>60.694135462817066</v>
      </c>
      <c r="O112" s="60">
        <f t="shared" si="45"/>
        <v>48.445048111197984</v>
      </c>
      <c r="P112" s="60">
        <f t="shared" si="45"/>
        <v>38.668030586481919</v>
      </c>
      <c r="Q112" s="60">
        <f t="shared" si="45"/>
        <v>30.864178027134304</v>
      </c>
      <c r="R112" s="60">
        <f t="shared" si="45"/>
        <v>24.635272881563868</v>
      </c>
      <c r="S112" s="60">
        <f t="shared" si="45"/>
        <v>19.663464532104552</v>
      </c>
      <c r="T112" s="60">
        <f t="shared" si="45"/>
        <v>15.69504990929854</v>
      </c>
      <c r="U112" s="60">
        <f t="shared" si="45"/>
        <v>0.10680917896036521</v>
      </c>
      <c r="V112" s="60">
        <f t="shared" si="45"/>
        <v>3.8059512419449555E-2</v>
      </c>
      <c r="W112" s="60">
        <f t="shared" si="45"/>
        <v>1.2945370295794E-2</v>
      </c>
      <c r="X112" s="60">
        <f t="shared" si="45"/>
        <v>4.2117305603664229E-3</v>
      </c>
      <c r="Y112" s="60"/>
      <c r="AA112" s="60">
        <f t="shared" ref="AA112" si="46">SUM(E112:Y112)</f>
        <v>1515.4479887254859</v>
      </c>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row>
    <row r="113" spans="3:71">
      <c r="C113" s="57" t="str">
        <f t="shared" si="30"/>
        <v>Multifamily - Low RiseWINDOW CL30 Prime Window Replacement of Double Pane Base_Electric FAF</v>
      </c>
      <c r="E113" s="60">
        <f t="shared" ref="E113:X113" si="47">E48*E$87*$Z$21</f>
        <v>909.1531857565036</v>
      </c>
      <c r="F113" s="60">
        <f t="shared" si="47"/>
        <v>907.0886645095494</v>
      </c>
      <c r="G113" s="60">
        <f t="shared" si="47"/>
        <v>905.02883141421341</v>
      </c>
      <c r="H113" s="60">
        <f t="shared" si="47"/>
        <v>902.97367582455786</v>
      </c>
      <c r="I113" s="60">
        <f t="shared" si="47"/>
        <v>900.92318711881876</v>
      </c>
      <c r="J113" s="60">
        <f t="shared" si="47"/>
        <v>808.98961922941862</v>
      </c>
      <c r="K113" s="60">
        <f t="shared" si="47"/>
        <v>645.72204095466134</v>
      </c>
      <c r="L113" s="60">
        <f t="shared" si="47"/>
        <v>515.40457907459222</v>
      </c>
      <c r="M113" s="60">
        <f t="shared" si="47"/>
        <v>411.38735134133276</v>
      </c>
      <c r="N113" s="60">
        <f t="shared" si="47"/>
        <v>328.3625324934178</v>
      </c>
      <c r="O113" s="60">
        <f t="shared" si="47"/>
        <v>262.09350480498802</v>
      </c>
      <c r="P113" s="60">
        <f t="shared" si="47"/>
        <v>209.19867056494715</v>
      </c>
      <c r="Q113" s="60">
        <f t="shared" si="47"/>
        <v>166.97889479826736</v>
      </c>
      <c r="R113" s="60">
        <f t="shared" si="47"/>
        <v>133.27977291994648</v>
      </c>
      <c r="S113" s="60">
        <f t="shared" si="47"/>
        <v>106.38169507022523</v>
      </c>
      <c r="T113" s="60">
        <f t="shared" si="47"/>
        <v>84.912097297854032</v>
      </c>
      <c r="U113" s="60">
        <f t="shared" si="47"/>
        <v>0.5778504336461695</v>
      </c>
      <c r="V113" s="60">
        <f t="shared" si="47"/>
        <v>0.20590651449630337</v>
      </c>
      <c r="W113" s="60">
        <f t="shared" si="47"/>
        <v>7.0036001698980055E-2</v>
      </c>
      <c r="X113" s="60">
        <f t="shared" si="47"/>
        <v>2.2785966097648578E-2</v>
      </c>
      <c r="Y113" s="60"/>
      <c r="AA113" s="60">
        <f>SUM(E113:Y113)</f>
        <v>8198.7548820892334</v>
      </c>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row>
    <row r="114" spans="3:71">
      <c r="C114" s="57" t="str">
        <f t="shared" ref="C114:C126" si="48">C49&amp;D49</f>
        <v>Multifamily - Low RiseWALL R0 - R11_Heat Pump</v>
      </c>
      <c r="E114" s="60">
        <f t="shared" ref="E114:X114" si="49">E49*E$87*$Z$21</f>
        <v>5381.9873685469129</v>
      </c>
      <c r="F114" s="60">
        <f t="shared" si="49"/>
        <v>5369.7658557729601</v>
      </c>
      <c r="G114" s="60">
        <f t="shared" si="49"/>
        <v>5357.5720958278862</v>
      </c>
      <c r="H114" s="60">
        <f t="shared" si="49"/>
        <v>5345.4060256900784</v>
      </c>
      <c r="I114" s="60">
        <f t="shared" si="49"/>
        <v>5333.2675824810249</v>
      </c>
      <c r="J114" s="60">
        <f t="shared" si="49"/>
        <v>4789.0410331185067</v>
      </c>
      <c r="K114" s="60">
        <f t="shared" si="49"/>
        <v>3822.5327947551104</v>
      </c>
      <c r="L114" s="60">
        <f t="shared" si="49"/>
        <v>3051.0820153619543</v>
      </c>
      <c r="M114" s="60">
        <f t="shared" si="49"/>
        <v>2435.3228511834263</v>
      </c>
      <c r="N114" s="60">
        <f t="shared" si="49"/>
        <v>1943.8341413423443</v>
      </c>
      <c r="O114" s="60">
        <f t="shared" si="49"/>
        <v>1551.5360385223667</v>
      </c>
      <c r="P114" s="60">
        <f t="shared" si="49"/>
        <v>1238.4102262816036</v>
      </c>
      <c r="Q114" s="60">
        <f t="shared" si="49"/>
        <v>988.47841782615683</v>
      </c>
      <c r="R114" s="60">
        <f t="shared" si="49"/>
        <v>788.9870107434989</v>
      </c>
      <c r="S114" s="60">
        <f t="shared" si="49"/>
        <v>629.75629198961519</v>
      </c>
      <c r="T114" s="60">
        <f t="shared" si="49"/>
        <v>502.66098414824552</v>
      </c>
      <c r="U114" s="60">
        <f t="shared" si="49"/>
        <v>3.4207477722307398</v>
      </c>
      <c r="V114" s="60">
        <f t="shared" si="49"/>
        <v>1.2189213847372793</v>
      </c>
      <c r="W114" s="60">
        <f t="shared" si="49"/>
        <v>0.41459776239335955</v>
      </c>
      <c r="X114" s="60">
        <f t="shared" si="49"/>
        <v>0.13488791948261131</v>
      </c>
      <c r="Y114" s="60"/>
      <c r="AA114" s="60">
        <f t="shared" ref="AA114" si="50">SUM(E114:Y114)</f>
        <v>48534.829888430533</v>
      </c>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row>
    <row r="115" spans="3:71">
      <c r="C115" s="57" t="str">
        <f t="shared" si="48"/>
        <v>Multifamily - Low RiseFLOOR R0 - R19_Heat Pump</v>
      </c>
      <c r="E115" s="60">
        <f t="shared" ref="E115:X115" si="51">E50*E$87*$Z$21</f>
        <v>1441.7281185601059</v>
      </c>
      <c r="F115" s="60">
        <f t="shared" si="51"/>
        <v>1438.4542166701599</v>
      </c>
      <c r="G115" s="60">
        <f t="shared" si="51"/>
        <v>1435.187749214936</v>
      </c>
      <c r="H115" s="60">
        <f t="shared" si="51"/>
        <v>1431.9286993121884</v>
      </c>
      <c r="I115" s="60">
        <f t="shared" si="51"/>
        <v>1428.6770501180058</v>
      </c>
      <c r="J115" s="60">
        <f t="shared" si="51"/>
        <v>1282.8895063440552</v>
      </c>
      <c r="K115" s="60">
        <f t="shared" si="51"/>
        <v>1023.981038403017</v>
      </c>
      <c r="L115" s="60">
        <f t="shared" si="51"/>
        <v>817.32461121847825</v>
      </c>
      <c r="M115" s="60">
        <f t="shared" si="51"/>
        <v>652.37489274729978</v>
      </c>
      <c r="N115" s="60">
        <f t="shared" si="51"/>
        <v>520.71477457722835</v>
      </c>
      <c r="O115" s="60">
        <f t="shared" si="51"/>
        <v>415.62586095422068</v>
      </c>
      <c r="P115" s="60">
        <f t="shared" si="51"/>
        <v>331.7456402772321</v>
      </c>
      <c r="Q115" s="60">
        <f t="shared" si="51"/>
        <v>264.7938450949103</v>
      </c>
      <c r="R115" s="60">
        <f t="shared" si="51"/>
        <v>211.35403721222454</v>
      </c>
      <c r="S115" s="60">
        <f t="shared" si="51"/>
        <v>168.69927256011221</v>
      </c>
      <c r="T115" s="60">
        <f t="shared" si="51"/>
        <v>134.65294979785202</v>
      </c>
      <c r="U115" s="60">
        <f t="shared" si="51"/>
        <v>0.91635076636354784</v>
      </c>
      <c r="V115" s="60">
        <f t="shared" si="51"/>
        <v>0.32652496454379942</v>
      </c>
      <c r="W115" s="60">
        <f t="shared" si="51"/>
        <v>0.11106255199108572</v>
      </c>
      <c r="X115" s="60">
        <f t="shared" si="51"/>
        <v>3.6133809512202152E-2</v>
      </c>
      <c r="Y115" s="60"/>
      <c r="AA115" s="60">
        <f>SUM(E115:Y115)</f>
        <v>13001.522335154437</v>
      </c>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row>
    <row r="116" spans="3:71">
      <c r="C116" s="57" t="str">
        <f t="shared" si="48"/>
        <v>Multifamily - Low RiseFLOOR R0 - R30_Heat Pump</v>
      </c>
      <c r="E116" s="60">
        <f t="shared" ref="E116:X116" si="52">E51*E$87*$Z$21</f>
        <v>15962.3609044033</v>
      </c>
      <c r="F116" s="60">
        <f t="shared" si="52"/>
        <v>15926.113290959291</v>
      </c>
      <c r="G116" s="60">
        <f t="shared" si="52"/>
        <v>15889.947989241484</v>
      </c>
      <c r="H116" s="60">
        <f t="shared" si="52"/>
        <v>15853.864812334958</v>
      </c>
      <c r="I116" s="60">
        <f t="shared" si="52"/>
        <v>15817.863573749215</v>
      </c>
      <c r="J116" s="60">
        <f t="shared" si="52"/>
        <v>14203.74967867554</v>
      </c>
      <c r="K116" s="60">
        <f t="shared" si="52"/>
        <v>11337.196440740141</v>
      </c>
      <c r="L116" s="60">
        <f t="shared" si="52"/>
        <v>9049.1613865104446</v>
      </c>
      <c r="M116" s="60">
        <f t="shared" si="52"/>
        <v>7222.8899117289793</v>
      </c>
      <c r="N116" s="60">
        <f t="shared" si="52"/>
        <v>5765.1904357376288</v>
      </c>
      <c r="O116" s="60">
        <f t="shared" si="52"/>
        <v>4601.6789908908386</v>
      </c>
      <c r="P116" s="60">
        <f t="shared" si="52"/>
        <v>3672.9835330230208</v>
      </c>
      <c r="Q116" s="60">
        <f t="shared" si="52"/>
        <v>2931.7142852779884</v>
      </c>
      <c r="R116" s="60">
        <f t="shared" si="52"/>
        <v>2340.0455170102605</v>
      </c>
      <c r="S116" s="60">
        <f t="shared" si="52"/>
        <v>1867.7853599777361</v>
      </c>
      <c r="T116" s="60">
        <f t="shared" si="52"/>
        <v>1490.8351677724495</v>
      </c>
      <c r="U116" s="60">
        <f t="shared" si="52"/>
        <v>10.145547873707294</v>
      </c>
      <c r="V116" s="60">
        <f t="shared" si="52"/>
        <v>3.6151818510351972</v>
      </c>
      <c r="W116" s="60">
        <f t="shared" si="52"/>
        <v>1.2296496926315972</v>
      </c>
      <c r="X116" s="60">
        <f t="shared" si="52"/>
        <v>0.40006218985364517</v>
      </c>
      <c r="Y116" s="60"/>
      <c r="AA116" s="60">
        <f t="shared" ref="AA116:AA117" si="53">SUM(E116:Y116)</f>
        <v>143948.7717196405</v>
      </c>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row>
    <row r="117" spans="3:71">
      <c r="C117" s="57" t="str">
        <f t="shared" si="48"/>
        <v>Multifamily - Low RiseATTIC R0 - R19_Heat Pump</v>
      </c>
      <c r="E117" s="60">
        <f t="shared" ref="E117:X117" si="54">E52*E$87*$Z$21</f>
        <v>3783.9105162010178</v>
      </c>
      <c r="F117" s="60">
        <f t="shared" si="54"/>
        <v>3775.3179448063847</v>
      </c>
      <c r="G117" s="60">
        <f t="shared" si="54"/>
        <v>3766.7448855759149</v>
      </c>
      <c r="H117" s="60">
        <f t="shared" si="54"/>
        <v>3758.1912942010395</v>
      </c>
      <c r="I117" s="60">
        <f t="shared" si="54"/>
        <v>3749.6571264738036</v>
      </c>
      <c r="J117" s="60">
        <f t="shared" si="54"/>
        <v>3367.0281044579792</v>
      </c>
      <c r="K117" s="60">
        <f t="shared" si="54"/>
        <v>2687.5057576551517</v>
      </c>
      <c r="L117" s="60">
        <f t="shared" si="54"/>
        <v>2145.1223373712496</v>
      </c>
      <c r="M117" s="60">
        <f t="shared" si="54"/>
        <v>1712.2009242889746</v>
      </c>
      <c r="N117" s="60">
        <f t="shared" si="54"/>
        <v>1366.6502623475558</v>
      </c>
      <c r="O117" s="60">
        <f t="shared" si="54"/>
        <v>1090.8374788725546</v>
      </c>
      <c r="P117" s="60">
        <f t="shared" si="54"/>
        <v>870.68830855748115</v>
      </c>
      <c r="Q117" s="60">
        <f t="shared" si="54"/>
        <v>694.9689072310083</v>
      </c>
      <c r="R117" s="60">
        <f t="shared" si="54"/>
        <v>554.71260756681716</v>
      </c>
      <c r="S117" s="60">
        <f t="shared" si="54"/>
        <v>442.76236503814681</v>
      </c>
      <c r="T117" s="60">
        <f t="shared" si="54"/>
        <v>353.40554589893583</v>
      </c>
      <c r="U117" s="60">
        <f t="shared" si="54"/>
        <v>2.4050230114363509</v>
      </c>
      <c r="V117" s="60">
        <f t="shared" si="54"/>
        <v>0.85698630083834137</v>
      </c>
      <c r="W117" s="60">
        <f t="shared" si="54"/>
        <v>0.29149099127990069</v>
      </c>
      <c r="X117" s="60">
        <f t="shared" si="54"/>
        <v>9.4835565765464327E-2</v>
      </c>
      <c r="Y117" s="60"/>
      <c r="AA117" s="60">
        <f t="shared" si="53"/>
        <v>34123.352702413351</v>
      </c>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row>
    <row r="118" spans="3:71">
      <c r="C118" s="57" t="str">
        <f t="shared" si="48"/>
        <v>Multifamily - Low RiseATTIC R0 - R38_Heat Pump</v>
      </c>
      <c r="E118" s="60">
        <f t="shared" ref="E118:X118" si="55">E53*E$87*$Z$21</f>
        <v>718.41224804833598</v>
      </c>
      <c r="F118" s="60">
        <f t="shared" si="55"/>
        <v>716.78086471997676</v>
      </c>
      <c r="G118" s="60">
        <f t="shared" si="55"/>
        <v>715.15318596593545</v>
      </c>
      <c r="H118" s="60">
        <f t="shared" si="55"/>
        <v>713.52920337379931</v>
      </c>
      <c r="I118" s="60">
        <f t="shared" si="55"/>
        <v>711.90890855025771</v>
      </c>
      <c r="J118" s="60">
        <f t="shared" si="55"/>
        <v>639.26306380895437</v>
      </c>
      <c r="K118" s="60">
        <f t="shared" si="55"/>
        <v>510.24913108630051</v>
      </c>
      <c r="L118" s="60">
        <f t="shared" si="55"/>
        <v>407.27235861719072</v>
      </c>
      <c r="M118" s="60">
        <f t="shared" si="55"/>
        <v>325.07801383311954</v>
      </c>
      <c r="N118" s="60">
        <f t="shared" si="55"/>
        <v>259.47185671152835</v>
      </c>
      <c r="O118" s="60">
        <f t="shared" si="55"/>
        <v>207.10611471832684</v>
      </c>
      <c r="P118" s="60">
        <f t="shared" si="55"/>
        <v>165.30865157144041</v>
      </c>
      <c r="Q118" s="60">
        <f t="shared" si="55"/>
        <v>131.94661259293918</v>
      </c>
      <c r="R118" s="60">
        <f t="shared" si="55"/>
        <v>105.31758869999155</v>
      </c>
      <c r="S118" s="60">
        <f t="shared" si="55"/>
        <v>84.062745315025552</v>
      </c>
      <c r="T118" s="60">
        <f t="shared" si="55"/>
        <v>67.097483308592103</v>
      </c>
      <c r="U118" s="60">
        <f t="shared" si="55"/>
        <v>0.45661703173378626</v>
      </c>
      <c r="V118" s="60">
        <f t="shared" si="55"/>
        <v>0.16270719201626949</v>
      </c>
      <c r="W118" s="60">
        <f t="shared" si="55"/>
        <v>5.53424023730551E-2</v>
      </c>
      <c r="X118" s="60">
        <f t="shared" si="55"/>
        <v>1.8005455389284799E-2</v>
      </c>
      <c r="Y118" s="60"/>
      <c r="AA118" s="60">
        <f>SUM(E118:Y118)</f>
        <v>6478.6507030032271</v>
      </c>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row>
    <row r="119" spans="3:71">
      <c r="C119" s="57" t="str">
        <f t="shared" si="48"/>
        <v>Multifamily - Low RiseATTIC R0 - R49_Heat Pump</v>
      </c>
      <c r="E119" s="60">
        <f t="shared" ref="E119:X119" si="56">E54*E$87*$Z$21</f>
        <v>4285.302747668663</v>
      </c>
      <c r="F119" s="60">
        <f t="shared" si="56"/>
        <v>4275.5716058646203</v>
      </c>
      <c r="G119" s="60">
        <f t="shared" si="56"/>
        <v>4265.8625617107064</v>
      </c>
      <c r="H119" s="60">
        <f t="shared" si="56"/>
        <v>4256.1755650271834</v>
      </c>
      <c r="I119" s="60">
        <f t="shared" si="56"/>
        <v>4246.5105657482609</v>
      </c>
      <c r="J119" s="60">
        <f t="shared" si="56"/>
        <v>3813.1807625296583</v>
      </c>
      <c r="K119" s="60">
        <f t="shared" si="56"/>
        <v>3043.6173789906697</v>
      </c>
      <c r="L119" s="60">
        <f t="shared" si="56"/>
        <v>2429.3647027497768</v>
      </c>
      <c r="M119" s="60">
        <f t="shared" si="56"/>
        <v>1939.0784464910905</v>
      </c>
      <c r="N119" s="60">
        <f t="shared" si="56"/>
        <v>1547.7401220946203</v>
      </c>
      <c r="O119" s="60">
        <f t="shared" si="56"/>
        <v>1235.3803890071122</v>
      </c>
      <c r="P119" s="60">
        <f t="shared" si="56"/>
        <v>986.06005217332154</v>
      </c>
      <c r="Q119" s="60">
        <f t="shared" si="56"/>
        <v>787.05671155546838</v>
      </c>
      <c r="R119" s="60">
        <f t="shared" si="56"/>
        <v>628.21555932541196</v>
      </c>
      <c r="S119" s="60">
        <f t="shared" si="56"/>
        <v>501.43119699542336</v>
      </c>
      <c r="T119" s="60">
        <f t="shared" si="56"/>
        <v>400.23403048191938</v>
      </c>
      <c r="U119" s="60">
        <f t="shared" si="56"/>
        <v>2.7237038706353607</v>
      </c>
      <c r="V119" s="60">
        <f t="shared" si="56"/>
        <v>0.97054244120551281</v>
      </c>
      <c r="W119" s="60">
        <f t="shared" si="56"/>
        <v>0.33011540323277072</v>
      </c>
      <c r="X119" s="60">
        <f t="shared" si="56"/>
        <v>0.10740188194499757</v>
      </c>
      <c r="Y119" s="60"/>
      <c r="AA119" s="60">
        <f t="shared" ref="AA119:AA121" si="57">SUM(E119:Y119)</f>
        <v>38644.914162010922</v>
      </c>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row>
    <row r="120" spans="3:71">
      <c r="C120" s="57" t="str">
        <f t="shared" si="48"/>
        <v>Multifamily - Low RiseATTIC R19 - R30_Heat Pump</v>
      </c>
      <c r="E120" s="60">
        <f t="shared" ref="E120:X120" si="58">E55*E$87*$Z$21</f>
        <v>4396.6331932314524</v>
      </c>
      <c r="F120" s="60">
        <f t="shared" si="58"/>
        <v>4386.6492402687436</v>
      </c>
      <c r="G120" s="60">
        <f t="shared" si="58"/>
        <v>4376.6879590442431</v>
      </c>
      <c r="H120" s="60">
        <f t="shared" si="58"/>
        <v>4366.7492980745674</v>
      </c>
      <c r="I120" s="60">
        <f t="shared" si="58"/>
        <v>4356.8332059932345</v>
      </c>
      <c r="J120" s="60">
        <f t="shared" si="58"/>
        <v>3912.2456683953733</v>
      </c>
      <c r="K120" s="60">
        <f t="shared" si="58"/>
        <v>3122.6893370011107</v>
      </c>
      <c r="L120" s="60">
        <f t="shared" si="58"/>
        <v>2492.4786227496616</v>
      </c>
      <c r="M120" s="60">
        <f t="shared" si="58"/>
        <v>1989.4549263200827</v>
      </c>
      <c r="N120" s="60">
        <f t="shared" si="58"/>
        <v>1587.9497893117018</v>
      </c>
      <c r="O120" s="60">
        <f t="shared" si="58"/>
        <v>1267.4750757179913</v>
      </c>
      <c r="P120" s="60">
        <f t="shared" si="58"/>
        <v>1011.6774965930529</v>
      </c>
      <c r="Q120" s="60">
        <f t="shared" si="58"/>
        <v>807.50412905200926</v>
      </c>
      <c r="R120" s="60">
        <f t="shared" si="58"/>
        <v>644.53634743477596</v>
      </c>
      <c r="S120" s="60">
        <f t="shared" si="58"/>
        <v>514.45817825385461</v>
      </c>
      <c r="T120" s="60">
        <f t="shared" si="58"/>
        <v>410.63194996781442</v>
      </c>
      <c r="U120" s="60">
        <f t="shared" si="58"/>
        <v>2.7944646040897001</v>
      </c>
      <c r="V120" s="60">
        <f t="shared" si="58"/>
        <v>0.99575674431998729</v>
      </c>
      <c r="W120" s="60">
        <f t="shared" si="58"/>
        <v>0.33869166892345948</v>
      </c>
      <c r="X120" s="60">
        <f t="shared" si="58"/>
        <v>0.11019213973430403</v>
      </c>
      <c r="Y120" s="60"/>
      <c r="AA120" s="60">
        <f t="shared" si="57"/>
        <v>39648.893522566745</v>
      </c>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row>
    <row r="121" spans="3:71">
      <c r="C121" s="57" t="str">
        <f t="shared" si="48"/>
        <v>Multifamily - Low RiseATTIC R19 - R38_Heat Pump</v>
      </c>
      <c r="E121" s="60">
        <f t="shared" ref="E121:X121" si="59">E56*E$87*$Z$21</f>
        <v>678.69006335440292</v>
      </c>
      <c r="F121" s="60">
        <f t="shared" si="59"/>
        <v>677.14888187053009</v>
      </c>
      <c r="G121" s="60">
        <f t="shared" si="59"/>
        <v>675.61120012902052</v>
      </c>
      <c r="H121" s="60">
        <f t="shared" si="59"/>
        <v>674.07701018259706</v>
      </c>
      <c r="I121" s="60">
        <f t="shared" si="59"/>
        <v>672.54630410202878</v>
      </c>
      <c r="J121" s="60">
        <f t="shared" si="59"/>
        <v>603.91716657848247</v>
      </c>
      <c r="K121" s="60">
        <f t="shared" si="59"/>
        <v>482.03662457629849</v>
      </c>
      <c r="L121" s="60">
        <f t="shared" si="59"/>
        <v>384.75360577900517</v>
      </c>
      <c r="M121" s="60">
        <f t="shared" si="59"/>
        <v>307.10392035058857</v>
      </c>
      <c r="N121" s="60">
        <f t="shared" si="59"/>
        <v>245.1252346387939</v>
      </c>
      <c r="O121" s="60">
        <f t="shared" si="59"/>
        <v>195.65487991208124</v>
      </c>
      <c r="P121" s="60">
        <f t="shared" si="59"/>
        <v>156.16846666080681</v>
      </c>
      <c r="Q121" s="60">
        <f t="shared" si="59"/>
        <v>124.65106922018347</v>
      </c>
      <c r="R121" s="60">
        <f t="shared" si="59"/>
        <v>99.494407481651223</v>
      </c>
      <c r="S121" s="60">
        <f t="shared" si="59"/>
        <v>79.414779047254143</v>
      </c>
      <c r="T121" s="60">
        <f t="shared" si="59"/>
        <v>63.387554042042822</v>
      </c>
      <c r="U121" s="60">
        <f t="shared" si="59"/>
        <v>0.43136993145369107</v>
      </c>
      <c r="V121" s="60">
        <f t="shared" si="59"/>
        <v>0.15371084604658522</v>
      </c>
      <c r="W121" s="60">
        <f t="shared" si="59"/>
        <v>5.2282430700188322E-2</v>
      </c>
      <c r="X121" s="60">
        <f t="shared" si="59"/>
        <v>1.7009904399703926E-2</v>
      </c>
      <c r="Y121" s="60"/>
      <c r="AA121" s="60">
        <f t="shared" si="57"/>
        <v>6120.4355410383687</v>
      </c>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row>
    <row r="122" spans="3:71">
      <c r="C122" s="57" t="str">
        <f t="shared" si="48"/>
        <v>Multifamily - Low RiseATTIC R19 - R49_Heat Pump</v>
      </c>
      <c r="E122" s="60">
        <f t="shared" ref="E122:X122" si="60">E57*E$87*$Z$21</f>
        <v>9968.9889793879374</v>
      </c>
      <c r="F122" s="60">
        <f t="shared" si="60"/>
        <v>9946.3512216579547</v>
      </c>
      <c r="G122" s="60">
        <f t="shared" si="60"/>
        <v>9923.764870151419</v>
      </c>
      <c r="H122" s="60">
        <f t="shared" si="60"/>
        <v>9901.2298081341669</v>
      </c>
      <c r="I122" s="60">
        <f t="shared" si="60"/>
        <v>9878.7459191371108</v>
      </c>
      <c r="J122" s="60">
        <f t="shared" si="60"/>
        <v>8870.681778260081</v>
      </c>
      <c r="K122" s="60">
        <f t="shared" si="60"/>
        <v>7080.4304608673128</v>
      </c>
      <c r="L122" s="60">
        <f t="shared" si="60"/>
        <v>5651.481674614959</v>
      </c>
      <c r="M122" s="60">
        <f t="shared" si="60"/>
        <v>4510.918551496703</v>
      </c>
      <c r="N122" s="60">
        <f t="shared" si="60"/>
        <v>3600.5400618455456</v>
      </c>
      <c r="O122" s="60">
        <f t="shared" si="60"/>
        <v>2873.8911130757087</v>
      </c>
      <c r="P122" s="60">
        <f t="shared" si="60"/>
        <v>2293.8920239598879</v>
      </c>
      <c r="Q122" s="60">
        <f t="shared" si="60"/>
        <v>1830.9464104766764</v>
      </c>
      <c r="R122" s="60">
        <f t="shared" si="60"/>
        <v>1461.4309318057285</v>
      </c>
      <c r="S122" s="60">
        <f t="shared" si="60"/>
        <v>1166.4898307332332</v>
      </c>
      <c r="T122" s="60">
        <f t="shared" si="60"/>
        <v>931.07275587959714</v>
      </c>
      <c r="U122" s="60">
        <f t="shared" si="60"/>
        <v>6.33620900746208</v>
      </c>
      <c r="V122" s="60">
        <f t="shared" si="60"/>
        <v>2.2577930825703505</v>
      </c>
      <c r="W122" s="60">
        <f t="shared" si="60"/>
        <v>0.76795433380851741</v>
      </c>
      <c r="X122" s="60">
        <f t="shared" si="60"/>
        <v>0.24985123351149294</v>
      </c>
      <c r="Y122" s="60"/>
      <c r="AA122" s="60">
        <f>SUM(E122:Y122)</f>
        <v>89900.468199141367</v>
      </c>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row>
    <row r="123" spans="3:71">
      <c r="C123" s="57" t="str">
        <f t="shared" si="48"/>
        <v>Multifamily - Low RiseWINDOW CL22 Prime Window Replacement of Single Pane Base_Heat Pump</v>
      </c>
      <c r="E123" s="60">
        <f t="shared" ref="E123:X123" si="61">E58*E$87*$Z$21</f>
        <v>2089.6019486781252</v>
      </c>
      <c r="F123" s="60">
        <f t="shared" si="61"/>
        <v>2084.8568433556011</v>
      </c>
      <c r="G123" s="60">
        <f t="shared" si="61"/>
        <v>2080.1225133027574</v>
      </c>
      <c r="H123" s="60">
        <f t="shared" si="61"/>
        <v>2075.3989340509202</v>
      </c>
      <c r="I123" s="60">
        <f t="shared" si="61"/>
        <v>2070.6860811869783</v>
      </c>
      <c r="J123" s="60">
        <f t="shared" si="61"/>
        <v>1859.3855373179335</v>
      </c>
      <c r="K123" s="60">
        <f t="shared" si="61"/>
        <v>1484.1305692181309</v>
      </c>
      <c r="L123" s="60">
        <f t="shared" si="61"/>
        <v>1184.6083032704071</v>
      </c>
      <c r="M123" s="60">
        <f t="shared" si="61"/>
        <v>945.53461890922267</v>
      </c>
      <c r="N123" s="60">
        <f t="shared" si="61"/>
        <v>754.70998564470631</v>
      </c>
      <c r="O123" s="60">
        <f t="shared" si="61"/>
        <v>602.39694141385758</v>
      </c>
      <c r="P123" s="60">
        <f t="shared" si="61"/>
        <v>480.82320616810262</v>
      </c>
      <c r="Q123" s="60">
        <f t="shared" si="61"/>
        <v>383.78507541415513</v>
      </c>
      <c r="R123" s="60">
        <f t="shared" si="61"/>
        <v>306.33085554351084</v>
      </c>
      <c r="S123" s="60">
        <f t="shared" si="61"/>
        <v>244.50818718459794</v>
      </c>
      <c r="T123" s="60">
        <f t="shared" si="61"/>
        <v>195.16236291060378</v>
      </c>
      <c r="U123" s="60">
        <f t="shared" si="61"/>
        <v>1.3281341484678371</v>
      </c>
      <c r="V123" s="60">
        <f t="shared" si="61"/>
        <v>0.47325649921027974</v>
      </c>
      <c r="W123" s="60">
        <f t="shared" si="61"/>
        <v>0.16097107497460728</v>
      </c>
      <c r="X123" s="60">
        <f t="shared" si="61"/>
        <v>5.237137141035373E-2</v>
      </c>
      <c r="Y123" s="60"/>
      <c r="AA123" s="60">
        <f t="shared" ref="AA123:AA125" si="62">SUM(E123:Y123)</f>
        <v>18844.056696663676</v>
      </c>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row>
    <row r="124" spans="3:71">
      <c r="C124" s="57" t="str">
        <f t="shared" si="48"/>
        <v>Multifamily - Low RiseWINDOW CL22 Prime Window Replacement of Double Pane Base_Heat Pump</v>
      </c>
      <c r="E124" s="60">
        <f t="shared" ref="E124:X124" si="63">E59*E$87*$Z$21</f>
        <v>11304.996480120932</v>
      </c>
      <c r="F124" s="60">
        <f t="shared" si="63"/>
        <v>11279.32489276293</v>
      </c>
      <c r="G124" s="60">
        <f t="shared" si="63"/>
        <v>11253.711600902734</v>
      </c>
      <c r="H124" s="60">
        <f t="shared" si="63"/>
        <v>11228.156472161889</v>
      </c>
      <c r="I124" s="60">
        <f t="shared" si="63"/>
        <v>11202.659374462539</v>
      </c>
      <c r="J124" s="60">
        <f t="shared" si="63"/>
        <v>10059.498158424098</v>
      </c>
      <c r="K124" s="60">
        <f t="shared" si="63"/>
        <v>8029.3238966706549</v>
      </c>
      <c r="L124" s="60">
        <f t="shared" si="63"/>
        <v>6408.8726119659814</v>
      </c>
      <c r="M124" s="60">
        <f t="shared" si="63"/>
        <v>5115.455383913305</v>
      </c>
      <c r="N124" s="60">
        <f t="shared" si="63"/>
        <v>4083.0712933737618</v>
      </c>
      <c r="O124" s="60">
        <f t="shared" si="63"/>
        <v>3259.0395058864283</v>
      </c>
      <c r="P124" s="60">
        <f t="shared" si="63"/>
        <v>2601.3110567443091</v>
      </c>
      <c r="Q124" s="60">
        <f t="shared" si="63"/>
        <v>2076.3231626121947</v>
      </c>
      <c r="R124" s="60">
        <f t="shared" si="63"/>
        <v>1657.2865687948602</v>
      </c>
      <c r="S124" s="60">
        <f t="shared" si="63"/>
        <v>1322.8185383494833</v>
      </c>
      <c r="T124" s="60">
        <f t="shared" si="63"/>
        <v>1055.8517267617228</v>
      </c>
      <c r="U124" s="60">
        <f t="shared" si="63"/>
        <v>7.1853646016436103</v>
      </c>
      <c r="V124" s="60">
        <f t="shared" si="63"/>
        <v>2.5603742670469187</v>
      </c>
      <c r="W124" s="60">
        <f t="shared" si="63"/>
        <v>0.87087276940012548</v>
      </c>
      <c r="X124" s="60">
        <f t="shared" si="63"/>
        <v>0.28333538348185827</v>
      </c>
      <c r="Y124" s="60"/>
      <c r="AA124" s="60">
        <f t="shared" si="62"/>
        <v>101948.60067092943</v>
      </c>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row>
    <row r="125" spans="3:71">
      <c r="C125" s="57" t="str">
        <f t="shared" si="48"/>
        <v>Multifamily - Low RiseWINDOW CL30 Prime Window Replacement of Single Pane Base_Heat Pump</v>
      </c>
      <c r="E125" s="60">
        <f t="shared" ref="E125:X125" si="64">E60*E$87*$Z$21</f>
        <v>8358.4077947125006</v>
      </c>
      <c r="F125" s="60">
        <f t="shared" si="64"/>
        <v>8339.4273734224043</v>
      </c>
      <c r="G125" s="60">
        <f t="shared" si="64"/>
        <v>8320.4900532110296</v>
      </c>
      <c r="H125" s="60">
        <f t="shared" si="64"/>
        <v>8301.5957362036806</v>
      </c>
      <c r="I125" s="60">
        <f t="shared" si="64"/>
        <v>8282.7443247479132</v>
      </c>
      <c r="J125" s="60">
        <f t="shared" si="64"/>
        <v>7437.5421492717342</v>
      </c>
      <c r="K125" s="60">
        <f t="shared" si="64"/>
        <v>5936.5222768725234</v>
      </c>
      <c r="L125" s="60">
        <f t="shared" si="64"/>
        <v>4738.4332130816283</v>
      </c>
      <c r="M125" s="60">
        <f t="shared" si="64"/>
        <v>3782.1384756368907</v>
      </c>
      <c r="N125" s="60">
        <f t="shared" si="64"/>
        <v>3018.8399425788252</v>
      </c>
      <c r="O125" s="60">
        <f t="shared" si="64"/>
        <v>2409.5877656554303</v>
      </c>
      <c r="P125" s="60">
        <f t="shared" si="64"/>
        <v>1923.2928246724105</v>
      </c>
      <c r="Q125" s="60">
        <f t="shared" si="64"/>
        <v>1535.1403016566205</v>
      </c>
      <c r="R125" s="60">
        <f t="shared" si="64"/>
        <v>1225.3234221740433</v>
      </c>
      <c r="S125" s="60">
        <f t="shared" si="64"/>
        <v>978.03274873839177</v>
      </c>
      <c r="T125" s="60">
        <f t="shared" si="64"/>
        <v>780.6494516424151</v>
      </c>
      <c r="U125" s="60">
        <f t="shared" si="64"/>
        <v>5.3125365938713482</v>
      </c>
      <c r="V125" s="60">
        <f t="shared" si="64"/>
        <v>1.8930259968411189</v>
      </c>
      <c r="W125" s="60">
        <f t="shared" si="64"/>
        <v>0.6438842998984291</v>
      </c>
      <c r="X125" s="60">
        <f t="shared" si="64"/>
        <v>0.20948548564141492</v>
      </c>
      <c r="Y125" s="60"/>
      <c r="AA125" s="60">
        <f t="shared" si="62"/>
        <v>75376.226786654704</v>
      </c>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row>
    <row r="126" spans="3:71">
      <c r="C126" s="57" t="str">
        <f t="shared" si="48"/>
        <v>Multifamily - Low RiseWINDOW CL30 Prime Window Replacement of Double Pane Base_Heat Pump</v>
      </c>
      <c r="E126" s="60">
        <f t="shared" ref="E126:X126" si="65">E61*E$87*$Z$21</f>
        <v>45219.985920483727</v>
      </c>
      <c r="F126" s="60">
        <f t="shared" si="65"/>
        <v>45117.299571051721</v>
      </c>
      <c r="G126" s="60">
        <f t="shared" si="65"/>
        <v>45014.846403610936</v>
      </c>
      <c r="H126" s="60">
        <f t="shared" si="65"/>
        <v>44912.625888647555</v>
      </c>
      <c r="I126" s="60">
        <f t="shared" si="65"/>
        <v>44810.637497850155</v>
      </c>
      <c r="J126" s="60">
        <f t="shared" si="65"/>
        <v>40237.992633696391</v>
      </c>
      <c r="K126" s="60">
        <f t="shared" si="65"/>
        <v>32117.29558668262</v>
      </c>
      <c r="L126" s="60">
        <f t="shared" si="65"/>
        <v>25635.490447863926</v>
      </c>
      <c r="M126" s="60">
        <f t="shared" si="65"/>
        <v>20461.82153565322</v>
      </c>
      <c r="N126" s="60">
        <f t="shared" si="65"/>
        <v>16332.285173495047</v>
      </c>
      <c r="O126" s="60">
        <f t="shared" si="65"/>
        <v>13036.158023545713</v>
      </c>
      <c r="P126" s="60">
        <f t="shared" si="65"/>
        <v>10405.244226977236</v>
      </c>
      <c r="Q126" s="60">
        <f t="shared" si="65"/>
        <v>8305.2926504487787</v>
      </c>
      <c r="R126" s="60">
        <f t="shared" si="65"/>
        <v>6629.1462751794406</v>
      </c>
      <c r="S126" s="60">
        <f t="shared" si="65"/>
        <v>5291.2741533979333</v>
      </c>
      <c r="T126" s="60">
        <f t="shared" si="65"/>
        <v>4223.4069070468913</v>
      </c>
      <c r="U126" s="60">
        <f t="shared" si="65"/>
        <v>28.741458406574441</v>
      </c>
      <c r="V126" s="60">
        <f t="shared" si="65"/>
        <v>10.241497068187675</v>
      </c>
      <c r="W126" s="60">
        <f t="shared" si="65"/>
        <v>3.4834910776005019</v>
      </c>
      <c r="X126" s="60">
        <f t="shared" si="65"/>
        <v>1.1333415339274331</v>
      </c>
      <c r="Y126" s="60"/>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row>
    <row r="127" spans="3:71">
      <c r="E127" s="60"/>
      <c r="F127" s="60"/>
      <c r="G127" s="60"/>
      <c r="H127" s="60"/>
      <c r="I127" s="60"/>
      <c r="J127" s="60"/>
      <c r="K127" s="60"/>
      <c r="L127" s="60"/>
      <c r="M127" s="60"/>
      <c r="N127" s="60"/>
      <c r="O127" s="60"/>
      <c r="P127" s="60"/>
      <c r="Q127" s="60"/>
      <c r="R127" s="60"/>
      <c r="S127" s="60"/>
      <c r="T127" s="60"/>
      <c r="U127" s="60"/>
      <c r="V127" s="60"/>
      <c r="W127" s="60"/>
      <c r="X127" s="60"/>
      <c r="Y127" s="60"/>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row>
    <row r="128" spans="3:71">
      <c r="C128" s="57" t="s">
        <v>92</v>
      </c>
      <c r="E128" s="60">
        <f t="shared" ref="E128:X128" si="66">SUM(E88:E126)</f>
        <v>123295.5366883859</v>
      </c>
      <c r="F128" s="60">
        <f t="shared" si="66"/>
        <v>123015.55498768273</v>
      </c>
      <c r="G128" s="60">
        <f t="shared" si="66"/>
        <v>122736.20907441221</v>
      </c>
      <c r="H128" s="60">
        <f t="shared" si="66"/>
        <v>122457.49750481697</v>
      </c>
      <c r="I128" s="60">
        <f t="shared" si="66"/>
        <v>122179.41883841796</v>
      </c>
      <c r="J128" s="60">
        <f t="shared" si="66"/>
        <v>109711.77447420673</v>
      </c>
      <c r="K128" s="60">
        <f t="shared" si="66"/>
        <v>87570.111218141697</v>
      </c>
      <c r="L128" s="60">
        <f t="shared" si="66"/>
        <v>69897.004359915591</v>
      </c>
      <c r="M128" s="60">
        <f t="shared" si="66"/>
        <v>55790.62479799526</v>
      </c>
      <c r="N128" s="60">
        <f t="shared" si="66"/>
        <v>44531.147562823004</v>
      </c>
      <c r="O128" s="60">
        <f t="shared" si="66"/>
        <v>35544.020351841871</v>
      </c>
      <c r="P128" s="60">
        <f t="shared" si="66"/>
        <v>28370.645085887805</v>
      </c>
      <c r="Q128" s="60">
        <f t="shared" si="66"/>
        <v>22644.976415778481</v>
      </c>
      <c r="R128" s="60">
        <f t="shared" si="66"/>
        <v>18074.843040006857</v>
      </c>
      <c r="S128" s="60">
        <f t="shared" si="66"/>
        <v>14427.038691603469</v>
      </c>
      <c r="T128" s="60">
        <f t="shared" si="66"/>
        <v>11515.422012148474</v>
      </c>
      <c r="U128" s="60">
        <f t="shared" si="66"/>
        <v>78.365648889782065</v>
      </c>
      <c r="V128" s="60">
        <f t="shared" si="66"/>
        <v>27.924176706626056</v>
      </c>
      <c r="W128" s="60">
        <f t="shared" si="66"/>
        <v>9.497988405330382</v>
      </c>
      <c r="X128" s="60">
        <f t="shared" si="66"/>
        <v>3.0901370230972107</v>
      </c>
      <c r="Y128" s="60"/>
      <c r="AA128" s="60">
        <f t="shared" ref="AA128" si="67">SUM(E128:Y128)</f>
        <v>1111880.70305509</v>
      </c>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row>
    <row r="129" spans="1:80">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row>
    <row r="130" spans="1:80">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row>
    <row r="131" spans="1:80">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row>
    <row r="132" spans="1:80">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row>
    <row r="133" spans="1:80" ht="15">
      <c r="A133" s="77" t="s">
        <v>93</v>
      </c>
      <c r="C133" s="84" t="str">
        <f>C8</f>
        <v>ResWx</v>
      </c>
      <c r="D133" s="84"/>
      <c r="E133" s="84" t="s">
        <v>1703</v>
      </c>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row>
    <row r="134" spans="1:80" ht="15">
      <c r="A134" s="84" t="s">
        <v>94</v>
      </c>
      <c r="B134" s="84" t="s">
        <v>41</v>
      </c>
      <c r="C134" s="84">
        <v>1</v>
      </c>
      <c r="D134" s="84"/>
      <c r="E134" s="78">
        <f t="shared" ref="E134:X134" si="68">E11</f>
        <v>2016</v>
      </c>
      <c r="F134" s="79">
        <f t="shared" si="68"/>
        <v>2017</v>
      </c>
      <c r="G134" s="79">
        <f t="shared" si="68"/>
        <v>2018</v>
      </c>
      <c r="H134" s="79">
        <f t="shared" si="68"/>
        <v>2019</v>
      </c>
      <c r="I134" s="79">
        <f t="shared" si="68"/>
        <v>2020</v>
      </c>
      <c r="J134" s="79">
        <f t="shared" si="68"/>
        <v>2021</v>
      </c>
      <c r="K134" s="79">
        <f t="shared" si="68"/>
        <v>2022</v>
      </c>
      <c r="L134" s="79">
        <f t="shared" si="68"/>
        <v>2023</v>
      </c>
      <c r="M134" s="79">
        <f t="shared" si="68"/>
        <v>2024</v>
      </c>
      <c r="N134" s="79">
        <f t="shared" si="68"/>
        <v>2025</v>
      </c>
      <c r="O134" s="79">
        <f t="shared" si="68"/>
        <v>2026</v>
      </c>
      <c r="P134" s="79">
        <f t="shared" si="68"/>
        <v>2027</v>
      </c>
      <c r="Q134" s="79">
        <f t="shared" si="68"/>
        <v>2028</v>
      </c>
      <c r="R134" s="79">
        <f t="shared" si="68"/>
        <v>2029</v>
      </c>
      <c r="S134" s="79">
        <f t="shared" si="68"/>
        <v>2030</v>
      </c>
      <c r="T134" s="79">
        <f t="shared" si="68"/>
        <v>2031</v>
      </c>
      <c r="U134" s="79">
        <f t="shared" si="68"/>
        <v>2032</v>
      </c>
      <c r="V134" s="79">
        <f t="shared" si="68"/>
        <v>2033</v>
      </c>
      <c r="W134" s="79">
        <f t="shared" si="68"/>
        <v>2034</v>
      </c>
      <c r="X134" s="79">
        <f t="shared" si="68"/>
        <v>2035</v>
      </c>
      <c r="Y134" s="80" t="s">
        <v>1664</v>
      </c>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row>
    <row r="135" spans="1:80" ht="15">
      <c r="A135" s="84" t="s">
        <v>33</v>
      </c>
      <c r="B135" s="84" t="s">
        <v>95</v>
      </c>
      <c r="C135" s="84" t="s">
        <v>96</v>
      </c>
      <c r="D135" s="84" t="s">
        <v>97</v>
      </c>
      <c r="E135" s="81" t="str">
        <f>CONCATENATE("aMW_",E134)</f>
        <v>aMW_2016</v>
      </c>
      <c r="F135" s="82" t="str">
        <f t="shared" ref="F135:X135" si="69">CONCATENATE("aMW_",F134)</f>
        <v>aMW_2017</v>
      </c>
      <c r="G135" s="82" t="str">
        <f t="shared" si="69"/>
        <v>aMW_2018</v>
      </c>
      <c r="H135" s="82" t="str">
        <f t="shared" si="69"/>
        <v>aMW_2019</v>
      </c>
      <c r="I135" s="82" t="str">
        <f t="shared" si="69"/>
        <v>aMW_2020</v>
      </c>
      <c r="J135" s="82" t="str">
        <f t="shared" si="69"/>
        <v>aMW_2021</v>
      </c>
      <c r="K135" s="82" t="str">
        <f t="shared" si="69"/>
        <v>aMW_2022</v>
      </c>
      <c r="L135" s="82" t="str">
        <f t="shared" si="69"/>
        <v>aMW_2023</v>
      </c>
      <c r="M135" s="82" t="str">
        <f t="shared" si="69"/>
        <v>aMW_2024</v>
      </c>
      <c r="N135" s="82" t="str">
        <f t="shared" si="69"/>
        <v>aMW_2025</v>
      </c>
      <c r="O135" s="82" t="str">
        <f t="shared" si="69"/>
        <v>aMW_2026</v>
      </c>
      <c r="P135" s="82" t="str">
        <f t="shared" si="69"/>
        <v>aMW_2027</v>
      </c>
      <c r="Q135" s="82" t="str">
        <f t="shared" si="69"/>
        <v>aMW_2028</v>
      </c>
      <c r="R135" s="82" t="str">
        <f t="shared" si="69"/>
        <v>aMW_2029</v>
      </c>
      <c r="S135" s="82" t="str">
        <f t="shared" si="69"/>
        <v>aMW_2030</v>
      </c>
      <c r="T135" s="82" t="str">
        <f t="shared" si="69"/>
        <v>aMW_2031</v>
      </c>
      <c r="U135" s="82" t="str">
        <f t="shared" si="69"/>
        <v>aMW_2032</v>
      </c>
      <c r="V135" s="82" t="str">
        <f t="shared" si="69"/>
        <v>aMW_2033</v>
      </c>
      <c r="W135" s="82" t="str">
        <f t="shared" si="69"/>
        <v>aMW_2034</v>
      </c>
      <c r="X135" s="82" t="str">
        <f t="shared" si="69"/>
        <v>aMW_2035</v>
      </c>
      <c r="Y135" s="83" t="s">
        <v>1664</v>
      </c>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row>
    <row r="136" spans="1:80">
      <c r="A136" s="86">
        <f t="shared" ref="A136:A174" si="70">VLOOKUP(CONCATENATE($D136),MeasureOutput,3,FALSE)</f>
        <v>717.60736655826236</v>
      </c>
      <c r="B136" s="86">
        <f t="shared" ref="B136:B174" si="71">VLOOKUP(CONCATENATE($D136),MeasureOutput,11,FALSE)</f>
        <v>9.7968778952292404</v>
      </c>
      <c r="C136" s="57" t="s">
        <v>85</v>
      </c>
      <c r="D136" s="60" t="str">
        <f t="shared" ref="D136:D148" si="72">D23</f>
        <v>WALL R0 - R11_Electric Zonal</v>
      </c>
      <c r="E136" s="61">
        <f t="shared" ref="E136:N145" si="73">VLOOKUP($C136&amp;$D136,$C$88:$Y$126,E$22,FALSE)*$C$134*$A136/8760/1000</f>
        <v>2.8802518564916349E-2</v>
      </c>
      <c r="F136" s="61">
        <f t="shared" si="73"/>
        <v>2.8737113292763478E-2</v>
      </c>
      <c r="G136" s="61">
        <f t="shared" si="73"/>
        <v>2.8671856544067516E-2</v>
      </c>
      <c r="H136" s="61">
        <f t="shared" si="73"/>
        <v>2.8606747981558774E-2</v>
      </c>
      <c r="I136" s="61">
        <f t="shared" si="73"/>
        <v>2.8541787268733406E-2</v>
      </c>
      <c r="J136" s="61">
        <f t="shared" si="73"/>
        <v>2.5629276662866556E-2</v>
      </c>
      <c r="K136" s="61">
        <f t="shared" si="73"/>
        <v>2.0456861795954243E-2</v>
      </c>
      <c r="L136" s="61">
        <f t="shared" si="73"/>
        <v>1.6328326391868059E-2</v>
      </c>
      <c r="M136" s="61">
        <f t="shared" si="73"/>
        <v>1.3032998189981585E-2</v>
      </c>
      <c r="N136" s="61">
        <f t="shared" si="73"/>
        <v>1.0402722100451005E-2</v>
      </c>
      <c r="O136" s="61">
        <f t="shared" ref="O136:X145" si="74">VLOOKUP($C136&amp;$D136,$C$88:$Y$126,O$22,FALSE)*$C$134*$A136/8760/1000</f>
        <v>8.3032795310596617E-3</v>
      </c>
      <c r="P136" s="61">
        <f t="shared" si="74"/>
        <v>6.6275394368100395E-3</v>
      </c>
      <c r="Q136" s="61">
        <f t="shared" si="74"/>
        <v>5.2899916017721607E-3</v>
      </c>
      <c r="R136" s="61">
        <f t="shared" si="74"/>
        <v>4.2223831956991328E-3</v>
      </c>
      <c r="S136" s="61">
        <f t="shared" si="74"/>
        <v>3.3702359461874813E-3</v>
      </c>
      <c r="T136" s="61">
        <f t="shared" si="74"/>
        <v>2.6900662034994461E-3</v>
      </c>
      <c r="U136" s="61">
        <f t="shared" si="74"/>
        <v>1.830664854239026E-5</v>
      </c>
      <c r="V136" s="61">
        <f t="shared" si="74"/>
        <v>6.5232419567249711E-6</v>
      </c>
      <c r="W136" s="61">
        <f t="shared" si="74"/>
        <v>2.2187825668441881E-6</v>
      </c>
      <c r="X136" s="61">
        <f t="shared" si="74"/>
        <v>7.2187308126845333E-7</v>
      </c>
      <c r="Y136" s="61">
        <f t="shared" ref="Y136:Y174" si="75">VLOOKUP($D136,$D$23:$Z$61,$X$22+1,FALSE)*$C$134*$A136/8760/1000</f>
        <v>0.25220566182927184</v>
      </c>
      <c r="AA136" s="61">
        <f>SUM(E136:X136)</f>
        <v>0.25974147525433605</v>
      </c>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row>
    <row r="137" spans="1:80">
      <c r="A137" s="86">
        <f t="shared" si="70"/>
        <v>249.66123195769964</v>
      </c>
      <c r="B137" s="86">
        <f t="shared" si="71"/>
        <v>50.888627395272962</v>
      </c>
      <c r="C137" s="57" t="str">
        <f t="shared" ref="C137:C174" si="76">$C$136</f>
        <v>Multifamily - Low Rise</v>
      </c>
      <c r="D137" s="60" t="str">
        <f t="shared" si="72"/>
        <v>FLOOR R0 - R19_Electric Zonal</v>
      </c>
      <c r="E137" s="61">
        <f t="shared" si="73"/>
        <v>2.6843267592274829E-3</v>
      </c>
      <c r="F137" s="61">
        <f t="shared" si="73"/>
        <v>2.6782311422126428E-3</v>
      </c>
      <c r="G137" s="61">
        <f t="shared" si="73"/>
        <v>2.6721493672334884E-3</v>
      </c>
      <c r="H137" s="61">
        <f t="shared" si="73"/>
        <v>2.6660814028572778E-3</v>
      </c>
      <c r="I137" s="61">
        <f t="shared" si="73"/>
        <v>2.6600272177226478E-3</v>
      </c>
      <c r="J137" s="61">
        <f t="shared" si="73"/>
        <v>2.3885881024855071E-3</v>
      </c>
      <c r="K137" s="61">
        <f t="shared" si="73"/>
        <v>1.9065312432637895E-3</v>
      </c>
      <c r="L137" s="61">
        <f t="shared" si="73"/>
        <v>1.5217614865278032E-3</v>
      </c>
      <c r="M137" s="61">
        <f t="shared" si="73"/>
        <v>1.2146446747523349E-3</v>
      </c>
      <c r="N137" s="61">
        <f t="shared" si="73"/>
        <v>9.6950915039289867E-4</v>
      </c>
      <c r="O137" s="61">
        <f t="shared" si="74"/>
        <v>7.7384605739716852E-4</v>
      </c>
      <c r="P137" s="61">
        <f t="shared" si="74"/>
        <v>6.1767103518977598E-4</v>
      </c>
      <c r="Q137" s="61">
        <f t="shared" si="74"/>
        <v>4.9301473344148523E-4</v>
      </c>
      <c r="R137" s="61">
        <f t="shared" si="74"/>
        <v>3.9351614944304269E-4</v>
      </c>
      <c r="S137" s="61">
        <f t="shared" si="74"/>
        <v>3.1409803676964257E-4</v>
      </c>
      <c r="T137" s="61">
        <f t="shared" si="74"/>
        <v>2.5070782188272894E-4</v>
      </c>
      <c r="U137" s="61">
        <f t="shared" si="74"/>
        <v>1.7061364423168345E-6</v>
      </c>
      <c r="V137" s="61">
        <f t="shared" si="74"/>
        <v>6.079507561773232E-7</v>
      </c>
      <c r="W137" s="61">
        <f t="shared" si="74"/>
        <v>2.0678529912804492E-7</v>
      </c>
      <c r="X137" s="61">
        <f t="shared" si="74"/>
        <v>6.727686762695892E-8</v>
      </c>
      <c r="Y137" s="61">
        <f t="shared" si="75"/>
        <v>2.3504972502704394E-2</v>
      </c>
      <c r="AA137" s="61">
        <f t="shared" ref="AA137:AA174" si="77">SUM(E137:X137)</f>
        <v>2.4207292530164962E-2</v>
      </c>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row>
    <row r="138" spans="1:80">
      <c r="A138" s="86">
        <f t="shared" si="70"/>
        <v>325.2989796945879</v>
      </c>
      <c r="B138" s="86">
        <f t="shared" si="71"/>
        <v>36.494527369803585</v>
      </c>
      <c r="C138" s="57" t="str">
        <f t="shared" si="76"/>
        <v>Multifamily - Low Rise</v>
      </c>
      <c r="D138" s="60" t="str">
        <f t="shared" si="72"/>
        <v>FLOOR R0 - R30_Electric Zonal</v>
      </c>
      <c r="E138" s="61">
        <f t="shared" si="73"/>
        <v>3.8724046215583036E-2</v>
      </c>
      <c r="F138" s="61">
        <f t="shared" si="73"/>
        <v>3.8636110961730759E-2</v>
      </c>
      <c r="G138" s="61">
        <f t="shared" si="73"/>
        <v>3.854837539281912E-2</v>
      </c>
      <c r="H138" s="61">
        <f t="shared" si="73"/>
        <v>3.8460839055400015E-2</v>
      </c>
      <c r="I138" s="61">
        <f t="shared" si="73"/>
        <v>3.8373501497054999E-2</v>
      </c>
      <c r="J138" s="61">
        <f t="shared" si="73"/>
        <v>3.4457726039753722E-2</v>
      </c>
      <c r="K138" s="61">
        <f t="shared" si="73"/>
        <v>2.7503583057394615E-2</v>
      </c>
      <c r="L138" s="61">
        <f t="shared" si="73"/>
        <v>2.1952901944901817E-2</v>
      </c>
      <c r="M138" s="61">
        <f t="shared" si="73"/>
        <v>1.7522440723333414E-2</v>
      </c>
      <c r="N138" s="61">
        <f t="shared" si="73"/>
        <v>1.3986120362280256E-2</v>
      </c>
      <c r="O138" s="61">
        <f t="shared" si="74"/>
        <v>1.1163488344846165E-2</v>
      </c>
      <c r="P138" s="61">
        <f t="shared" si="74"/>
        <v>8.9105104773456976E-3</v>
      </c>
      <c r="Q138" s="61">
        <f t="shared" si="74"/>
        <v>7.1122210651603911E-3</v>
      </c>
      <c r="R138" s="61">
        <f t="shared" si="74"/>
        <v>5.6768564055130677E-3</v>
      </c>
      <c r="S138" s="61">
        <f t="shared" si="74"/>
        <v>4.5311722391024956E-3</v>
      </c>
      <c r="T138" s="61">
        <f t="shared" si="74"/>
        <v>3.6167062179825412E-3</v>
      </c>
      <c r="U138" s="61">
        <f t="shared" si="74"/>
        <v>2.4612691512035321E-5</v>
      </c>
      <c r="V138" s="61">
        <f t="shared" si="74"/>
        <v>8.7702859192092213E-6</v>
      </c>
      <c r="W138" s="61">
        <f t="shared" si="74"/>
        <v>2.9830807492460629E-6</v>
      </c>
      <c r="X138" s="61">
        <f t="shared" si="74"/>
        <v>9.7053479881703176E-7</v>
      </c>
      <c r="Y138" s="61">
        <f t="shared" si="75"/>
        <v>0.33908228138093011</v>
      </c>
      <c r="AA138" s="61">
        <f t="shared" si="77"/>
        <v>0.3492139365931814</v>
      </c>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row>
    <row r="139" spans="1:80">
      <c r="A139" s="86">
        <f t="shared" si="70"/>
        <v>185.72248912736737</v>
      </c>
      <c r="B139" s="86">
        <f t="shared" si="71"/>
        <v>37.93133942751404</v>
      </c>
      <c r="C139" s="57" t="str">
        <f t="shared" si="76"/>
        <v>Multifamily - Low Rise</v>
      </c>
      <c r="D139" s="60" t="str">
        <f t="shared" si="72"/>
        <v>ATTIC R0 - R19_Electric Zonal</v>
      </c>
      <c r="E139" s="61">
        <f t="shared" si="73"/>
        <v>5.240904618450064E-3</v>
      </c>
      <c r="F139" s="61">
        <f t="shared" si="73"/>
        <v>5.2290034788978262E-3</v>
      </c>
      <c r="G139" s="61">
        <f t="shared" si="73"/>
        <v>5.2171293646652512E-3</v>
      </c>
      <c r="H139" s="61">
        <f t="shared" si="73"/>
        <v>5.2052822143827627E-3</v>
      </c>
      <c r="I139" s="61">
        <f t="shared" si="73"/>
        <v>5.1934619668201421E-3</v>
      </c>
      <c r="J139" s="61">
        <f t="shared" si="73"/>
        <v>4.6635017047975949E-3</v>
      </c>
      <c r="K139" s="61">
        <f t="shared" si="73"/>
        <v>3.7223293936525462E-3</v>
      </c>
      <c r="L139" s="61">
        <f t="shared" si="73"/>
        <v>2.9711013294142436E-3</v>
      </c>
      <c r="M139" s="61">
        <f t="shared" si="73"/>
        <v>2.3714835996781927E-3</v>
      </c>
      <c r="N139" s="61">
        <f t="shared" si="73"/>
        <v>1.8928787139856338E-3</v>
      </c>
      <c r="O139" s="61">
        <f t="shared" si="74"/>
        <v>1.5108642650305971E-3</v>
      </c>
      <c r="P139" s="61">
        <f t="shared" si="74"/>
        <v>1.2059466940383011E-3</v>
      </c>
      <c r="Q139" s="61">
        <f t="shared" si="74"/>
        <v>9.6256656704529037E-4</v>
      </c>
      <c r="R139" s="61">
        <f t="shared" si="74"/>
        <v>7.683046029926167E-4</v>
      </c>
      <c r="S139" s="61">
        <f t="shared" si="74"/>
        <v>6.1324793857282214E-4</v>
      </c>
      <c r="T139" s="61">
        <f t="shared" si="74"/>
        <v>4.8948429138518355E-4</v>
      </c>
      <c r="U139" s="61">
        <f t="shared" si="74"/>
        <v>3.3310767139308984E-6</v>
      </c>
      <c r="V139" s="61">
        <f t="shared" si="74"/>
        <v>1.1869687305717192E-6</v>
      </c>
      <c r="W139" s="61">
        <f t="shared" si="74"/>
        <v>4.0372954801509956E-7</v>
      </c>
      <c r="X139" s="61">
        <f t="shared" si="74"/>
        <v>1.3135198427275461E-7</v>
      </c>
      <c r="Y139" s="61">
        <f t="shared" si="75"/>
        <v>4.589132769418023E-2</v>
      </c>
      <c r="AA139" s="61">
        <f t="shared" si="77"/>
        <v>4.7262543870785857E-2</v>
      </c>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row>
    <row r="140" spans="1:80">
      <c r="A140" s="86">
        <f t="shared" si="70"/>
        <v>253.0973747146395</v>
      </c>
      <c r="B140" s="86">
        <f t="shared" si="71"/>
        <v>36.495019806311646</v>
      </c>
      <c r="C140" s="57" t="str">
        <f t="shared" si="76"/>
        <v>Multifamily - Low Rise</v>
      </c>
      <c r="D140" s="60" t="str">
        <f t="shared" si="72"/>
        <v>ATTIC R0 - R38_Electric Zonal</v>
      </c>
      <c r="E140" s="61">
        <f t="shared" si="73"/>
        <v>1.3560080605076756E-3</v>
      </c>
      <c r="F140" s="61">
        <f t="shared" si="73"/>
        <v>1.3529288132522971E-3</v>
      </c>
      <c r="G140" s="61">
        <f t="shared" si="73"/>
        <v>1.34985655840643E-3</v>
      </c>
      <c r="H140" s="61">
        <f t="shared" si="73"/>
        <v>1.3467912800915862E-3</v>
      </c>
      <c r="I140" s="61">
        <f t="shared" si="73"/>
        <v>1.3437329624653343E-3</v>
      </c>
      <c r="J140" s="61">
        <f t="shared" si="73"/>
        <v>1.2066134307490981E-3</v>
      </c>
      <c r="K140" s="61">
        <f t="shared" si="73"/>
        <v>9.6309874518384964E-4</v>
      </c>
      <c r="L140" s="61">
        <f t="shared" si="73"/>
        <v>7.6872937871978763E-4</v>
      </c>
      <c r="M140" s="61">
        <f t="shared" si="73"/>
        <v>6.1358698748392921E-4</v>
      </c>
      <c r="N140" s="61">
        <f t="shared" si="73"/>
        <v>4.8975491457942436E-4</v>
      </c>
      <c r="O140" s="61">
        <f t="shared" si="74"/>
        <v>3.9091421631717963E-4</v>
      </c>
      <c r="P140" s="61">
        <f t="shared" si="74"/>
        <v>3.1202121708181986E-4</v>
      </c>
      <c r="Q140" s="61">
        <f t="shared" si="74"/>
        <v>2.4905013899578028E-4</v>
      </c>
      <c r="R140" s="61">
        <f t="shared" si="74"/>
        <v>1.9878767320349479E-4</v>
      </c>
      <c r="S140" s="61">
        <f t="shared" si="74"/>
        <v>1.5866901009169466E-4</v>
      </c>
      <c r="T140" s="61">
        <f t="shared" si="74"/>
        <v>1.2664696134204618E-4</v>
      </c>
      <c r="U140" s="61">
        <f t="shared" si="74"/>
        <v>8.6186778869399791E-7</v>
      </c>
      <c r="V140" s="61">
        <f t="shared" si="74"/>
        <v>3.0711094427469595E-7</v>
      </c>
      <c r="W140" s="61">
        <f t="shared" si="74"/>
        <v>1.0445916520715095E-7</v>
      </c>
      <c r="X140" s="61">
        <f t="shared" si="74"/>
        <v>3.3985420915789898E-8</v>
      </c>
      <c r="Y140" s="61">
        <f t="shared" si="75"/>
        <v>1.1873715473019044E-2</v>
      </c>
      <c r="AA140" s="61">
        <f t="shared" si="77"/>
        <v>1.2228497771790522E-2</v>
      </c>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row>
    <row r="141" spans="1:80">
      <c r="A141" s="86">
        <f t="shared" si="70"/>
        <v>268.72982198388451</v>
      </c>
      <c r="B141" s="86">
        <f t="shared" si="71"/>
        <v>41.01999289449391</v>
      </c>
      <c r="C141" s="57" t="str">
        <f t="shared" si="76"/>
        <v>Multifamily - Low Rise</v>
      </c>
      <c r="D141" s="60" t="str">
        <f t="shared" si="72"/>
        <v>ATTIC R0 - R49_Electric Zonal</v>
      </c>
      <c r="E141" s="61">
        <f t="shared" si="73"/>
        <v>8.5881234104087222E-3</v>
      </c>
      <c r="F141" s="61">
        <f t="shared" si="73"/>
        <v>8.5686213468070867E-3</v>
      </c>
      <c r="G141" s="61">
        <f t="shared" si="73"/>
        <v>8.5491635688388218E-3</v>
      </c>
      <c r="H141" s="61">
        <f t="shared" si="73"/>
        <v>8.5297499759393308E-3</v>
      </c>
      <c r="I141" s="61">
        <f t="shared" si="73"/>
        <v>8.5103804677723605E-3</v>
      </c>
      <c r="J141" s="61">
        <f t="shared" si="73"/>
        <v>7.6419494498065742E-3</v>
      </c>
      <c r="K141" s="61">
        <f t="shared" si="73"/>
        <v>6.0996767799094253E-3</v>
      </c>
      <c r="L141" s="61">
        <f t="shared" si="73"/>
        <v>4.8686604201900255E-3</v>
      </c>
      <c r="M141" s="61">
        <f t="shared" si="73"/>
        <v>3.8860836635145279E-3</v>
      </c>
      <c r="N141" s="61">
        <f t="shared" si="73"/>
        <v>3.1018072604137525E-3</v>
      </c>
      <c r="O141" s="61">
        <f t="shared" si="74"/>
        <v>2.4758108969929284E-3</v>
      </c>
      <c r="P141" s="61">
        <f t="shared" si="74"/>
        <v>1.976151025209507E-3</v>
      </c>
      <c r="Q141" s="61">
        <f t="shared" si="74"/>
        <v>1.5773308370117174E-3</v>
      </c>
      <c r="R141" s="61">
        <f t="shared" si="74"/>
        <v>1.2589992048428157E-3</v>
      </c>
      <c r="S141" s="61">
        <f t="shared" si="74"/>
        <v>1.0049121976197484E-3</v>
      </c>
      <c r="T141" s="61">
        <f t="shared" si="74"/>
        <v>8.0210418008248906E-4</v>
      </c>
      <c r="U141" s="61">
        <f t="shared" si="74"/>
        <v>5.4585419868293062E-6</v>
      </c>
      <c r="V141" s="61">
        <f t="shared" si="74"/>
        <v>1.9450523687379773E-6</v>
      </c>
      <c r="W141" s="61">
        <f t="shared" si="74"/>
        <v>6.6158028722293664E-7</v>
      </c>
      <c r="X141" s="61">
        <f t="shared" si="74"/>
        <v>2.152428126940602E-7</v>
      </c>
      <c r="Y141" s="61">
        <f t="shared" si="75"/>
        <v>7.5200831611715868E-2</v>
      </c>
      <c r="AA141" s="61">
        <f t="shared" si="77"/>
        <v>7.7447805102815334E-2</v>
      </c>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row>
    <row r="142" spans="1:80">
      <c r="A142" s="86">
        <f t="shared" si="70"/>
        <v>48.820467224768407</v>
      </c>
      <c r="B142" s="86">
        <f t="shared" si="71"/>
        <v>192.35984158142327</v>
      </c>
      <c r="C142" s="57" t="str">
        <f t="shared" si="76"/>
        <v>Multifamily - Low Rise</v>
      </c>
      <c r="D142" s="60" t="str">
        <f t="shared" si="72"/>
        <v>ATTIC R19 - R30_Electric Zonal</v>
      </c>
      <c r="E142" s="61">
        <f t="shared" si="73"/>
        <v>1.600748371158571E-3</v>
      </c>
      <c r="F142" s="61">
        <f t="shared" si="73"/>
        <v>1.5971133632467485E-3</v>
      </c>
      <c r="G142" s="61">
        <f t="shared" si="73"/>
        <v>1.5934866097756331E-3</v>
      </c>
      <c r="H142" s="61">
        <f t="shared" si="73"/>
        <v>1.5898680920008962E-3</v>
      </c>
      <c r="I142" s="61">
        <f t="shared" si="73"/>
        <v>1.5862577912207705E-3</v>
      </c>
      <c r="J142" s="61">
        <f t="shared" si="73"/>
        <v>1.4243901198983627E-3</v>
      </c>
      <c r="K142" s="61">
        <f t="shared" si="73"/>
        <v>1.1369244715556653E-3</v>
      </c>
      <c r="L142" s="61">
        <f t="shared" si="73"/>
        <v>9.0747417857290475E-4</v>
      </c>
      <c r="M142" s="61">
        <f t="shared" si="73"/>
        <v>7.2433077603629395E-4</v>
      </c>
      <c r="N142" s="61">
        <f t="shared" si="73"/>
        <v>5.7814876224733264E-4</v>
      </c>
      <c r="O142" s="61">
        <f t="shared" si="74"/>
        <v>4.6146871339258733E-4</v>
      </c>
      <c r="P142" s="61">
        <f t="shared" si="74"/>
        <v>3.6833664161527369E-4</v>
      </c>
      <c r="Q142" s="61">
        <f t="shared" si="74"/>
        <v>2.9400017296730106E-4</v>
      </c>
      <c r="R142" s="61">
        <f t="shared" si="74"/>
        <v>2.3466604171052085E-4</v>
      </c>
      <c r="S142" s="61">
        <f t="shared" si="74"/>
        <v>1.8730652630673321E-4</v>
      </c>
      <c r="T142" s="61">
        <f t="shared" si="74"/>
        <v>1.4950494984857461E-4</v>
      </c>
      <c r="U142" s="61">
        <f t="shared" si="74"/>
        <v>1.0174227566091579E-6</v>
      </c>
      <c r="V142" s="61">
        <f t="shared" si="74"/>
        <v>3.6254013389023472E-7</v>
      </c>
      <c r="W142" s="61">
        <f t="shared" si="74"/>
        <v>1.233125697610737E-7</v>
      </c>
      <c r="X142" s="61">
        <f t="shared" si="74"/>
        <v>4.0119309581184589E-8</v>
      </c>
      <c r="Y142" s="61">
        <f t="shared" si="75"/>
        <v>1.401675348147975E-2</v>
      </c>
      <c r="AA142" s="61">
        <f t="shared" si="77"/>
        <v>1.4435568976324012E-2</v>
      </c>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row>
    <row r="143" spans="1:80">
      <c r="A143" s="86">
        <f t="shared" si="70"/>
        <v>67.374885587272161</v>
      </c>
      <c r="B143" s="86">
        <f t="shared" si="71"/>
        <v>157.96345984923076</v>
      </c>
      <c r="C143" s="57" t="str">
        <f t="shared" si="76"/>
        <v>Multifamily - Low Rise</v>
      </c>
      <c r="D143" s="60" t="str">
        <f t="shared" si="72"/>
        <v>ATTIC R19 - R38_Electric Zonal</v>
      </c>
      <c r="E143" s="61">
        <f t="shared" si="73"/>
        <v>3.4101260653312057E-4</v>
      </c>
      <c r="F143" s="61">
        <f t="shared" si="73"/>
        <v>3.4023822903250046E-4</v>
      </c>
      <c r="G143" s="61">
        <f t="shared" si="73"/>
        <v>3.3946561000210113E-4</v>
      </c>
      <c r="H143" s="61">
        <f t="shared" si="73"/>
        <v>3.3869474544875698E-4</v>
      </c>
      <c r="I143" s="61">
        <f t="shared" si="73"/>
        <v>3.3792563138837018E-4</v>
      </c>
      <c r="J143" s="61">
        <f t="shared" si="73"/>
        <v>3.0344243746130135E-4</v>
      </c>
      <c r="K143" s="61">
        <f t="shared" si="73"/>
        <v>2.4220269997581126E-4</v>
      </c>
      <c r="L143" s="61">
        <f t="shared" si="73"/>
        <v>1.933221614167074E-4</v>
      </c>
      <c r="M143" s="61">
        <f t="shared" si="73"/>
        <v>1.5430652960747322E-4</v>
      </c>
      <c r="N143" s="61">
        <f t="shared" si="73"/>
        <v>1.2316490207337524E-4</v>
      </c>
      <c r="O143" s="61">
        <f t="shared" si="74"/>
        <v>9.8308173616066031E-5</v>
      </c>
      <c r="P143" s="61">
        <f t="shared" si="74"/>
        <v>7.8467946931577793E-5</v>
      </c>
      <c r="Q143" s="61">
        <f t="shared" si="74"/>
        <v>6.2631808416087426E-5</v>
      </c>
      <c r="R143" s="61">
        <f t="shared" si="74"/>
        <v>4.9991666392011251E-5</v>
      </c>
      <c r="S143" s="61">
        <f t="shared" si="74"/>
        <v>3.9902515540461678E-5</v>
      </c>
      <c r="T143" s="61">
        <f t="shared" si="74"/>
        <v>3.1849523357981592E-5</v>
      </c>
      <c r="U143" s="61">
        <f t="shared" si="74"/>
        <v>2.1674486285829372E-7</v>
      </c>
      <c r="V143" s="61">
        <f t="shared" si="74"/>
        <v>7.7233098129780031E-8</v>
      </c>
      <c r="W143" s="61">
        <f t="shared" si="74"/>
        <v>2.6269675852979756E-8</v>
      </c>
      <c r="X143" s="61">
        <f t="shared" si="74"/>
        <v>8.5467463713156484E-9</v>
      </c>
      <c r="Y143" s="61">
        <f t="shared" si="75"/>
        <v>2.986034361160753E-3</v>
      </c>
      <c r="AA143" s="61">
        <f t="shared" si="77"/>
        <v>3.0752559815769159E-3</v>
      </c>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row>
    <row r="144" spans="1:80">
      <c r="A144" s="86">
        <f t="shared" si="70"/>
        <v>83.00733285651711</v>
      </c>
      <c r="B144" s="86">
        <f t="shared" si="71"/>
        <v>151.27546712071552</v>
      </c>
      <c r="C144" s="57" t="str">
        <f t="shared" si="76"/>
        <v>Multifamily - Low Rise</v>
      </c>
      <c r="D144" s="60" t="str">
        <f t="shared" si="72"/>
        <v>ATTIC R19 - R49_Electric Zonal</v>
      </c>
      <c r="E144" s="61">
        <f t="shared" si="73"/>
        <v>6.1711837547693852E-3</v>
      </c>
      <c r="F144" s="61">
        <f t="shared" si="73"/>
        <v>6.1571701207853834E-3</v>
      </c>
      <c r="G144" s="61">
        <f t="shared" si="73"/>
        <v>6.1431883092110265E-3</v>
      </c>
      <c r="H144" s="61">
        <f t="shared" si="73"/>
        <v>6.1292382477834209E-3</v>
      </c>
      <c r="I144" s="61">
        <f t="shared" si="73"/>
        <v>6.1153198644037657E-3</v>
      </c>
      <c r="J144" s="61">
        <f t="shared" si="73"/>
        <v>5.4912897784232893E-3</v>
      </c>
      <c r="K144" s="61">
        <f t="shared" si="73"/>
        <v>4.3830560478321807E-3</v>
      </c>
      <c r="L144" s="61">
        <f t="shared" si="73"/>
        <v>3.49848234087445E-3</v>
      </c>
      <c r="M144" s="61">
        <f t="shared" si="73"/>
        <v>2.7924303398912408E-3</v>
      </c>
      <c r="N144" s="61">
        <f t="shared" si="73"/>
        <v>2.2288713914720157E-3</v>
      </c>
      <c r="O144" s="61">
        <f t="shared" si="74"/>
        <v>1.7790480244946367E-3</v>
      </c>
      <c r="P144" s="61">
        <f t="shared" si="74"/>
        <v>1.4200065044434882E-3</v>
      </c>
      <c r="Q144" s="61">
        <f t="shared" si="74"/>
        <v>1.133425542705406E-3</v>
      </c>
      <c r="R144" s="61">
        <f t="shared" si="74"/>
        <v>9.046813918366591E-4</v>
      </c>
      <c r="S144" s="61">
        <f t="shared" si="74"/>
        <v>7.221016201751873E-4</v>
      </c>
      <c r="T144" s="61">
        <f t="shared" si="74"/>
        <v>5.7636948716391335E-4</v>
      </c>
      <c r="U144" s="61">
        <f t="shared" si="74"/>
        <v>3.9223546313995583E-6</v>
      </c>
      <c r="V144" s="61">
        <f t="shared" si="74"/>
        <v>1.3976598852298354E-6</v>
      </c>
      <c r="W144" s="61">
        <f t="shared" si="74"/>
        <v>4.7539297304899192E-7</v>
      </c>
      <c r="X144" s="61">
        <f t="shared" si="74"/>
        <v>1.5466742681160863E-7</v>
      </c>
      <c r="Y144" s="61">
        <f t="shared" si="75"/>
        <v>5.4037200935528114E-2</v>
      </c>
      <c r="AA144" s="61">
        <f t="shared" si="77"/>
        <v>5.5651812841181925E-2</v>
      </c>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row>
    <row r="145" spans="1:80">
      <c r="A145" s="86">
        <f t="shared" si="70"/>
        <v>4704.3999020605224</v>
      </c>
      <c r="B145" s="86">
        <f t="shared" si="71"/>
        <v>18.671409679856037</v>
      </c>
      <c r="C145" s="57" t="str">
        <f t="shared" si="76"/>
        <v>Multifamily - Low Rise</v>
      </c>
      <c r="D145" s="60" t="str">
        <f t="shared" si="72"/>
        <v>WINDOW CL22 Prime Window Replacement of Single Pane Base_Electric Zonal</v>
      </c>
      <c r="E145" s="61">
        <f t="shared" si="73"/>
        <v>7.3310925068777261E-2</v>
      </c>
      <c r="F145" s="61">
        <f t="shared" si="73"/>
        <v>7.3144449314405446E-2</v>
      </c>
      <c r="G145" s="61">
        <f t="shared" si="73"/>
        <v>7.2978351596141716E-2</v>
      </c>
      <c r="H145" s="61">
        <f t="shared" si="73"/>
        <v>7.2812631055534968E-2</v>
      </c>
      <c r="I145" s="61">
        <f t="shared" si="73"/>
        <v>7.2647286836083416E-2</v>
      </c>
      <c r="J145" s="61">
        <f t="shared" si="73"/>
        <v>6.5234086274907302E-2</v>
      </c>
      <c r="K145" s="61">
        <f t="shared" si="73"/>
        <v>5.2068761239938796E-2</v>
      </c>
      <c r="L145" s="61">
        <f t="shared" si="73"/>
        <v>4.1560418055623403E-2</v>
      </c>
      <c r="M145" s="61">
        <f t="shared" si="73"/>
        <v>3.3172833534462973E-2</v>
      </c>
      <c r="N145" s="61">
        <f t="shared" si="73"/>
        <v>2.6478003258590784E-2</v>
      </c>
      <c r="O145" s="61">
        <f t="shared" si="74"/>
        <v>2.1134301229757575E-2</v>
      </c>
      <c r="P145" s="61">
        <f t="shared" si="74"/>
        <v>1.6869047265685114E-2</v>
      </c>
      <c r="Q145" s="61">
        <f t="shared" si="74"/>
        <v>1.3464592586162482E-2</v>
      </c>
      <c r="R145" s="61">
        <f t="shared" si="74"/>
        <v>1.0747213559602214E-2</v>
      </c>
      <c r="S145" s="61">
        <f t="shared" si="74"/>
        <v>8.5782468765077478E-3</v>
      </c>
      <c r="T145" s="61">
        <f t="shared" si="74"/>
        <v>6.8470137925721614E-3</v>
      </c>
      <c r="U145" s="61">
        <f t="shared" si="74"/>
        <v>4.6595832809786462E-5</v>
      </c>
      <c r="V145" s="61">
        <f t="shared" si="74"/>
        <v>1.660357934383844E-5</v>
      </c>
      <c r="W145" s="61">
        <f t="shared" si="74"/>
        <v>5.6474576046261806E-6</v>
      </c>
      <c r="X145" s="61">
        <f t="shared" si="74"/>
        <v>1.8373804100069557E-6</v>
      </c>
      <c r="Y145" s="61">
        <f t="shared" si="75"/>
        <v>0.64193797270245168</v>
      </c>
      <c r="AA145" s="61">
        <f t="shared" si="77"/>
        <v>0.66111884579492164</v>
      </c>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row>
    <row r="146" spans="1:80">
      <c r="A146" s="86">
        <f t="shared" si="70"/>
        <v>2784.1219315778467</v>
      </c>
      <c r="B146" s="86">
        <f t="shared" si="71"/>
        <v>52.027042825461216</v>
      </c>
      <c r="C146" s="57" t="str">
        <f t="shared" si="76"/>
        <v>Multifamily - Low Rise</v>
      </c>
      <c r="D146" s="60" t="str">
        <f t="shared" si="72"/>
        <v>WINDOW CL22 Prime Window Replacement of Double Pane Base_Electric Zonal</v>
      </c>
      <c r="E146" s="61">
        <f t="shared" ref="E146:N155" si="78">VLOOKUP($C146&amp;$D146,$C$88:$Y$126,E$22,FALSE)*$C$134*$A146/8760/1000</f>
        <v>0.2347251286090912</v>
      </c>
      <c r="F146" s="61">
        <f t="shared" si="78"/>
        <v>0.23419211060640518</v>
      </c>
      <c r="G146" s="61">
        <f t="shared" si="78"/>
        <v>0.23366030299049317</v>
      </c>
      <c r="H146" s="61">
        <f t="shared" si="78"/>
        <v>0.23312970301278732</v>
      </c>
      <c r="I146" s="61">
        <f t="shared" si="78"/>
        <v>0.2326003079309612</v>
      </c>
      <c r="J146" s="61">
        <f t="shared" si="78"/>
        <v>0.20886490350802431</v>
      </c>
      <c r="K146" s="61">
        <f t="shared" si="78"/>
        <v>0.16671248749207113</v>
      </c>
      <c r="L146" s="61">
        <f t="shared" si="78"/>
        <v>0.13306713104495413</v>
      </c>
      <c r="M146" s="61">
        <f t="shared" si="78"/>
        <v>0.10621196786699701</v>
      </c>
      <c r="N146" s="61">
        <f t="shared" si="78"/>
        <v>8.4776623870916265E-2</v>
      </c>
      <c r="O146" s="61">
        <f t="shared" ref="O146:X155" si="79">VLOOKUP($C146&amp;$D146,$C$88:$Y$126,O$22,FALSE)*$C$134*$A146/8760/1000</f>
        <v>6.76672892827931E-2</v>
      </c>
      <c r="P146" s="61">
        <f t="shared" si="79"/>
        <v>5.4010903357665375E-2</v>
      </c>
      <c r="Q146" s="61">
        <f t="shared" si="79"/>
        <v>4.3110603549075054E-2</v>
      </c>
      <c r="R146" s="61">
        <f t="shared" si="79"/>
        <v>3.4410165778161465E-2</v>
      </c>
      <c r="S146" s="61">
        <f t="shared" si="79"/>
        <v>2.7465621248672082E-2</v>
      </c>
      <c r="T146" s="61">
        <f t="shared" si="79"/>
        <v>2.1922601461404907E-2</v>
      </c>
      <c r="U146" s="61">
        <f t="shared" si="79"/>
        <v>1.4918939896971698E-4</v>
      </c>
      <c r="V146" s="61">
        <f t="shared" si="79"/>
        <v>5.3160934651928951E-5</v>
      </c>
      <c r="W146" s="61">
        <f t="shared" si="79"/>
        <v>1.8081891768745889E-5</v>
      </c>
      <c r="X146" s="61">
        <f t="shared" si="79"/>
        <v>5.8828797022831024E-6</v>
      </c>
      <c r="Y146" s="61">
        <f t="shared" si="75"/>
        <v>2.0553413159127571</v>
      </c>
      <c r="AA146" s="61">
        <f t="shared" si="77"/>
        <v>2.116754166715566</v>
      </c>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row>
    <row r="147" spans="1:80">
      <c r="A147" s="86">
        <f t="shared" si="70"/>
        <v>4321.9423011033477</v>
      </c>
      <c r="B147" s="86">
        <f t="shared" si="71"/>
        <v>10.600719613119042</v>
      </c>
      <c r="C147" s="57" t="str">
        <f t="shared" si="76"/>
        <v>Multifamily - Low Rise</v>
      </c>
      <c r="D147" s="60" t="str">
        <f t="shared" si="72"/>
        <v>WINDOW CL30 Prime Window Replacement of Single Pane Base_Electric Zonal</v>
      </c>
      <c r="E147" s="61">
        <f t="shared" si="78"/>
        <v>0.26940361770604432</v>
      </c>
      <c r="F147" s="61">
        <f t="shared" si="78"/>
        <v>0.26879185117266563</v>
      </c>
      <c r="G147" s="61">
        <f t="shared" si="78"/>
        <v>0.26818147384962698</v>
      </c>
      <c r="H147" s="61">
        <f t="shared" si="78"/>
        <v>0.26757248258228483</v>
      </c>
      <c r="I147" s="61">
        <f t="shared" si="78"/>
        <v>0.26696487422315901</v>
      </c>
      <c r="J147" s="61">
        <f t="shared" si="78"/>
        <v>0.23972278106872555</v>
      </c>
      <c r="K147" s="61">
        <f t="shared" si="78"/>
        <v>0.19134273144625769</v>
      </c>
      <c r="L147" s="61">
        <f t="shared" si="78"/>
        <v>0.1527265815709791</v>
      </c>
      <c r="M147" s="61">
        <f t="shared" si="78"/>
        <v>0.12190381386349305</v>
      </c>
      <c r="N147" s="61">
        <f t="shared" si="78"/>
        <v>9.7301594009414683E-2</v>
      </c>
      <c r="O147" s="61">
        <f t="shared" si="79"/>
        <v>7.7664511853375723E-2</v>
      </c>
      <c r="P147" s="61">
        <f t="shared" si="79"/>
        <v>6.199051991727407E-2</v>
      </c>
      <c r="Q147" s="61">
        <f t="shared" si="79"/>
        <v>4.9479800592436542E-2</v>
      </c>
      <c r="R147" s="61">
        <f t="shared" si="79"/>
        <v>3.9493952783981441E-2</v>
      </c>
      <c r="S147" s="61">
        <f t="shared" si="79"/>
        <v>3.152341537006479E-2</v>
      </c>
      <c r="T147" s="61">
        <f t="shared" si="79"/>
        <v>2.5161465149588363E-2</v>
      </c>
      <c r="U147" s="61">
        <f t="shared" si="79"/>
        <v>1.712307669996755E-4</v>
      </c>
      <c r="V147" s="61">
        <f t="shared" si="79"/>
        <v>6.1014976115810592E-5</v>
      </c>
      <c r="W147" s="61">
        <f t="shared" si="79"/>
        <v>2.0753325757388101E-5</v>
      </c>
      <c r="X147" s="61">
        <f t="shared" si="79"/>
        <v>6.7520213268854979E-6</v>
      </c>
      <c r="Y147" s="61">
        <f t="shared" si="75"/>
        <v>2.3589991809089694</v>
      </c>
      <c r="AA147" s="61">
        <f t="shared" si="77"/>
        <v>2.4294852182495714</v>
      </c>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row>
    <row r="148" spans="1:80">
      <c r="A148" s="86">
        <f t="shared" si="70"/>
        <v>2401.6643306206706</v>
      </c>
      <c r="B148" s="86">
        <f t="shared" si="71"/>
        <v>42.81512212314901</v>
      </c>
      <c r="C148" s="57" t="str">
        <f t="shared" si="76"/>
        <v>Multifamily - Low Rise</v>
      </c>
      <c r="D148" s="60" t="str">
        <f t="shared" si="72"/>
        <v>WINDOW CL30 Prime Window Replacement of Double Pane Base_Electric Zonal</v>
      </c>
      <c r="E148" s="61">
        <f t="shared" si="78"/>
        <v>0.80992281621993523</v>
      </c>
      <c r="F148" s="61">
        <f t="shared" si="78"/>
        <v>0.80808362906349596</v>
      </c>
      <c r="G148" s="61">
        <f t="shared" si="78"/>
        <v>0.80624861836600903</v>
      </c>
      <c r="H148" s="61">
        <f t="shared" si="78"/>
        <v>0.80441777464349729</v>
      </c>
      <c r="I148" s="61">
        <f t="shared" si="78"/>
        <v>0.80259108843351901</v>
      </c>
      <c r="J148" s="61">
        <f t="shared" si="78"/>
        <v>0.72069169526560906</v>
      </c>
      <c r="K148" s="61">
        <f t="shared" si="78"/>
        <v>0.57524410858232811</v>
      </c>
      <c r="L148" s="61">
        <f t="shared" si="78"/>
        <v>0.4591502672120048</v>
      </c>
      <c r="M148" s="61">
        <f t="shared" si="78"/>
        <v>0.36648609648591185</v>
      </c>
      <c r="N148" s="61">
        <f t="shared" si="78"/>
        <v>0.29252309866448323</v>
      </c>
      <c r="O148" s="61">
        <f t="shared" si="79"/>
        <v>0.23348706560157428</v>
      </c>
      <c r="P148" s="61">
        <f t="shared" si="79"/>
        <v>0.18636548721153329</v>
      </c>
      <c r="Q148" s="61">
        <f t="shared" si="79"/>
        <v>0.14875382811508514</v>
      </c>
      <c r="R148" s="61">
        <f t="shared" si="79"/>
        <v>0.11873282821822233</v>
      </c>
      <c r="S148" s="61">
        <f t="shared" si="79"/>
        <v>9.4770566077742938E-2</v>
      </c>
      <c r="T148" s="61">
        <f t="shared" si="79"/>
        <v>7.5644287510683805E-2</v>
      </c>
      <c r="U148" s="61">
        <f t="shared" si="79"/>
        <v>5.1478041094162041E-4</v>
      </c>
      <c r="V148" s="61">
        <f t="shared" si="79"/>
        <v>1.8343265657713056E-4</v>
      </c>
      <c r="W148" s="61">
        <f t="shared" si="79"/>
        <v>6.2391857193595422E-5</v>
      </c>
      <c r="X148" s="61">
        <f t="shared" si="79"/>
        <v>2.0298970647881811E-5</v>
      </c>
      <c r="Y148" s="61">
        <f t="shared" si="75"/>
        <v>7.0919881341275923</v>
      </c>
      <c r="AA148" s="61">
        <f t="shared" si="77"/>
        <v>7.3038941595669966</v>
      </c>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row>
    <row r="149" spans="1:80">
      <c r="A149" s="86">
        <f t="shared" si="70"/>
        <v>645.08422854274454</v>
      </c>
      <c r="B149" s="86">
        <f t="shared" si="71"/>
        <v>14.236091960702645</v>
      </c>
      <c r="C149" s="57" t="str">
        <f t="shared" si="76"/>
        <v>Multifamily - Low Rise</v>
      </c>
      <c r="D149" s="60" t="str">
        <f t="shared" ref="D149:D161" si="80">D36</f>
        <v>WALL R0 - R11_Electric FAF</v>
      </c>
      <c r="E149" s="61">
        <f t="shared" si="78"/>
        <v>7.9682258317449305E-3</v>
      </c>
      <c r="F149" s="61">
        <f t="shared" si="78"/>
        <v>7.9501314426057932E-3</v>
      </c>
      <c r="G149" s="61">
        <f t="shared" si="78"/>
        <v>7.9320781425277834E-3</v>
      </c>
      <c r="H149" s="61">
        <f t="shared" si="78"/>
        <v>7.9140658382051386E-3</v>
      </c>
      <c r="I149" s="61">
        <f t="shared" si="78"/>
        <v>7.89609443654396E-3</v>
      </c>
      <c r="J149" s="61">
        <f t="shared" si="78"/>
        <v>7.0903474601955851E-3</v>
      </c>
      <c r="K149" s="61">
        <f t="shared" si="78"/>
        <v>5.6593972583186157E-3</v>
      </c>
      <c r="L149" s="61">
        <f t="shared" si="78"/>
        <v>4.5172366385808618E-3</v>
      </c>
      <c r="M149" s="61">
        <f t="shared" si="78"/>
        <v>3.6055830537331281E-3</v>
      </c>
      <c r="N149" s="61">
        <f t="shared" si="78"/>
        <v>2.8779163452131366E-3</v>
      </c>
      <c r="O149" s="61">
        <f t="shared" si="79"/>
        <v>2.2971048972147646E-3</v>
      </c>
      <c r="P149" s="61">
        <f t="shared" si="79"/>
        <v>1.83351087240073E-3</v>
      </c>
      <c r="Q149" s="61">
        <f t="shared" si="79"/>
        <v>1.4634778426043209E-3</v>
      </c>
      <c r="R149" s="61">
        <f t="shared" si="79"/>
        <v>1.1681236408429083E-3</v>
      </c>
      <c r="S149" s="61">
        <f t="shared" si="79"/>
        <v>9.3237683589926003E-4</v>
      </c>
      <c r="T149" s="61">
        <f t="shared" si="79"/>
        <v>7.4420766237914414E-4</v>
      </c>
      <c r="U149" s="61">
        <f t="shared" si="79"/>
        <v>5.0645400845546995E-6</v>
      </c>
      <c r="V149" s="61">
        <f t="shared" si="79"/>
        <v>1.8046569416888502E-6</v>
      </c>
      <c r="W149" s="61">
        <f t="shared" si="79"/>
        <v>6.1382689587737896E-7</v>
      </c>
      <c r="X149" s="61">
        <f t="shared" si="79"/>
        <v>1.9970641527199734E-7</v>
      </c>
      <c r="Y149" s="61">
        <f t="shared" si="75"/>
        <v>6.9772775772053999E-2</v>
      </c>
      <c r="AA149" s="61">
        <f t="shared" si="77"/>
        <v>7.1857560929347475E-2</v>
      </c>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row>
    <row r="150" spans="1:80">
      <c r="A150" s="86">
        <f t="shared" si="70"/>
        <v>227.78283998200996</v>
      </c>
      <c r="B150" s="86">
        <f t="shared" si="71"/>
        <v>58.628091548408534</v>
      </c>
      <c r="C150" s="57" t="str">
        <f t="shared" si="76"/>
        <v>Multifamily - Low Rise</v>
      </c>
      <c r="D150" s="60" t="str">
        <f t="shared" si="80"/>
        <v>FLOOR R0 - R19_Electric FAF</v>
      </c>
      <c r="E150" s="61">
        <f t="shared" si="78"/>
        <v>7.537145654917945E-4</v>
      </c>
      <c r="F150" s="61">
        <f t="shared" si="78"/>
        <v>7.5200301703222221E-4</v>
      </c>
      <c r="G150" s="61">
        <f t="shared" si="78"/>
        <v>7.5029535518737604E-4</v>
      </c>
      <c r="H150" s="61">
        <f t="shared" si="78"/>
        <v>7.4859157113146195E-4</v>
      </c>
      <c r="I150" s="61">
        <f t="shared" si="78"/>
        <v>7.4689165605872781E-4</v>
      </c>
      <c r="J150" s="61">
        <f t="shared" si="78"/>
        <v>6.7067604106507597E-4</v>
      </c>
      <c r="K150" s="61">
        <f t="shared" si="78"/>
        <v>5.3532244637260313E-4</v>
      </c>
      <c r="L150" s="61">
        <f t="shared" si="78"/>
        <v>4.2728546130149062E-4</v>
      </c>
      <c r="M150" s="61">
        <f t="shared" si="78"/>
        <v>3.4105213909253989E-4</v>
      </c>
      <c r="N150" s="61">
        <f t="shared" si="78"/>
        <v>2.7222213745654373E-4</v>
      </c>
      <c r="O150" s="61">
        <f t="shared" si="79"/>
        <v>2.1728317646265243E-4</v>
      </c>
      <c r="P150" s="61">
        <f t="shared" si="79"/>
        <v>1.7343181276444446E-4</v>
      </c>
      <c r="Q150" s="61">
        <f t="shared" si="79"/>
        <v>1.3843038457204881E-4</v>
      </c>
      <c r="R150" s="61">
        <f t="shared" si="79"/>
        <v>1.1049282751136623E-4</v>
      </c>
      <c r="S150" s="61">
        <f t="shared" si="79"/>
        <v>8.8193534744550941E-5</v>
      </c>
      <c r="T150" s="61">
        <f t="shared" si="79"/>
        <v>7.0394610636045042E-5</v>
      </c>
      <c r="U150" s="61">
        <f t="shared" si="79"/>
        <v>4.7905490003036251E-7</v>
      </c>
      <c r="V150" s="61">
        <f t="shared" si="79"/>
        <v>1.7070251915399061E-7</v>
      </c>
      <c r="W150" s="61">
        <f t="shared" si="79"/>
        <v>5.8061892557089036E-8</v>
      </c>
      <c r="X150" s="61">
        <f t="shared" si="79"/>
        <v>1.8890231927537519E-8</v>
      </c>
      <c r="Y150" s="61">
        <f t="shared" si="75"/>
        <v>6.5998075964011499E-3</v>
      </c>
      <c r="AA150" s="61">
        <f t="shared" si="77"/>
        <v>6.7970074464246107E-3</v>
      </c>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row>
    <row r="151" spans="1:80">
      <c r="A151" s="86">
        <f t="shared" si="70"/>
        <v>296.63107397054569</v>
      </c>
      <c r="B151" s="86">
        <f t="shared" si="71"/>
        <v>42.890869644609893</v>
      </c>
      <c r="C151" s="57" t="str">
        <f t="shared" si="76"/>
        <v>Multifamily - Low Rise</v>
      </c>
      <c r="D151" s="60" t="str">
        <f t="shared" si="80"/>
        <v>FLOOR R0 - R30_Electric FAF</v>
      </c>
      <c r="E151" s="61">
        <f t="shared" si="78"/>
        <v>1.0867166120335151E-2</v>
      </c>
      <c r="F151" s="61">
        <f t="shared" si="78"/>
        <v>1.0842488765956254E-2</v>
      </c>
      <c r="G151" s="61">
        <f t="shared" si="78"/>
        <v>1.0817867449353209E-2</v>
      </c>
      <c r="H151" s="61">
        <f t="shared" si="78"/>
        <v>1.0793302043274429E-2</v>
      </c>
      <c r="I151" s="61">
        <f t="shared" si="78"/>
        <v>1.0768792420757302E-2</v>
      </c>
      <c r="J151" s="61">
        <f t="shared" si="78"/>
        <v>9.6699046096147719E-3</v>
      </c>
      <c r="K151" s="61">
        <f t="shared" si="78"/>
        <v>7.7183568143988808E-3</v>
      </c>
      <c r="L151" s="61">
        <f t="shared" si="78"/>
        <v>6.1606638658197538E-3</v>
      </c>
      <c r="M151" s="61">
        <f t="shared" si="78"/>
        <v>4.9173392964695587E-3</v>
      </c>
      <c r="N151" s="61">
        <f t="shared" si="78"/>
        <v>3.9249383318507424E-3</v>
      </c>
      <c r="O151" s="61">
        <f t="shared" si="79"/>
        <v>3.1328204095844121E-3</v>
      </c>
      <c r="P151" s="61">
        <f t="shared" si="79"/>
        <v>2.5005650761602519E-3</v>
      </c>
      <c r="Q151" s="61">
        <f t="shared" si="79"/>
        <v>1.99590939875861E-3</v>
      </c>
      <c r="R151" s="61">
        <f t="shared" si="79"/>
        <v>1.5931016417177451E-3</v>
      </c>
      <c r="S151" s="61">
        <f t="shared" si="79"/>
        <v>1.2715871985082643E-3</v>
      </c>
      <c r="T151" s="61">
        <f t="shared" si="79"/>
        <v>1.0149597245199334E-3</v>
      </c>
      <c r="U151" s="61">
        <f t="shared" si="79"/>
        <v>6.9070831555359867E-6</v>
      </c>
      <c r="V151" s="61">
        <f t="shared" si="79"/>
        <v>2.4612137243171059E-6</v>
      </c>
      <c r="W151" s="61">
        <f t="shared" si="79"/>
        <v>8.371448033079132E-7</v>
      </c>
      <c r="X151" s="61">
        <f t="shared" si="79"/>
        <v>2.7236210869065924E-7</v>
      </c>
      <c r="Y151" s="61">
        <f t="shared" si="75"/>
        <v>9.5156984880003528E-2</v>
      </c>
      <c r="AA151" s="61">
        <f t="shared" si="77"/>
        <v>9.800024097087115E-2</v>
      </c>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row>
    <row r="152" spans="1:80">
      <c r="A152" s="86">
        <f t="shared" si="70"/>
        <v>192.05259822441437</v>
      </c>
      <c r="B152" s="86">
        <f t="shared" si="71"/>
        <v>35.702541147357046</v>
      </c>
      <c r="C152" s="57" t="str">
        <f t="shared" si="76"/>
        <v>Multifamily - Low Rise</v>
      </c>
      <c r="D152" s="60" t="str">
        <f t="shared" si="80"/>
        <v>ATTIC R0 - R19_Electric FAF</v>
      </c>
      <c r="E152" s="61">
        <f t="shared" si="78"/>
        <v>1.6678753122706196E-3</v>
      </c>
      <c r="F152" s="61">
        <f t="shared" si="78"/>
        <v>1.6640878713053346E-3</v>
      </c>
      <c r="G152" s="61">
        <f t="shared" si="78"/>
        <v>1.6603090309284514E-3</v>
      </c>
      <c r="H152" s="61">
        <f t="shared" si="78"/>
        <v>1.6565387716096002E-3</v>
      </c>
      <c r="I152" s="61">
        <f t="shared" si="78"/>
        <v>1.6527770738627614E-3</v>
      </c>
      <c r="J152" s="61">
        <f t="shared" si="78"/>
        <v>1.4841215264215486E-3</v>
      </c>
      <c r="K152" s="61">
        <f t="shared" si="78"/>
        <v>1.1846010854607769E-3</v>
      </c>
      <c r="L152" s="61">
        <f t="shared" si="78"/>
        <v>9.4552885777378294E-4</v>
      </c>
      <c r="M152" s="61">
        <f t="shared" si="78"/>
        <v>7.5470538720234608E-4</v>
      </c>
      <c r="N152" s="61">
        <f t="shared" si="78"/>
        <v>6.0239327101374888E-4</v>
      </c>
      <c r="O152" s="61">
        <f t="shared" si="79"/>
        <v>4.8082027651586356E-4</v>
      </c>
      <c r="P152" s="61">
        <f t="shared" si="79"/>
        <v>3.8378273701452921E-4</v>
      </c>
      <c r="Q152" s="61">
        <f t="shared" si="79"/>
        <v>3.0632898907187358E-4</v>
      </c>
      <c r="R152" s="61">
        <f t="shared" si="79"/>
        <v>2.4450669739802184E-4</v>
      </c>
      <c r="S152" s="61">
        <f t="shared" si="79"/>
        <v>1.9516117378776999E-4</v>
      </c>
      <c r="T152" s="61">
        <f t="shared" si="79"/>
        <v>1.5577439865468613E-4</v>
      </c>
      <c r="U152" s="61">
        <f t="shared" si="79"/>
        <v>1.0600880990823972E-6</v>
      </c>
      <c r="V152" s="61">
        <f t="shared" si="79"/>
        <v>3.7774315433797086E-7</v>
      </c>
      <c r="W152" s="61">
        <f t="shared" si="79"/>
        <v>1.2848364833773707E-7</v>
      </c>
      <c r="X152" s="61">
        <f t="shared" si="79"/>
        <v>4.1801701754892088E-8</v>
      </c>
      <c r="Y152" s="61">
        <f t="shared" si="75"/>
        <v>1.4604542169874534E-2</v>
      </c>
      <c r="AA152" s="61">
        <f t="shared" si="77"/>
        <v>1.5040920576895227E-2</v>
      </c>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row>
    <row r="153" spans="1:80">
      <c r="A153" s="86">
        <f t="shared" si="70"/>
        <v>261.56665528837181</v>
      </c>
      <c r="B153" s="86">
        <f t="shared" si="71"/>
        <v>34.352031778886101</v>
      </c>
      <c r="C153" s="57" t="str">
        <f t="shared" si="76"/>
        <v>Multifamily - Low Rise</v>
      </c>
      <c r="D153" s="60" t="str">
        <f t="shared" si="80"/>
        <v>ATTIC R0 - R38_Electric FAF</v>
      </c>
      <c r="E153" s="61">
        <f t="shared" si="78"/>
        <v>4.3127932869959788E-4</v>
      </c>
      <c r="F153" s="61">
        <f t="shared" si="78"/>
        <v>4.3029997191856048E-4</v>
      </c>
      <c r="G153" s="61">
        <f t="shared" si="78"/>
        <v>4.2932283907834434E-4</v>
      </c>
      <c r="H153" s="61">
        <f t="shared" si="78"/>
        <v>4.2834792512878557E-4</v>
      </c>
      <c r="I153" s="61">
        <f t="shared" si="78"/>
        <v>4.2737522503118706E-4</v>
      </c>
      <c r="J153" s="61">
        <f t="shared" si="78"/>
        <v>3.8376426038246557E-4</v>
      </c>
      <c r="K153" s="61">
        <f t="shared" si="78"/>
        <v>3.0631424133187502E-4</v>
      </c>
      <c r="L153" s="61">
        <f t="shared" si="78"/>
        <v>2.4449492599756736E-4</v>
      </c>
      <c r="M153" s="61">
        <f t="shared" si="78"/>
        <v>1.9515177805197104E-4</v>
      </c>
      <c r="N153" s="61">
        <f t="shared" si="78"/>
        <v>1.5576689913485026E-4</v>
      </c>
      <c r="O153" s="61">
        <f t="shared" si="79"/>
        <v>1.2433054470877044E-4</v>
      </c>
      <c r="P153" s="61">
        <f t="shared" si="79"/>
        <v>9.9238570154736236E-5</v>
      </c>
      <c r="Q153" s="61">
        <f t="shared" si="79"/>
        <v>7.9210573953689055E-5</v>
      </c>
      <c r="R153" s="61">
        <f t="shared" si="79"/>
        <v>6.3224560937241565E-5</v>
      </c>
      <c r="S153" s="61">
        <f t="shared" si="79"/>
        <v>5.0464791582548611E-5</v>
      </c>
      <c r="T153" s="61">
        <f t="shared" si="79"/>
        <v>4.0280156188004046E-5</v>
      </c>
      <c r="U153" s="61">
        <f t="shared" si="79"/>
        <v>2.7411766357538584E-7</v>
      </c>
      <c r="V153" s="61">
        <f t="shared" si="79"/>
        <v>9.7676854393846559E-8</v>
      </c>
      <c r="W153" s="61">
        <f t="shared" si="79"/>
        <v>3.3223311836504707E-8</v>
      </c>
      <c r="X153" s="61">
        <f t="shared" si="79"/>
        <v>1.0809087309294927E-8</v>
      </c>
      <c r="Y153" s="61">
        <f t="shared" si="75"/>
        <v>3.7764436565786165E-3</v>
      </c>
      <c r="AA153" s="61">
        <f t="shared" si="77"/>
        <v>3.8892824191973092E-3</v>
      </c>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row>
    <row r="154" spans="1:80">
      <c r="A154" s="86">
        <f t="shared" si="70"/>
        <v>277.68551540849614</v>
      </c>
      <c r="B154" s="86">
        <f t="shared" si="71"/>
        <v>38.739530329848918</v>
      </c>
      <c r="C154" s="57" t="str">
        <f t="shared" si="76"/>
        <v>Multifamily - Low Rise</v>
      </c>
      <c r="D154" s="60" t="str">
        <f t="shared" si="80"/>
        <v>ATTIC R0 - R49_Electric FAF</v>
      </c>
      <c r="E154" s="61">
        <f t="shared" si="78"/>
        <v>2.7310979231762538E-3</v>
      </c>
      <c r="F154" s="61">
        <f t="shared" si="78"/>
        <v>2.7248960973692881E-3</v>
      </c>
      <c r="G154" s="61">
        <f t="shared" si="78"/>
        <v>2.7187083547788237E-3</v>
      </c>
      <c r="H154" s="61">
        <f t="shared" si="78"/>
        <v>2.7125346634244434E-3</v>
      </c>
      <c r="I154" s="61">
        <f t="shared" si="78"/>
        <v>2.7063749913983472E-3</v>
      </c>
      <c r="J154" s="61">
        <f t="shared" si="78"/>
        <v>2.4302063761786779E-3</v>
      </c>
      <c r="K154" s="61">
        <f t="shared" si="78"/>
        <v>1.9397502562046019E-3</v>
      </c>
      <c r="L154" s="61">
        <f t="shared" si="78"/>
        <v>1.5482763494194586E-3</v>
      </c>
      <c r="M154" s="61">
        <f t="shared" si="78"/>
        <v>1.2358083967273347E-3</v>
      </c>
      <c r="N154" s="61">
        <f t="shared" si="78"/>
        <v>9.8640168080745601E-4</v>
      </c>
      <c r="O154" s="61">
        <f t="shared" si="79"/>
        <v>7.8732939384166655E-4</v>
      </c>
      <c r="P154" s="61">
        <f t="shared" si="79"/>
        <v>6.2843320978493667E-4</v>
      </c>
      <c r="Q154" s="61">
        <f t="shared" si="79"/>
        <v>5.0160492196741106E-4</v>
      </c>
      <c r="R154" s="61">
        <f t="shared" si="79"/>
        <v>4.0037269486130117E-4</v>
      </c>
      <c r="S154" s="61">
        <f t="shared" si="79"/>
        <v>3.1957081713188422E-4</v>
      </c>
      <c r="T154" s="61">
        <f t="shared" si="79"/>
        <v>2.5507610402282542E-4</v>
      </c>
      <c r="U154" s="61">
        <f t="shared" si="79"/>
        <v>1.7358638169698142E-6</v>
      </c>
      <c r="V154" s="61">
        <f t="shared" si="79"/>
        <v>6.1854356660630825E-7</v>
      </c>
      <c r="W154" s="61">
        <f t="shared" si="79"/>
        <v>2.1038828415751905E-7</v>
      </c>
      <c r="X154" s="61">
        <f t="shared" si="79"/>
        <v>6.8449086096608198E-8</v>
      </c>
      <c r="Y154" s="61">
        <f t="shared" si="75"/>
        <v>2.3914518366953692E-2</v>
      </c>
      <c r="AA154" s="61">
        <f t="shared" si="77"/>
        <v>2.4629075475848541E-2</v>
      </c>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row>
    <row r="155" spans="1:80">
      <c r="A155" s="86">
        <f t="shared" si="70"/>
        <v>50.378797065966225</v>
      </c>
      <c r="B155" s="86">
        <f t="shared" si="71"/>
        <v>185.49135839344265</v>
      </c>
      <c r="C155" s="57" t="str">
        <f t="shared" si="76"/>
        <v>Multifamily - Low Rise</v>
      </c>
      <c r="D155" s="60" t="str">
        <f t="shared" si="80"/>
        <v>ATTIC R19 - R30_Electric FAF</v>
      </c>
      <c r="E155" s="61">
        <f t="shared" si="78"/>
        <v>5.0835905485731975E-4</v>
      </c>
      <c r="F155" s="61">
        <f t="shared" si="78"/>
        <v>5.0720466406127237E-4</v>
      </c>
      <c r="G155" s="61">
        <f t="shared" si="78"/>
        <v>5.0605289467640512E-4</v>
      </c>
      <c r="H155" s="61">
        <f t="shared" si="78"/>
        <v>5.0490374074997114E-4</v>
      </c>
      <c r="I155" s="61">
        <f t="shared" si="78"/>
        <v>5.0375719634274043E-4</v>
      </c>
      <c r="J155" s="61">
        <f t="shared" si="78"/>
        <v>4.5235192997607361E-4</v>
      </c>
      <c r="K155" s="61">
        <f t="shared" si="78"/>
        <v>3.610597769253904E-4</v>
      </c>
      <c r="L155" s="61">
        <f t="shared" si="78"/>
        <v>2.8819190076254998E-4</v>
      </c>
      <c r="M155" s="61">
        <f t="shared" si="78"/>
        <v>2.3002997556909787E-4</v>
      </c>
      <c r="N155" s="61">
        <f t="shared" si="78"/>
        <v>1.8360609552284756E-4</v>
      </c>
      <c r="O155" s="61">
        <f t="shared" si="79"/>
        <v>1.4655132762477147E-4</v>
      </c>
      <c r="P155" s="61">
        <f t="shared" si="79"/>
        <v>1.1697482900784472E-4</v>
      </c>
      <c r="Q155" s="61">
        <f t="shared" si="79"/>
        <v>9.3367360386175481E-5</v>
      </c>
      <c r="R155" s="61">
        <f t="shared" si="79"/>
        <v>7.4524272097011135E-5</v>
      </c>
      <c r="S155" s="61">
        <f t="shared" si="79"/>
        <v>5.948403284207755E-5</v>
      </c>
      <c r="T155" s="61">
        <f t="shared" si="79"/>
        <v>4.7479164352673605E-5</v>
      </c>
      <c r="U155" s="61">
        <f t="shared" si="79"/>
        <v>3.2310891596648372E-7</v>
      </c>
      <c r="V155" s="61">
        <f t="shared" si="79"/>
        <v>1.1513399803049308E-7</v>
      </c>
      <c r="W155" s="61">
        <f t="shared" si="79"/>
        <v>3.9161096487885737E-8</v>
      </c>
      <c r="X155" s="61">
        <f t="shared" si="79"/>
        <v>1.2740924599821981E-8</v>
      </c>
      <c r="Y155" s="61">
        <f t="shared" si="75"/>
        <v>4.451382666006305E-3</v>
      </c>
      <c r="AA155" s="61">
        <f t="shared" si="77"/>
        <v>4.5843883606893057E-3</v>
      </c>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row>
    <row r="156" spans="1:80">
      <c r="A156" s="86">
        <f t="shared" si="70"/>
        <v>69.514057063957438</v>
      </c>
      <c r="B156" s="86">
        <f t="shared" si="71"/>
        <v>152.18877758859335</v>
      </c>
      <c r="C156" s="57" t="str">
        <f t="shared" si="76"/>
        <v>Multifamily - Low Rise</v>
      </c>
      <c r="D156" s="60" t="str">
        <f t="shared" si="80"/>
        <v>ATTIC R19 - R38_Electric FAF</v>
      </c>
      <c r="E156" s="61">
        <f t="shared" ref="E156:N165" si="81">VLOOKUP($C156&amp;$D156,$C$88:$Y$126,E$22,FALSE)*$C$134*$A156/8760/1000</f>
        <v>1.0827960498706863E-4</v>
      </c>
      <c r="F156" s="61">
        <f t="shared" si="81"/>
        <v>1.0803372173151846E-4</v>
      </c>
      <c r="G156" s="61">
        <f t="shared" si="81"/>
        <v>1.0778839683204438E-4</v>
      </c>
      <c r="H156" s="61">
        <f t="shared" si="81"/>
        <v>1.0754362902072145E-4</v>
      </c>
      <c r="I156" s="61">
        <f t="shared" si="81"/>
        <v>1.0729941703250395E-4</v>
      </c>
      <c r="J156" s="61">
        <f t="shared" si="81"/>
        <v>9.6350183644697076E-5</v>
      </c>
      <c r="K156" s="61">
        <f t="shared" si="81"/>
        <v>7.6905111945282887E-5</v>
      </c>
      <c r="L156" s="61">
        <f t="shared" si="81"/>
        <v>6.1384379557869273E-5</v>
      </c>
      <c r="M156" s="61">
        <f t="shared" si="81"/>
        <v>4.8995989452371857E-5</v>
      </c>
      <c r="N156" s="61">
        <f t="shared" si="81"/>
        <v>3.9107782789492823E-5</v>
      </c>
      <c r="O156" s="61">
        <f t="shared" ref="O156:X165" si="82">VLOOKUP($C156&amp;$D156,$C$88:$Y$126,O$22,FALSE)*$C$134*$A156/8760/1000</f>
        <v>3.1215180911835099E-5</v>
      </c>
      <c r="P156" s="61">
        <f t="shared" si="82"/>
        <v>2.491543753844272E-5</v>
      </c>
      <c r="Q156" s="61">
        <f t="shared" si="82"/>
        <v>1.9887087295293394E-5</v>
      </c>
      <c r="R156" s="61">
        <f t="shared" si="82"/>
        <v>1.5873541874606775E-5</v>
      </c>
      <c r="S156" s="61">
        <f t="shared" si="82"/>
        <v>1.2669996762398052E-5</v>
      </c>
      <c r="T156" s="61">
        <f t="shared" si="82"/>
        <v>1.0112980406469856E-5</v>
      </c>
      <c r="U156" s="61">
        <f t="shared" si="82"/>
        <v>6.8821643785749605E-8</v>
      </c>
      <c r="V156" s="61">
        <f t="shared" si="82"/>
        <v>2.4523343704033603E-8</v>
      </c>
      <c r="W156" s="61">
        <f t="shared" si="82"/>
        <v>8.3412462472196524E-9</v>
      </c>
      <c r="X156" s="61">
        <f t="shared" si="82"/>
        <v>2.7137950424153551E-9</v>
      </c>
      <c r="Y156" s="61">
        <f t="shared" si="75"/>
        <v>9.4813685743578928E-4</v>
      </c>
      <c r="AA156" s="61">
        <f t="shared" si="77"/>
        <v>9.7646684181139593E-4</v>
      </c>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row>
    <row r="157" spans="1:80">
      <c r="A157" s="86">
        <f t="shared" si="70"/>
        <v>85.632917184081805</v>
      </c>
      <c r="B157" s="86">
        <f t="shared" si="71"/>
        <v>145.72691792511569</v>
      </c>
      <c r="C157" s="57" t="str">
        <f t="shared" si="76"/>
        <v>Multifamily - Low Rise</v>
      </c>
      <c r="D157" s="60" t="str">
        <f t="shared" si="80"/>
        <v>ATTIC R19 - R49_Electric FAF</v>
      </c>
      <c r="E157" s="61">
        <f t="shared" si="81"/>
        <v>1.9592704607738843E-3</v>
      </c>
      <c r="F157" s="61">
        <f t="shared" si="81"/>
        <v>1.9548213145154001E-3</v>
      </c>
      <c r="G157" s="61">
        <f t="shared" si="81"/>
        <v>1.9503822714574826E-3</v>
      </c>
      <c r="H157" s="61">
        <f t="shared" si="81"/>
        <v>1.9459533086576034E-3</v>
      </c>
      <c r="I157" s="61">
        <f t="shared" si="81"/>
        <v>1.9415344032253346E-3</v>
      </c>
      <c r="J157" s="61">
        <f t="shared" si="81"/>
        <v>1.743412979090002E-3</v>
      </c>
      <c r="K157" s="61">
        <f t="shared" si="81"/>
        <v>1.3915632046764153E-3</v>
      </c>
      <c r="L157" s="61">
        <f t="shared" si="81"/>
        <v>1.1107225745331142E-3</v>
      </c>
      <c r="M157" s="61">
        <f t="shared" si="81"/>
        <v>8.8656026074241236E-4</v>
      </c>
      <c r="N157" s="61">
        <f t="shared" si="81"/>
        <v>7.0763763512958239E-4</v>
      </c>
      <c r="O157" s="61">
        <f t="shared" si="82"/>
        <v>5.6482457518731478E-4</v>
      </c>
      <c r="P157" s="61">
        <f t="shared" si="82"/>
        <v>4.5083356918560515E-4</v>
      </c>
      <c r="Q157" s="61">
        <f t="shared" si="82"/>
        <v>3.5984784662959624E-4</v>
      </c>
      <c r="R157" s="61">
        <f t="shared" si="82"/>
        <v>2.8722455818423569E-4</v>
      </c>
      <c r="S157" s="61">
        <f t="shared" si="82"/>
        <v>2.2925785883345129E-4</v>
      </c>
      <c r="T157" s="61">
        <f t="shared" si="82"/>
        <v>1.8298980480347863E-4</v>
      </c>
      <c r="U157" s="61">
        <f t="shared" si="82"/>
        <v>1.2452965057216929E-6</v>
      </c>
      <c r="V157" s="61">
        <f t="shared" si="82"/>
        <v>4.4373880865613056E-7</v>
      </c>
      <c r="W157" s="61">
        <f t="shared" si="82"/>
        <v>1.5093107681885452E-7</v>
      </c>
      <c r="X157" s="61">
        <f t="shared" si="82"/>
        <v>4.9104893426920128E-8</v>
      </c>
      <c r="Y157" s="61">
        <f t="shared" si="75"/>
        <v>1.7156107447628511E-2</v>
      </c>
      <c r="AA157" s="61">
        <f t="shared" si="77"/>
        <v>1.7668725696909533E-2</v>
      </c>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row>
    <row r="158" spans="1:80">
      <c r="A158" s="86">
        <f t="shared" si="70"/>
        <v>4219.451076731496</v>
      </c>
      <c r="B158" s="86">
        <f t="shared" si="71"/>
        <v>24.229598500728116</v>
      </c>
      <c r="C158" s="57" t="str">
        <f t="shared" si="76"/>
        <v>Multifamily - Low Rise</v>
      </c>
      <c r="D158" s="60" t="str">
        <f t="shared" si="80"/>
        <v>WINDOW CL22 Prime Window Replacement of Single Pane Base_Electric FAF</v>
      </c>
      <c r="E158" s="61">
        <f t="shared" si="81"/>
        <v>2.0235878178332445E-2</v>
      </c>
      <c r="F158" s="61">
        <f t="shared" si="81"/>
        <v>2.0189926185748074E-2</v>
      </c>
      <c r="G158" s="61">
        <f t="shared" si="81"/>
        <v>2.0144078541766895E-2</v>
      </c>
      <c r="H158" s="61">
        <f t="shared" si="81"/>
        <v>2.0098335009432259E-2</v>
      </c>
      <c r="I158" s="61">
        <f t="shared" si="81"/>
        <v>2.005269535232557E-2</v>
      </c>
      <c r="J158" s="61">
        <f t="shared" si="81"/>
        <v>1.8006443401108609E-2</v>
      </c>
      <c r="K158" s="61">
        <f t="shared" si="81"/>
        <v>1.4372443238979486E-2</v>
      </c>
      <c r="L158" s="61">
        <f t="shared" si="81"/>
        <v>1.147184483111025E-2</v>
      </c>
      <c r="M158" s="61">
        <f t="shared" si="81"/>
        <v>9.1566354892360959E-3</v>
      </c>
      <c r="N158" s="61">
        <f t="shared" si="81"/>
        <v>7.3086739506241652E-3</v>
      </c>
      <c r="O158" s="61">
        <f t="shared" si="82"/>
        <v>5.8336618269150533E-3</v>
      </c>
      <c r="P158" s="61">
        <f t="shared" si="82"/>
        <v>4.6563317149890858E-3</v>
      </c>
      <c r="Q158" s="61">
        <f t="shared" si="82"/>
        <v>3.7166064271981851E-3</v>
      </c>
      <c r="R158" s="61">
        <f t="shared" si="82"/>
        <v>2.9665333529020799E-3</v>
      </c>
      <c r="S158" s="61">
        <f t="shared" si="82"/>
        <v>2.3678375169024009E-3</v>
      </c>
      <c r="T158" s="61">
        <f t="shared" si="82"/>
        <v>1.8899684714367665E-3</v>
      </c>
      <c r="U158" s="61">
        <f t="shared" si="82"/>
        <v>1.2861760992269408E-5</v>
      </c>
      <c r="V158" s="61">
        <f t="shared" si="82"/>
        <v>4.5830550986907009E-6</v>
      </c>
      <c r="W158" s="61">
        <f t="shared" si="82"/>
        <v>1.5588572098537649E-6</v>
      </c>
      <c r="X158" s="61">
        <f t="shared" si="82"/>
        <v>5.0716869428770123E-7</v>
      </c>
      <c r="Y158" s="61">
        <f t="shared" si="75"/>
        <v>0.17719294363651342</v>
      </c>
      <c r="AA158" s="61">
        <f t="shared" si="77"/>
        <v>0.1824874043310025</v>
      </c>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row>
    <row r="159" spans="1:80">
      <c r="A159" s="86">
        <f t="shared" si="70"/>
        <v>2478.352529676858</v>
      </c>
      <c r="B159" s="86">
        <f t="shared" si="71"/>
        <v>62.108893553617094</v>
      </c>
      <c r="C159" s="57" t="str">
        <f t="shared" si="76"/>
        <v>Multifamily - Low Rise</v>
      </c>
      <c r="D159" s="60" t="str">
        <f t="shared" si="80"/>
        <v>WINDOW CL22 Prime Window Replacement of Double Pane Base_Electric FAF</v>
      </c>
      <c r="E159" s="61">
        <f t="shared" si="81"/>
        <v>6.4303712836284402E-2</v>
      </c>
      <c r="F159" s="61">
        <f t="shared" si="81"/>
        <v>6.4157690819875698E-2</v>
      </c>
      <c r="G159" s="61">
        <f t="shared" si="81"/>
        <v>6.4012000392862631E-2</v>
      </c>
      <c r="H159" s="61">
        <f t="shared" si="81"/>
        <v>6.3866640802266103E-2</v>
      </c>
      <c r="I159" s="61">
        <f t="shared" si="81"/>
        <v>6.3721611296816832E-2</v>
      </c>
      <c r="J159" s="61">
        <f t="shared" si="81"/>
        <v>5.72192200142565E-2</v>
      </c>
      <c r="K159" s="61">
        <f t="shared" si="81"/>
        <v>4.5671428472262805E-2</v>
      </c>
      <c r="L159" s="61">
        <f t="shared" si="81"/>
        <v>3.6454173583234925E-2</v>
      </c>
      <c r="M159" s="61">
        <f t="shared" si="81"/>
        <v>2.9097114237267532E-2</v>
      </c>
      <c r="N159" s="61">
        <f t="shared" si="81"/>
        <v>2.3224831993611913E-2</v>
      </c>
      <c r="O159" s="61">
        <f t="shared" si="82"/>
        <v>1.853767410517454E-2</v>
      </c>
      <c r="P159" s="61">
        <f t="shared" si="82"/>
        <v>1.4796462739716678E-2</v>
      </c>
      <c r="Q159" s="61">
        <f t="shared" si="82"/>
        <v>1.1810290134872486E-2</v>
      </c>
      <c r="R159" s="61">
        <f t="shared" si="82"/>
        <v>9.4267768941468759E-3</v>
      </c>
      <c r="S159" s="61">
        <f t="shared" si="82"/>
        <v>7.5242963210218287E-3</v>
      </c>
      <c r="T159" s="61">
        <f t="shared" si="82"/>
        <v>6.0057680119379002E-3</v>
      </c>
      <c r="U159" s="61">
        <f t="shared" si="82"/>
        <v>4.0870921347084862E-5</v>
      </c>
      <c r="V159" s="61">
        <f t="shared" si="82"/>
        <v>1.4563611046771065E-5</v>
      </c>
      <c r="W159" s="61">
        <f t="shared" si="82"/>
        <v>4.9535930930114135E-6</v>
      </c>
      <c r="X159" s="61">
        <f t="shared" si="82"/>
        <v>1.6116340387910525E-6</v>
      </c>
      <c r="Y159" s="61">
        <f t="shared" si="75"/>
        <v>0.56306744208504778</v>
      </c>
      <c r="AA159" s="61">
        <f t="shared" si="77"/>
        <v>0.57989169241513516</v>
      </c>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row>
    <row r="160" spans="1:80">
      <c r="A160" s="86">
        <f t="shared" si="70"/>
        <v>3879.632460283558</v>
      </c>
      <c r="B160" s="86">
        <f t="shared" si="71"/>
        <v>15.194120042811599</v>
      </c>
      <c r="C160" s="57" t="str">
        <f t="shared" si="76"/>
        <v>Multifamily - Low Rise</v>
      </c>
      <c r="D160" s="60" t="str">
        <f t="shared" si="80"/>
        <v>WINDOW CL30 Prime Window Replacement of Single Pane Base_Electric FAF</v>
      </c>
      <c r="E160" s="61">
        <f t="shared" si="81"/>
        <v>7.4424628621423974E-2</v>
      </c>
      <c r="F160" s="61">
        <f t="shared" si="81"/>
        <v>7.4255623849188851E-2</v>
      </c>
      <c r="G160" s="61">
        <f t="shared" si="81"/>
        <v>7.4087002856000644E-2</v>
      </c>
      <c r="H160" s="61">
        <f t="shared" si="81"/>
        <v>7.3918764770367032E-2</v>
      </c>
      <c r="I160" s="61">
        <f t="shared" si="81"/>
        <v>7.3750908722774719E-2</v>
      </c>
      <c r="J160" s="61">
        <f t="shared" si="81"/>
        <v>6.6225090461116451E-2</v>
      </c>
      <c r="K160" s="61">
        <f t="shared" si="81"/>
        <v>5.2859764276940835E-2</v>
      </c>
      <c r="L160" s="61">
        <f t="shared" si="81"/>
        <v>4.2191783506197192E-2</v>
      </c>
      <c r="M160" s="61">
        <f t="shared" si="81"/>
        <v>3.3676778922193784E-2</v>
      </c>
      <c r="N160" s="61">
        <f t="shared" si="81"/>
        <v>2.6880244074245722E-2</v>
      </c>
      <c r="O160" s="61">
        <f t="shared" si="82"/>
        <v>2.1455363149794793E-2</v>
      </c>
      <c r="P160" s="61">
        <f t="shared" si="82"/>
        <v>1.7125313543213783E-2</v>
      </c>
      <c r="Q160" s="61">
        <f t="shared" si="82"/>
        <v>1.3669140060963562E-2</v>
      </c>
      <c r="R160" s="61">
        <f t="shared" si="82"/>
        <v>1.0910479947403934E-2</v>
      </c>
      <c r="S160" s="61">
        <f t="shared" si="82"/>
        <v>8.7085633881720612E-3</v>
      </c>
      <c r="T160" s="61">
        <f t="shared" si="82"/>
        <v>6.9510302618590323E-3</v>
      </c>
      <c r="U160" s="61">
        <f t="shared" si="82"/>
        <v>4.7303693807176767E-5</v>
      </c>
      <c r="V160" s="61">
        <f t="shared" si="82"/>
        <v>1.6855812763134898E-5</v>
      </c>
      <c r="W160" s="61">
        <f t="shared" si="82"/>
        <v>5.7332510057023935E-6</v>
      </c>
      <c r="X160" s="61">
        <f t="shared" si="82"/>
        <v>1.8652929904070586E-6</v>
      </c>
      <c r="Y160" s="61">
        <f t="shared" si="75"/>
        <v>0.65168997897036895</v>
      </c>
      <c r="AA160" s="61">
        <f t="shared" si="77"/>
        <v>0.67116223846242273</v>
      </c>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row>
    <row r="161" spans="1:80">
      <c r="A161" s="86">
        <f t="shared" si="70"/>
        <v>2138.5339132289205</v>
      </c>
      <c r="B161" s="86">
        <f t="shared" si="71"/>
        <v>51.736251929647075</v>
      </c>
      <c r="C161" s="57" t="str">
        <f t="shared" si="76"/>
        <v>Multifamily - Low Rise</v>
      </c>
      <c r="D161" s="60" t="str">
        <f t="shared" si="80"/>
        <v>WINDOW CL30 Prime Window Replacement of Double Pane Base_Electric FAF</v>
      </c>
      <c r="E161" s="61">
        <f t="shared" si="81"/>
        <v>0.22194690868269354</v>
      </c>
      <c r="F161" s="61">
        <f t="shared" si="81"/>
        <v>0.22144290768940664</v>
      </c>
      <c r="G161" s="61">
        <f t="shared" si="81"/>
        <v>0.22094005119055191</v>
      </c>
      <c r="H161" s="61">
        <f t="shared" si="81"/>
        <v>0.22043833658719114</v>
      </c>
      <c r="I161" s="61">
        <f t="shared" si="81"/>
        <v>0.2199377612862875</v>
      </c>
      <c r="J161" s="61">
        <f t="shared" si="81"/>
        <v>0.19749449043062364</v>
      </c>
      <c r="K161" s="61">
        <f t="shared" si="81"/>
        <v>0.15763681313937639</v>
      </c>
      <c r="L161" s="61">
        <f t="shared" si="81"/>
        <v>0.12582307892517033</v>
      </c>
      <c r="M161" s="61">
        <f t="shared" si="81"/>
        <v>0.10042988610923072</v>
      </c>
      <c r="N161" s="61">
        <f t="shared" si="81"/>
        <v>8.0161462508094444E-2</v>
      </c>
      <c r="O161" s="61">
        <f t="shared" si="82"/>
        <v>6.3983544345033547E-2</v>
      </c>
      <c r="P161" s="61">
        <f t="shared" si="82"/>
        <v>5.1070599498349793E-2</v>
      </c>
      <c r="Q161" s="61">
        <f t="shared" si="82"/>
        <v>4.0763701977120891E-2</v>
      </c>
      <c r="R161" s="61">
        <f t="shared" si="82"/>
        <v>3.253690802930994E-2</v>
      </c>
      <c r="S161" s="61">
        <f t="shared" si="82"/>
        <v>2.5970418111239103E-2</v>
      </c>
      <c r="T161" s="61">
        <f t="shared" si="82"/>
        <v>2.0729155218590711E-2</v>
      </c>
      <c r="U161" s="61">
        <f t="shared" si="82"/>
        <v>1.4106766542538489E-4</v>
      </c>
      <c r="V161" s="61">
        <f t="shared" si="82"/>
        <v>5.0266902306519076E-5</v>
      </c>
      <c r="W161" s="61">
        <f t="shared" si="82"/>
        <v>1.7097530226053326E-5</v>
      </c>
      <c r="X161" s="61">
        <f t="shared" si="82"/>
        <v>5.5626211467472526E-6</v>
      </c>
      <c r="Y161" s="61">
        <f t="shared" si="75"/>
        <v>1.9434504267089689</v>
      </c>
      <c r="AA161" s="61">
        <f t="shared" si="77"/>
        <v>2.0015200184473754</v>
      </c>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row>
    <row r="162" spans="1:80">
      <c r="A162" s="86">
        <f t="shared" si="70"/>
        <v>292.170021134612</v>
      </c>
      <c r="B162" s="86">
        <f t="shared" si="71"/>
        <v>67.293970237357726</v>
      </c>
      <c r="C162" s="57" t="str">
        <f t="shared" si="76"/>
        <v>Multifamily - Low Rise</v>
      </c>
      <c r="D162" s="60" t="str">
        <f t="shared" ref="D162:D174" si="83">D49</f>
        <v>WALL R0 - R11_Heat Pump</v>
      </c>
      <c r="E162" s="61">
        <f t="shared" si="81"/>
        <v>0.17950403689663999</v>
      </c>
      <c r="F162" s="61">
        <f t="shared" si="81"/>
        <v>0.17909641593254608</v>
      </c>
      <c r="G162" s="61">
        <f t="shared" si="81"/>
        <v>0.1786897206013974</v>
      </c>
      <c r="H162" s="61">
        <f t="shared" si="81"/>
        <v>0.17828394880125029</v>
      </c>
      <c r="I162" s="61">
        <f t="shared" si="81"/>
        <v>0.17787909843493402</v>
      </c>
      <c r="J162" s="61">
        <f t="shared" si="81"/>
        <v>0.1597276506690363</v>
      </c>
      <c r="K162" s="61">
        <f t="shared" si="81"/>
        <v>0.12749195062001692</v>
      </c>
      <c r="L162" s="61">
        <f t="shared" si="81"/>
        <v>0.10176195170225305</v>
      </c>
      <c r="M162" s="61">
        <f t="shared" si="81"/>
        <v>8.12246950798933E-2</v>
      </c>
      <c r="N162" s="61">
        <f t="shared" si="81"/>
        <v>6.483219887650378E-2</v>
      </c>
      <c r="O162" s="61">
        <f t="shared" si="82"/>
        <v>5.1747981411665762E-2</v>
      </c>
      <c r="P162" s="61">
        <f t="shared" si="82"/>
        <v>4.1304376939042896E-2</v>
      </c>
      <c r="Q162" s="61">
        <f t="shared" si="82"/>
        <v>3.2968465779380826E-2</v>
      </c>
      <c r="R162" s="61">
        <f t="shared" si="82"/>
        <v>2.6314880320075621E-2</v>
      </c>
      <c r="S162" s="61">
        <f t="shared" si="82"/>
        <v>2.1004099216924744E-2</v>
      </c>
      <c r="T162" s="61">
        <f t="shared" si="82"/>
        <v>1.676512218745865E-2</v>
      </c>
      <c r="U162" s="61">
        <f t="shared" si="82"/>
        <v>1.1409131836858815E-4</v>
      </c>
      <c r="V162" s="61">
        <f t="shared" si="82"/>
        <v>4.0654370632433944E-5</v>
      </c>
      <c r="W162" s="61">
        <f t="shared" si="82"/>
        <v>1.3827972260368801E-5</v>
      </c>
      <c r="X162" s="61">
        <f t="shared" si="82"/>
        <v>4.4988819961231041E-6</v>
      </c>
      <c r="Y162" s="61">
        <f t="shared" si="75"/>
        <v>1.5718047129978341</v>
      </c>
      <c r="AA162" s="61">
        <f t="shared" si="77"/>
        <v>1.618769666012277</v>
      </c>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row>
    <row r="163" spans="1:80">
      <c r="A163" s="86">
        <f t="shared" si="70"/>
        <v>61.203904418075837</v>
      </c>
      <c r="B163" s="86">
        <f t="shared" si="71"/>
        <v>299.00212875285848</v>
      </c>
      <c r="C163" s="57" t="str">
        <f t="shared" si="76"/>
        <v>Multifamily - Low Rise</v>
      </c>
      <c r="D163" s="60" t="str">
        <f t="shared" si="83"/>
        <v>FLOOR R0 - R19_Heat Pump</v>
      </c>
      <c r="E163" s="61">
        <f t="shared" si="81"/>
        <v>1.0072989722055368E-2</v>
      </c>
      <c r="F163" s="61">
        <f t="shared" si="81"/>
        <v>1.0050115797586599E-2</v>
      </c>
      <c r="G163" s="61">
        <f t="shared" si="81"/>
        <v>1.0027293815632917E-2</v>
      </c>
      <c r="H163" s="61">
        <f t="shared" si="81"/>
        <v>1.0004523658242333E-2</v>
      </c>
      <c r="I163" s="61">
        <f t="shared" si="81"/>
        <v>9.9818052077307057E-3</v>
      </c>
      <c r="J163" s="61">
        <f t="shared" si="81"/>
        <v>8.9632245120130193E-3</v>
      </c>
      <c r="K163" s="61">
        <f t="shared" si="81"/>
        <v>7.1542965297192122E-3</v>
      </c>
      <c r="L163" s="61">
        <f t="shared" si="81"/>
        <v>5.7104403405886682E-3</v>
      </c>
      <c r="M163" s="61">
        <f t="shared" si="81"/>
        <v>4.5579783767646358E-3</v>
      </c>
      <c r="N163" s="61">
        <f t="shared" si="81"/>
        <v>3.6381024306283778E-3</v>
      </c>
      <c r="O163" s="61">
        <f t="shared" si="82"/>
        <v>2.9038727702651369E-3</v>
      </c>
      <c r="P163" s="61">
        <f t="shared" si="82"/>
        <v>2.3178228834065165E-3</v>
      </c>
      <c r="Q163" s="61">
        <f t="shared" si="82"/>
        <v>1.8500476239364919E-3</v>
      </c>
      <c r="R163" s="61">
        <f t="shared" si="82"/>
        <v>1.4766772022729948E-3</v>
      </c>
      <c r="S163" s="61">
        <f t="shared" si="82"/>
        <v>1.1786591499050264E-3</v>
      </c>
      <c r="T163" s="61">
        <f t="shared" si="82"/>
        <v>9.4078610377165521E-4</v>
      </c>
      <c r="U163" s="61">
        <f t="shared" si="82"/>
        <v>6.4023110408613164E-6</v>
      </c>
      <c r="V163" s="61">
        <f t="shared" si="82"/>
        <v>2.2813473424719524E-6</v>
      </c>
      <c r="W163" s="61">
        <f t="shared" si="82"/>
        <v>7.7596596078652837E-7</v>
      </c>
      <c r="X163" s="61">
        <f t="shared" si="82"/>
        <v>2.5245778808741782E-7</v>
      </c>
      <c r="Y163" s="61">
        <f t="shared" si="75"/>
        <v>8.8202878290820949E-2</v>
      </c>
      <c r="AA163" s="61">
        <f t="shared" si="77"/>
        <v>9.0838348206651889E-2</v>
      </c>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row r="164" spans="1:80">
      <c r="A164" s="86">
        <f t="shared" si="70"/>
        <v>79.110639428020434</v>
      </c>
      <c r="B164" s="86">
        <f t="shared" si="71"/>
        <v>242.45551108113341</v>
      </c>
      <c r="C164" s="57" t="str">
        <f t="shared" si="76"/>
        <v>Multifamily - Low Rise</v>
      </c>
      <c r="D164" s="60" t="str">
        <f t="shared" si="83"/>
        <v>FLOOR R0 - R30_Heat Pump</v>
      </c>
      <c r="E164" s="61">
        <f t="shared" si="81"/>
        <v>0.14415440387307987</v>
      </c>
      <c r="F164" s="61">
        <f t="shared" si="81"/>
        <v>0.14382705548526076</v>
      </c>
      <c r="G164" s="61">
        <f t="shared" si="81"/>
        <v>0.14350045044599102</v>
      </c>
      <c r="H164" s="61">
        <f t="shared" si="81"/>
        <v>0.14317458706726161</v>
      </c>
      <c r="I164" s="61">
        <f t="shared" si="81"/>
        <v>0.14284946366489645</v>
      </c>
      <c r="J164" s="61">
        <f t="shared" si="81"/>
        <v>0.12827257070268971</v>
      </c>
      <c r="K164" s="61">
        <f t="shared" si="81"/>
        <v>0.10238502965160159</v>
      </c>
      <c r="L164" s="61">
        <f t="shared" si="81"/>
        <v>8.1722025522168187E-2</v>
      </c>
      <c r="M164" s="61">
        <f t="shared" si="81"/>
        <v>6.5229159752862739E-2</v>
      </c>
      <c r="N164" s="61">
        <f t="shared" si="81"/>
        <v>5.206482897209036E-2</v>
      </c>
      <c r="O164" s="61">
        <f t="shared" si="82"/>
        <v>4.1557279384915762E-2</v>
      </c>
      <c r="P164" s="61">
        <f t="shared" si="82"/>
        <v>3.3170328299776342E-2</v>
      </c>
      <c r="Q164" s="61">
        <f t="shared" si="82"/>
        <v>2.647600362198671E-2</v>
      </c>
      <c r="R164" s="61">
        <f t="shared" si="82"/>
        <v>2.1132705153122645E-2</v>
      </c>
      <c r="S164" s="61">
        <f t="shared" si="82"/>
        <v>1.6867773303896577E-2</v>
      </c>
      <c r="T164" s="61">
        <f t="shared" si="82"/>
        <v>1.3463575731079749E-2</v>
      </c>
      <c r="U164" s="61">
        <f t="shared" si="82"/>
        <v>9.1623376670842141E-5</v>
      </c>
      <c r="V164" s="61">
        <f t="shared" si="82"/>
        <v>3.2648327384014731E-5</v>
      </c>
      <c r="W164" s="61">
        <f t="shared" si="82"/>
        <v>1.1104837152574707E-5</v>
      </c>
      <c r="X164" s="61">
        <f t="shared" si="82"/>
        <v>3.612919594782646E-6</v>
      </c>
      <c r="Y164" s="61">
        <f t="shared" si="75"/>
        <v>1.262270059907167</v>
      </c>
      <c r="AA164" s="61">
        <f t="shared" si="77"/>
        <v>1.2999862300934824</v>
      </c>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row>
    <row r="165" spans="1:80">
      <c r="A165" s="86">
        <f t="shared" si="70"/>
        <v>93.874050204446334</v>
      </c>
      <c r="B165" s="86">
        <f t="shared" si="71"/>
        <v>104.09293638751957</v>
      </c>
      <c r="C165" s="57" t="str">
        <f t="shared" si="76"/>
        <v>Multifamily - Low Rise</v>
      </c>
      <c r="D165" s="60" t="str">
        <f t="shared" si="83"/>
        <v>ATTIC R0 - R19_Heat Pump</v>
      </c>
      <c r="E165" s="61">
        <f t="shared" si="81"/>
        <v>4.0549201571573837E-2</v>
      </c>
      <c r="F165" s="61">
        <f t="shared" si="81"/>
        <v>4.0457121722431703E-2</v>
      </c>
      <c r="G165" s="61">
        <f t="shared" si="81"/>
        <v>4.036525096985101E-2</v>
      </c>
      <c r="H165" s="61">
        <f t="shared" si="81"/>
        <v>4.0273588839011595E-2</v>
      </c>
      <c r="I165" s="61">
        <f t="shared" si="81"/>
        <v>4.0182134856171448E-2</v>
      </c>
      <c r="J165" s="61">
        <f t="shared" si="81"/>
        <v>3.6081799693797961E-2</v>
      </c>
      <c r="K165" s="61">
        <f t="shared" si="81"/>
        <v>2.879989160032629E-2</v>
      </c>
      <c r="L165" s="61">
        <f t="shared" si="81"/>
        <v>2.2987593834825109E-2</v>
      </c>
      <c r="M165" s="61">
        <f t="shared" si="81"/>
        <v>1.8348314557854181E-2</v>
      </c>
      <c r="N165" s="61">
        <f t="shared" si="81"/>
        <v>1.4645319102686554E-2</v>
      </c>
      <c r="O165" s="61">
        <f t="shared" si="82"/>
        <v>1.168964980097875E-2</v>
      </c>
      <c r="P165" s="61">
        <f t="shared" si="82"/>
        <v>9.3304837888070133E-3</v>
      </c>
      <c r="Q165" s="61">
        <f t="shared" si="82"/>
        <v>7.4474367680288679E-3</v>
      </c>
      <c r="R165" s="61">
        <f t="shared" si="82"/>
        <v>5.944419996777024E-3</v>
      </c>
      <c r="S165" s="61">
        <f t="shared" si="82"/>
        <v>4.7447370415788113E-3</v>
      </c>
      <c r="T165" s="61">
        <f t="shared" si="82"/>
        <v>3.7871700865578159E-3</v>
      </c>
      <c r="U165" s="61">
        <f t="shared" si="82"/>
        <v>2.5772745538632958E-5</v>
      </c>
      <c r="V165" s="61">
        <f t="shared" si="82"/>
        <v>9.1836501175138373E-6</v>
      </c>
      <c r="W165" s="61">
        <f t="shared" si="82"/>
        <v>3.1236803595380394E-6</v>
      </c>
      <c r="X165" s="61">
        <f t="shared" si="82"/>
        <v>1.0162783860541405E-6</v>
      </c>
      <c r="Y165" s="61">
        <f t="shared" si="75"/>
        <v>0.35506402663912412</v>
      </c>
      <c r="AA165" s="61">
        <f t="shared" si="77"/>
        <v>0.36567321058565977</v>
      </c>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row>
    <row r="166" spans="1:80">
      <c r="A166" s="86">
        <f t="shared" si="70"/>
        <v>128.17856451481882</v>
      </c>
      <c r="B166" s="86">
        <f t="shared" si="71"/>
        <v>100.99625607405254</v>
      </c>
      <c r="C166" s="57" t="str">
        <f t="shared" si="76"/>
        <v>Multifamily - Low Rise</v>
      </c>
      <c r="D166" s="60" t="str">
        <f t="shared" si="83"/>
        <v>ATTIC R0 - R38_Heat Pump</v>
      </c>
      <c r="E166" s="61">
        <f t="shared" ref="E166:N174" si="84">VLOOKUP($C166&amp;$D166,$C$88:$Y$126,E$22,FALSE)*$C$134*$A166/8760/1000</f>
        <v>1.0511992087294482E-2</v>
      </c>
      <c r="F166" s="61">
        <f t="shared" si="84"/>
        <v>1.0488121268435747E-2</v>
      </c>
      <c r="G166" s="61">
        <f t="shared" si="84"/>
        <v>1.0464304655857634E-2</v>
      </c>
      <c r="H166" s="61">
        <f t="shared" si="84"/>
        <v>1.0440542126467557E-2</v>
      </c>
      <c r="I166" s="61">
        <f t="shared" si="84"/>
        <v>1.0416833557452449E-2</v>
      </c>
      <c r="J166" s="61">
        <f t="shared" si="84"/>
        <v>9.3538609436503179E-3</v>
      </c>
      <c r="K166" s="61">
        <f t="shared" si="84"/>
        <v>7.4660960236958458E-3</v>
      </c>
      <c r="L166" s="61">
        <f t="shared" si="84"/>
        <v>5.9593135038945215E-3</v>
      </c>
      <c r="M166" s="61">
        <f t="shared" si="84"/>
        <v>4.7566247909198263E-3</v>
      </c>
      <c r="N166" s="61">
        <f t="shared" si="84"/>
        <v>3.7966586901002808E-3</v>
      </c>
      <c r="O166" s="61">
        <f t="shared" ref="O166:X174" si="85">VLOOKUP($C166&amp;$D166,$C$88:$Y$126,O$22,FALSE)*$C$134*$A166/8760/1000</f>
        <v>3.0304297359402422E-3</v>
      </c>
      <c r="P166" s="61">
        <f t="shared" si="85"/>
        <v>2.4188385456972122E-3</v>
      </c>
      <c r="Q166" s="61">
        <f t="shared" si="85"/>
        <v>1.9306766432369705E-3</v>
      </c>
      <c r="R166" s="61">
        <f t="shared" si="85"/>
        <v>1.5410339426629015E-3</v>
      </c>
      <c r="S166" s="61">
        <f t="shared" si="85"/>
        <v>1.2300276282710943E-3</v>
      </c>
      <c r="T166" s="61">
        <f t="shared" si="85"/>
        <v>9.8178756770004021E-4</v>
      </c>
      <c r="U166" s="61">
        <f t="shared" si="85"/>
        <v>6.6813374041842682E-6</v>
      </c>
      <c r="V166" s="61">
        <f t="shared" si="85"/>
        <v>2.3807733229317821E-6</v>
      </c>
      <c r="W166" s="61">
        <f t="shared" si="85"/>
        <v>8.0978421152736353E-7</v>
      </c>
      <c r="X166" s="61">
        <f t="shared" si="85"/>
        <v>2.6346043667056321E-7</v>
      </c>
      <c r="Y166" s="61">
        <f t="shared" si="75"/>
        <v>9.2046947753711916E-2</v>
      </c>
      <c r="AA166" s="61">
        <f t="shared" si="77"/>
        <v>9.4797277066652433E-2</v>
      </c>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row>
    <row r="167" spans="1:80">
      <c r="A167" s="86">
        <f t="shared" si="70"/>
        <v>136.13621192605405</v>
      </c>
      <c r="B167" s="86">
        <f t="shared" si="71"/>
        <v>109.88932783430955</v>
      </c>
      <c r="C167" s="57" t="str">
        <f t="shared" si="76"/>
        <v>Multifamily - Low Rise</v>
      </c>
      <c r="D167" s="60" t="str">
        <f t="shared" si="83"/>
        <v>ATTIC R0 - R49_Heat Pump</v>
      </c>
      <c r="E167" s="61">
        <f t="shared" si="84"/>
        <v>6.6596447833781144E-2</v>
      </c>
      <c r="F167" s="61">
        <f t="shared" si="84"/>
        <v>6.6445219433904704E-2</v>
      </c>
      <c r="G167" s="61">
        <f t="shared" si="84"/>
        <v>6.6294334446172207E-2</v>
      </c>
      <c r="H167" s="61">
        <f t="shared" si="84"/>
        <v>6.6143792090757242E-2</v>
      </c>
      <c r="I167" s="61">
        <f t="shared" si="84"/>
        <v>6.5993591589604217E-2</v>
      </c>
      <c r="J167" s="61">
        <f t="shared" si="84"/>
        <v>5.9259358949781953E-2</v>
      </c>
      <c r="K167" s="61">
        <f t="shared" si="84"/>
        <v>4.7299833393618151E-2</v>
      </c>
      <c r="L167" s="61">
        <f t="shared" si="84"/>
        <v>3.7753939271600333E-2</v>
      </c>
      <c r="M167" s="61">
        <f t="shared" si="84"/>
        <v>3.0134565563099854E-2</v>
      </c>
      <c r="N167" s="61">
        <f t="shared" si="84"/>
        <v>2.4052908363918948E-2</v>
      </c>
      <c r="O167" s="61">
        <f t="shared" si="85"/>
        <v>1.9198630872963852E-2</v>
      </c>
      <c r="P167" s="61">
        <f t="shared" si="85"/>
        <v>1.5324027424027763E-2</v>
      </c>
      <c r="Q167" s="61">
        <f t="shared" si="85"/>
        <v>1.2231383479696168E-2</v>
      </c>
      <c r="R167" s="61">
        <f t="shared" si="85"/>
        <v>9.7628865889918797E-3</v>
      </c>
      <c r="S167" s="61">
        <f t="shared" si="85"/>
        <v>7.7925734817926827E-3</v>
      </c>
      <c r="T167" s="61">
        <f t="shared" si="85"/>
        <v>6.2199023737106564E-3</v>
      </c>
      <c r="U167" s="61">
        <f t="shared" si="85"/>
        <v>4.2328165223359495E-5</v>
      </c>
      <c r="V167" s="61">
        <f t="shared" si="85"/>
        <v>1.5082873454244698E-5</v>
      </c>
      <c r="W167" s="61">
        <f t="shared" si="85"/>
        <v>5.1302123852227467E-6</v>
      </c>
      <c r="X167" s="61">
        <f t="shared" si="85"/>
        <v>1.6690965024795922E-6</v>
      </c>
      <c r="Y167" s="61">
        <f t="shared" si="75"/>
        <v>0.58314349016186906</v>
      </c>
      <c r="AA167" s="61">
        <f t="shared" si="77"/>
        <v>0.60056760550498678</v>
      </c>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row>
    <row r="168" spans="1:80">
      <c r="A168" s="86">
        <f t="shared" si="70"/>
        <v>24.891646007987582</v>
      </c>
      <c r="B168" s="86">
        <f t="shared" si="71"/>
        <v>405.8200525801218</v>
      </c>
      <c r="C168" s="57" t="str">
        <f t="shared" si="76"/>
        <v>Multifamily - Low Rise</v>
      </c>
      <c r="D168" s="60" t="str">
        <f t="shared" si="83"/>
        <v>ATTIC R19 - R30_Heat Pump</v>
      </c>
      <c r="E168" s="61">
        <f t="shared" si="84"/>
        <v>1.2493086423845364E-2</v>
      </c>
      <c r="F168" s="61">
        <f t="shared" si="84"/>
        <v>1.2464716900682331E-2</v>
      </c>
      <c r="G168" s="61">
        <f t="shared" si="84"/>
        <v>1.2436411799537779E-2</v>
      </c>
      <c r="H168" s="61">
        <f t="shared" si="84"/>
        <v>1.2408170974121047E-2</v>
      </c>
      <c r="I168" s="61">
        <f t="shared" si="84"/>
        <v>1.2379994278473656E-2</v>
      </c>
      <c r="J168" s="61">
        <f t="shared" si="84"/>
        <v>1.1116693410271734E-2</v>
      </c>
      <c r="K168" s="61">
        <f t="shared" si="84"/>
        <v>8.8731595399028657E-3</v>
      </c>
      <c r="L168" s="61">
        <f t="shared" si="84"/>
        <v>7.0824081689453188E-3</v>
      </c>
      <c r="M168" s="61">
        <f t="shared" si="84"/>
        <v>5.6530602482655831E-3</v>
      </c>
      <c r="N168" s="61">
        <f t="shared" si="84"/>
        <v>4.5121785426946743E-3</v>
      </c>
      <c r="O168" s="61">
        <f t="shared" si="85"/>
        <v>3.6015457658355593E-3</v>
      </c>
      <c r="P168" s="61">
        <f t="shared" si="85"/>
        <v>2.8746938492512941E-3</v>
      </c>
      <c r="Q168" s="61">
        <f t="shared" si="85"/>
        <v>2.2945327546062709E-3</v>
      </c>
      <c r="R168" s="61">
        <f t="shared" si="85"/>
        <v>1.8314578310077326E-3</v>
      </c>
      <c r="S168" s="61">
        <f t="shared" si="85"/>
        <v>1.4618391391562928E-3</v>
      </c>
      <c r="T168" s="61">
        <f t="shared" si="85"/>
        <v>1.1668156550420665E-3</v>
      </c>
      <c r="U168" s="61">
        <f t="shared" si="85"/>
        <v>7.9405049893666634E-6</v>
      </c>
      <c r="V168" s="61">
        <f t="shared" si="85"/>
        <v>2.8294548390044892E-6</v>
      </c>
      <c r="W168" s="61">
        <f t="shared" si="85"/>
        <v>9.6239647587868521E-7</v>
      </c>
      <c r="X168" s="61">
        <f t="shared" si="85"/>
        <v>3.1311229853070765E-7</v>
      </c>
      <c r="Y168" s="61">
        <f t="shared" si="75"/>
        <v>0.10939415324790927</v>
      </c>
      <c r="AA168" s="61">
        <f t="shared" si="77"/>
        <v>0.11266281075024233</v>
      </c>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row>
    <row r="169" spans="1:80">
      <c r="A169" s="86">
        <f t="shared" si="70"/>
        <v>34.304514310372483</v>
      </c>
      <c r="B169" s="86">
        <f t="shared" si="71"/>
        <v>338.86527554323317</v>
      </c>
      <c r="C169" s="57" t="str">
        <f t="shared" si="76"/>
        <v>Multifamily - Low Rise</v>
      </c>
      <c r="D169" s="60" t="str">
        <f t="shared" si="83"/>
        <v>ATTIC R19 - R38_Heat Pump</v>
      </c>
      <c r="E169" s="61">
        <f t="shared" si="84"/>
        <v>2.6577777386585302E-3</v>
      </c>
      <c r="F169" s="61">
        <f t="shared" si="84"/>
        <v>2.6517424096324572E-3</v>
      </c>
      <c r="G169" s="61">
        <f t="shared" si="84"/>
        <v>2.645720785739031E-3</v>
      </c>
      <c r="H169" s="61">
        <f t="shared" si="84"/>
        <v>2.639712835856393E-3</v>
      </c>
      <c r="I169" s="61">
        <f t="shared" si="84"/>
        <v>2.6337185289333526E-3</v>
      </c>
      <c r="J169" s="61">
        <f t="shared" si="84"/>
        <v>2.3649640505903143E-3</v>
      </c>
      <c r="K169" s="61">
        <f t="shared" si="84"/>
        <v>1.8876749184818815E-3</v>
      </c>
      <c r="L169" s="61">
        <f t="shared" si="84"/>
        <v>1.5067106821248055E-3</v>
      </c>
      <c r="M169" s="61">
        <f t="shared" si="84"/>
        <v>1.2026313733377006E-3</v>
      </c>
      <c r="N169" s="61">
        <f t="shared" si="84"/>
        <v>9.599203332762464E-4</v>
      </c>
      <c r="O169" s="61">
        <f t="shared" si="85"/>
        <v>7.6619242326920101E-4</v>
      </c>
      <c r="P169" s="61">
        <f t="shared" si="85"/>
        <v>6.1156203189435788E-4</v>
      </c>
      <c r="Q169" s="61">
        <f t="shared" si="85"/>
        <v>4.8813862875194238E-4</v>
      </c>
      <c r="R169" s="61">
        <f t="shared" si="85"/>
        <v>3.8962412388770953E-4</v>
      </c>
      <c r="S169" s="61">
        <f t="shared" si="85"/>
        <v>3.1099148679013678E-4</v>
      </c>
      <c r="T169" s="61">
        <f t="shared" si="85"/>
        <v>2.4822822542634325E-4</v>
      </c>
      <c r="U169" s="61">
        <f t="shared" si="85"/>
        <v>1.6892620989289432E-6</v>
      </c>
      <c r="V169" s="61">
        <f t="shared" si="85"/>
        <v>6.0193789016718538E-7</v>
      </c>
      <c r="W169" s="61">
        <f t="shared" si="85"/>
        <v>2.0474011325749633E-7</v>
      </c>
      <c r="X169" s="61">
        <f t="shared" si="85"/>
        <v>6.6611473618460162E-8</v>
      </c>
      <c r="Y169" s="61">
        <f t="shared" si="75"/>
        <v>2.3272499315041297E-2</v>
      </c>
      <c r="AA169" s="61">
        <f t="shared" si="77"/>
        <v>2.3967873128226375E-2</v>
      </c>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row>
    <row r="170" spans="1:80">
      <c r="A170" s="86">
        <f t="shared" si="70"/>
        <v>42.262161721607704</v>
      </c>
      <c r="B170" s="86">
        <f t="shared" si="71"/>
        <v>325.74461796789939</v>
      </c>
      <c r="C170" s="57" t="str">
        <f t="shared" si="76"/>
        <v>Multifamily - Low Rise</v>
      </c>
      <c r="D170" s="60" t="str">
        <f t="shared" si="83"/>
        <v>ATTIC R19 - R49_Heat Pump</v>
      </c>
      <c r="E170" s="61">
        <f t="shared" si="84"/>
        <v>4.8094865804545431E-2</v>
      </c>
      <c r="F170" s="61">
        <f t="shared" si="84"/>
        <v>4.7985651126668818E-2</v>
      </c>
      <c r="G170" s="61">
        <f t="shared" si="84"/>
        <v>4.7876684455427913E-2</v>
      </c>
      <c r="H170" s="61">
        <f t="shared" si="84"/>
        <v>4.7767965227644864E-2</v>
      </c>
      <c r="I170" s="61">
        <f t="shared" si="84"/>
        <v>4.7659492881420629E-2</v>
      </c>
      <c r="J170" s="61">
        <f t="shared" si="84"/>
        <v>4.279614017051897E-2</v>
      </c>
      <c r="K170" s="61">
        <f t="shared" si="84"/>
        <v>3.4159166346549294E-2</v>
      </c>
      <c r="L170" s="61">
        <f t="shared" si="84"/>
        <v>2.7265277682566178E-2</v>
      </c>
      <c r="M170" s="61">
        <f t="shared" si="84"/>
        <v>2.1762690563510736E-2</v>
      </c>
      <c r="N170" s="61">
        <f t="shared" si="84"/>
        <v>1.7370617166534687E-2</v>
      </c>
      <c r="O170" s="61">
        <f t="shared" si="85"/>
        <v>1.3864937327750773E-2</v>
      </c>
      <c r="P170" s="61">
        <f t="shared" si="85"/>
        <v>1.1066762064897123E-2</v>
      </c>
      <c r="Q170" s="61">
        <f t="shared" si="85"/>
        <v>8.8333051715938828E-3</v>
      </c>
      <c r="R170" s="61">
        <f t="shared" si="85"/>
        <v>7.0505970759056546E-3</v>
      </c>
      <c r="S170" s="61">
        <f t="shared" si="85"/>
        <v>5.6276691635911763E-3</v>
      </c>
      <c r="T170" s="61">
        <f t="shared" si="85"/>
        <v>4.4919118017769976E-3</v>
      </c>
      <c r="U170" s="61">
        <f t="shared" si="85"/>
        <v>3.0568708878455463E-5</v>
      </c>
      <c r="V170" s="61">
        <f t="shared" si="85"/>
        <v>1.0892604610675265E-5</v>
      </c>
      <c r="W170" s="61">
        <f t="shared" si="85"/>
        <v>3.7049555080165604E-6</v>
      </c>
      <c r="X170" s="61">
        <f t="shared" si="85"/>
        <v>1.2053942051376583E-6</v>
      </c>
      <c r="Y170" s="61">
        <f t="shared" si="75"/>
        <v>0.42113669446950408</v>
      </c>
      <c r="AA170" s="61">
        <f t="shared" si="77"/>
        <v>0.43372010569410552</v>
      </c>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row>
    <row r="171" spans="1:80">
      <c r="A171" s="86">
        <f t="shared" si="70"/>
        <v>2292.1741242868616</v>
      </c>
      <c r="B171" s="86">
        <f t="shared" si="71"/>
        <v>69.565070249545158</v>
      </c>
      <c r="C171" s="57" t="str">
        <f t="shared" si="76"/>
        <v>Multifamily - Low Rise</v>
      </c>
      <c r="D171" s="60" t="str">
        <f t="shared" si="83"/>
        <v>WINDOW CL22 Prime Window Replacement of Single Pane Base_Heat Pump</v>
      </c>
      <c r="E171" s="61">
        <f t="shared" si="84"/>
        <v>0.54677300420312791</v>
      </c>
      <c r="F171" s="61">
        <f t="shared" si="84"/>
        <v>0.54553138232672327</v>
      </c>
      <c r="G171" s="61">
        <f t="shared" si="84"/>
        <v>0.54429257994738967</v>
      </c>
      <c r="H171" s="61">
        <f t="shared" si="84"/>
        <v>0.54305659066256329</v>
      </c>
      <c r="I171" s="61">
        <f t="shared" si="84"/>
        <v>0.54182340808421858</v>
      </c>
      <c r="J171" s="61">
        <f t="shared" si="84"/>
        <v>0.48653372325495325</v>
      </c>
      <c r="K171" s="61">
        <f t="shared" si="84"/>
        <v>0.38834311504850805</v>
      </c>
      <c r="L171" s="61">
        <f t="shared" si="84"/>
        <v>0.30996900686892581</v>
      </c>
      <c r="M171" s="61">
        <f t="shared" si="84"/>
        <v>0.24741209898186745</v>
      </c>
      <c r="N171" s="61">
        <f t="shared" si="84"/>
        <v>0.19748021694471513</v>
      </c>
      <c r="O171" s="61">
        <f t="shared" si="85"/>
        <v>0.15762542028063845</v>
      </c>
      <c r="P171" s="61">
        <f t="shared" si="85"/>
        <v>0.12581398533506524</v>
      </c>
      <c r="Q171" s="61">
        <f t="shared" si="85"/>
        <v>0.10042262775705572</v>
      </c>
      <c r="R171" s="61">
        <f t="shared" si="85"/>
        <v>8.0155669012270794E-2</v>
      </c>
      <c r="S171" s="61">
        <f t="shared" si="85"/>
        <v>6.3978920073153395E-2</v>
      </c>
      <c r="T171" s="61">
        <f t="shared" si="85"/>
        <v>5.1066908481548844E-2</v>
      </c>
      <c r="U171" s="61">
        <f t="shared" si="85"/>
        <v>3.4752451240864621E-4</v>
      </c>
      <c r="V171" s="61">
        <f t="shared" si="85"/>
        <v>1.2383405269867452E-4</v>
      </c>
      <c r="W171" s="61">
        <f t="shared" si="85"/>
        <v>4.2120289134182095E-5</v>
      </c>
      <c r="X171" s="61">
        <f t="shared" si="85"/>
        <v>1.370368748861068E-5</v>
      </c>
      <c r="Y171" s="61">
        <f t="shared" si="75"/>
        <v>4.7877496228194731</v>
      </c>
      <c r="AA171" s="61">
        <f t="shared" si="77"/>
        <v>4.9308058398044547</v>
      </c>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row>
    <row r="172" spans="1:80">
      <c r="A172" s="86">
        <f t="shared" si="70"/>
        <v>1472.8615451179683</v>
      </c>
      <c r="B172" s="86">
        <f t="shared" si="71"/>
        <v>124.77760257492093</v>
      </c>
      <c r="C172" s="57" t="str">
        <f t="shared" si="76"/>
        <v>Multifamily - Low Rise</v>
      </c>
      <c r="D172" s="60" t="str">
        <f t="shared" si="83"/>
        <v>WINDOW CL22 Prime Window Replacement of Double Pane Base_Heat Pump</v>
      </c>
      <c r="E172" s="61">
        <f t="shared" si="84"/>
        <v>1.9007642218338023</v>
      </c>
      <c r="F172" s="61">
        <f t="shared" si="84"/>
        <v>1.8964479325847456</v>
      </c>
      <c r="G172" s="61">
        <f t="shared" si="84"/>
        <v>1.8921414448421923</v>
      </c>
      <c r="H172" s="61">
        <f t="shared" si="84"/>
        <v>1.8878447363487074</v>
      </c>
      <c r="I172" s="61">
        <f t="shared" si="84"/>
        <v>1.8835577848973957</v>
      </c>
      <c r="J172" s="61">
        <f t="shared" si="84"/>
        <v>1.6913525114986157</v>
      </c>
      <c r="K172" s="61">
        <f t="shared" si="84"/>
        <v>1.3500094064729415</v>
      </c>
      <c r="L172" s="61">
        <f t="shared" si="84"/>
        <v>1.0775550248543886</v>
      </c>
      <c r="M172" s="61">
        <f t="shared" si="84"/>
        <v>0.86008647496947255</v>
      </c>
      <c r="N172" s="61">
        <f t="shared" si="84"/>
        <v>0.68650670022663252</v>
      </c>
      <c r="O172" s="61">
        <f t="shared" si="85"/>
        <v>0.54795821486762386</v>
      </c>
      <c r="P172" s="61">
        <f t="shared" si="85"/>
        <v>0.43737112127498606</v>
      </c>
      <c r="Q172" s="61">
        <f t="shared" si="85"/>
        <v>0.34910234491429493</v>
      </c>
      <c r="R172" s="61">
        <f t="shared" si="85"/>
        <v>0.27864767767333948</v>
      </c>
      <c r="S172" s="61">
        <f t="shared" si="85"/>
        <v>0.22241193565115439</v>
      </c>
      <c r="T172" s="61">
        <f t="shared" si="85"/>
        <v>0.17752550293307601</v>
      </c>
      <c r="U172" s="61">
        <f t="shared" si="85"/>
        <v>1.2081104120334203E-3</v>
      </c>
      <c r="V172" s="61">
        <f t="shared" si="85"/>
        <v>4.3048821906883683E-4</v>
      </c>
      <c r="W172" s="61">
        <f t="shared" si="85"/>
        <v>1.464240882123097E-4</v>
      </c>
      <c r="X172" s="61">
        <f t="shared" si="85"/>
        <v>4.7638560582383776E-5</v>
      </c>
      <c r="Y172" s="61">
        <f t="shared" si="75"/>
        <v>16.643804862708095</v>
      </c>
      <c r="AA172" s="61">
        <f t="shared" si="77"/>
        <v>17.141115697123269</v>
      </c>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row>
    <row r="173" spans="1:80">
      <c r="A173" s="86">
        <f t="shared" si="70"/>
        <v>2125.4980617136061</v>
      </c>
      <c r="B173" s="86">
        <f t="shared" si="71"/>
        <v>52.23564188606791</v>
      </c>
      <c r="C173" s="57" t="str">
        <f t="shared" si="76"/>
        <v>Multifamily - Low Rise</v>
      </c>
      <c r="D173" s="60" t="str">
        <f t="shared" si="83"/>
        <v>WINDOW CL30 Prime Window Replacement of Single Pane Base_Heat Pump</v>
      </c>
      <c r="E173" s="61">
        <f t="shared" si="84"/>
        <v>2.0280570281590546</v>
      </c>
      <c r="F173" s="61">
        <f t="shared" si="84"/>
        <v>2.023451680138209</v>
      </c>
      <c r="G173" s="61">
        <f t="shared" si="84"/>
        <v>2.018856790023674</v>
      </c>
      <c r="H173" s="61">
        <f t="shared" si="84"/>
        <v>2.0142723340674498</v>
      </c>
      <c r="I173" s="61">
        <f t="shared" si="84"/>
        <v>2.0096982885754637</v>
      </c>
      <c r="J173" s="61">
        <f t="shared" si="84"/>
        <v>1.8046211669167032</v>
      </c>
      <c r="K173" s="61">
        <f t="shared" si="84"/>
        <v>1.4404185608233095</v>
      </c>
      <c r="L173" s="61">
        <f t="shared" si="84"/>
        <v>1.149718106160317</v>
      </c>
      <c r="M173" s="61">
        <f t="shared" si="84"/>
        <v>0.91768584464596625</v>
      </c>
      <c r="N173" s="61">
        <f t="shared" si="84"/>
        <v>0.73248155782818569</v>
      </c>
      <c r="O173" s="61">
        <f t="shared" si="85"/>
        <v>0.58465458052847452</v>
      </c>
      <c r="P173" s="61">
        <f t="shared" si="85"/>
        <v>0.46666154919507935</v>
      </c>
      <c r="Q173" s="61">
        <f t="shared" si="85"/>
        <v>0.37248147667004422</v>
      </c>
      <c r="R173" s="61">
        <f t="shared" si="85"/>
        <v>0.29730851127890551</v>
      </c>
      <c r="S173" s="61">
        <f t="shared" si="85"/>
        <v>0.23730670225295458</v>
      </c>
      <c r="T173" s="61">
        <f t="shared" si="85"/>
        <v>0.18941425757348662</v>
      </c>
      <c r="U173" s="61">
        <f t="shared" si="85"/>
        <v>1.2890166932712506E-3</v>
      </c>
      <c r="V173" s="61">
        <f t="shared" si="85"/>
        <v>4.5931770400219925E-4</v>
      </c>
      <c r="W173" s="61">
        <f t="shared" si="85"/>
        <v>1.5623000358469557E-4</v>
      </c>
      <c r="X173" s="61">
        <f t="shared" si="85"/>
        <v>5.0828880557986399E-5</v>
      </c>
      <c r="Y173" s="61">
        <f t="shared" si="75"/>
        <v>17.758428446510614</v>
      </c>
      <c r="AA173" s="61">
        <f t="shared" si="77"/>
        <v>18.289043828118697</v>
      </c>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row>
    <row r="174" spans="1:80">
      <c r="A174" s="86">
        <f t="shared" si="70"/>
        <v>1306.1854825447131</v>
      </c>
      <c r="B174" s="86">
        <f t="shared" si="71"/>
        <v>103.62359399518033</v>
      </c>
      <c r="C174" s="57" t="str">
        <f t="shared" si="76"/>
        <v>Multifamily - Low Rise</v>
      </c>
      <c r="D174" s="60" t="str">
        <f t="shared" si="83"/>
        <v>WINDOW CL30 Prime Window Replacement of Double Pane Base_Heat Pump</v>
      </c>
      <c r="E174" s="61">
        <f t="shared" si="84"/>
        <v>6.7426585765082381</v>
      </c>
      <c r="F174" s="61">
        <f t="shared" si="84"/>
        <v>6.727347227320613</v>
      </c>
      <c r="G174" s="61">
        <f t="shared" si="84"/>
        <v>6.7120706474174305</v>
      </c>
      <c r="H174" s="61">
        <f t="shared" si="84"/>
        <v>6.6968287578439814</v>
      </c>
      <c r="I174" s="61">
        <f t="shared" si="84"/>
        <v>6.6816214798248419</v>
      </c>
      <c r="J174" s="61">
        <f t="shared" si="84"/>
        <v>5.9998038612871385</v>
      </c>
      <c r="K174" s="61">
        <f t="shared" si="84"/>
        <v>4.7889435198541355</v>
      </c>
      <c r="L174" s="61">
        <f t="shared" si="84"/>
        <v>3.822454961291498</v>
      </c>
      <c r="M174" s="61">
        <f t="shared" si="84"/>
        <v>3.0510198899875571</v>
      </c>
      <c r="N174" s="61">
        <f t="shared" si="84"/>
        <v>2.435273263744234</v>
      </c>
      <c r="O174" s="61">
        <f t="shared" si="85"/>
        <v>1.9437945614742225</v>
      </c>
      <c r="P174" s="61">
        <f t="shared" si="85"/>
        <v>1.551504446530805</v>
      </c>
      <c r="Q174" s="61">
        <f t="shared" si="85"/>
        <v>1.2383850100800793</v>
      </c>
      <c r="R174" s="61">
        <f t="shared" si="85"/>
        <v>0.98845829067405766</v>
      </c>
      <c r="S174" s="61">
        <f t="shared" si="85"/>
        <v>0.78897094558589587</v>
      </c>
      <c r="T174" s="61">
        <f t="shared" si="85"/>
        <v>0.62974346904836953</v>
      </c>
      <c r="U174" s="61">
        <f t="shared" si="85"/>
        <v>4.2855794198436341E-3</v>
      </c>
      <c r="V174" s="61">
        <f t="shared" si="85"/>
        <v>1.5270884463460027E-3</v>
      </c>
      <c r="W174" s="61">
        <f t="shared" si="85"/>
        <v>5.194161500155039E-4</v>
      </c>
      <c r="X174" s="61">
        <f t="shared" si="85"/>
        <v>1.6899021214394628E-4</v>
      </c>
      <c r="Y174" s="61">
        <f t="shared" si="75"/>
        <v>59.041248943016335</v>
      </c>
      <c r="AA174" s="61">
        <f t="shared" si="77"/>
        <v>60.805379982701453</v>
      </c>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row>
    <row r="175" spans="1:80">
      <c r="A175" s="86"/>
      <c r="B175" s="86"/>
      <c r="D175" s="60"/>
      <c r="E175" s="61"/>
      <c r="F175" s="61"/>
      <c r="G175" s="61"/>
      <c r="H175" s="61"/>
      <c r="I175" s="61"/>
      <c r="J175" s="61"/>
      <c r="K175" s="61"/>
      <c r="L175" s="61"/>
      <c r="M175" s="61"/>
      <c r="N175" s="61"/>
      <c r="O175" s="61"/>
      <c r="P175" s="61"/>
      <c r="Q175" s="61"/>
      <c r="R175" s="61"/>
      <c r="S175" s="61"/>
      <c r="T175" s="61"/>
      <c r="U175" s="61"/>
      <c r="V175" s="61"/>
      <c r="W175" s="61"/>
      <c r="X175" s="61"/>
      <c r="Y175" s="61"/>
      <c r="AA175" s="60"/>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row>
    <row r="176" spans="1:80">
      <c r="AA176" s="60"/>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row>
    <row r="177" spans="1:80">
      <c r="B177" s="88">
        <f>SUMPRODUCT(B136:B175,AA136:AA175)/SUM(AA136:AA175)</f>
        <v>90.830621654624252</v>
      </c>
      <c r="E177" s="61">
        <f t="shared" ref="E177:Y177" si="86">SUM(E136:E175)</f>
        <v>13.621665389142173</v>
      </c>
      <c r="F177" s="61">
        <f t="shared" si="86"/>
        <v>13.590733068763857</v>
      </c>
      <c r="G177" s="61">
        <f t="shared" si="86"/>
        <v>13.559870990049586</v>
      </c>
      <c r="H177" s="61">
        <f t="shared" si="86"/>
        <v>13.529078993493341</v>
      </c>
      <c r="I177" s="61">
        <f t="shared" si="86"/>
        <v>13.498356919951298</v>
      </c>
      <c r="J177" s="61">
        <f t="shared" si="86"/>
        <v>12.120934149576943</v>
      </c>
      <c r="K177" s="61">
        <f t="shared" si="86"/>
        <v>9.6747277731413188</v>
      </c>
      <c r="L177" s="61">
        <f t="shared" si="86"/>
        <v>7.7222065831996023</v>
      </c>
      <c r="M177" s="61">
        <f t="shared" si="86"/>
        <v>6.1637366871614852</v>
      </c>
      <c r="N177" s="61">
        <f t="shared" si="86"/>
        <v>4.9197919712889959</v>
      </c>
      <c r="O177" s="61">
        <f t="shared" si="86"/>
        <v>3.9268960160441617</v>
      </c>
      <c r="P177" s="61">
        <f t="shared" si="86"/>
        <v>3.1343830005038402</v>
      </c>
      <c r="Q177" s="61">
        <f t="shared" si="86"/>
        <v>2.5018123102083614</v>
      </c>
      <c r="R177" s="61">
        <f t="shared" si="86"/>
        <v>1.9969049202040656</v>
      </c>
      <c r="S177" s="61">
        <f t="shared" si="86"/>
        <v>1.5938962503558463</v>
      </c>
      <c r="T177" s="61">
        <f t="shared" si="86"/>
        <v>1.2722214418895867</v>
      </c>
      <c r="U177" s="61">
        <f t="shared" si="86"/>
        <v>8.6578206790851719E-3</v>
      </c>
      <c r="V177" s="61">
        <f t="shared" si="86"/>
        <v>3.0850572663168301E-3</v>
      </c>
      <c r="W177" s="61">
        <f t="shared" si="86"/>
        <v>1.0493357943227933E-3</v>
      </c>
      <c r="X177" s="61">
        <f t="shared" si="86"/>
        <v>3.4139769910418119E-4</v>
      </c>
      <c r="Y177" s="61">
        <f t="shared" si="86"/>
        <v>119.2764142115731</v>
      </c>
      <c r="AA177" s="61">
        <f>SUM(E177:X177)</f>
        <v>122.8403500764133</v>
      </c>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row>
    <row r="178" spans="1:80">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row>
    <row r="179" spans="1:80">
      <c r="D179" s="61"/>
      <c r="E179" s="61">
        <f>E177</f>
        <v>13.621665389142173</v>
      </c>
      <c r="F179" s="61">
        <f>E179+F177</f>
        <v>27.21239845790603</v>
      </c>
      <c r="G179" s="61">
        <f t="shared" ref="G179:W179" si="87">F179+G177</f>
        <v>40.772269447955615</v>
      </c>
      <c r="H179" s="61">
        <f t="shared" si="87"/>
        <v>54.301348441448958</v>
      </c>
      <c r="I179" s="61">
        <f t="shared" si="87"/>
        <v>67.799705361400257</v>
      </c>
      <c r="J179" s="61">
        <f t="shared" si="87"/>
        <v>79.920639510977196</v>
      </c>
      <c r="K179" s="61">
        <f t="shared" si="87"/>
        <v>89.59536728411851</v>
      </c>
      <c r="L179" s="61">
        <f t="shared" si="87"/>
        <v>97.317573867318117</v>
      </c>
      <c r="M179" s="61">
        <f t="shared" si="87"/>
        <v>103.48131055447961</v>
      </c>
      <c r="N179" s="61">
        <f t="shared" si="87"/>
        <v>108.40110252576861</v>
      </c>
      <c r="O179" s="61">
        <f t="shared" si="87"/>
        <v>112.32799854181278</v>
      </c>
      <c r="P179" s="61">
        <f t="shared" si="87"/>
        <v>115.46238154231662</v>
      </c>
      <c r="Q179" s="61">
        <f t="shared" si="87"/>
        <v>117.96419385252499</v>
      </c>
      <c r="R179" s="61">
        <f t="shared" si="87"/>
        <v>119.96109877272904</v>
      </c>
      <c r="S179" s="61">
        <f t="shared" si="87"/>
        <v>121.55499502308489</v>
      </c>
      <c r="T179" s="61">
        <f t="shared" si="87"/>
        <v>122.82721646497447</v>
      </c>
      <c r="U179" s="61">
        <f t="shared" si="87"/>
        <v>122.83587428565356</v>
      </c>
      <c r="V179" s="61">
        <f t="shared" si="87"/>
        <v>122.83895934291988</v>
      </c>
      <c r="W179" s="61">
        <f t="shared" si="87"/>
        <v>122.8400086787142</v>
      </c>
      <c r="X179" s="61">
        <f>W179+X177</f>
        <v>122.8403500764133</v>
      </c>
      <c r="Y179" s="61"/>
      <c r="Z179" s="61"/>
      <c r="AA179" s="61"/>
      <c r="AB179" s="62"/>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row>
    <row r="180" spans="1:80">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row>
    <row r="181" spans="1:80">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row>
    <row r="182" spans="1:80" ht="15">
      <c r="A182" s="77" t="s">
        <v>98</v>
      </c>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row>
    <row r="183" spans="1:80" ht="15">
      <c r="E183" s="78">
        <f t="shared" ref="E183:X183" si="88">E11</f>
        <v>2016</v>
      </c>
      <c r="F183" s="79">
        <f t="shared" si="88"/>
        <v>2017</v>
      </c>
      <c r="G183" s="79">
        <f t="shared" si="88"/>
        <v>2018</v>
      </c>
      <c r="H183" s="79">
        <f t="shared" si="88"/>
        <v>2019</v>
      </c>
      <c r="I183" s="79">
        <f t="shared" si="88"/>
        <v>2020</v>
      </c>
      <c r="J183" s="79">
        <f t="shared" si="88"/>
        <v>2021</v>
      </c>
      <c r="K183" s="79">
        <f t="shared" si="88"/>
        <v>2022</v>
      </c>
      <c r="L183" s="79">
        <f t="shared" si="88"/>
        <v>2023</v>
      </c>
      <c r="M183" s="79">
        <f t="shared" si="88"/>
        <v>2024</v>
      </c>
      <c r="N183" s="79">
        <f t="shared" si="88"/>
        <v>2025</v>
      </c>
      <c r="O183" s="79">
        <f t="shared" si="88"/>
        <v>2026</v>
      </c>
      <c r="P183" s="79">
        <f t="shared" si="88"/>
        <v>2027</v>
      </c>
      <c r="Q183" s="79">
        <f t="shared" si="88"/>
        <v>2028</v>
      </c>
      <c r="R183" s="79">
        <f t="shared" si="88"/>
        <v>2029</v>
      </c>
      <c r="S183" s="79">
        <f t="shared" si="88"/>
        <v>2030</v>
      </c>
      <c r="T183" s="79">
        <f t="shared" si="88"/>
        <v>2031</v>
      </c>
      <c r="U183" s="79">
        <f t="shared" si="88"/>
        <v>2032</v>
      </c>
      <c r="V183" s="79">
        <f t="shared" si="88"/>
        <v>2033</v>
      </c>
      <c r="W183" s="79">
        <f t="shared" si="88"/>
        <v>2034</v>
      </c>
      <c r="X183" s="79">
        <f t="shared" si="88"/>
        <v>2035</v>
      </c>
      <c r="Y183" s="80" t="s">
        <v>1664</v>
      </c>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row>
    <row r="184" spans="1:80" ht="15">
      <c r="C184" s="63" t="s">
        <v>95</v>
      </c>
      <c r="D184" s="63" t="s">
        <v>95</v>
      </c>
      <c r="E184" s="81" t="str">
        <f t="shared" ref="E184:X184" si="89">CONCATENATE("aMW_",E183)</f>
        <v>aMW_2016</v>
      </c>
      <c r="F184" s="82" t="str">
        <f t="shared" si="89"/>
        <v>aMW_2017</v>
      </c>
      <c r="G184" s="82" t="str">
        <f t="shared" si="89"/>
        <v>aMW_2018</v>
      </c>
      <c r="H184" s="82" t="str">
        <f t="shared" si="89"/>
        <v>aMW_2019</v>
      </c>
      <c r="I184" s="82" t="str">
        <f t="shared" si="89"/>
        <v>aMW_2020</v>
      </c>
      <c r="J184" s="82" t="str">
        <f t="shared" si="89"/>
        <v>aMW_2021</v>
      </c>
      <c r="K184" s="82" t="str">
        <f t="shared" si="89"/>
        <v>aMW_2022</v>
      </c>
      <c r="L184" s="82" t="str">
        <f t="shared" si="89"/>
        <v>aMW_2023</v>
      </c>
      <c r="M184" s="82" t="str">
        <f t="shared" si="89"/>
        <v>aMW_2024</v>
      </c>
      <c r="N184" s="82" t="str">
        <f t="shared" si="89"/>
        <v>aMW_2025</v>
      </c>
      <c r="O184" s="82" t="str">
        <f t="shared" si="89"/>
        <v>aMW_2026</v>
      </c>
      <c r="P184" s="82" t="str">
        <f t="shared" si="89"/>
        <v>aMW_2027</v>
      </c>
      <c r="Q184" s="82" t="str">
        <f t="shared" si="89"/>
        <v>aMW_2028</v>
      </c>
      <c r="R184" s="82" t="str">
        <f t="shared" si="89"/>
        <v>aMW_2029</v>
      </c>
      <c r="S184" s="82" t="str">
        <f t="shared" si="89"/>
        <v>aMW_2030</v>
      </c>
      <c r="T184" s="82" t="str">
        <f t="shared" si="89"/>
        <v>aMW_2031</v>
      </c>
      <c r="U184" s="82" t="str">
        <f t="shared" si="89"/>
        <v>aMW_2032</v>
      </c>
      <c r="V184" s="82" t="str">
        <f t="shared" si="89"/>
        <v>aMW_2033</v>
      </c>
      <c r="W184" s="82" t="str">
        <f t="shared" si="89"/>
        <v>aMW_2034</v>
      </c>
      <c r="X184" s="82" t="str">
        <f t="shared" si="89"/>
        <v>aMW_2035</v>
      </c>
      <c r="Y184" s="83" t="s">
        <v>1664</v>
      </c>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row>
    <row r="185" spans="1:80">
      <c r="B185" s="57" t="s">
        <v>99</v>
      </c>
      <c r="C185" s="64" t="s">
        <v>100</v>
      </c>
      <c r="D185" s="64" t="s">
        <v>101</v>
      </c>
      <c r="E185" s="61">
        <f>DSUM($B$135:$Y$175,E$135,$C$184:$D185)</f>
        <v>0</v>
      </c>
      <c r="F185" s="61">
        <f>DSUM($B$135:$Y$175,F$135,$C$184:$D185)</f>
        <v>0</v>
      </c>
      <c r="G185" s="61">
        <f>DSUM($B$135:$Y$175,G$135,$C$184:$D185)</f>
        <v>0</v>
      </c>
      <c r="H185" s="61">
        <f>DSUM($B$135:$Y$175,H$135,$C$184:$D185)</f>
        <v>0</v>
      </c>
      <c r="I185" s="61">
        <f>DSUM($B$135:$Y$175,I$135,$C$184:$D185)</f>
        <v>0</v>
      </c>
      <c r="J185" s="61">
        <f>DSUM($B$135:$Y$175,J$135,$C$184:$D185)</f>
        <v>0</v>
      </c>
      <c r="K185" s="61">
        <f>DSUM($B$135:$Y$175,K$135,$C$184:$D185)</f>
        <v>0</v>
      </c>
      <c r="L185" s="61">
        <f>DSUM($B$135:$Y$175,L$135,$C$184:$D185)</f>
        <v>0</v>
      </c>
      <c r="M185" s="61">
        <f>DSUM($B$135:$Y$175,M$135,$C$184:$D185)</f>
        <v>0</v>
      </c>
      <c r="N185" s="61">
        <f>DSUM($B$135:$Y$175,N$135,$C$184:$D185)</f>
        <v>0</v>
      </c>
      <c r="O185" s="61">
        <f>DSUM($B$135:$Y$175,O$135,$C$184:$D185)</f>
        <v>0</v>
      </c>
      <c r="P185" s="61">
        <f>DSUM($B$135:$Y$175,P$135,$C$184:$D185)</f>
        <v>0</v>
      </c>
      <c r="Q185" s="61">
        <f>DSUM($B$135:$Y$175,Q$135,$C$184:$D185)</f>
        <v>0</v>
      </c>
      <c r="R185" s="61">
        <f>DSUM($B$135:$Y$175,R$135,$C$184:$D185)</f>
        <v>0</v>
      </c>
      <c r="S185" s="61">
        <f>DSUM($B$135:$Y$175,S$135,$C$184:$D185)</f>
        <v>0</v>
      </c>
      <c r="T185" s="61">
        <f>DSUM($B$135:$Y$175,T$135,$C$184:$D185)</f>
        <v>0</v>
      </c>
      <c r="U185" s="61">
        <f>DSUM($B$135:$Y$175,U$135,$C$184:$D185)</f>
        <v>0</v>
      </c>
      <c r="V185" s="61">
        <f>DSUM($B$135:$Y$175,V$135,$C$184:$D185)</f>
        <v>0</v>
      </c>
      <c r="W185" s="61">
        <f>DSUM($B$135:$Y$175,W$135,$C$184:$D185)</f>
        <v>0</v>
      </c>
      <c r="X185" s="61">
        <f>DSUM($B$135:$Y$175,X$135,$C$184:$D185)</f>
        <v>0</v>
      </c>
      <c r="Y185" s="60">
        <f>DSUM($B$135:$Y$175,Y$135,$C$184:$D185)</f>
        <v>0</v>
      </c>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row>
    <row r="186" spans="1:80">
      <c r="B186" s="57" t="s">
        <v>1712</v>
      </c>
      <c r="C186" s="64" t="s">
        <v>103</v>
      </c>
      <c r="D186" s="64" t="s">
        <v>104</v>
      </c>
      <c r="E186" s="61">
        <f>DSUM($B$135:$Y$175,E$135,$C$184:$D186)</f>
        <v>2.8802518564916349E-2</v>
      </c>
      <c r="F186" s="61">
        <f>DSUM($B$135:$Y$175,F$135,$C$184:$D186)</f>
        <v>2.8737113292763478E-2</v>
      </c>
      <c r="G186" s="61">
        <f>DSUM($B$135:$Y$175,G$135,$C$184:$D186)</f>
        <v>2.8671856544067516E-2</v>
      </c>
      <c r="H186" s="61">
        <f>DSUM($B$135:$Y$175,H$135,$C$184:$D186)</f>
        <v>2.8606747981558774E-2</v>
      </c>
      <c r="I186" s="61">
        <f>DSUM($B$135:$Y$175,I$135,$C$184:$D186)</f>
        <v>2.8541787268733406E-2</v>
      </c>
      <c r="J186" s="61">
        <f>DSUM($B$135:$Y$175,J$135,$C$184:$D186)</f>
        <v>2.5629276662866556E-2</v>
      </c>
      <c r="K186" s="61">
        <f>DSUM($B$135:$Y$175,K$135,$C$184:$D186)</f>
        <v>2.0456861795954243E-2</v>
      </c>
      <c r="L186" s="61">
        <f>DSUM($B$135:$Y$175,L$135,$C$184:$D186)</f>
        <v>1.6328326391868059E-2</v>
      </c>
      <c r="M186" s="61">
        <f>DSUM($B$135:$Y$175,M$135,$C$184:$D186)</f>
        <v>1.3032998189981585E-2</v>
      </c>
      <c r="N186" s="61">
        <f>DSUM($B$135:$Y$175,N$135,$C$184:$D186)</f>
        <v>1.0402722100451005E-2</v>
      </c>
      <c r="O186" s="61">
        <f>DSUM($B$135:$Y$175,O$135,$C$184:$D186)</f>
        <v>8.3032795310596617E-3</v>
      </c>
      <c r="P186" s="61">
        <f>DSUM($B$135:$Y$175,P$135,$C$184:$D186)</f>
        <v>6.6275394368100395E-3</v>
      </c>
      <c r="Q186" s="61">
        <f>DSUM($B$135:$Y$175,Q$135,$C$184:$D186)</f>
        <v>5.2899916017721607E-3</v>
      </c>
      <c r="R186" s="61">
        <f>DSUM($B$135:$Y$175,R$135,$C$184:$D186)</f>
        <v>4.2223831956991328E-3</v>
      </c>
      <c r="S186" s="61">
        <f>DSUM($B$135:$Y$175,S$135,$C$184:$D186)</f>
        <v>3.3702359461874813E-3</v>
      </c>
      <c r="T186" s="61">
        <f>DSUM($B$135:$Y$175,T$135,$C$184:$D186)</f>
        <v>2.6900662034994461E-3</v>
      </c>
      <c r="U186" s="61">
        <f>DSUM($B$135:$Y$175,U$135,$C$184:$D186)</f>
        <v>1.830664854239026E-5</v>
      </c>
      <c r="V186" s="61">
        <f>DSUM($B$135:$Y$175,V$135,$C$184:$D186)</f>
        <v>6.5232419567249711E-6</v>
      </c>
      <c r="W186" s="61">
        <f>DSUM($B$135:$Y$175,W$135,$C$184:$D186)</f>
        <v>2.2187825668441881E-6</v>
      </c>
      <c r="X186" s="61">
        <f>DSUM($B$135:$Y$175,X$135,$C$184:$D186)</f>
        <v>7.2187308126845333E-7</v>
      </c>
      <c r="Y186" s="60">
        <f>DSUM($B$135:$Y$175,Y$135,$C$184:$D186)</f>
        <v>0.25220566182927184</v>
      </c>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row>
    <row r="187" spans="1:80">
      <c r="B187" s="57" t="s">
        <v>105</v>
      </c>
      <c r="C187" s="64" t="s">
        <v>106</v>
      </c>
      <c r="D187" s="64" t="s">
        <v>107</v>
      </c>
      <c r="E187" s="61">
        <f>DSUM($B$135:$Y$175,E$135,$C$184:$D187)</f>
        <v>0.45390991579290685</v>
      </c>
      <c r="F187" s="61">
        <f>DSUM($B$135:$Y$175,F$135,$C$184:$D187)</f>
        <v>0.45287916907162917</v>
      </c>
      <c r="G187" s="61">
        <f>DSUM($B$135:$Y$175,G$135,$C$184:$D187)</f>
        <v>0.45185076298836457</v>
      </c>
      <c r="H187" s="61">
        <f>DSUM($B$135:$Y$175,H$135,$C$184:$D187)</f>
        <v>0.45082469222795074</v>
      </c>
      <c r="I187" s="61">
        <f>DSUM($B$135:$Y$175,I$135,$C$184:$D187)</f>
        <v>0.44980095148729454</v>
      </c>
      <c r="J187" s="61">
        <f>DSUM($B$135:$Y$175,J$135,$C$184:$D187)</f>
        <v>0.4039015819278115</v>
      </c>
      <c r="K187" s="61">
        <f>DSUM($B$135:$Y$175,K$135,$C$184:$D187)</f>
        <v>0.32238751601741017</v>
      </c>
      <c r="L187" s="61">
        <f>DSUM($B$135:$Y$175,L$135,$C$184:$D187)</f>
        <v>0.25732434616324862</v>
      </c>
      <c r="M187" s="61">
        <f>DSUM($B$135:$Y$175,M$135,$C$184:$D187)</f>
        <v>0.20539200756386453</v>
      </c>
      <c r="N187" s="61">
        <f>DSUM($B$135:$Y$175,N$135,$C$184:$D187)</f>
        <v>0.16394047978791534</v>
      </c>
      <c r="O187" s="61">
        <f>DSUM($B$135:$Y$175,O$135,$C$184:$D187)</f>
        <v>0.13085456066120252</v>
      </c>
      <c r="P187" s="61">
        <f>DSUM($B$135:$Y$175,P$135,$C$184:$D187)</f>
        <v>0.10444593103538373</v>
      </c>
      <c r="Q187" s="61">
        <f>DSUM($B$135:$Y$175,Q$135,$C$184:$D187)</f>
        <v>8.3367002683939082E-2</v>
      </c>
      <c r="R187" s="61">
        <f>DSUM($B$135:$Y$175,R$135,$C$184:$D187)</f>
        <v>6.6542153127529619E-2</v>
      </c>
      <c r="S187" s="61">
        <f>DSUM($B$135:$Y$175,S$135,$C$184:$D187)</f>
        <v>5.3112838416831336E-2</v>
      </c>
      <c r="T187" s="61">
        <f>DSUM($B$135:$Y$175,T$135,$C$184:$D187)</f>
        <v>4.239378306989814E-2</v>
      </c>
      <c r="U187" s="61">
        <f>DSUM($B$135:$Y$175,U$135,$C$184:$D187)</f>
        <v>2.885014822435837E-4</v>
      </c>
      <c r="V187" s="61">
        <f>DSUM($B$135:$Y$175,V$135,$C$184:$D187)</f>
        <v>1.0280226712119774E-4</v>
      </c>
      <c r="W187" s="61">
        <f>DSUM($B$135:$Y$175,W$135,$C$184:$D187)</f>
        <v>3.4966643830438239E-5</v>
      </c>
      <c r="X187" s="61">
        <f>DSUM($B$135:$Y$175,X$135,$C$184:$D187)</f>
        <v>1.1376274223839963E-5</v>
      </c>
      <c r="Y187" s="60">
        <f>DSUM($B$135:$Y$175,Y$135,$C$184:$D187)</f>
        <v>3.9746055701831162</v>
      </c>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row>
    <row r="188" spans="1:80">
      <c r="B188" s="57" t="s">
        <v>108</v>
      </c>
      <c r="C188" s="64" t="s">
        <v>109</v>
      </c>
      <c r="D188" s="64" t="s">
        <v>110</v>
      </c>
      <c r="E188" s="61">
        <f>DSUM($B$135:$Y$175,E$135,$C$184:$D188)</f>
        <v>0.47414579397123929</v>
      </c>
      <c r="F188" s="61">
        <f>DSUM($B$135:$Y$175,F$135,$C$184:$D188)</f>
        <v>0.47306909525737728</v>
      </c>
      <c r="G188" s="61">
        <f>DSUM($B$135:$Y$175,G$135,$C$184:$D188)</f>
        <v>0.47199484153013149</v>
      </c>
      <c r="H188" s="61">
        <f>DSUM($B$135:$Y$175,H$135,$C$184:$D188)</f>
        <v>0.470923027237383</v>
      </c>
      <c r="I188" s="61">
        <f>DSUM($B$135:$Y$175,I$135,$C$184:$D188)</f>
        <v>0.46985364683962011</v>
      </c>
      <c r="J188" s="61">
        <f>DSUM($B$135:$Y$175,J$135,$C$184:$D188)</f>
        <v>0.42190802532892013</v>
      </c>
      <c r="K188" s="61">
        <f>DSUM($B$135:$Y$175,K$135,$C$184:$D188)</f>
        <v>0.33675995925638963</v>
      </c>
      <c r="L188" s="61">
        <f>DSUM($B$135:$Y$175,L$135,$C$184:$D188)</f>
        <v>0.26879619099435886</v>
      </c>
      <c r="M188" s="61">
        <f>DSUM($B$135:$Y$175,M$135,$C$184:$D188)</f>
        <v>0.21454864305310062</v>
      </c>
      <c r="N188" s="61">
        <f>DSUM($B$135:$Y$175,N$135,$C$184:$D188)</f>
        <v>0.17124915373853952</v>
      </c>
      <c r="O188" s="61">
        <f>DSUM($B$135:$Y$175,O$135,$C$184:$D188)</f>
        <v>0.13668822248811757</v>
      </c>
      <c r="P188" s="61">
        <f>DSUM($B$135:$Y$175,P$135,$C$184:$D188)</f>
        <v>0.10910226275037281</v>
      </c>
      <c r="Q188" s="61">
        <f>DSUM($B$135:$Y$175,Q$135,$C$184:$D188)</f>
        <v>8.7083609111137272E-2</v>
      </c>
      <c r="R188" s="61">
        <f>DSUM($B$135:$Y$175,R$135,$C$184:$D188)</f>
        <v>6.9508686480431708E-2</v>
      </c>
      <c r="S188" s="61">
        <f>DSUM($B$135:$Y$175,S$135,$C$184:$D188)</f>
        <v>5.5480675933733736E-2</v>
      </c>
      <c r="T188" s="61">
        <f>DSUM($B$135:$Y$175,T$135,$C$184:$D188)</f>
        <v>4.4283751541334904E-2</v>
      </c>
      <c r="U188" s="61">
        <f>DSUM($B$135:$Y$175,U$135,$C$184:$D188)</f>
        <v>3.0136324323585308E-4</v>
      </c>
      <c r="V188" s="61">
        <f>DSUM($B$135:$Y$175,V$135,$C$184:$D188)</f>
        <v>1.0738532221988844E-4</v>
      </c>
      <c r="W188" s="61">
        <f>DSUM($B$135:$Y$175,W$135,$C$184:$D188)</f>
        <v>3.6525501040292006E-5</v>
      </c>
      <c r="X188" s="61">
        <f>DSUM($B$135:$Y$175,X$135,$C$184:$D188)</f>
        <v>1.1883442918127664E-5</v>
      </c>
      <c r="Y188" s="60">
        <f>DSUM($B$135:$Y$175,Y$135,$C$184:$D188)</f>
        <v>4.1517985138196298</v>
      </c>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row>
    <row r="189" spans="1:80">
      <c r="B189" s="57" t="s">
        <v>111</v>
      </c>
      <c r="C189" s="64" t="s">
        <v>112</v>
      </c>
      <c r="D189" s="64" t="s">
        <v>113</v>
      </c>
      <c r="E189" s="61">
        <f>DSUM($B$135:$Y$175,E$135,$C$184:$D189)</f>
        <v>0.52429700542992652</v>
      </c>
      <c r="F189" s="61">
        <f>DSUM($B$135:$Y$175,F$135,$C$184:$D189)</f>
        <v>0.52310642245185135</v>
      </c>
      <c r="G189" s="61">
        <f>DSUM($B$135:$Y$175,G$135,$C$184:$D189)</f>
        <v>0.52191854307080798</v>
      </c>
      <c r="H189" s="61">
        <f>DSUM($B$135:$Y$175,H$135,$C$184:$D189)</f>
        <v>0.5207333611474203</v>
      </c>
      <c r="I189" s="61">
        <f>DSUM($B$135:$Y$175,I$135,$C$184:$D189)</f>
        <v>0.51955087055625282</v>
      </c>
      <c r="J189" s="61">
        <f>DSUM($B$135:$Y$175,J$135,$C$184:$D189)</f>
        <v>0.46653395866720321</v>
      </c>
      <c r="K189" s="61">
        <f>DSUM($B$135:$Y$175,K$135,$C$184:$D189)</f>
        <v>0.3723796360356178</v>
      </c>
      <c r="L189" s="61">
        <f>DSUM($B$135:$Y$175,L$135,$C$184:$D189)</f>
        <v>0.29722722378058547</v>
      </c>
      <c r="M189" s="61">
        <f>DSUM($B$135:$Y$175,M$135,$C$184:$D189)</f>
        <v>0.23724181992557777</v>
      </c>
      <c r="N189" s="61">
        <f>DSUM($B$135:$Y$175,N$135,$C$184:$D189)</f>
        <v>0.18936246958034089</v>
      </c>
      <c r="O189" s="61">
        <f>DSUM($B$135:$Y$175,O$135,$C$184:$D189)</f>
        <v>0.15114596952937781</v>
      </c>
      <c r="P189" s="61">
        <f>DSUM($B$135:$Y$175,P$135,$C$184:$D189)</f>
        <v>0.12064219565579284</v>
      </c>
      <c r="Q189" s="61">
        <f>DSUM($B$135:$Y$175,Q$135,$C$184:$D189)</f>
        <v>9.6294591367331692E-2</v>
      </c>
      <c r="R189" s="61">
        <f>DSUM($B$135:$Y$175,R$135,$C$184:$D189)</f>
        <v>7.6860739115337459E-2</v>
      </c>
      <c r="S189" s="61">
        <f>DSUM($B$135:$Y$175,S$135,$C$184:$D189)</f>
        <v>6.1348961904002949E-2</v>
      </c>
      <c r="T189" s="61">
        <f>DSUM($B$135:$Y$175,T$135,$C$184:$D189)</f>
        <v>4.8967719670910188E-2</v>
      </c>
      <c r="U189" s="61">
        <f>DSUM($B$135:$Y$175,U$135,$C$184:$D189)</f>
        <v>3.3323894883014089E-4</v>
      </c>
      <c r="V189" s="61">
        <f>DSUM($B$135:$Y$175,V$135,$C$184:$D189)</f>
        <v>1.1874365138928221E-4</v>
      </c>
      <c r="W189" s="61">
        <f>DSUM($B$135:$Y$175,W$135,$C$184:$D189)</f>
        <v>4.0388865747092085E-5</v>
      </c>
      <c r="X189" s="61">
        <f>DSUM($B$135:$Y$175,X$135,$C$184:$D189)</f>
        <v>1.3140374997294035E-5</v>
      </c>
      <c r="Y189" s="60">
        <f>DSUM($B$135:$Y$175,Y$135,$C$184:$D189)</f>
        <v>4.590941342561166</v>
      </c>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row>
    <row r="190" spans="1:80">
      <c r="B190" s="57" t="s">
        <v>114</v>
      </c>
      <c r="C190" s="64" t="s">
        <v>115</v>
      </c>
      <c r="D190" s="64" t="s">
        <v>116</v>
      </c>
      <c r="E190" s="61">
        <f>DSUM($B$135:$Y$175,E$135,$C$184:$D190)</f>
        <v>1.3536751111806056</v>
      </c>
      <c r="F190" s="61">
        <f>DSUM($B$135:$Y$175,F$135,$C$184:$D190)</f>
        <v>1.3506011616281106</v>
      </c>
      <c r="G190" s="61">
        <f>DSUM($B$135:$Y$175,G$135,$C$184:$D190)</f>
        <v>1.347534192455009</v>
      </c>
      <c r="H190" s="61">
        <f>DSUM($B$135:$Y$175,H$135,$C$184:$D190)</f>
        <v>1.3444741878101314</v>
      </c>
      <c r="I190" s="61">
        <f>DSUM($B$135:$Y$175,I$135,$C$184:$D190)</f>
        <v>1.3414211318783018</v>
      </c>
      <c r="J190" s="61">
        <f>DSUM($B$135:$Y$175,J$135,$C$184:$D190)</f>
        <v>1.2045375079922336</v>
      </c>
      <c r="K190" s="61">
        <f>DSUM($B$135:$Y$175,K$135,$C$184:$D190)</f>
        <v>0.96144177821225441</v>
      </c>
      <c r="L190" s="61">
        <f>DSUM($B$135:$Y$175,L$135,$C$184:$D190)</f>
        <v>0.76740681527860011</v>
      </c>
      <c r="M190" s="61">
        <f>DSUM($B$135:$Y$175,M$135,$C$184:$D190)</f>
        <v>0.61253133937147375</v>
      </c>
      <c r="N190" s="61">
        <f>DSUM($B$135:$Y$175,N$135,$C$184:$D190)</f>
        <v>0.48891231383708855</v>
      </c>
      <c r="O190" s="61">
        <f>DSUM($B$135:$Y$175,O$135,$C$184:$D190)</f>
        <v>0.39024166643752939</v>
      </c>
      <c r="P190" s="61">
        <f>DSUM($B$135:$Y$175,P$135,$C$184:$D190)</f>
        <v>0.3114843989686959</v>
      </c>
      <c r="Q190" s="61">
        <f>DSUM($B$135:$Y$175,Q$135,$C$184:$D190)</f>
        <v>0.24862165971818712</v>
      </c>
      <c r="R190" s="61">
        <f>DSUM($B$135:$Y$175,R$135,$C$184:$D190)</f>
        <v>0.19844566818012035</v>
      </c>
      <c r="S190" s="61">
        <f>DSUM($B$135:$Y$175,S$135,$C$184:$D190)</f>
        <v>0.15839602737787387</v>
      </c>
      <c r="T190" s="61">
        <f>DSUM($B$135:$Y$175,T$135,$C$184:$D190)</f>
        <v>0.12642907108619644</v>
      </c>
      <c r="U190" s="61">
        <f>DSUM($B$135:$Y$175,U$135,$C$184:$D190)</f>
        <v>8.6038498491412656E-4</v>
      </c>
      <c r="V190" s="61">
        <f>DSUM($B$135:$Y$175,V$135,$C$184:$D190)</f>
        <v>3.0658257405946784E-4</v>
      </c>
      <c r="W190" s="61">
        <f>DSUM($B$135:$Y$175,W$135,$C$184:$D190)</f>
        <v>1.0427944803121835E-4</v>
      </c>
      <c r="X190" s="61">
        <f>DSUM($B$135:$Y$175,X$135,$C$184:$D190)</f>
        <v>3.3926950566560571E-5</v>
      </c>
      <c r="Y190" s="60">
        <f>DSUM($B$135:$Y$175,Y$135,$C$184:$D190)</f>
        <v>11.853287293180474</v>
      </c>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row>
    <row r="191" spans="1:80">
      <c r="B191" s="57" t="s">
        <v>117</v>
      </c>
      <c r="C191" s="64" t="s">
        <v>118</v>
      </c>
      <c r="D191" s="64" t="s">
        <v>119</v>
      </c>
      <c r="E191" s="61">
        <f>DSUM($B$135:$Y$175,E$135,$C$184:$D191)</f>
        <v>3.8418422179561644</v>
      </c>
      <c r="F191" s="61">
        <f>DSUM($B$135:$Y$175,F$135,$C$184:$D191)</f>
        <v>3.8331180942213763</v>
      </c>
      <c r="G191" s="61">
        <f>DSUM($B$135:$Y$175,G$135,$C$184:$D191)</f>
        <v>3.824413781382149</v>
      </c>
      <c r="H191" s="61">
        <f>DSUM($B$135:$Y$175,H$135,$C$184:$D191)</f>
        <v>3.8157292344515481</v>
      </c>
      <c r="I191" s="61">
        <f>DSUM($B$135:$Y$175,I$135,$C$184:$D191)</f>
        <v>3.8070644085447958</v>
      </c>
      <c r="J191" s="61">
        <f>DSUM($B$135:$Y$175,J$135,$C$184:$D191)</f>
        <v>3.4185773329911351</v>
      </c>
      <c r="K191" s="61">
        <f>DSUM($B$135:$Y$175,K$135,$C$184:$D191)</f>
        <v>2.7286514933566481</v>
      </c>
      <c r="L191" s="61">
        <f>DSUM($B$135:$Y$175,L$135,$C$184:$D191)</f>
        <v>2.1779641783568708</v>
      </c>
      <c r="M191" s="61">
        <f>DSUM($B$135:$Y$175,M$135,$C$184:$D191)</f>
        <v>1.7384147348075127</v>
      </c>
      <c r="N191" s="61">
        <f>DSUM($B$135:$Y$175,N$135,$C$184:$D191)</f>
        <v>1.3875736893321344</v>
      </c>
      <c r="O191" s="61">
        <f>DSUM($B$135:$Y$175,O$135,$C$184:$D191)</f>
        <v>1.1075382098276902</v>
      </c>
      <c r="P191" s="61">
        <f>DSUM($B$135:$Y$175,P$135,$C$184:$D191)</f>
        <v>0.88401855386774475</v>
      </c>
      <c r="Q191" s="61">
        <f>DSUM($B$135:$Y$175,Q$135,$C$184:$D191)</f>
        <v>0.70560888703244085</v>
      </c>
      <c r="R191" s="61">
        <f>DSUM($B$135:$Y$175,R$135,$C$184:$D191)</f>
        <v>0.56320526224345169</v>
      </c>
      <c r="S191" s="61">
        <f>DSUM($B$135:$Y$175,S$135,$C$184:$D191)</f>
        <v>0.44954106056225385</v>
      </c>
      <c r="T191" s="61">
        <f>DSUM($B$135:$Y$175,T$135,$C$184:$D191)</f>
        <v>0.35881618777219748</v>
      </c>
      <c r="U191" s="61">
        <f>DSUM($B$135:$Y$175,U$135,$C$184:$D191)</f>
        <v>2.4418439339228262E-3</v>
      </c>
      <c r="V191" s="61">
        <f>DSUM($B$135:$Y$175,V$135,$C$184:$D191)</f>
        <v>8.7010676829544641E-4</v>
      </c>
      <c r="W191" s="61">
        <f>DSUM($B$135:$Y$175,W$135,$C$184:$D191)</f>
        <v>2.9595372080239824E-4</v>
      </c>
      <c r="X191" s="61">
        <f>DSUM($B$135:$Y$175,X$135,$C$184:$D191)</f>
        <v>9.6287499073131815E-5</v>
      </c>
      <c r="Y191" s="60">
        <f>DSUM($B$135:$Y$175,Y$135,$C$184:$D191)</f>
        <v>33.640612262411921</v>
      </c>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row>
    <row r="192" spans="1:80">
      <c r="B192" s="57" t="s">
        <v>120</v>
      </c>
      <c r="C192" s="64" t="s">
        <v>121</v>
      </c>
      <c r="D192" s="64" t="s">
        <v>122</v>
      </c>
      <c r="E192" s="61">
        <f>DSUM($B$135:$Y$175,E$135,$C$184:$D192)</f>
        <v>4.6324229718922165</v>
      </c>
      <c r="F192" s="61">
        <f>DSUM($B$135:$Y$175,F$135,$C$184:$D192)</f>
        <v>4.6219035833005213</v>
      </c>
      <c r="G192" s="61">
        <f>DSUM($B$135:$Y$175,G$135,$C$184:$D192)</f>
        <v>4.6114080823237984</v>
      </c>
      <c r="H192" s="61">
        <f>DSUM($B$135:$Y$175,H$135,$C$184:$D192)</f>
        <v>4.6009364147176282</v>
      </c>
      <c r="I192" s="61">
        <f>DSUM($B$135:$Y$175,I$135,$C$184:$D192)</f>
        <v>4.5904885263607653</v>
      </c>
      <c r="J192" s="61">
        <f>DSUM($B$135:$Y$175,J$135,$C$184:$D192)</f>
        <v>4.1220579269293811</v>
      </c>
      <c r="K192" s="61">
        <f>DSUM($B$135:$Y$175,K$135,$C$184:$D192)</f>
        <v>3.2901579874974356</v>
      </c>
      <c r="L192" s="61">
        <f>DSUM($B$135:$Y$175,L$135,$C$184:$D192)</f>
        <v>2.6261493105112845</v>
      </c>
      <c r="M192" s="61">
        <f>DSUM($B$135:$Y$175,M$135,$C$184:$D192)</f>
        <v>2.0961486431065408</v>
      </c>
      <c r="N192" s="61">
        <f>DSUM($B$135:$Y$175,N$135,$C$184:$D192)</f>
        <v>1.6731109371469652</v>
      </c>
      <c r="O192" s="61">
        <f>DSUM($B$135:$Y$175,O$135,$C$184:$D192)</f>
        <v>1.335449285625169</v>
      </c>
      <c r="P192" s="61">
        <f>DSUM($B$135:$Y$175,P$135,$C$184:$D192)</f>
        <v>1.0659333788815695</v>
      </c>
      <c r="Q192" s="61">
        <f>DSUM($B$135:$Y$175,Q$135,$C$184:$D192)</f>
        <v>0.85081027070374993</v>
      </c>
      <c r="R192" s="61">
        <f>DSUM($B$135:$Y$175,R$135,$C$184:$D192)</f>
        <v>0.67910258846994487</v>
      </c>
      <c r="S192" s="61">
        <f>DSUM($B$135:$Y$175,S$135,$C$184:$D192)</f>
        <v>0.54204837617335377</v>
      </c>
      <c r="T192" s="61">
        <f>DSUM($B$135:$Y$175,T$135,$C$184:$D192)</f>
        <v>0.43265398645314285</v>
      </c>
      <c r="U192" s="61">
        <f>DSUM($B$135:$Y$175,U$135,$C$184:$D192)</f>
        <v>2.9443306860471455E-3</v>
      </c>
      <c r="V192" s="61">
        <f>DSUM($B$135:$Y$175,V$135,$C$184:$D192)</f>
        <v>1.0491588026733259E-3</v>
      </c>
      <c r="W192" s="61">
        <f>DSUM($B$135:$Y$175,W$135,$C$184:$D192)</f>
        <v>3.5685557528996052E-4</v>
      </c>
      <c r="X192" s="61">
        <f>DSUM($B$135:$Y$175,X$135,$C$184:$D192)</f>
        <v>1.1610170259665665E-4</v>
      </c>
      <c r="Y192" s="60">
        <f>DSUM($B$135:$Y$175,Y$135,$C$184:$D192)</f>
        <v>40.563234040314278</v>
      </c>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row>
    <row r="193" spans="2:79">
      <c r="B193" s="57" t="s">
        <v>123</v>
      </c>
      <c r="C193" s="64" t="s">
        <v>124</v>
      </c>
      <c r="D193" s="64" t="s">
        <v>125</v>
      </c>
      <c r="E193" s="61">
        <f>DSUM($B$135:$Y$175,E$135,$C$184:$D193)</f>
        <v>4.6324229718922165</v>
      </c>
      <c r="F193" s="61">
        <f>DSUM($B$135:$Y$175,F$135,$C$184:$D193)</f>
        <v>4.6219035833005213</v>
      </c>
      <c r="G193" s="61">
        <f>DSUM($B$135:$Y$175,G$135,$C$184:$D193)</f>
        <v>4.6114080823237984</v>
      </c>
      <c r="H193" s="61">
        <f>DSUM($B$135:$Y$175,H$135,$C$184:$D193)</f>
        <v>4.6009364147176282</v>
      </c>
      <c r="I193" s="61">
        <f>DSUM($B$135:$Y$175,I$135,$C$184:$D193)</f>
        <v>4.5904885263607653</v>
      </c>
      <c r="J193" s="61">
        <f>DSUM($B$135:$Y$175,J$135,$C$184:$D193)</f>
        <v>4.1220579269293811</v>
      </c>
      <c r="K193" s="61">
        <f>DSUM($B$135:$Y$175,K$135,$C$184:$D193)</f>
        <v>3.2901579874974356</v>
      </c>
      <c r="L193" s="61">
        <f>DSUM($B$135:$Y$175,L$135,$C$184:$D193)</f>
        <v>2.6261493105112845</v>
      </c>
      <c r="M193" s="61">
        <f>DSUM($B$135:$Y$175,M$135,$C$184:$D193)</f>
        <v>2.0961486431065408</v>
      </c>
      <c r="N193" s="61">
        <f>DSUM($B$135:$Y$175,N$135,$C$184:$D193)</f>
        <v>1.6731109371469652</v>
      </c>
      <c r="O193" s="61">
        <f>DSUM($B$135:$Y$175,O$135,$C$184:$D193)</f>
        <v>1.335449285625169</v>
      </c>
      <c r="P193" s="61">
        <f>DSUM($B$135:$Y$175,P$135,$C$184:$D193)</f>
        <v>1.0659333788815695</v>
      </c>
      <c r="Q193" s="61">
        <f>DSUM($B$135:$Y$175,Q$135,$C$184:$D193)</f>
        <v>0.85081027070374993</v>
      </c>
      <c r="R193" s="61">
        <f>DSUM($B$135:$Y$175,R$135,$C$184:$D193)</f>
        <v>0.67910258846994487</v>
      </c>
      <c r="S193" s="61">
        <f>DSUM($B$135:$Y$175,S$135,$C$184:$D193)</f>
        <v>0.54204837617335377</v>
      </c>
      <c r="T193" s="61">
        <f>DSUM($B$135:$Y$175,T$135,$C$184:$D193)</f>
        <v>0.43265398645314285</v>
      </c>
      <c r="U193" s="61">
        <f>DSUM($B$135:$Y$175,U$135,$C$184:$D193)</f>
        <v>2.9443306860471455E-3</v>
      </c>
      <c r="V193" s="61">
        <f>DSUM($B$135:$Y$175,V$135,$C$184:$D193)</f>
        <v>1.0491588026733259E-3</v>
      </c>
      <c r="W193" s="61">
        <f>DSUM($B$135:$Y$175,W$135,$C$184:$D193)</f>
        <v>3.5685557528996052E-4</v>
      </c>
      <c r="X193" s="61">
        <f>DSUM($B$135:$Y$175,X$135,$C$184:$D193)</f>
        <v>1.1610170259665665E-4</v>
      </c>
      <c r="Y193" s="60">
        <f>DSUM($B$135:$Y$175,Y$135,$C$184:$D193)</f>
        <v>40.563234040314278</v>
      </c>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row>
    <row r="194" spans="2:79">
      <c r="B194" s="57" t="s">
        <v>126</v>
      </c>
      <c r="C194" s="64" t="s">
        <v>127</v>
      </c>
      <c r="D194" s="64" t="s">
        <v>128</v>
      </c>
      <c r="E194" s="61">
        <f>DSUM($B$135:$Y$175,E$135,$C$184:$D194)</f>
        <v>4.6324229718922165</v>
      </c>
      <c r="F194" s="61">
        <f>DSUM($B$135:$Y$175,F$135,$C$184:$D194)</f>
        <v>4.6219035833005213</v>
      </c>
      <c r="G194" s="61">
        <f>DSUM($B$135:$Y$175,G$135,$C$184:$D194)</f>
        <v>4.6114080823237984</v>
      </c>
      <c r="H194" s="61">
        <f>DSUM($B$135:$Y$175,H$135,$C$184:$D194)</f>
        <v>4.6009364147176282</v>
      </c>
      <c r="I194" s="61">
        <f>DSUM($B$135:$Y$175,I$135,$C$184:$D194)</f>
        <v>4.5904885263607653</v>
      </c>
      <c r="J194" s="61">
        <f>DSUM($B$135:$Y$175,J$135,$C$184:$D194)</f>
        <v>4.1220579269293811</v>
      </c>
      <c r="K194" s="61">
        <f>DSUM($B$135:$Y$175,K$135,$C$184:$D194)</f>
        <v>3.2901579874974356</v>
      </c>
      <c r="L194" s="61">
        <f>DSUM($B$135:$Y$175,L$135,$C$184:$D194)</f>
        <v>2.6261493105112845</v>
      </c>
      <c r="M194" s="61">
        <f>DSUM($B$135:$Y$175,M$135,$C$184:$D194)</f>
        <v>2.0961486431065408</v>
      </c>
      <c r="N194" s="61">
        <f>DSUM($B$135:$Y$175,N$135,$C$184:$D194)</f>
        <v>1.6731109371469652</v>
      </c>
      <c r="O194" s="61">
        <f>DSUM($B$135:$Y$175,O$135,$C$184:$D194)</f>
        <v>1.335449285625169</v>
      </c>
      <c r="P194" s="61">
        <f>DSUM($B$135:$Y$175,P$135,$C$184:$D194)</f>
        <v>1.0659333788815695</v>
      </c>
      <c r="Q194" s="61">
        <f>DSUM($B$135:$Y$175,Q$135,$C$184:$D194)</f>
        <v>0.85081027070374993</v>
      </c>
      <c r="R194" s="61">
        <f>DSUM($B$135:$Y$175,R$135,$C$184:$D194)</f>
        <v>0.67910258846994487</v>
      </c>
      <c r="S194" s="61">
        <f>DSUM($B$135:$Y$175,S$135,$C$184:$D194)</f>
        <v>0.54204837617335377</v>
      </c>
      <c r="T194" s="61">
        <f>DSUM($B$135:$Y$175,T$135,$C$184:$D194)</f>
        <v>0.43265398645314285</v>
      </c>
      <c r="U194" s="61">
        <f>DSUM($B$135:$Y$175,U$135,$C$184:$D194)</f>
        <v>2.9443306860471455E-3</v>
      </c>
      <c r="V194" s="61">
        <f>DSUM($B$135:$Y$175,V$135,$C$184:$D194)</f>
        <v>1.0491588026733259E-3</v>
      </c>
      <c r="W194" s="61">
        <f>DSUM($B$135:$Y$175,W$135,$C$184:$D194)</f>
        <v>3.5685557528996052E-4</v>
      </c>
      <c r="X194" s="61">
        <f>DSUM($B$135:$Y$175,X$135,$C$184:$D194)</f>
        <v>1.1610170259665665E-4</v>
      </c>
      <c r="Y194" s="60">
        <f>DSUM($B$135:$Y$175,Y$135,$C$184:$D194)</f>
        <v>40.563234040314278</v>
      </c>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row>
    <row r="195" spans="2:79">
      <c r="B195" s="57" t="s">
        <v>129</v>
      </c>
      <c r="C195" s="64" t="s">
        <v>130</v>
      </c>
      <c r="D195" s="64" t="s">
        <v>131</v>
      </c>
      <c r="E195" s="61">
        <f>DSUM($B$135:$Y$175,E$135,$C$184:$D195)</f>
        <v>4.6324229718922165</v>
      </c>
      <c r="F195" s="61">
        <f>DSUM($B$135:$Y$175,F$135,$C$184:$D195)</f>
        <v>4.6219035833005213</v>
      </c>
      <c r="G195" s="61">
        <f>DSUM($B$135:$Y$175,G$135,$C$184:$D195)</f>
        <v>4.6114080823237984</v>
      </c>
      <c r="H195" s="61">
        <f>DSUM($B$135:$Y$175,H$135,$C$184:$D195)</f>
        <v>4.6009364147176282</v>
      </c>
      <c r="I195" s="61">
        <f>DSUM($B$135:$Y$175,I$135,$C$184:$D195)</f>
        <v>4.5904885263607653</v>
      </c>
      <c r="J195" s="61">
        <f>DSUM($B$135:$Y$175,J$135,$C$184:$D195)</f>
        <v>4.1220579269293811</v>
      </c>
      <c r="K195" s="61">
        <f>DSUM($B$135:$Y$175,K$135,$C$184:$D195)</f>
        <v>3.2901579874974356</v>
      </c>
      <c r="L195" s="61">
        <f>DSUM($B$135:$Y$175,L$135,$C$184:$D195)</f>
        <v>2.6261493105112845</v>
      </c>
      <c r="M195" s="61">
        <f>DSUM($B$135:$Y$175,M$135,$C$184:$D195)</f>
        <v>2.0961486431065408</v>
      </c>
      <c r="N195" s="61">
        <f>DSUM($B$135:$Y$175,N$135,$C$184:$D195)</f>
        <v>1.6731109371469652</v>
      </c>
      <c r="O195" s="61">
        <f>DSUM($B$135:$Y$175,O$135,$C$184:$D195)</f>
        <v>1.335449285625169</v>
      </c>
      <c r="P195" s="61">
        <f>DSUM($B$135:$Y$175,P$135,$C$184:$D195)</f>
        <v>1.0659333788815695</v>
      </c>
      <c r="Q195" s="61">
        <f>DSUM($B$135:$Y$175,Q$135,$C$184:$D195)</f>
        <v>0.85081027070374993</v>
      </c>
      <c r="R195" s="61">
        <f>DSUM($B$135:$Y$175,R$135,$C$184:$D195)</f>
        <v>0.67910258846994487</v>
      </c>
      <c r="S195" s="61">
        <f>DSUM($B$135:$Y$175,S$135,$C$184:$D195)</f>
        <v>0.54204837617335377</v>
      </c>
      <c r="T195" s="61">
        <f>DSUM($B$135:$Y$175,T$135,$C$184:$D195)</f>
        <v>0.43265398645314285</v>
      </c>
      <c r="U195" s="61">
        <f>DSUM($B$135:$Y$175,U$135,$C$184:$D195)</f>
        <v>2.9443306860471455E-3</v>
      </c>
      <c r="V195" s="61">
        <f>DSUM($B$135:$Y$175,V$135,$C$184:$D195)</f>
        <v>1.0491588026733259E-3</v>
      </c>
      <c r="W195" s="61">
        <f>DSUM($B$135:$Y$175,W$135,$C$184:$D195)</f>
        <v>3.5685557528996052E-4</v>
      </c>
      <c r="X195" s="61">
        <f>DSUM($B$135:$Y$175,X$135,$C$184:$D195)</f>
        <v>1.1610170259665665E-4</v>
      </c>
      <c r="Y195" s="60">
        <f>DSUM($B$135:$Y$175,Y$135,$C$184:$D195)</f>
        <v>40.563234040314278</v>
      </c>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row>
    <row r="196" spans="2:79">
      <c r="B196" s="57" t="s">
        <v>132</v>
      </c>
      <c r="C196" s="64" t="s">
        <v>133</v>
      </c>
      <c r="D196" s="64" t="s">
        <v>134</v>
      </c>
      <c r="E196" s="61">
        <f>DSUM($B$135:$Y$175,E$135,$C$184:$D196)</f>
        <v>11.492739189893104</v>
      </c>
      <c r="F196" s="61">
        <f>DSUM($B$135:$Y$175,F$135,$C$184:$D196)</f>
        <v>11.466641273045905</v>
      </c>
      <c r="G196" s="61">
        <f>DSUM($B$135:$Y$175,G$135,$C$184:$D196)</f>
        <v>11.440602619813109</v>
      </c>
      <c r="H196" s="61">
        <f>DSUM($B$135:$Y$175,H$135,$C$184:$D196)</f>
        <v>11.414623095617845</v>
      </c>
      <c r="I196" s="61">
        <f>DSUM($B$135:$Y$175,I$135,$C$184:$D196)</f>
        <v>11.388702566188837</v>
      </c>
      <c r="J196" s="61">
        <f>DSUM($B$135:$Y$175,J$135,$C$184:$D196)</f>
        <v>10.22655680780375</v>
      </c>
      <c r="K196" s="61">
        <f>DSUM($B$135:$Y$175,K$135,$C$184:$D196)</f>
        <v>8.1626673283692117</v>
      </c>
      <c r="L196" s="61">
        <f>DSUM($B$135:$Y$175,L$135,$C$184:$D196)</f>
        <v>6.515305118413103</v>
      </c>
      <c r="M196" s="61">
        <f>DSUM($B$135:$Y$175,M$135,$C$184:$D196)</f>
        <v>5.2004080380059721</v>
      </c>
      <c r="N196" s="61">
        <f>DSUM($B$135:$Y$175,N$135,$C$184:$D196)</f>
        <v>4.1508790870479046</v>
      </c>
      <c r="O196" s="61">
        <f>DSUM($B$135:$Y$175,O$135,$C$184:$D196)</f>
        <v>3.3131625575092745</v>
      </c>
      <c r="P196" s="61">
        <f>DSUM($B$135:$Y$175,P$135,$C$184:$D196)</f>
        <v>2.6445111751709067</v>
      </c>
      <c r="Q196" s="61">
        <f>DSUM($B$135:$Y$175,Q$135,$C$184:$D196)</f>
        <v>2.1108047776747911</v>
      </c>
      <c r="R196" s="61">
        <f>DSUM($B$135:$Y$175,R$135,$C$184:$D196)</f>
        <v>1.6848092196724345</v>
      </c>
      <c r="S196" s="61">
        <f>DSUM($B$135:$Y$175,S$135,$C$184:$D196)</f>
        <v>1.3447866599108922</v>
      </c>
      <c r="T196" s="61">
        <f>DSUM($B$135:$Y$175,T$135,$C$184:$D196)</f>
        <v>1.0733863155294809</v>
      </c>
      <c r="U196" s="61">
        <f>DSUM($B$135:$Y$175,U$135,$C$184:$D196)</f>
        <v>7.3046923540569563E-3</v>
      </c>
      <c r="V196" s="61">
        <f>DSUM($B$135:$Y$175,V$135,$C$184:$D196)</f>
        <v>2.602894545914019E-3</v>
      </c>
      <c r="W196" s="61">
        <f>DSUM($B$135:$Y$175,W$135,$C$184:$D196)</f>
        <v>8.8533540226175256E-4</v>
      </c>
      <c r="X196" s="61">
        <f>DSUM($B$135:$Y$175,X$135,$C$184:$D196)</f>
        <v>2.8804075006580725E-4</v>
      </c>
      <c r="Y196" s="60">
        <f>DSUM($B$135:$Y$175,Y$135,$C$184:$D196)</f>
        <v>100.63473744788533</v>
      </c>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row>
    <row r="197" spans="2:79">
      <c r="B197" s="57" t="s">
        <v>135</v>
      </c>
      <c r="C197" s="64" t="s">
        <v>136</v>
      </c>
      <c r="D197" s="64" t="s">
        <v>137</v>
      </c>
      <c r="E197" s="61">
        <f>DSUM($B$135:$Y$175,E$135,$C$184:$D197)</f>
        <v>11.492739189893104</v>
      </c>
      <c r="F197" s="61">
        <f>DSUM($B$135:$Y$175,F$135,$C$184:$D197)</f>
        <v>11.466641273045905</v>
      </c>
      <c r="G197" s="61">
        <f>DSUM($B$135:$Y$175,G$135,$C$184:$D197)</f>
        <v>11.440602619813109</v>
      </c>
      <c r="H197" s="61">
        <f>DSUM($B$135:$Y$175,H$135,$C$184:$D197)</f>
        <v>11.414623095617845</v>
      </c>
      <c r="I197" s="61">
        <f>DSUM($B$135:$Y$175,I$135,$C$184:$D197)</f>
        <v>11.388702566188837</v>
      </c>
      <c r="J197" s="61">
        <f>DSUM($B$135:$Y$175,J$135,$C$184:$D197)</f>
        <v>10.22655680780375</v>
      </c>
      <c r="K197" s="61">
        <f>DSUM($B$135:$Y$175,K$135,$C$184:$D197)</f>
        <v>8.1626673283692117</v>
      </c>
      <c r="L197" s="61">
        <f>DSUM($B$135:$Y$175,L$135,$C$184:$D197)</f>
        <v>6.515305118413103</v>
      </c>
      <c r="M197" s="61">
        <f>DSUM($B$135:$Y$175,M$135,$C$184:$D197)</f>
        <v>5.2004080380059721</v>
      </c>
      <c r="N197" s="61">
        <f>DSUM($B$135:$Y$175,N$135,$C$184:$D197)</f>
        <v>4.1508790870479046</v>
      </c>
      <c r="O197" s="61">
        <f>DSUM($B$135:$Y$175,O$135,$C$184:$D197)</f>
        <v>3.3131625575092745</v>
      </c>
      <c r="P197" s="61">
        <f>DSUM($B$135:$Y$175,P$135,$C$184:$D197)</f>
        <v>2.6445111751709067</v>
      </c>
      <c r="Q197" s="61">
        <f>DSUM($B$135:$Y$175,Q$135,$C$184:$D197)</f>
        <v>2.1108047776747911</v>
      </c>
      <c r="R197" s="61">
        <f>DSUM($B$135:$Y$175,R$135,$C$184:$D197)</f>
        <v>1.6848092196724345</v>
      </c>
      <c r="S197" s="61">
        <f>DSUM($B$135:$Y$175,S$135,$C$184:$D197)</f>
        <v>1.3447866599108922</v>
      </c>
      <c r="T197" s="61">
        <f>DSUM($B$135:$Y$175,T$135,$C$184:$D197)</f>
        <v>1.0733863155294809</v>
      </c>
      <c r="U197" s="61">
        <f>DSUM($B$135:$Y$175,U$135,$C$184:$D197)</f>
        <v>7.3046923540569563E-3</v>
      </c>
      <c r="V197" s="61">
        <f>DSUM($B$135:$Y$175,V$135,$C$184:$D197)</f>
        <v>2.602894545914019E-3</v>
      </c>
      <c r="W197" s="61">
        <f>DSUM($B$135:$Y$175,W$135,$C$184:$D197)</f>
        <v>8.8533540226175256E-4</v>
      </c>
      <c r="X197" s="61">
        <f>DSUM($B$135:$Y$175,X$135,$C$184:$D197)</f>
        <v>2.8804075006580725E-4</v>
      </c>
      <c r="Y197" s="60">
        <f>DSUM($B$135:$Y$175,Y$135,$C$184:$D197)</f>
        <v>100.63473744788533</v>
      </c>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row>
    <row r="198" spans="2:79">
      <c r="B198" s="57" t="s">
        <v>138</v>
      </c>
      <c r="C198" s="64" t="s">
        <v>139</v>
      </c>
      <c r="D198" s="64" t="s">
        <v>140</v>
      </c>
      <c r="E198" s="61">
        <f>DSUM($B$135:$Y$175,E$135,$C$184:$D198)</f>
        <v>13.393503411726908</v>
      </c>
      <c r="F198" s="61">
        <f>DSUM($B$135:$Y$175,F$135,$C$184:$D198)</f>
        <v>13.363089205630651</v>
      </c>
      <c r="G198" s="61">
        <f>DSUM($B$135:$Y$175,G$135,$C$184:$D198)</f>
        <v>13.332744064655303</v>
      </c>
      <c r="H198" s="61">
        <f>DSUM($B$135:$Y$175,H$135,$C$184:$D198)</f>
        <v>13.302467831966553</v>
      </c>
      <c r="I198" s="61">
        <f>DSUM($B$135:$Y$175,I$135,$C$184:$D198)</f>
        <v>13.272260351086231</v>
      </c>
      <c r="J198" s="61">
        <f>DSUM($B$135:$Y$175,J$135,$C$184:$D198)</f>
        <v>11.917909319302368</v>
      </c>
      <c r="K198" s="61">
        <f>DSUM($B$135:$Y$175,K$135,$C$184:$D198)</f>
        <v>9.5126767348421524</v>
      </c>
      <c r="L198" s="61">
        <f>DSUM($B$135:$Y$175,L$135,$C$184:$D198)</f>
        <v>7.5928601432674911</v>
      </c>
      <c r="M198" s="61">
        <f>DSUM($B$135:$Y$175,M$135,$C$184:$D198)</f>
        <v>6.0604945129754437</v>
      </c>
      <c r="N198" s="61">
        <f>DSUM($B$135:$Y$175,N$135,$C$184:$D198)</f>
        <v>4.8373857872745374</v>
      </c>
      <c r="O198" s="61">
        <f>DSUM($B$135:$Y$175,O$135,$C$184:$D198)</f>
        <v>3.8611207723768981</v>
      </c>
      <c r="P198" s="61">
        <f>DSUM($B$135:$Y$175,P$135,$C$184:$D198)</f>
        <v>3.0818822964458925</v>
      </c>
      <c r="Q198" s="61">
        <f>DSUM($B$135:$Y$175,Q$135,$C$184:$D198)</f>
        <v>2.4599071225890858</v>
      </c>
      <c r="R198" s="61">
        <f>DSUM($B$135:$Y$175,R$135,$C$184:$D198)</f>
        <v>1.963456897345774</v>
      </c>
      <c r="S198" s="61">
        <f>DSUM($B$135:$Y$175,S$135,$C$184:$D198)</f>
        <v>1.5671985955620467</v>
      </c>
      <c r="T198" s="61">
        <f>DSUM($B$135:$Y$175,T$135,$C$184:$D198)</f>
        <v>1.2509118184625567</v>
      </c>
      <c r="U198" s="61">
        <f>DSUM($B$135:$Y$175,U$135,$C$184:$D198)</f>
        <v>8.5128027660903768E-3</v>
      </c>
      <c r="V198" s="61">
        <f>DSUM($B$135:$Y$175,V$135,$C$184:$D198)</f>
        <v>3.033382764982856E-3</v>
      </c>
      <c r="W198" s="61">
        <f>DSUM($B$135:$Y$175,W$135,$C$184:$D198)</f>
        <v>1.0317594904740623E-3</v>
      </c>
      <c r="X198" s="61">
        <f>DSUM($B$135:$Y$175,X$135,$C$184:$D198)</f>
        <v>3.35679310648191E-4</v>
      </c>
      <c r="Y198" s="60">
        <f>DSUM($B$135:$Y$175,Y$135,$C$184:$D198)</f>
        <v>117.27854231059341</v>
      </c>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row>
    <row r="199" spans="2:79">
      <c r="B199" s="57" t="s">
        <v>141</v>
      </c>
      <c r="C199" s="64" t="s">
        <v>142</v>
      </c>
      <c r="D199" s="64" t="s">
        <v>143</v>
      </c>
      <c r="E199" s="61">
        <f>DSUM($B$135:$Y$175,E$135,$C$184:$D199)</f>
        <v>13.393503411726908</v>
      </c>
      <c r="F199" s="61">
        <f>DSUM($B$135:$Y$175,F$135,$C$184:$D199)</f>
        <v>13.363089205630651</v>
      </c>
      <c r="G199" s="61">
        <f>DSUM($B$135:$Y$175,G$135,$C$184:$D199)</f>
        <v>13.332744064655303</v>
      </c>
      <c r="H199" s="61">
        <f>DSUM($B$135:$Y$175,H$135,$C$184:$D199)</f>
        <v>13.302467831966553</v>
      </c>
      <c r="I199" s="61">
        <f>DSUM($B$135:$Y$175,I$135,$C$184:$D199)</f>
        <v>13.272260351086231</v>
      </c>
      <c r="J199" s="61">
        <f>DSUM($B$135:$Y$175,J$135,$C$184:$D199)</f>
        <v>11.917909319302368</v>
      </c>
      <c r="K199" s="61">
        <f>DSUM($B$135:$Y$175,K$135,$C$184:$D199)</f>
        <v>9.5126767348421524</v>
      </c>
      <c r="L199" s="61">
        <f>DSUM($B$135:$Y$175,L$135,$C$184:$D199)</f>
        <v>7.5928601432674911</v>
      </c>
      <c r="M199" s="61">
        <f>DSUM($B$135:$Y$175,M$135,$C$184:$D199)</f>
        <v>6.0604945129754437</v>
      </c>
      <c r="N199" s="61">
        <f>DSUM($B$135:$Y$175,N$135,$C$184:$D199)</f>
        <v>4.8373857872745374</v>
      </c>
      <c r="O199" s="61">
        <f>DSUM($B$135:$Y$175,O$135,$C$184:$D199)</f>
        <v>3.8611207723768981</v>
      </c>
      <c r="P199" s="61">
        <f>DSUM($B$135:$Y$175,P$135,$C$184:$D199)</f>
        <v>3.0818822964458925</v>
      </c>
      <c r="Q199" s="61">
        <f>DSUM($B$135:$Y$175,Q$135,$C$184:$D199)</f>
        <v>2.4599071225890858</v>
      </c>
      <c r="R199" s="61">
        <f>DSUM($B$135:$Y$175,R$135,$C$184:$D199)</f>
        <v>1.963456897345774</v>
      </c>
      <c r="S199" s="61">
        <f>DSUM($B$135:$Y$175,S$135,$C$184:$D199)</f>
        <v>1.5671985955620467</v>
      </c>
      <c r="T199" s="61">
        <f>DSUM($B$135:$Y$175,T$135,$C$184:$D199)</f>
        <v>1.2509118184625567</v>
      </c>
      <c r="U199" s="61">
        <f>DSUM($B$135:$Y$175,U$135,$C$184:$D199)</f>
        <v>8.5128027660903768E-3</v>
      </c>
      <c r="V199" s="61">
        <f>DSUM($B$135:$Y$175,V$135,$C$184:$D199)</f>
        <v>3.033382764982856E-3</v>
      </c>
      <c r="W199" s="61">
        <f>DSUM($B$135:$Y$175,W$135,$C$184:$D199)</f>
        <v>1.0317594904740623E-3</v>
      </c>
      <c r="X199" s="61">
        <f>DSUM($B$135:$Y$175,X$135,$C$184:$D199)</f>
        <v>3.35679310648191E-4</v>
      </c>
      <c r="Y199" s="60">
        <f>DSUM($B$135:$Y$175,Y$135,$C$184:$D199)</f>
        <v>117.27854231059341</v>
      </c>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row>
    <row r="200" spans="2:79">
      <c r="B200" s="57" t="s">
        <v>144</v>
      </c>
      <c r="C200" s="64" t="s">
        <v>145</v>
      </c>
      <c r="D200" s="64" t="s">
        <v>146</v>
      </c>
      <c r="E200" s="61">
        <f>DSUM($B$135:$Y$175,E$135,$C$184:$D200)</f>
        <v>13.395462682187681</v>
      </c>
      <c r="F200" s="61">
        <f>DSUM($B$135:$Y$175,F$135,$C$184:$D200)</f>
        <v>13.365044026945167</v>
      </c>
      <c r="G200" s="61">
        <f>DSUM($B$135:$Y$175,G$135,$C$184:$D200)</f>
        <v>13.334694446926759</v>
      </c>
      <c r="H200" s="61">
        <f>DSUM($B$135:$Y$175,H$135,$C$184:$D200)</f>
        <v>13.30441378527521</v>
      </c>
      <c r="I200" s="61">
        <f>DSUM($B$135:$Y$175,I$135,$C$184:$D200)</f>
        <v>13.274201885489457</v>
      </c>
      <c r="J200" s="61">
        <f>DSUM($B$135:$Y$175,J$135,$C$184:$D200)</f>
        <v>11.919652732281456</v>
      </c>
      <c r="K200" s="61">
        <f>DSUM($B$135:$Y$175,K$135,$C$184:$D200)</f>
        <v>9.5140682980468299</v>
      </c>
      <c r="L200" s="61">
        <f>DSUM($B$135:$Y$175,L$135,$C$184:$D200)</f>
        <v>7.5939708658420244</v>
      </c>
      <c r="M200" s="61">
        <f>DSUM($B$135:$Y$175,M$135,$C$184:$D200)</f>
        <v>6.0613810732361868</v>
      </c>
      <c r="N200" s="61">
        <f>DSUM($B$135:$Y$175,N$135,$C$184:$D200)</f>
        <v>4.8380934249096672</v>
      </c>
      <c r="O200" s="61">
        <f>DSUM($B$135:$Y$175,O$135,$C$184:$D200)</f>
        <v>3.8616855969520856</v>
      </c>
      <c r="P200" s="61">
        <f>DSUM($B$135:$Y$175,P$135,$C$184:$D200)</f>
        <v>3.082333130015078</v>
      </c>
      <c r="Q200" s="61">
        <f>DSUM($B$135:$Y$175,Q$135,$C$184:$D200)</f>
        <v>2.4602669704357156</v>
      </c>
      <c r="R200" s="61">
        <f>DSUM($B$135:$Y$175,R$135,$C$184:$D200)</f>
        <v>1.9637441219039582</v>
      </c>
      <c r="S200" s="61">
        <f>DSUM($B$135:$Y$175,S$135,$C$184:$D200)</f>
        <v>1.5674278534208801</v>
      </c>
      <c r="T200" s="61">
        <f>DSUM($B$135:$Y$175,T$135,$C$184:$D200)</f>
        <v>1.2510948082673603</v>
      </c>
      <c r="U200" s="61">
        <f>DSUM($B$135:$Y$175,U$135,$C$184:$D200)</f>
        <v>8.5140480625960982E-3</v>
      </c>
      <c r="V200" s="61">
        <f>DSUM($B$135:$Y$175,V$135,$C$184:$D200)</f>
        <v>3.0338265037915119E-3</v>
      </c>
      <c r="W200" s="61">
        <f>DSUM($B$135:$Y$175,W$135,$C$184:$D200)</f>
        <v>1.031910421550881E-3</v>
      </c>
      <c r="X200" s="61">
        <f>DSUM($B$135:$Y$175,X$135,$C$184:$D200)</f>
        <v>3.3572841554161792E-4</v>
      </c>
      <c r="Y200" s="60">
        <f>DSUM($B$135:$Y$175,Y$135,$C$184:$D200)</f>
        <v>117.29569841804104</v>
      </c>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row>
    <row r="201" spans="2:79">
      <c r="B201" s="57" t="s">
        <v>147</v>
      </c>
      <c r="C201" s="64" t="s">
        <v>148</v>
      </c>
      <c r="D201" s="64" t="s">
        <v>149</v>
      </c>
      <c r="E201" s="61">
        <f>DSUM($B$135:$Y$175,E$135,$C$184:$D201)</f>
        <v>13.402083158153971</v>
      </c>
      <c r="F201" s="61">
        <f>DSUM($B$135:$Y$175,F$135,$C$184:$D201)</f>
        <v>13.371649469016717</v>
      </c>
      <c r="G201" s="61">
        <f>DSUM($B$135:$Y$175,G$135,$C$184:$D201)</f>
        <v>13.341284889242806</v>
      </c>
      <c r="H201" s="61">
        <f>DSUM($B$135:$Y$175,H$135,$C$184:$D201)</f>
        <v>13.310989261897465</v>
      </c>
      <c r="I201" s="61">
        <f>DSUM($B$135:$Y$175,I$135,$C$184:$D201)</f>
        <v>13.28076243040228</v>
      </c>
      <c r="J201" s="61">
        <f>DSUM($B$135:$Y$175,J$135,$C$184:$D201)</f>
        <v>11.925543814680985</v>
      </c>
      <c r="K201" s="61">
        <f>DSUM($B$135:$Y$175,K$135,$C$184:$D201)</f>
        <v>9.5187704619065823</v>
      </c>
      <c r="L201" s="61">
        <f>DSUM($B$135:$Y$175,L$135,$C$184:$D201)</f>
        <v>7.5977240547238729</v>
      </c>
      <c r="M201" s="61">
        <f>DSUM($B$135:$Y$175,M$135,$C$184:$D201)</f>
        <v>6.0643768060951384</v>
      </c>
      <c r="N201" s="61">
        <f>DSUM($B$135:$Y$175,N$135,$C$184:$D201)</f>
        <v>4.8404845689860014</v>
      </c>
      <c r="O201" s="61">
        <f>DSUM($B$135:$Y$175,O$135,$C$184:$D201)</f>
        <v>3.8635941683311081</v>
      </c>
      <c r="P201" s="61">
        <f>DSUM($B$135:$Y$175,P$135,$C$184:$D201)</f>
        <v>3.0838565199039918</v>
      </c>
      <c r="Q201" s="61">
        <f>DSUM($B$135:$Y$175,Q$135,$C$184:$D201)</f>
        <v>2.4614829148741322</v>
      </c>
      <c r="R201" s="61">
        <f>DSUM($B$135:$Y$175,R$135,$C$184:$D201)</f>
        <v>1.9647146685040613</v>
      </c>
      <c r="S201" s="61">
        <f>DSUM($B$135:$Y$175,S$135,$C$184:$D201)</f>
        <v>1.5682025275533582</v>
      </c>
      <c r="T201" s="61">
        <f>DSUM($B$135:$Y$175,T$135,$C$184:$D201)</f>
        <v>1.2517131402582886</v>
      </c>
      <c r="U201" s="61">
        <f>DSUM($B$135:$Y$175,U$135,$C$184:$D201)</f>
        <v>8.5182559837341416E-3</v>
      </c>
      <c r="V201" s="61">
        <f>DSUM($B$135:$Y$175,V$135,$C$184:$D201)</f>
        <v>3.0353259201185753E-3</v>
      </c>
      <c r="W201" s="61">
        <f>DSUM($B$135:$Y$175,W$135,$C$184:$D201)</f>
        <v>1.0324204254460304E-3</v>
      </c>
      <c r="X201" s="61">
        <f>DSUM($B$135:$Y$175,X$135,$C$184:$D201)</f>
        <v>3.3589434350984328E-4</v>
      </c>
      <c r="Y201" s="60">
        <f>DSUM($B$135:$Y$175,Y$135,$C$184:$D201)</f>
        <v>117.35366979019517</v>
      </c>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row>
    <row r="202" spans="2:79">
      <c r="B202" s="57" t="s">
        <v>150</v>
      </c>
      <c r="C202" s="64" t="s">
        <v>151</v>
      </c>
      <c r="D202" s="64" t="s">
        <v>152</v>
      </c>
      <c r="E202" s="61">
        <f>DSUM($B$135:$Y$175,E$135,$C$184:$D202)</f>
        <v>13.402083158153971</v>
      </c>
      <c r="F202" s="61">
        <f>DSUM($B$135:$Y$175,F$135,$C$184:$D202)</f>
        <v>13.371649469016717</v>
      </c>
      <c r="G202" s="61">
        <f>DSUM($B$135:$Y$175,G$135,$C$184:$D202)</f>
        <v>13.341284889242806</v>
      </c>
      <c r="H202" s="61">
        <f>DSUM($B$135:$Y$175,H$135,$C$184:$D202)</f>
        <v>13.310989261897465</v>
      </c>
      <c r="I202" s="61">
        <f>DSUM($B$135:$Y$175,I$135,$C$184:$D202)</f>
        <v>13.28076243040228</v>
      </c>
      <c r="J202" s="61">
        <f>DSUM($B$135:$Y$175,J$135,$C$184:$D202)</f>
        <v>11.925543814680985</v>
      </c>
      <c r="K202" s="61">
        <f>DSUM($B$135:$Y$175,K$135,$C$184:$D202)</f>
        <v>9.5187704619065823</v>
      </c>
      <c r="L202" s="61">
        <f>DSUM($B$135:$Y$175,L$135,$C$184:$D202)</f>
        <v>7.5977240547238729</v>
      </c>
      <c r="M202" s="61">
        <f>DSUM($B$135:$Y$175,M$135,$C$184:$D202)</f>
        <v>6.0643768060951384</v>
      </c>
      <c r="N202" s="61">
        <f>DSUM($B$135:$Y$175,N$135,$C$184:$D202)</f>
        <v>4.8404845689860014</v>
      </c>
      <c r="O202" s="61">
        <f>DSUM($B$135:$Y$175,O$135,$C$184:$D202)</f>
        <v>3.8635941683311081</v>
      </c>
      <c r="P202" s="61">
        <f>DSUM($B$135:$Y$175,P$135,$C$184:$D202)</f>
        <v>3.0838565199039918</v>
      </c>
      <c r="Q202" s="61">
        <f>DSUM($B$135:$Y$175,Q$135,$C$184:$D202)</f>
        <v>2.4614829148741322</v>
      </c>
      <c r="R202" s="61">
        <f>DSUM($B$135:$Y$175,R$135,$C$184:$D202)</f>
        <v>1.9647146685040613</v>
      </c>
      <c r="S202" s="61">
        <f>DSUM($B$135:$Y$175,S$135,$C$184:$D202)</f>
        <v>1.5682025275533582</v>
      </c>
      <c r="T202" s="61">
        <f>DSUM($B$135:$Y$175,T$135,$C$184:$D202)</f>
        <v>1.2517131402582886</v>
      </c>
      <c r="U202" s="61">
        <f>DSUM($B$135:$Y$175,U$135,$C$184:$D202)</f>
        <v>8.5182559837341416E-3</v>
      </c>
      <c r="V202" s="61">
        <f>DSUM($B$135:$Y$175,V$135,$C$184:$D202)</f>
        <v>3.0353259201185753E-3</v>
      </c>
      <c r="W202" s="61">
        <f>DSUM($B$135:$Y$175,W$135,$C$184:$D202)</f>
        <v>1.0324204254460304E-3</v>
      </c>
      <c r="X202" s="61">
        <f>DSUM($B$135:$Y$175,X$135,$C$184:$D202)</f>
        <v>3.3589434350984328E-4</v>
      </c>
      <c r="Y202" s="60">
        <f>DSUM($B$135:$Y$175,Y$135,$C$184:$D202)</f>
        <v>117.35366979019517</v>
      </c>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row>
    <row r="203" spans="2:79">
      <c r="B203" s="57" t="s">
        <v>153</v>
      </c>
      <c r="C203" s="64" t="s">
        <v>154</v>
      </c>
      <c r="D203" s="64" t="s">
        <v>155</v>
      </c>
      <c r="E203" s="61">
        <f>DSUM($B$135:$Y$175,E$135,$C$184:$D203)</f>
        <v>13.402083158153971</v>
      </c>
      <c r="F203" s="61">
        <f>DSUM($B$135:$Y$175,F$135,$C$184:$D203)</f>
        <v>13.371649469016717</v>
      </c>
      <c r="G203" s="61">
        <f>DSUM($B$135:$Y$175,G$135,$C$184:$D203)</f>
        <v>13.341284889242806</v>
      </c>
      <c r="H203" s="61">
        <f>DSUM($B$135:$Y$175,H$135,$C$184:$D203)</f>
        <v>13.310989261897465</v>
      </c>
      <c r="I203" s="61">
        <f>DSUM($B$135:$Y$175,I$135,$C$184:$D203)</f>
        <v>13.28076243040228</v>
      </c>
      <c r="J203" s="61">
        <f>DSUM($B$135:$Y$175,J$135,$C$184:$D203)</f>
        <v>11.925543814680985</v>
      </c>
      <c r="K203" s="61">
        <f>DSUM($B$135:$Y$175,K$135,$C$184:$D203)</f>
        <v>9.5187704619065823</v>
      </c>
      <c r="L203" s="61">
        <f>DSUM($B$135:$Y$175,L$135,$C$184:$D203)</f>
        <v>7.5977240547238729</v>
      </c>
      <c r="M203" s="61">
        <f>DSUM($B$135:$Y$175,M$135,$C$184:$D203)</f>
        <v>6.0643768060951384</v>
      </c>
      <c r="N203" s="61">
        <f>DSUM($B$135:$Y$175,N$135,$C$184:$D203)</f>
        <v>4.8404845689860014</v>
      </c>
      <c r="O203" s="61">
        <f>DSUM($B$135:$Y$175,O$135,$C$184:$D203)</f>
        <v>3.8635941683311081</v>
      </c>
      <c r="P203" s="61">
        <f>DSUM($B$135:$Y$175,P$135,$C$184:$D203)</f>
        <v>3.0838565199039918</v>
      </c>
      <c r="Q203" s="61">
        <f>DSUM($B$135:$Y$175,Q$135,$C$184:$D203)</f>
        <v>2.4614829148741322</v>
      </c>
      <c r="R203" s="61">
        <f>DSUM($B$135:$Y$175,R$135,$C$184:$D203)</f>
        <v>1.9647146685040613</v>
      </c>
      <c r="S203" s="61">
        <f>DSUM($B$135:$Y$175,S$135,$C$184:$D203)</f>
        <v>1.5682025275533582</v>
      </c>
      <c r="T203" s="61">
        <f>DSUM($B$135:$Y$175,T$135,$C$184:$D203)</f>
        <v>1.2517131402582886</v>
      </c>
      <c r="U203" s="61">
        <f>DSUM($B$135:$Y$175,U$135,$C$184:$D203)</f>
        <v>8.5182559837341416E-3</v>
      </c>
      <c r="V203" s="61">
        <f>DSUM($B$135:$Y$175,V$135,$C$184:$D203)</f>
        <v>3.0353259201185753E-3</v>
      </c>
      <c r="W203" s="61">
        <f>DSUM($B$135:$Y$175,W$135,$C$184:$D203)</f>
        <v>1.0324204254460304E-3</v>
      </c>
      <c r="X203" s="61">
        <f>DSUM($B$135:$Y$175,X$135,$C$184:$D203)</f>
        <v>3.3589434350984328E-4</v>
      </c>
      <c r="Y203" s="60">
        <f>DSUM($B$135:$Y$175,Y$135,$C$184:$D203)</f>
        <v>117.35366979019517</v>
      </c>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row>
    <row r="204" spans="2:79">
      <c r="B204" s="57" t="s">
        <v>156</v>
      </c>
      <c r="C204" s="64" t="s">
        <v>157</v>
      </c>
      <c r="D204" s="64" t="s">
        <v>158</v>
      </c>
      <c r="E204" s="61">
        <f>DSUM($B$135:$Y$175,E$135,$C$184:$D204)</f>
        <v>13.40259151720883</v>
      </c>
      <c r="F204" s="61">
        <f>DSUM($B$135:$Y$175,F$135,$C$184:$D204)</f>
        <v>13.372156673680777</v>
      </c>
      <c r="G204" s="61">
        <f>DSUM($B$135:$Y$175,G$135,$C$184:$D204)</f>
        <v>13.341790942137482</v>
      </c>
      <c r="H204" s="61">
        <f>DSUM($B$135:$Y$175,H$135,$C$184:$D204)</f>
        <v>13.311494165638214</v>
      </c>
      <c r="I204" s="61">
        <f>DSUM($B$135:$Y$175,I$135,$C$184:$D204)</f>
        <v>13.281266187598622</v>
      </c>
      <c r="J204" s="61">
        <f>DSUM($B$135:$Y$175,J$135,$C$184:$D204)</f>
        <v>11.925996166610961</v>
      </c>
      <c r="K204" s="61">
        <f>DSUM($B$135:$Y$175,K$135,$C$184:$D204)</f>
        <v>9.5191315216835086</v>
      </c>
      <c r="L204" s="61">
        <f>DSUM($B$135:$Y$175,L$135,$C$184:$D204)</f>
        <v>7.598012246624636</v>
      </c>
      <c r="M204" s="61">
        <f>DSUM($B$135:$Y$175,M$135,$C$184:$D204)</f>
        <v>6.0646068360707073</v>
      </c>
      <c r="N204" s="61">
        <f>DSUM($B$135:$Y$175,N$135,$C$184:$D204)</f>
        <v>4.8406681750815252</v>
      </c>
      <c r="O204" s="61">
        <f>DSUM($B$135:$Y$175,O$135,$C$184:$D204)</f>
        <v>3.8637407196587326</v>
      </c>
      <c r="P204" s="61">
        <f>DSUM($B$135:$Y$175,P$135,$C$184:$D204)</f>
        <v>3.0839734947329998</v>
      </c>
      <c r="Q204" s="61">
        <f>DSUM($B$135:$Y$175,Q$135,$C$184:$D204)</f>
        <v>2.4615762822345184</v>
      </c>
      <c r="R204" s="61">
        <f>DSUM($B$135:$Y$175,R$135,$C$184:$D204)</f>
        <v>1.9647891927761583</v>
      </c>
      <c r="S204" s="61">
        <f>DSUM($B$135:$Y$175,S$135,$C$184:$D204)</f>
        <v>1.5682620115862003</v>
      </c>
      <c r="T204" s="61">
        <f>DSUM($B$135:$Y$175,T$135,$C$184:$D204)</f>
        <v>1.2517606194226414</v>
      </c>
      <c r="U204" s="61">
        <f>DSUM($B$135:$Y$175,U$135,$C$184:$D204)</f>
        <v>8.5185790926501082E-3</v>
      </c>
      <c r="V204" s="61">
        <f>DSUM($B$135:$Y$175,V$135,$C$184:$D204)</f>
        <v>3.035441054116606E-3</v>
      </c>
      <c r="W204" s="61">
        <f>DSUM($B$135:$Y$175,W$135,$C$184:$D204)</f>
        <v>1.0324595865425182E-3</v>
      </c>
      <c r="X204" s="61">
        <f>DSUM($B$135:$Y$175,X$135,$C$184:$D204)</f>
        <v>3.3590708443444309E-4</v>
      </c>
      <c r="Y204" s="60">
        <f>DSUM($B$135:$Y$175,Y$135,$C$184:$D204)</f>
        <v>117.35812117286117</v>
      </c>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row>
    <row r="205" spans="2:79">
      <c r="B205" s="57" t="s">
        <v>159</v>
      </c>
      <c r="C205" s="64" t="s">
        <v>160</v>
      </c>
      <c r="D205" s="64" t="s">
        <v>161</v>
      </c>
      <c r="E205" s="61">
        <f>DSUM($B$135:$Y$175,E$135,$C$184:$D205)</f>
        <v>13.404192265579987</v>
      </c>
      <c r="F205" s="61">
        <f>DSUM($B$135:$Y$175,F$135,$C$184:$D205)</f>
        <v>13.373753787044024</v>
      </c>
      <c r="G205" s="61">
        <f>DSUM($B$135:$Y$175,G$135,$C$184:$D205)</f>
        <v>13.343384428747257</v>
      </c>
      <c r="H205" s="61">
        <f>DSUM($B$135:$Y$175,H$135,$C$184:$D205)</f>
        <v>13.313084033730215</v>
      </c>
      <c r="I205" s="61">
        <f>DSUM($B$135:$Y$175,I$135,$C$184:$D205)</f>
        <v>13.282852445389842</v>
      </c>
      <c r="J205" s="61">
        <f>DSUM($B$135:$Y$175,J$135,$C$184:$D205)</f>
        <v>11.927420556730858</v>
      </c>
      <c r="K205" s="61">
        <f>DSUM($B$135:$Y$175,K$135,$C$184:$D205)</f>
        <v>9.5202684461550646</v>
      </c>
      <c r="L205" s="61">
        <f>DSUM($B$135:$Y$175,L$135,$C$184:$D205)</f>
        <v>7.5989197208032087</v>
      </c>
      <c r="M205" s="61">
        <f>DSUM($B$135:$Y$175,M$135,$C$184:$D205)</f>
        <v>6.0653311668467431</v>
      </c>
      <c r="N205" s="61">
        <f>DSUM($B$135:$Y$175,N$135,$C$184:$D205)</f>
        <v>4.8412463238437722</v>
      </c>
      <c r="O205" s="61">
        <f>DSUM($B$135:$Y$175,O$135,$C$184:$D205)</f>
        <v>3.8642021883721256</v>
      </c>
      <c r="P205" s="61">
        <f>DSUM($B$135:$Y$175,P$135,$C$184:$D205)</f>
        <v>3.0843418313746147</v>
      </c>
      <c r="Q205" s="61">
        <f>DSUM($B$135:$Y$175,Q$135,$C$184:$D205)</f>
        <v>2.4618702824074861</v>
      </c>
      <c r="R205" s="61">
        <f>DSUM($B$135:$Y$175,R$135,$C$184:$D205)</f>
        <v>1.9650238588178688</v>
      </c>
      <c r="S205" s="61">
        <f>DSUM($B$135:$Y$175,S$135,$C$184:$D205)</f>
        <v>1.5684493181125068</v>
      </c>
      <c r="T205" s="61">
        <f>DSUM($B$135:$Y$175,T$135,$C$184:$D205)</f>
        <v>1.2519101243724899</v>
      </c>
      <c r="U205" s="61">
        <f>DSUM($B$135:$Y$175,U$135,$C$184:$D205)</f>
        <v>8.5195965154067181E-3</v>
      </c>
      <c r="V205" s="61">
        <f>DSUM($B$135:$Y$175,V$135,$C$184:$D205)</f>
        <v>3.0358035942504961E-3</v>
      </c>
      <c r="W205" s="61">
        <f>DSUM($B$135:$Y$175,W$135,$C$184:$D205)</f>
        <v>1.0325828991122792E-3</v>
      </c>
      <c r="X205" s="61">
        <f>DSUM($B$135:$Y$175,X$135,$C$184:$D205)</f>
        <v>3.3594720374402427E-4</v>
      </c>
      <c r="Y205" s="60">
        <f>DSUM($B$135:$Y$175,Y$135,$C$184:$D205)</f>
        <v>117.37213792634265</v>
      </c>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row>
    <row r="206" spans="2:79">
      <c r="B206" s="27" t="s">
        <v>1667</v>
      </c>
      <c r="C206" s="566" t="s">
        <v>163</v>
      </c>
      <c r="D206" s="566" t="s">
        <v>1668</v>
      </c>
      <c r="E206" s="61">
        <f>DSUM($B$135:$Y$175,E$135,$C$184:$D206)</f>
        <v>13.404192265579987</v>
      </c>
      <c r="F206" s="61">
        <f>DSUM($B$135:$Y$175,F$135,$C$184:$D206)</f>
        <v>13.373753787044024</v>
      </c>
      <c r="G206" s="61">
        <f>DSUM($B$135:$Y$175,G$135,$C$184:$D206)</f>
        <v>13.343384428747257</v>
      </c>
      <c r="H206" s="61">
        <f>DSUM($B$135:$Y$175,H$135,$C$184:$D206)</f>
        <v>13.313084033730215</v>
      </c>
      <c r="I206" s="61">
        <f>DSUM($B$135:$Y$175,I$135,$C$184:$D206)</f>
        <v>13.282852445389842</v>
      </c>
      <c r="J206" s="61">
        <f>DSUM($B$135:$Y$175,J$135,$C$184:$D206)</f>
        <v>11.927420556730858</v>
      </c>
      <c r="K206" s="61">
        <f>DSUM($B$135:$Y$175,K$135,$C$184:$D206)</f>
        <v>9.5202684461550646</v>
      </c>
      <c r="L206" s="61">
        <f>DSUM($B$135:$Y$175,L$135,$C$184:$D206)</f>
        <v>7.5989197208032087</v>
      </c>
      <c r="M206" s="61">
        <f>DSUM($B$135:$Y$175,M$135,$C$184:$D206)</f>
        <v>6.0653311668467431</v>
      </c>
      <c r="N206" s="61">
        <f>DSUM($B$135:$Y$175,N$135,$C$184:$D206)</f>
        <v>4.8412463238437722</v>
      </c>
      <c r="O206" s="61">
        <f>DSUM($B$135:$Y$175,O$135,$C$184:$D206)</f>
        <v>3.8642021883721256</v>
      </c>
      <c r="P206" s="61">
        <f>DSUM($B$135:$Y$175,P$135,$C$184:$D206)</f>
        <v>3.0843418313746147</v>
      </c>
      <c r="Q206" s="61">
        <f>DSUM($B$135:$Y$175,Q$135,$C$184:$D206)</f>
        <v>2.4618702824074861</v>
      </c>
      <c r="R206" s="61">
        <f>DSUM($B$135:$Y$175,R$135,$C$184:$D206)</f>
        <v>1.9650238588178688</v>
      </c>
      <c r="S206" s="61">
        <f>DSUM($B$135:$Y$175,S$135,$C$184:$D206)</f>
        <v>1.5684493181125068</v>
      </c>
      <c r="T206" s="61">
        <f>DSUM($B$135:$Y$175,T$135,$C$184:$D206)</f>
        <v>1.2519101243724899</v>
      </c>
      <c r="U206" s="61">
        <f>DSUM($B$135:$Y$175,U$135,$C$184:$D206)</f>
        <v>8.5195965154067181E-3</v>
      </c>
      <c r="V206" s="61">
        <f>DSUM($B$135:$Y$175,V$135,$C$184:$D206)</f>
        <v>3.0358035942504961E-3</v>
      </c>
      <c r="W206" s="61">
        <f>DSUM($B$135:$Y$175,W$135,$C$184:$D206)</f>
        <v>1.0325828991122792E-3</v>
      </c>
      <c r="X206" s="61">
        <f>DSUM($B$135:$Y$175,X$135,$C$184:$D206)</f>
        <v>3.3594720374402427E-4</v>
      </c>
      <c r="Y206" s="60">
        <f>DSUM($B$135:$Y$175,Y$135,$C$184:$D206)</f>
        <v>117.37213792634265</v>
      </c>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row>
    <row r="207" spans="2:79">
      <c r="B207" s="27" t="s">
        <v>1669</v>
      </c>
      <c r="C207" s="566" t="s">
        <v>1670</v>
      </c>
      <c r="D207" s="566" t="s">
        <v>1671</v>
      </c>
      <c r="E207" s="61">
        <f>DSUM($B$135:$Y$175,E$135,$C$184:$D207)</f>
        <v>13.404192265579987</v>
      </c>
      <c r="F207" s="61">
        <f>DSUM($B$135:$Y$175,F$135,$C$184:$D207)</f>
        <v>13.373753787044024</v>
      </c>
      <c r="G207" s="61">
        <f>DSUM($B$135:$Y$175,G$135,$C$184:$D207)</f>
        <v>13.343384428747257</v>
      </c>
      <c r="H207" s="61">
        <f>DSUM($B$135:$Y$175,H$135,$C$184:$D207)</f>
        <v>13.313084033730215</v>
      </c>
      <c r="I207" s="61">
        <f>DSUM($B$135:$Y$175,I$135,$C$184:$D207)</f>
        <v>13.282852445389842</v>
      </c>
      <c r="J207" s="61">
        <f>DSUM($B$135:$Y$175,J$135,$C$184:$D207)</f>
        <v>11.927420556730858</v>
      </c>
      <c r="K207" s="61">
        <f>DSUM($B$135:$Y$175,K$135,$C$184:$D207)</f>
        <v>9.5202684461550646</v>
      </c>
      <c r="L207" s="61">
        <f>DSUM($B$135:$Y$175,L$135,$C$184:$D207)</f>
        <v>7.5989197208032087</v>
      </c>
      <c r="M207" s="61">
        <f>DSUM($B$135:$Y$175,M$135,$C$184:$D207)</f>
        <v>6.0653311668467431</v>
      </c>
      <c r="N207" s="61">
        <f>DSUM($B$135:$Y$175,N$135,$C$184:$D207)</f>
        <v>4.8412463238437722</v>
      </c>
      <c r="O207" s="61">
        <f>DSUM($B$135:$Y$175,O$135,$C$184:$D207)</f>
        <v>3.8642021883721256</v>
      </c>
      <c r="P207" s="61">
        <f>DSUM($B$135:$Y$175,P$135,$C$184:$D207)</f>
        <v>3.0843418313746147</v>
      </c>
      <c r="Q207" s="61">
        <f>DSUM($B$135:$Y$175,Q$135,$C$184:$D207)</f>
        <v>2.4618702824074861</v>
      </c>
      <c r="R207" s="61">
        <f>DSUM($B$135:$Y$175,R$135,$C$184:$D207)</f>
        <v>1.9650238588178688</v>
      </c>
      <c r="S207" s="61">
        <f>DSUM($B$135:$Y$175,S$135,$C$184:$D207)</f>
        <v>1.5684493181125068</v>
      </c>
      <c r="T207" s="61">
        <f>DSUM($B$135:$Y$175,T$135,$C$184:$D207)</f>
        <v>1.2519101243724899</v>
      </c>
      <c r="U207" s="61">
        <f>DSUM($B$135:$Y$175,U$135,$C$184:$D207)</f>
        <v>8.5195965154067181E-3</v>
      </c>
      <c r="V207" s="61">
        <f>DSUM($B$135:$Y$175,V$135,$C$184:$D207)</f>
        <v>3.0358035942504961E-3</v>
      </c>
      <c r="W207" s="61">
        <f>DSUM($B$135:$Y$175,W$135,$C$184:$D207)</f>
        <v>1.0325828991122792E-3</v>
      </c>
      <c r="X207" s="61">
        <f>DSUM($B$135:$Y$175,X$135,$C$184:$D207)</f>
        <v>3.3594720374402427E-4</v>
      </c>
      <c r="Y207" s="60">
        <f>DSUM($B$135:$Y$175,Y$135,$C$184:$D207)</f>
        <v>117.37213792634265</v>
      </c>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row>
    <row r="208" spans="2:79">
      <c r="B208" s="27" t="s">
        <v>1672</v>
      </c>
      <c r="C208" s="566" t="s">
        <v>1673</v>
      </c>
      <c r="D208" s="566" t="s">
        <v>1674</v>
      </c>
      <c r="E208" s="61">
        <f>DSUM($B$135:$Y$175,E$135,$C$184:$D208)</f>
        <v>13.404192265579987</v>
      </c>
      <c r="F208" s="61">
        <f>DSUM($B$135:$Y$175,F$135,$C$184:$D208)</f>
        <v>13.373753787044024</v>
      </c>
      <c r="G208" s="61">
        <f>DSUM($B$135:$Y$175,G$135,$C$184:$D208)</f>
        <v>13.343384428747257</v>
      </c>
      <c r="H208" s="61">
        <f>DSUM($B$135:$Y$175,H$135,$C$184:$D208)</f>
        <v>13.313084033730215</v>
      </c>
      <c r="I208" s="61">
        <f>DSUM($B$135:$Y$175,I$135,$C$184:$D208)</f>
        <v>13.282852445389842</v>
      </c>
      <c r="J208" s="61">
        <f>DSUM($B$135:$Y$175,J$135,$C$184:$D208)</f>
        <v>11.927420556730858</v>
      </c>
      <c r="K208" s="61">
        <f>DSUM($B$135:$Y$175,K$135,$C$184:$D208)</f>
        <v>9.5202684461550646</v>
      </c>
      <c r="L208" s="61">
        <f>DSUM($B$135:$Y$175,L$135,$C$184:$D208)</f>
        <v>7.5989197208032087</v>
      </c>
      <c r="M208" s="61">
        <f>DSUM($B$135:$Y$175,M$135,$C$184:$D208)</f>
        <v>6.0653311668467431</v>
      </c>
      <c r="N208" s="61">
        <f>DSUM($B$135:$Y$175,N$135,$C$184:$D208)</f>
        <v>4.8412463238437722</v>
      </c>
      <c r="O208" s="61">
        <f>DSUM($B$135:$Y$175,O$135,$C$184:$D208)</f>
        <v>3.8642021883721256</v>
      </c>
      <c r="P208" s="61">
        <f>DSUM($B$135:$Y$175,P$135,$C$184:$D208)</f>
        <v>3.0843418313746147</v>
      </c>
      <c r="Q208" s="61">
        <f>DSUM($B$135:$Y$175,Q$135,$C$184:$D208)</f>
        <v>2.4618702824074861</v>
      </c>
      <c r="R208" s="61">
        <f>DSUM($B$135:$Y$175,R$135,$C$184:$D208)</f>
        <v>1.9650238588178688</v>
      </c>
      <c r="S208" s="61">
        <f>DSUM($B$135:$Y$175,S$135,$C$184:$D208)</f>
        <v>1.5684493181125068</v>
      </c>
      <c r="T208" s="61">
        <f>DSUM($B$135:$Y$175,T$135,$C$184:$D208)</f>
        <v>1.2519101243724899</v>
      </c>
      <c r="U208" s="61">
        <f>DSUM($B$135:$Y$175,U$135,$C$184:$D208)</f>
        <v>8.5195965154067181E-3</v>
      </c>
      <c r="V208" s="61">
        <f>DSUM($B$135:$Y$175,V$135,$C$184:$D208)</f>
        <v>3.0358035942504961E-3</v>
      </c>
      <c r="W208" s="61">
        <f>DSUM($B$135:$Y$175,W$135,$C$184:$D208)</f>
        <v>1.0325828991122792E-3</v>
      </c>
      <c r="X208" s="61">
        <f>DSUM($B$135:$Y$175,X$135,$C$184:$D208)</f>
        <v>3.3594720374402427E-4</v>
      </c>
      <c r="Y208" s="60">
        <f>DSUM($B$135:$Y$175,Y$135,$C$184:$D208)</f>
        <v>117.37213792634265</v>
      </c>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row>
    <row r="209" spans="1:79">
      <c r="B209" s="27" t="s">
        <v>1675</v>
      </c>
      <c r="C209" s="566" t="s">
        <v>1676</v>
      </c>
      <c r="D209" s="566" t="s">
        <v>1677</v>
      </c>
      <c r="E209" s="61">
        <f>DSUM($B$135:$Y$175,E$135,$C$184:$D209)</f>
        <v>13.404192265579987</v>
      </c>
      <c r="F209" s="61">
        <f>DSUM($B$135:$Y$175,F$135,$C$184:$D209)</f>
        <v>13.373753787044024</v>
      </c>
      <c r="G209" s="61">
        <f>DSUM($B$135:$Y$175,G$135,$C$184:$D209)</f>
        <v>13.343384428747257</v>
      </c>
      <c r="H209" s="61">
        <f>DSUM($B$135:$Y$175,H$135,$C$184:$D209)</f>
        <v>13.313084033730215</v>
      </c>
      <c r="I209" s="61">
        <f>DSUM($B$135:$Y$175,I$135,$C$184:$D209)</f>
        <v>13.282852445389842</v>
      </c>
      <c r="J209" s="61">
        <f>DSUM($B$135:$Y$175,J$135,$C$184:$D209)</f>
        <v>11.927420556730858</v>
      </c>
      <c r="K209" s="61">
        <f>DSUM($B$135:$Y$175,K$135,$C$184:$D209)</f>
        <v>9.5202684461550646</v>
      </c>
      <c r="L209" s="61">
        <f>DSUM($B$135:$Y$175,L$135,$C$184:$D209)</f>
        <v>7.5989197208032087</v>
      </c>
      <c r="M209" s="61">
        <f>DSUM($B$135:$Y$175,M$135,$C$184:$D209)</f>
        <v>6.0653311668467431</v>
      </c>
      <c r="N209" s="61">
        <f>DSUM($B$135:$Y$175,N$135,$C$184:$D209)</f>
        <v>4.8412463238437722</v>
      </c>
      <c r="O209" s="61">
        <f>DSUM($B$135:$Y$175,O$135,$C$184:$D209)</f>
        <v>3.8642021883721256</v>
      </c>
      <c r="P209" s="61">
        <f>DSUM($B$135:$Y$175,P$135,$C$184:$D209)</f>
        <v>3.0843418313746147</v>
      </c>
      <c r="Q209" s="61">
        <f>DSUM($B$135:$Y$175,Q$135,$C$184:$D209)</f>
        <v>2.4618702824074861</v>
      </c>
      <c r="R209" s="61">
        <f>DSUM($B$135:$Y$175,R$135,$C$184:$D209)</f>
        <v>1.9650238588178688</v>
      </c>
      <c r="S209" s="61">
        <f>DSUM($B$135:$Y$175,S$135,$C$184:$D209)</f>
        <v>1.5684493181125068</v>
      </c>
      <c r="T209" s="61">
        <f>DSUM($B$135:$Y$175,T$135,$C$184:$D209)</f>
        <v>1.2519101243724899</v>
      </c>
      <c r="U209" s="61">
        <f>DSUM($B$135:$Y$175,U$135,$C$184:$D209)</f>
        <v>8.5195965154067181E-3</v>
      </c>
      <c r="V209" s="61">
        <f>DSUM($B$135:$Y$175,V$135,$C$184:$D209)</f>
        <v>3.0358035942504961E-3</v>
      </c>
      <c r="W209" s="61">
        <f>DSUM($B$135:$Y$175,W$135,$C$184:$D209)</f>
        <v>1.0325828991122792E-3</v>
      </c>
      <c r="X209" s="61">
        <f>DSUM($B$135:$Y$175,X$135,$C$184:$D209)</f>
        <v>3.3594720374402427E-4</v>
      </c>
      <c r="Y209" s="60">
        <f>DSUM($B$135:$Y$175,Y$135,$C$184:$D209)</f>
        <v>117.37213792634265</v>
      </c>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row>
    <row r="210" spans="1:79">
      <c r="B210" s="27" t="s">
        <v>1678</v>
      </c>
      <c r="C210" s="566" t="s">
        <v>1679</v>
      </c>
      <c r="D210" s="566" t="s">
        <v>1680</v>
      </c>
      <c r="E210" s="61">
        <f>DSUM($B$135:$Y$175,E$135,$C$184:$D210)</f>
        <v>13.548346669453068</v>
      </c>
      <c r="F210" s="61">
        <f>DSUM($B$135:$Y$175,F$135,$C$184:$D210)</f>
        <v>13.517580842529284</v>
      </c>
      <c r="G210" s="61">
        <f>DSUM($B$135:$Y$175,G$135,$C$184:$D210)</f>
        <v>13.486884879193248</v>
      </c>
      <c r="H210" s="61">
        <f>DSUM($B$135:$Y$175,H$135,$C$184:$D210)</f>
        <v>13.456258620797477</v>
      </c>
      <c r="I210" s="61">
        <f>DSUM($B$135:$Y$175,I$135,$C$184:$D210)</f>
        <v>13.425701909054741</v>
      </c>
      <c r="J210" s="61">
        <f>DSUM($B$135:$Y$175,J$135,$C$184:$D210)</f>
        <v>12.05569312743355</v>
      </c>
      <c r="K210" s="61">
        <f>DSUM($B$135:$Y$175,K$135,$C$184:$D210)</f>
        <v>9.6226534758066649</v>
      </c>
      <c r="L210" s="61">
        <f>DSUM($B$135:$Y$175,L$135,$C$184:$D210)</f>
        <v>7.6806417463253762</v>
      </c>
      <c r="M210" s="61">
        <f>DSUM($B$135:$Y$175,M$135,$C$184:$D210)</f>
        <v>6.130560326599606</v>
      </c>
      <c r="N210" s="61">
        <f>DSUM($B$135:$Y$175,N$135,$C$184:$D210)</f>
        <v>4.8933111528158619</v>
      </c>
      <c r="O210" s="61">
        <f>DSUM($B$135:$Y$175,O$135,$C$184:$D210)</f>
        <v>3.9057594677570409</v>
      </c>
      <c r="P210" s="61">
        <f>DSUM($B$135:$Y$175,P$135,$C$184:$D210)</f>
        <v>3.1175121596743915</v>
      </c>
      <c r="Q210" s="61">
        <f>DSUM($B$135:$Y$175,Q$135,$C$184:$D210)</f>
        <v>2.4883462860294729</v>
      </c>
      <c r="R210" s="61">
        <f>DSUM($B$135:$Y$175,R$135,$C$184:$D210)</f>
        <v>1.9861565639709915</v>
      </c>
      <c r="S210" s="61">
        <f>DSUM($B$135:$Y$175,S$135,$C$184:$D210)</f>
        <v>1.5853170914164034</v>
      </c>
      <c r="T210" s="61">
        <f>DSUM($B$135:$Y$175,T$135,$C$184:$D210)</f>
        <v>1.2653737001035696</v>
      </c>
      <c r="U210" s="61">
        <f>DSUM($B$135:$Y$175,U$135,$C$184:$D210)</f>
        <v>8.6112198920775592E-3</v>
      </c>
      <c r="V210" s="61">
        <f>DSUM($B$135:$Y$175,V$135,$C$184:$D210)</f>
        <v>3.0684519216345111E-3</v>
      </c>
      <c r="W210" s="61">
        <f>DSUM($B$135:$Y$175,W$135,$C$184:$D210)</f>
        <v>1.0436877362648539E-3</v>
      </c>
      <c r="X210" s="61">
        <f>DSUM($B$135:$Y$175,X$135,$C$184:$D210)</f>
        <v>3.3956012333880692E-4</v>
      </c>
      <c r="Y210" s="60">
        <f>DSUM($B$135:$Y$175,Y$135,$C$184:$D210)</f>
        <v>118.63440798624981</v>
      </c>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row>
    <row r="211" spans="1:79">
      <c r="B211" s="27" t="s">
        <v>1681</v>
      </c>
      <c r="C211" s="566" t="s">
        <v>1682</v>
      </c>
      <c r="D211" s="566" t="s">
        <v>1683</v>
      </c>
      <c r="E211" s="61">
        <f>DSUM($B$135:$Y$175,E$135,$C$184:$D211)</f>
        <v>13.548346669453068</v>
      </c>
      <c r="F211" s="61">
        <f>DSUM($B$135:$Y$175,F$135,$C$184:$D211)</f>
        <v>13.517580842529284</v>
      </c>
      <c r="G211" s="61">
        <f>DSUM($B$135:$Y$175,G$135,$C$184:$D211)</f>
        <v>13.486884879193248</v>
      </c>
      <c r="H211" s="61">
        <f>DSUM($B$135:$Y$175,H$135,$C$184:$D211)</f>
        <v>13.456258620797477</v>
      </c>
      <c r="I211" s="61">
        <f>DSUM($B$135:$Y$175,I$135,$C$184:$D211)</f>
        <v>13.425701909054741</v>
      </c>
      <c r="J211" s="61">
        <f>DSUM($B$135:$Y$175,J$135,$C$184:$D211)</f>
        <v>12.05569312743355</v>
      </c>
      <c r="K211" s="61">
        <f>DSUM($B$135:$Y$175,K$135,$C$184:$D211)</f>
        <v>9.6226534758066649</v>
      </c>
      <c r="L211" s="61">
        <f>DSUM($B$135:$Y$175,L$135,$C$184:$D211)</f>
        <v>7.6806417463253762</v>
      </c>
      <c r="M211" s="61">
        <f>DSUM($B$135:$Y$175,M$135,$C$184:$D211)</f>
        <v>6.130560326599606</v>
      </c>
      <c r="N211" s="61">
        <f>DSUM($B$135:$Y$175,N$135,$C$184:$D211)</f>
        <v>4.8933111528158619</v>
      </c>
      <c r="O211" s="61">
        <f>DSUM($B$135:$Y$175,O$135,$C$184:$D211)</f>
        <v>3.9057594677570409</v>
      </c>
      <c r="P211" s="61">
        <f>DSUM($B$135:$Y$175,P$135,$C$184:$D211)</f>
        <v>3.1175121596743915</v>
      </c>
      <c r="Q211" s="61">
        <f>DSUM($B$135:$Y$175,Q$135,$C$184:$D211)</f>
        <v>2.4883462860294729</v>
      </c>
      <c r="R211" s="61">
        <f>DSUM($B$135:$Y$175,R$135,$C$184:$D211)</f>
        <v>1.9861565639709915</v>
      </c>
      <c r="S211" s="61">
        <f>DSUM($B$135:$Y$175,S$135,$C$184:$D211)</f>
        <v>1.5853170914164034</v>
      </c>
      <c r="T211" s="61">
        <f>DSUM($B$135:$Y$175,T$135,$C$184:$D211)</f>
        <v>1.2653737001035696</v>
      </c>
      <c r="U211" s="61">
        <f>DSUM($B$135:$Y$175,U$135,$C$184:$D211)</f>
        <v>8.6112198920775592E-3</v>
      </c>
      <c r="V211" s="61">
        <f>DSUM($B$135:$Y$175,V$135,$C$184:$D211)</f>
        <v>3.0684519216345111E-3</v>
      </c>
      <c r="W211" s="61">
        <f>DSUM($B$135:$Y$175,W$135,$C$184:$D211)</f>
        <v>1.0436877362648539E-3</v>
      </c>
      <c r="X211" s="61">
        <f>DSUM($B$135:$Y$175,X$135,$C$184:$D211)</f>
        <v>3.3956012333880692E-4</v>
      </c>
      <c r="Y211" s="60">
        <f>DSUM($B$135:$Y$175,Y$135,$C$184:$D211)</f>
        <v>118.63440798624981</v>
      </c>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row>
    <row r="212" spans="1:79">
      <c r="B212" s="27" t="s">
        <v>1684</v>
      </c>
      <c r="C212" s="566" t="s">
        <v>1685</v>
      </c>
      <c r="D212" s="566" t="s">
        <v>1686</v>
      </c>
      <c r="E212" s="61">
        <f>DSUM($B$135:$Y$175,E$135,$C$184:$D212)</f>
        <v>13.548346669453068</v>
      </c>
      <c r="F212" s="61">
        <f>DSUM($B$135:$Y$175,F$135,$C$184:$D212)</f>
        <v>13.517580842529284</v>
      </c>
      <c r="G212" s="61">
        <f>DSUM($B$135:$Y$175,G$135,$C$184:$D212)</f>
        <v>13.486884879193248</v>
      </c>
      <c r="H212" s="61">
        <f>DSUM($B$135:$Y$175,H$135,$C$184:$D212)</f>
        <v>13.456258620797477</v>
      </c>
      <c r="I212" s="61">
        <f>DSUM($B$135:$Y$175,I$135,$C$184:$D212)</f>
        <v>13.425701909054741</v>
      </c>
      <c r="J212" s="61">
        <f>DSUM($B$135:$Y$175,J$135,$C$184:$D212)</f>
        <v>12.05569312743355</v>
      </c>
      <c r="K212" s="61">
        <f>DSUM($B$135:$Y$175,K$135,$C$184:$D212)</f>
        <v>9.6226534758066649</v>
      </c>
      <c r="L212" s="61">
        <f>DSUM($B$135:$Y$175,L$135,$C$184:$D212)</f>
        <v>7.6806417463253762</v>
      </c>
      <c r="M212" s="61">
        <f>DSUM($B$135:$Y$175,M$135,$C$184:$D212)</f>
        <v>6.130560326599606</v>
      </c>
      <c r="N212" s="61">
        <f>DSUM($B$135:$Y$175,N$135,$C$184:$D212)</f>
        <v>4.8933111528158619</v>
      </c>
      <c r="O212" s="61">
        <f>DSUM($B$135:$Y$175,O$135,$C$184:$D212)</f>
        <v>3.9057594677570409</v>
      </c>
      <c r="P212" s="61">
        <f>DSUM($B$135:$Y$175,P$135,$C$184:$D212)</f>
        <v>3.1175121596743915</v>
      </c>
      <c r="Q212" s="61">
        <f>DSUM($B$135:$Y$175,Q$135,$C$184:$D212)</f>
        <v>2.4883462860294729</v>
      </c>
      <c r="R212" s="61">
        <f>DSUM($B$135:$Y$175,R$135,$C$184:$D212)</f>
        <v>1.9861565639709915</v>
      </c>
      <c r="S212" s="61">
        <f>DSUM($B$135:$Y$175,S$135,$C$184:$D212)</f>
        <v>1.5853170914164034</v>
      </c>
      <c r="T212" s="61">
        <f>DSUM($B$135:$Y$175,T$135,$C$184:$D212)</f>
        <v>1.2653737001035696</v>
      </c>
      <c r="U212" s="61">
        <f>DSUM($B$135:$Y$175,U$135,$C$184:$D212)</f>
        <v>8.6112198920775592E-3</v>
      </c>
      <c r="V212" s="61">
        <f>DSUM($B$135:$Y$175,V$135,$C$184:$D212)</f>
        <v>3.0684519216345111E-3</v>
      </c>
      <c r="W212" s="61">
        <f>DSUM($B$135:$Y$175,W$135,$C$184:$D212)</f>
        <v>1.0436877362648539E-3</v>
      </c>
      <c r="X212" s="61">
        <f>DSUM($B$135:$Y$175,X$135,$C$184:$D212)</f>
        <v>3.3956012333880692E-4</v>
      </c>
      <c r="Y212" s="60">
        <f>DSUM($B$135:$Y$175,Y$135,$C$184:$D212)</f>
        <v>118.63440798624981</v>
      </c>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row>
    <row r="213" spans="1:79">
      <c r="B213" s="27" t="s">
        <v>1687</v>
      </c>
      <c r="C213" s="566" t="s">
        <v>1688</v>
      </c>
      <c r="D213" s="566" t="s">
        <v>1689</v>
      </c>
      <c r="E213" s="61">
        <f>DSUM($B$135:$Y$175,E$135,$C$184:$D213)</f>
        <v>13.548346669453068</v>
      </c>
      <c r="F213" s="61">
        <f>DSUM($B$135:$Y$175,F$135,$C$184:$D213)</f>
        <v>13.517580842529284</v>
      </c>
      <c r="G213" s="61">
        <f>DSUM($B$135:$Y$175,G$135,$C$184:$D213)</f>
        <v>13.486884879193248</v>
      </c>
      <c r="H213" s="61">
        <f>DSUM($B$135:$Y$175,H$135,$C$184:$D213)</f>
        <v>13.456258620797477</v>
      </c>
      <c r="I213" s="61">
        <f>DSUM($B$135:$Y$175,I$135,$C$184:$D213)</f>
        <v>13.425701909054741</v>
      </c>
      <c r="J213" s="61">
        <f>DSUM($B$135:$Y$175,J$135,$C$184:$D213)</f>
        <v>12.05569312743355</v>
      </c>
      <c r="K213" s="61">
        <f>DSUM($B$135:$Y$175,K$135,$C$184:$D213)</f>
        <v>9.6226534758066649</v>
      </c>
      <c r="L213" s="61">
        <f>DSUM($B$135:$Y$175,L$135,$C$184:$D213)</f>
        <v>7.6806417463253762</v>
      </c>
      <c r="M213" s="61">
        <f>DSUM($B$135:$Y$175,M$135,$C$184:$D213)</f>
        <v>6.130560326599606</v>
      </c>
      <c r="N213" s="61">
        <f>DSUM($B$135:$Y$175,N$135,$C$184:$D213)</f>
        <v>4.8933111528158619</v>
      </c>
      <c r="O213" s="61">
        <f>DSUM($B$135:$Y$175,O$135,$C$184:$D213)</f>
        <v>3.9057594677570409</v>
      </c>
      <c r="P213" s="61">
        <f>DSUM($B$135:$Y$175,P$135,$C$184:$D213)</f>
        <v>3.1175121596743915</v>
      </c>
      <c r="Q213" s="61">
        <f>DSUM($B$135:$Y$175,Q$135,$C$184:$D213)</f>
        <v>2.4883462860294729</v>
      </c>
      <c r="R213" s="61">
        <f>DSUM($B$135:$Y$175,R$135,$C$184:$D213)</f>
        <v>1.9861565639709915</v>
      </c>
      <c r="S213" s="61">
        <f>DSUM($B$135:$Y$175,S$135,$C$184:$D213)</f>
        <v>1.5853170914164034</v>
      </c>
      <c r="T213" s="61">
        <f>DSUM($B$135:$Y$175,T$135,$C$184:$D213)</f>
        <v>1.2653737001035696</v>
      </c>
      <c r="U213" s="61">
        <f>DSUM($B$135:$Y$175,U$135,$C$184:$D213)</f>
        <v>8.6112198920775592E-3</v>
      </c>
      <c r="V213" s="61">
        <f>DSUM($B$135:$Y$175,V$135,$C$184:$D213)</f>
        <v>3.0684519216345111E-3</v>
      </c>
      <c r="W213" s="61">
        <f>DSUM($B$135:$Y$175,W$135,$C$184:$D213)</f>
        <v>1.0436877362648539E-3</v>
      </c>
      <c r="X213" s="61">
        <f>DSUM($B$135:$Y$175,X$135,$C$184:$D213)</f>
        <v>3.3956012333880692E-4</v>
      </c>
      <c r="Y213" s="60">
        <f>DSUM($B$135:$Y$175,Y$135,$C$184:$D213)</f>
        <v>118.63440798624981</v>
      </c>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row>
    <row r="214" spans="1:79">
      <c r="B214" s="27" t="s">
        <v>1690</v>
      </c>
      <c r="C214" s="566" t="s">
        <v>1691</v>
      </c>
      <c r="D214" s="566" t="s">
        <v>1692</v>
      </c>
      <c r="E214" s="61">
        <f>DSUM($B$135:$Y$175,E$135,$C$184:$D214)</f>
        <v>13.548346669453068</v>
      </c>
      <c r="F214" s="61">
        <f>DSUM($B$135:$Y$175,F$135,$C$184:$D214)</f>
        <v>13.517580842529284</v>
      </c>
      <c r="G214" s="61">
        <f>DSUM($B$135:$Y$175,G$135,$C$184:$D214)</f>
        <v>13.486884879193248</v>
      </c>
      <c r="H214" s="61">
        <f>DSUM($B$135:$Y$175,H$135,$C$184:$D214)</f>
        <v>13.456258620797477</v>
      </c>
      <c r="I214" s="61">
        <f>DSUM($B$135:$Y$175,I$135,$C$184:$D214)</f>
        <v>13.425701909054741</v>
      </c>
      <c r="J214" s="61">
        <f>DSUM($B$135:$Y$175,J$135,$C$184:$D214)</f>
        <v>12.05569312743355</v>
      </c>
      <c r="K214" s="61">
        <f>DSUM($B$135:$Y$175,K$135,$C$184:$D214)</f>
        <v>9.6226534758066649</v>
      </c>
      <c r="L214" s="61">
        <f>DSUM($B$135:$Y$175,L$135,$C$184:$D214)</f>
        <v>7.6806417463253762</v>
      </c>
      <c r="M214" s="61">
        <f>DSUM($B$135:$Y$175,M$135,$C$184:$D214)</f>
        <v>6.130560326599606</v>
      </c>
      <c r="N214" s="61">
        <f>DSUM($B$135:$Y$175,N$135,$C$184:$D214)</f>
        <v>4.8933111528158619</v>
      </c>
      <c r="O214" s="61">
        <f>DSUM($B$135:$Y$175,O$135,$C$184:$D214)</f>
        <v>3.9057594677570409</v>
      </c>
      <c r="P214" s="61">
        <f>DSUM($B$135:$Y$175,P$135,$C$184:$D214)</f>
        <v>3.1175121596743915</v>
      </c>
      <c r="Q214" s="61">
        <f>DSUM($B$135:$Y$175,Q$135,$C$184:$D214)</f>
        <v>2.4883462860294729</v>
      </c>
      <c r="R214" s="61">
        <f>DSUM($B$135:$Y$175,R$135,$C$184:$D214)</f>
        <v>1.9861565639709915</v>
      </c>
      <c r="S214" s="61">
        <f>DSUM($B$135:$Y$175,S$135,$C$184:$D214)</f>
        <v>1.5853170914164034</v>
      </c>
      <c r="T214" s="61">
        <f>DSUM($B$135:$Y$175,T$135,$C$184:$D214)</f>
        <v>1.2653737001035696</v>
      </c>
      <c r="U214" s="61">
        <f>DSUM($B$135:$Y$175,U$135,$C$184:$D214)</f>
        <v>8.6112198920775592E-3</v>
      </c>
      <c r="V214" s="61">
        <f>DSUM($B$135:$Y$175,V$135,$C$184:$D214)</f>
        <v>3.0684519216345111E-3</v>
      </c>
      <c r="W214" s="61">
        <f>DSUM($B$135:$Y$175,W$135,$C$184:$D214)</f>
        <v>1.0436877362648539E-3</v>
      </c>
      <c r="X214" s="61">
        <f>DSUM($B$135:$Y$175,X$135,$C$184:$D214)</f>
        <v>3.3956012333880692E-4</v>
      </c>
      <c r="Y214" s="60">
        <f>DSUM($B$135:$Y$175,Y$135,$C$184:$D214)</f>
        <v>118.63440798624981</v>
      </c>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row>
    <row r="215" spans="1:79">
      <c r="B215" s="27" t="s">
        <v>1693</v>
      </c>
      <c r="C215" s="566" t="s">
        <v>1694</v>
      </c>
      <c r="D215" s="566" t="s">
        <v>1695</v>
      </c>
      <c r="E215" s="61">
        <f>DSUM($B$135:$Y$175,E$135,$C$184:$D215)</f>
        <v>13.558419659175122</v>
      </c>
      <c r="F215" s="61">
        <f>DSUM($B$135:$Y$175,F$135,$C$184:$D215)</f>
        <v>13.527630958326871</v>
      </c>
      <c r="G215" s="61">
        <f>DSUM($B$135:$Y$175,G$135,$C$184:$D215)</f>
        <v>13.496912173008882</v>
      </c>
      <c r="H215" s="61">
        <f>DSUM($B$135:$Y$175,H$135,$C$184:$D215)</f>
        <v>13.46626314445572</v>
      </c>
      <c r="I215" s="61">
        <f>DSUM($B$135:$Y$175,I$135,$C$184:$D215)</f>
        <v>13.435683714262471</v>
      </c>
      <c r="J215" s="61">
        <f>DSUM($B$135:$Y$175,J$135,$C$184:$D215)</f>
        <v>12.064656351945562</v>
      </c>
      <c r="K215" s="61">
        <f>DSUM($B$135:$Y$175,K$135,$C$184:$D215)</f>
        <v>9.6298077723363846</v>
      </c>
      <c r="L215" s="61">
        <f>DSUM($B$135:$Y$175,L$135,$C$184:$D215)</f>
        <v>7.6863521866659656</v>
      </c>
      <c r="M215" s="61">
        <f>DSUM($B$135:$Y$175,M$135,$C$184:$D215)</f>
        <v>6.1351183049763707</v>
      </c>
      <c r="N215" s="61">
        <f>DSUM($B$135:$Y$175,N$135,$C$184:$D215)</f>
        <v>4.8969492552464908</v>
      </c>
      <c r="O215" s="61">
        <f>DSUM($B$135:$Y$175,O$135,$C$184:$D215)</f>
        <v>3.9086633405273066</v>
      </c>
      <c r="P215" s="61">
        <f>DSUM($B$135:$Y$175,P$135,$C$184:$D215)</f>
        <v>3.119829982557798</v>
      </c>
      <c r="Q215" s="61">
        <f>DSUM($B$135:$Y$175,Q$135,$C$184:$D215)</f>
        <v>2.490196333653409</v>
      </c>
      <c r="R215" s="61">
        <f>DSUM($B$135:$Y$175,R$135,$C$184:$D215)</f>
        <v>1.9876332411732647</v>
      </c>
      <c r="S215" s="61">
        <f>DSUM($B$135:$Y$175,S$135,$C$184:$D215)</f>
        <v>1.5864957505663084</v>
      </c>
      <c r="T215" s="61">
        <f>DSUM($B$135:$Y$175,T$135,$C$184:$D215)</f>
        <v>1.2663144862073414</v>
      </c>
      <c r="U215" s="61">
        <f>DSUM($B$135:$Y$175,U$135,$C$184:$D215)</f>
        <v>8.6176222031184198E-3</v>
      </c>
      <c r="V215" s="61">
        <f>DSUM($B$135:$Y$175,V$135,$C$184:$D215)</f>
        <v>3.070733268976983E-3</v>
      </c>
      <c r="W215" s="61">
        <f>DSUM($B$135:$Y$175,W$135,$C$184:$D215)</f>
        <v>1.0444637022256405E-3</v>
      </c>
      <c r="X215" s="61">
        <f>DSUM($B$135:$Y$175,X$135,$C$184:$D215)</f>
        <v>3.3981258112689432E-4</v>
      </c>
      <c r="Y215" s="60">
        <f>DSUM($B$135:$Y$175,Y$135,$C$184:$D215)</f>
        <v>118.72261086454064</v>
      </c>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row>
    <row r="216" spans="1:79">
      <c r="B216" s="27" t="s">
        <v>1696</v>
      </c>
      <c r="C216" s="566" t="s">
        <v>1697</v>
      </c>
      <c r="D216" s="566" t="s">
        <v>164</v>
      </c>
      <c r="E216" s="61">
        <f>DSUM($B$135:$Y$175,E$135,$C$184:$D216)</f>
        <v>13.621665389142173</v>
      </c>
      <c r="F216" s="61">
        <f>DSUM($B$135:$Y$175,F$135,$C$184:$D216)</f>
        <v>13.590733068763857</v>
      </c>
      <c r="G216" s="61">
        <f>DSUM($B$135:$Y$175,G$135,$C$184:$D216)</f>
        <v>13.559870990049586</v>
      </c>
      <c r="H216" s="61">
        <f>DSUM($B$135:$Y$175,H$135,$C$184:$D216)</f>
        <v>13.529078993493341</v>
      </c>
      <c r="I216" s="61">
        <f>DSUM($B$135:$Y$175,I$135,$C$184:$D216)</f>
        <v>13.498356919951298</v>
      </c>
      <c r="J216" s="61">
        <f>DSUM($B$135:$Y$175,J$135,$C$184:$D216)</f>
        <v>12.120934149576943</v>
      </c>
      <c r="K216" s="61">
        <f>DSUM($B$135:$Y$175,K$135,$C$184:$D216)</f>
        <v>9.6747277731413188</v>
      </c>
      <c r="L216" s="61">
        <f>DSUM($B$135:$Y$175,L$135,$C$184:$D216)</f>
        <v>7.7222065831996023</v>
      </c>
      <c r="M216" s="61">
        <f>DSUM($B$135:$Y$175,M$135,$C$184:$D216)</f>
        <v>6.1637366871614852</v>
      </c>
      <c r="N216" s="61">
        <f>DSUM($B$135:$Y$175,N$135,$C$184:$D216)</f>
        <v>4.9197919712889959</v>
      </c>
      <c r="O216" s="61">
        <f>DSUM($B$135:$Y$175,O$135,$C$184:$D216)</f>
        <v>3.9268960160441617</v>
      </c>
      <c r="P216" s="61">
        <f>DSUM($B$135:$Y$175,P$135,$C$184:$D216)</f>
        <v>3.1343830005038402</v>
      </c>
      <c r="Q216" s="61">
        <f>DSUM($B$135:$Y$175,Q$135,$C$184:$D216)</f>
        <v>2.5018123102083614</v>
      </c>
      <c r="R216" s="61">
        <f>DSUM($B$135:$Y$175,R$135,$C$184:$D216)</f>
        <v>1.9969049202040656</v>
      </c>
      <c r="S216" s="61">
        <f>DSUM($B$135:$Y$175,S$135,$C$184:$D216)</f>
        <v>1.5938962503558463</v>
      </c>
      <c r="T216" s="61">
        <f>DSUM($B$135:$Y$175,T$135,$C$184:$D216)</f>
        <v>1.2722214418895867</v>
      </c>
      <c r="U216" s="61">
        <f>DSUM($B$135:$Y$175,U$135,$C$184:$D216)</f>
        <v>8.6578206790851719E-3</v>
      </c>
      <c r="V216" s="61">
        <f>DSUM($B$135:$Y$175,V$135,$C$184:$D216)</f>
        <v>3.0850572663168301E-3</v>
      </c>
      <c r="W216" s="61">
        <f>DSUM($B$135:$Y$175,W$135,$C$184:$D216)</f>
        <v>1.0493357943227933E-3</v>
      </c>
      <c r="X216" s="61">
        <f>DSUM($B$135:$Y$175,X$135,$C$184:$D216)</f>
        <v>3.4139769910418119E-4</v>
      </c>
      <c r="Y216" s="60">
        <f>DSUM($B$135:$Y$175,Y$135,$C$184:$D216)</f>
        <v>119.2764142115731</v>
      </c>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row>
    <row r="217" spans="1:7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row>
    <row r="218" spans="1:7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row>
    <row r="219" spans="1:79" ht="15">
      <c r="A219" s="77" t="s">
        <v>165</v>
      </c>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row>
    <row r="220" spans="1:79" ht="15">
      <c r="D220" s="84" t="str">
        <f>C22</f>
        <v>ResWx - Retro</v>
      </c>
      <c r="E220" s="78">
        <f t="shared" ref="E220:X220" si="90">E11</f>
        <v>2016</v>
      </c>
      <c r="F220" s="79">
        <f t="shared" si="90"/>
        <v>2017</v>
      </c>
      <c r="G220" s="79">
        <f t="shared" si="90"/>
        <v>2018</v>
      </c>
      <c r="H220" s="79">
        <f t="shared" si="90"/>
        <v>2019</v>
      </c>
      <c r="I220" s="79">
        <f t="shared" si="90"/>
        <v>2020</v>
      </c>
      <c r="J220" s="79">
        <f t="shared" si="90"/>
        <v>2021</v>
      </c>
      <c r="K220" s="79">
        <f t="shared" si="90"/>
        <v>2022</v>
      </c>
      <c r="L220" s="79">
        <f t="shared" si="90"/>
        <v>2023</v>
      </c>
      <c r="M220" s="79">
        <f t="shared" si="90"/>
        <v>2024</v>
      </c>
      <c r="N220" s="79">
        <f t="shared" si="90"/>
        <v>2025</v>
      </c>
      <c r="O220" s="79">
        <f t="shared" si="90"/>
        <v>2026</v>
      </c>
      <c r="P220" s="79">
        <f t="shared" si="90"/>
        <v>2027</v>
      </c>
      <c r="Q220" s="79">
        <f t="shared" si="90"/>
        <v>2028</v>
      </c>
      <c r="R220" s="79">
        <f t="shared" si="90"/>
        <v>2029</v>
      </c>
      <c r="S220" s="79">
        <f t="shared" si="90"/>
        <v>2030</v>
      </c>
      <c r="T220" s="79">
        <f t="shared" si="90"/>
        <v>2031</v>
      </c>
      <c r="U220" s="79">
        <f t="shared" si="90"/>
        <v>2032</v>
      </c>
      <c r="V220" s="79">
        <f t="shared" si="90"/>
        <v>2033</v>
      </c>
      <c r="W220" s="79">
        <f t="shared" si="90"/>
        <v>2034</v>
      </c>
      <c r="X220" s="79">
        <f t="shared" si="90"/>
        <v>2035</v>
      </c>
      <c r="Y220" s="80" t="s">
        <v>1664</v>
      </c>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row>
    <row r="221" spans="1:79" ht="15">
      <c r="E221" s="81" t="str">
        <f t="shared" ref="E221:X221" si="91">CONCATENATE("aMW_",E220)</f>
        <v>aMW_2016</v>
      </c>
      <c r="F221" s="82" t="str">
        <f t="shared" si="91"/>
        <v>aMW_2017</v>
      </c>
      <c r="G221" s="82" t="str">
        <f t="shared" si="91"/>
        <v>aMW_2018</v>
      </c>
      <c r="H221" s="82" t="str">
        <f t="shared" si="91"/>
        <v>aMW_2019</v>
      </c>
      <c r="I221" s="82" t="str">
        <f t="shared" si="91"/>
        <v>aMW_2020</v>
      </c>
      <c r="J221" s="82" t="str">
        <f t="shared" si="91"/>
        <v>aMW_2021</v>
      </c>
      <c r="K221" s="82" t="str">
        <f t="shared" si="91"/>
        <v>aMW_2022</v>
      </c>
      <c r="L221" s="82" t="str">
        <f t="shared" si="91"/>
        <v>aMW_2023</v>
      </c>
      <c r="M221" s="82" t="str">
        <f t="shared" si="91"/>
        <v>aMW_2024</v>
      </c>
      <c r="N221" s="82" t="str">
        <f t="shared" si="91"/>
        <v>aMW_2025</v>
      </c>
      <c r="O221" s="82" t="str">
        <f t="shared" si="91"/>
        <v>aMW_2026</v>
      </c>
      <c r="P221" s="82" t="str">
        <f t="shared" si="91"/>
        <v>aMW_2027</v>
      </c>
      <c r="Q221" s="82" t="str">
        <f t="shared" si="91"/>
        <v>aMW_2028</v>
      </c>
      <c r="R221" s="82" t="str">
        <f t="shared" si="91"/>
        <v>aMW_2029</v>
      </c>
      <c r="S221" s="82" t="str">
        <f t="shared" si="91"/>
        <v>aMW_2030</v>
      </c>
      <c r="T221" s="82" t="str">
        <f t="shared" si="91"/>
        <v>aMW_2031</v>
      </c>
      <c r="U221" s="82" t="str">
        <f t="shared" si="91"/>
        <v>aMW_2032</v>
      </c>
      <c r="V221" s="82" t="str">
        <f t="shared" si="91"/>
        <v>aMW_2033</v>
      </c>
      <c r="W221" s="82" t="str">
        <f t="shared" si="91"/>
        <v>aMW_2034</v>
      </c>
      <c r="X221" s="82" t="str">
        <f t="shared" si="91"/>
        <v>aMW_2035</v>
      </c>
      <c r="Y221" s="83" t="s">
        <v>1664</v>
      </c>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row>
    <row r="222" spans="1:79">
      <c r="D222" s="57" t="s">
        <v>99</v>
      </c>
      <c r="E222" s="65">
        <f t="shared" ref="E222:Y222" si="92">E185</f>
        <v>0</v>
      </c>
      <c r="F222" s="65">
        <f t="shared" si="92"/>
        <v>0</v>
      </c>
      <c r="G222" s="65">
        <f t="shared" si="92"/>
        <v>0</v>
      </c>
      <c r="H222" s="65">
        <f t="shared" si="92"/>
        <v>0</v>
      </c>
      <c r="I222" s="65">
        <f t="shared" si="92"/>
        <v>0</v>
      </c>
      <c r="J222" s="65">
        <f t="shared" si="92"/>
        <v>0</v>
      </c>
      <c r="K222" s="65">
        <f t="shared" si="92"/>
        <v>0</v>
      </c>
      <c r="L222" s="65">
        <f t="shared" si="92"/>
        <v>0</v>
      </c>
      <c r="M222" s="65">
        <f t="shared" si="92"/>
        <v>0</v>
      </c>
      <c r="N222" s="65">
        <f t="shared" si="92"/>
        <v>0</v>
      </c>
      <c r="O222" s="65">
        <f t="shared" si="92"/>
        <v>0</v>
      </c>
      <c r="P222" s="65">
        <f t="shared" si="92"/>
        <v>0</v>
      </c>
      <c r="Q222" s="65">
        <f t="shared" si="92"/>
        <v>0</v>
      </c>
      <c r="R222" s="65">
        <f t="shared" si="92"/>
        <v>0</v>
      </c>
      <c r="S222" s="65">
        <f t="shared" si="92"/>
        <v>0</v>
      </c>
      <c r="T222" s="65">
        <f t="shared" si="92"/>
        <v>0</v>
      </c>
      <c r="U222" s="65">
        <f t="shared" si="92"/>
        <v>0</v>
      </c>
      <c r="V222" s="65">
        <f t="shared" si="92"/>
        <v>0</v>
      </c>
      <c r="W222" s="65">
        <f t="shared" si="92"/>
        <v>0</v>
      </c>
      <c r="X222" s="65">
        <f t="shared" si="92"/>
        <v>0</v>
      </c>
      <c r="Y222" s="65">
        <f t="shared" si="92"/>
        <v>0</v>
      </c>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row>
    <row r="223" spans="1:79">
      <c r="D223" s="57" t="s">
        <v>1712</v>
      </c>
      <c r="E223" s="65">
        <f>E186-E185</f>
        <v>2.8802518564916349E-2</v>
      </c>
      <c r="F223" s="65">
        <f t="shared" ref="E223:X235" si="93">F186-F185</f>
        <v>2.8737113292763478E-2</v>
      </c>
      <c r="G223" s="65">
        <f t="shared" si="93"/>
        <v>2.8671856544067516E-2</v>
      </c>
      <c r="H223" s="65">
        <f t="shared" si="93"/>
        <v>2.8606747981558774E-2</v>
      </c>
      <c r="I223" s="65">
        <f t="shared" si="93"/>
        <v>2.8541787268733406E-2</v>
      </c>
      <c r="J223" s="65">
        <f t="shared" si="93"/>
        <v>2.5629276662866556E-2</v>
      </c>
      <c r="K223" s="65">
        <f t="shared" si="93"/>
        <v>2.0456861795954243E-2</v>
      </c>
      <c r="L223" s="65">
        <f t="shared" si="93"/>
        <v>1.6328326391868059E-2</v>
      </c>
      <c r="M223" s="65">
        <f t="shared" si="93"/>
        <v>1.3032998189981585E-2</v>
      </c>
      <c r="N223" s="65">
        <f t="shared" si="93"/>
        <v>1.0402722100451005E-2</v>
      </c>
      <c r="O223" s="65">
        <f t="shared" si="93"/>
        <v>8.3032795310596617E-3</v>
      </c>
      <c r="P223" s="65">
        <f t="shared" si="93"/>
        <v>6.6275394368100395E-3</v>
      </c>
      <c r="Q223" s="65">
        <f t="shared" si="93"/>
        <v>5.2899916017721607E-3</v>
      </c>
      <c r="R223" s="65">
        <f t="shared" si="93"/>
        <v>4.2223831956991328E-3</v>
      </c>
      <c r="S223" s="65">
        <f t="shared" si="93"/>
        <v>3.3702359461874813E-3</v>
      </c>
      <c r="T223" s="65">
        <f t="shared" si="93"/>
        <v>2.6900662034994461E-3</v>
      </c>
      <c r="U223" s="65">
        <f t="shared" si="93"/>
        <v>1.830664854239026E-5</v>
      </c>
      <c r="V223" s="65">
        <f t="shared" si="93"/>
        <v>6.5232419567249711E-6</v>
      </c>
      <c r="W223" s="65">
        <f t="shared" si="93"/>
        <v>2.2187825668441881E-6</v>
      </c>
      <c r="X223" s="65">
        <f t="shared" si="93"/>
        <v>7.2187308126845333E-7</v>
      </c>
      <c r="Y223" s="65">
        <f t="shared" ref="Y223" si="94">Y186-Y185</f>
        <v>0.25220566182927184</v>
      </c>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row>
    <row r="224" spans="1:79">
      <c r="D224" s="57" t="s">
        <v>105</v>
      </c>
      <c r="E224" s="65">
        <f t="shared" si="93"/>
        <v>0.42510739722799051</v>
      </c>
      <c r="F224" s="65">
        <f t="shared" si="93"/>
        <v>0.42414205577886571</v>
      </c>
      <c r="G224" s="65">
        <f t="shared" si="93"/>
        <v>0.42317890644429706</v>
      </c>
      <c r="H224" s="65">
        <f t="shared" si="93"/>
        <v>0.42221794424639197</v>
      </c>
      <c r="I224" s="65">
        <f t="shared" si="93"/>
        <v>0.42125916421856113</v>
      </c>
      <c r="J224" s="65">
        <f t="shared" si="93"/>
        <v>0.37827230526494493</v>
      </c>
      <c r="K224" s="65">
        <f t="shared" si="93"/>
        <v>0.30193065422145593</v>
      </c>
      <c r="L224" s="65">
        <f t="shared" si="93"/>
        <v>0.24099601977138055</v>
      </c>
      <c r="M224" s="65">
        <f t="shared" si="93"/>
        <v>0.19235900937388295</v>
      </c>
      <c r="N224" s="65">
        <f t="shared" si="93"/>
        <v>0.15353775768746433</v>
      </c>
      <c r="O224" s="65">
        <f t="shared" si="93"/>
        <v>0.12255128113014285</v>
      </c>
      <c r="P224" s="65">
        <f t="shared" si="93"/>
        <v>9.7818391598573695E-2</v>
      </c>
      <c r="Q224" s="65">
        <f t="shared" si="93"/>
        <v>7.8077011082166914E-2</v>
      </c>
      <c r="R224" s="65">
        <f t="shared" si="93"/>
        <v>6.2319769931830485E-2</v>
      </c>
      <c r="S224" s="65">
        <f t="shared" si="93"/>
        <v>4.9742602470643854E-2</v>
      </c>
      <c r="T224" s="65">
        <f t="shared" si="93"/>
        <v>3.9703716866398696E-2</v>
      </c>
      <c r="U224" s="65">
        <f t="shared" si="93"/>
        <v>2.7019483370119344E-4</v>
      </c>
      <c r="V224" s="65">
        <f t="shared" si="93"/>
        <v>9.6279025164472778E-5</v>
      </c>
      <c r="W224" s="65">
        <f t="shared" si="93"/>
        <v>3.274786126359405E-5</v>
      </c>
      <c r="X224" s="65">
        <f t="shared" si="93"/>
        <v>1.065440114257151E-5</v>
      </c>
      <c r="Y224" s="65">
        <f t="shared" ref="Y224" si="95">Y187-Y186</f>
        <v>3.7223999083538444</v>
      </c>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row>
    <row r="225" spans="4:79">
      <c r="D225" s="57" t="s">
        <v>108</v>
      </c>
      <c r="E225" s="65">
        <f t="shared" si="93"/>
        <v>2.0235878178332445E-2</v>
      </c>
      <c r="F225" s="65">
        <f t="shared" si="93"/>
        <v>2.0189926185748108E-2</v>
      </c>
      <c r="G225" s="65">
        <f t="shared" si="93"/>
        <v>2.0144078541766919E-2</v>
      </c>
      <c r="H225" s="65">
        <f t="shared" si="93"/>
        <v>2.0098335009432255E-2</v>
      </c>
      <c r="I225" s="65">
        <f t="shared" si="93"/>
        <v>2.0052695352325567E-2</v>
      </c>
      <c r="J225" s="65">
        <f t="shared" si="93"/>
        <v>1.8006443401108629E-2</v>
      </c>
      <c r="K225" s="65">
        <f t="shared" si="93"/>
        <v>1.437244323897946E-2</v>
      </c>
      <c r="L225" s="65">
        <f t="shared" si="93"/>
        <v>1.1471844831110245E-2</v>
      </c>
      <c r="M225" s="65">
        <f t="shared" si="93"/>
        <v>9.1566354892360924E-3</v>
      </c>
      <c r="N225" s="65">
        <f t="shared" si="93"/>
        <v>7.3086739506241782E-3</v>
      </c>
      <c r="O225" s="65">
        <f t="shared" si="93"/>
        <v>5.8336618269150542E-3</v>
      </c>
      <c r="P225" s="65">
        <f t="shared" si="93"/>
        <v>4.6563317149890815E-3</v>
      </c>
      <c r="Q225" s="65">
        <f t="shared" si="93"/>
        <v>3.7166064271981908E-3</v>
      </c>
      <c r="R225" s="65">
        <f t="shared" si="93"/>
        <v>2.9665333529020899E-3</v>
      </c>
      <c r="S225" s="65">
        <f t="shared" si="93"/>
        <v>2.3678375169024005E-3</v>
      </c>
      <c r="T225" s="65">
        <f t="shared" si="93"/>
        <v>1.8899684714367634E-3</v>
      </c>
      <c r="U225" s="65">
        <f t="shared" si="93"/>
        <v>1.2861760992269387E-5</v>
      </c>
      <c r="V225" s="65">
        <f t="shared" si="93"/>
        <v>4.5830550986906992E-6</v>
      </c>
      <c r="W225" s="65">
        <f t="shared" si="93"/>
        <v>1.5588572098537666E-6</v>
      </c>
      <c r="X225" s="65">
        <f t="shared" si="93"/>
        <v>5.0716869428770081E-7</v>
      </c>
      <c r="Y225" s="65">
        <f t="shared" ref="Y225" si="96">Y188-Y187</f>
        <v>0.17719294363651361</v>
      </c>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row>
    <row r="226" spans="4:79">
      <c r="D226" s="57" t="s">
        <v>111</v>
      </c>
      <c r="E226" s="65">
        <f t="shared" si="93"/>
        <v>5.0151211458687228E-2</v>
      </c>
      <c r="F226" s="65">
        <f t="shared" si="93"/>
        <v>5.0037327194474068E-2</v>
      </c>
      <c r="G226" s="65">
        <f t="shared" si="93"/>
        <v>4.9923701540676491E-2</v>
      </c>
      <c r="H226" s="65">
        <f t="shared" si="93"/>
        <v>4.9810333910037308E-2</v>
      </c>
      <c r="I226" s="65">
        <f t="shared" si="93"/>
        <v>4.969722371663271E-2</v>
      </c>
      <c r="J226" s="65">
        <f t="shared" si="93"/>
        <v>4.4625933338283075E-2</v>
      </c>
      <c r="K226" s="65">
        <f t="shared" si="93"/>
        <v>3.5619676779228171E-2</v>
      </c>
      <c r="L226" s="65">
        <f t="shared" si="93"/>
        <v>2.8431032786226607E-2</v>
      </c>
      <c r="M226" s="65">
        <f t="shared" si="93"/>
        <v>2.2693176872477155E-2</v>
      </c>
      <c r="N226" s="65">
        <f t="shared" si="93"/>
        <v>1.811331584180137E-2</v>
      </c>
      <c r="O226" s="65">
        <f t="shared" si="93"/>
        <v>1.4457747041260238E-2</v>
      </c>
      <c r="P226" s="65">
        <f t="shared" si="93"/>
        <v>1.1539932905420033E-2</v>
      </c>
      <c r="Q226" s="65">
        <f t="shared" si="93"/>
        <v>9.2109822561944193E-3</v>
      </c>
      <c r="R226" s="65">
        <f t="shared" si="93"/>
        <v>7.3520526349057508E-3</v>
      </c>
      <c r="S226" s="65">
        <f t="shared" si="93"/>
        <v>5.8682859702692131E-3</v>
      </c>
      <c r="T226" s="65">
        <f t="shared" si="93"/>
        <v>4.6839681295752847E-3</v>
      </c>
      <c r="U226" s="65">
        <f t="shared" si="93"/>
        <v>3.1875705594287807E-5</v>
      </c>
      <c r="V226" s="65">
        <f t="shared" si="93"/>
        <v>1.1358329169393764E-5</v>
      </c>
      <c r="W226" s="65">
        <f t="shared" si="93"/>
        <v>3.8633647068000792E-6</v>
      </c>
      <c r="X226" s="65">
        <f t="shared" si="93"/>
        <v>1.2569320791663714E-6</v>
      </c>
      <c r="Y226" s="65">
        <f t="shared" ref="Y226" si="97">Y189-Y188</f>
        <v>0.43914282874153621</v>
      </c>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row>
    <row r="227" spans="4:79">
      <c r="D227" s="57" t="s">
        <v>114</v>
      </c>
      <c r="E227" s="65">
        <f t="shared" si="93"/>
        <v>0.82937810575067905</v>
      </c>
      <c r="F227" s="65">
        <f t="shared" si="93"/>
        <v>0.82749473917625926</v>
      </c>
      <c r="G227" s="65">
        <f t="shared" si="93"/>
        <v>0.82561564938420107</v>
      </c>
      <c r="H227" s="65">
        <f t="shared" si="93"/>
        <v>0.82374082666271109</v>
      </c>
      <c r="I227" s="65">
        <f t="shared" si="93"/>
        <v>0.82187026132204899</v>
      </c>
      <c r="J227" s="65">
        <f t="shared" si="93"/>
        <v>0.73800354932503032</v>
      </c>
      <c r="K227" s="65">
        <f t="shared" si="93"/>
        <v>0.58906214217663666</v>
      </c>
      <c r="L227" s="65">
        <f t="shared" si="93"/>
        <v>0.47017959149801464</v>
      </c>
      <c r="M227" s="65">
        <f t="shared" si="93"/>
        <v>0.37528951944589595</v>
      </c>
      <c r="N227" s="65">
        <f t="shared" si="93"/>
        <v>0.29954984425674769</v>
      </c>
      <c r="O227" s="65">
        <f t="shared" si="93"/>
        <v>0.23909569690815158</v>
      </c>
      <c r="P227" s="65">
        <f t="shared" si="93"/>
        <v>0.19084220331290305</v>
      </c>
      <c r="Q227" s="65">
        <f t="shared" si="93"/>
        <v>0.15232706835085541</v>
      </c>
      <c r="R227" s="65">
        <f t="shared" si="93"/>
        <v>0.1215849290647829</v>
      </c>
      <c r="S227" s="65">
        <f t="shared" si="93"/>
        <v>9.7047065473870917E-2</v>
      </c>
      <c r="T227" s="65">
        <f t="shared" si="93"/>
        <v>7.7461351415286261E-2</v>
      </c>
      <c r="U227" s="65">
        <f t="shared" si="93"/>
        <v>5.2714603608398566E-4</v>
      </c>
      <c r="V227" s="65">
        <f t="shared" si="93"/>
        <v>1.8783892267018563E-4</v>
      </c>
      <c r="W227" s="65">
        <f t="shared" si="93"/>
        <v>6.3890582284126257E-5</v>
      </c>
      <c r="X227" s="65">
        <f t="shared" si="93"/>
        <v>2.0786575569266538E-5</v>
      </c>
      <c r="Y227" s="65">
        <f t="shared" ref="Y227" si="98">Y190-Y189</f>
        <v>7.2623459506193075</v>
      </c>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row>
    <row r="228" spans="4:79">
      <c r="D228" s="57" t="s">
        <v>117</v>
      </c>
      <c r="E228" s="65">
        <f t="shared" si="93"/>
        <v>2.4881671067755589</v>
      </c>
      <c r="F228" s="65">
        <f t="shared" si="93"/>
        <v>2.4825169325932657</v>
      </c>
      <c r="G228" s="65">
        <f t="shared" si="93"/>
        <v>2.4768795889271402</v>
      </c>
      <c r="H228" s="65">
        <f t="shared" si="93"/>
        <v>2.4712550466414167</v>
      </c>
      <c r="I228" s="65">
        <f t="shared" si="93"/>
        <v>2.4656432766664942</v>
      </c>
      <c r="J228" s="65">
        <f t="shared" si="93"/>
        <v>2.2140398249989017</v>
      </c>
      <c r="K228" s="65">
        <f t="shared" si="93"/>
        <v>1.7672097151443937</v>
      </c>
      <c r="L228" s="65">
        <f t="shared" si="93"/>
        <v>1.4105573630782708</v>
      </c>
      <c r="M228" s="65">
        <f t="shared" si="93"/>
        <v>1.125883395436039</v>
      </c>
      <c r="N228" s="65">
        <f t="shared" si="93"/>
        <v>0.89866137549504588</v>
      </c>
      <c r="O228" s="65">
        <f t="shared" si="93"/>
        <v>0.7172965433901608</v>
      </c>
      <c r="P228" s="65">
        <f t="shared" si="93"/>
        <v>0.5725341548990488</v>
      </c>
      <c r="Q228" s="65">
        <f t="shared" si="93"/>
        <v>0.45698722731425373</v>
      </c>
      <c r="R228" s="65">
        <f t="shared" si="93"/>
        <v>0.36475959406333136</v>
      </c>
      <c r="S228" s="65">
        <f t="shared" si="93"/>
        <v>0.29114503318438001</v>
      </c>
      <c r="T228" s="65">
        <f t="shared" si="93"/>
        <v>0.23238711668600104</v>
      </c>
      <c r="U228" s="65">
        <f t="shared" si="93"/>
        <v>1.5814589490086997E-3</v>
      </c>
      <c r="V228" s="65">
        <f t="shared" si="93"/>
        <v>5.6352419423597857E-4</v>
      </c>
      <c r="W228" s="65">
        <f t="shared" si="93"/>
        <v>1.9167427277117991E-4</v>
      </c>
      <c r="X228" s="65">
        <f t="shared" si="93"/>
        <v>6.2360548506571237E-5</v>
      </c>
      <c r="Y228" s="65">
        <f t="shared" ref="Y228" si="99">Y191-Y190</f>
        <v>21.787324969231449</v>
      </c>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row>
    <row r="229" spans="4:79">
      <c r="D229" s="57" t="s">
        <v>120</v>
      </c>
      <c r="E229" s="65">
        <f t="shared" si="93"/>
        <v>0.79058075393605209</v>
      </c>
      <c r="F229" s="65">
        <f t="shared" si="93"/>
        <v>0.78878548907914503</v>
      </c>
      <c r="G229" s="65">
        <f t="shared" si="93"/>
        <v>0.78699430094164935</v>
      </c>
      <c r="H229" s="65">
        <f t="shared" si="93"/>
        <v>0.78520718026608005</v>
      </c>
      <c r="I229" s="65">
        <f t="shared" si="93"/>
        <v>0.78342411781596955</v>
      </c>
      <c r="J229" s="65">
        <f t="shared" si="93"/>
        <v>0.70348059393824602</v>
      </c>
      <c r="K229" s="65">
        <f t="shared" si="93"/>
        <v>0.56150649414078746</v>
      </c>
      <c r="L229" s="65">
        <f t="shared" si="93"/>
        <v>0.44818513215441369</v>
      </c>
      <c r="M229" s="65">
        <f t="shared" si="93"/>
        <v>0.35773390829902807</v>
      </c>
      <c r="N229" s="65">
        <f t="shared" si="93"/>
        <v>0.28553724781483081</v>
      </c>
      <c r="O229" s="65">
        <f t="shared" si="93"/>
        <v>0.22791107579747871</v>
      </c>
      <c r="P229" s="65">
        <f t="shared" si="93"/>
        <v>0.18191482501382472</v>
      </c>
      <c r="Q229" s="65">
        <f t="shared" si="93"/>
        <v>0.14520138367130908</v>
      </c>
      <c r="R229" s="65">
        <f t="shared" si="93"/>
        <v>0.11589732622649318</v>
      </c>
      <c r="S229" s="65">
        <f t="shared" si="93"/>
        <v>9.2507315611099927E-2</v>
      </c>
      <c r="T229" s="65">
        <f t="shared" si="93"/>
        <v>7.3837798680945366E-2</v>
      </c>
      <c r="U229" s="65">
        <f t="shared" si="93"/>
        <v>5.0248675212431933E-4</v>
      </c>
      <c r="V229" s="65">
        <f t="shared" si="93"/>
        <v>1.7905203437787952E-4</v>
      </c>
      <c r="W229" s="65">
        <f t="shared" si="93"/>
        <v>6.0901854487562283E-5</v>
      </c>
      <c r="X229" s="65">
        <f t="shared" si="93"/>
        <v>1.981420352352484E-5</v>
      </c>
      <c r="Y229" s="65">
        <f t="shared" ref="Y229" si="100">Y192-Y191</f>
        <v>6.9226217779023571</v>
      </c>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row>
    <row r="230" spans="4:79">
      <c r="D230" s="57" t="s">
        <v>123</v>
      </c>
      <c r="E230" s="65">
        <f t="shared" si="93"/>
        <v>0</v>
      </c>
      <c r="F230" s="65">
        <f t="shared" si="93"/>
        <v>0</v>
      </c>
      <c r="G230" s="65">
        <f t="shared" si="93"/>
        <v>0</v>
      </c>
      <c r="H230" s="65">
        <f t="shared" si="93"/>
        <v>0</v>
      </c>
      <c r="I230" s="65">
        <f t="shared" si="93"/>
        <v>0</v>
      </c>
      <c r="J230" s="65">
        <f t="shared" si="93"/>
        <v>0</v>
      </c>
      <c r="K230" s="65">
        <f t="shared" si="93"/>
        <v>0</v>
      </c>
      <c r="L230" s="65">
        <f t="shared" si="93"/>
        <v>0</v>
      </c>
      <c r="M230" s="65">
        <f t="shared" si="93"/>
        <v>0</v>
      </c>
      <c r="N230" s="65">
        <f t="shared" si="93"/>
        <v>0</v>
      </c>
      <c r="O230" s="65">
        <f t="shared" si="93"/>
        <v>0</v>
      </c>
      <c r="P230" s="65">
        <f t="shared" si="93"/>
        <v>0</v>
      </c>
      <c r="Q230" s="65">
        <f t="shared" si="93"/>
        <v>0</v>
      </c>
      <c r="R230" s="65">
        <f t="shared" si="93"/>
        <v>0</v>
      </c>
      <c r="S230" s="65">
        <f t="shared" si="93"/>
        <v>0</v>
      </c>
      <c r="T230" s="65">
        <f t="shared" si="93"/>
        <v>0</v>
      </c>
      <c r="U230" s="65">
        <f t="shared" si="93"/>
        <v>0</v>
      </c>
      <c r="V230" s="65">
        <f t="shared" si="93"/>
        <v>0</v>
      </c>
      <c r="W230" s="65">
        <f t="shared" si="93"/>
        <v>0</v>
      </c>
      <c r="X230" s="65">
        <f t="shared" si="93"/>
        <v>0</v>
      </c>
      <c r="Y230" s="65">
        <f t="shared" ref="Y230" si="101">Y193-Y192</f>
        <v>0</v>
      </c>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row>
    <row r="231" spans="4:79">
      <c r="D231" s="57" t="s">
        <v>126</v>
      </c>
      <c r="E231" s="65">
        <f t="shared" si="93"/>
        <v>0</v>
      </c>
      <c r="F231" s="65">
        <f t="shared" si="93"/>
        <v>0</v>
      </c>
      <c r="G231" s="65">
        <f t="shared" si="93"/>
        <v>0</v>
      </c>
      <c r="H231" s="65">
        <f t="shared" si="93"/>
        <v>0</v>
      </c>
      <c r="I231" s="65">
        <f t="shared" si="93"/>
        <v>0</v>
      </c>
      <c r="J231" s="65">
        <f t="shared" si="93"/>
        <v>0</v>
      </c>
      <c r="K231" s="65">
        <f t="shared" si="93"/>
        <v>0</v>
      </c>
      <c r="L231" s="65">
        <f t="shared" si="93"/>
        <v>0</v>
      </c>
      <c r="M231" s="65">
        <f t="shared" si="93"/>
        <v>0</v>
      </c>
      <c r="N231" s="65">
        <f t="shared" si="93"/>
        <v>0</v>
      </c>
      <c r="O231" s="65">
        <f t="shared" si="93"/>
        <v>0</v>
      </c>
      <c r="P231" s="65">
        <f t="shared" si="93"/>
        <v>0</v>
      </c>
      <c r="Q231" s="65">
        <f t="shared" si="93"/>
        <v>0</v>
      </c>
      <c r="R231" s="65">
        <f t="shared" si="93"/>
        <v>0</v>
      </c>
      <c r="S231" s="65">
        <f t="shared" si="93"/>
        <v>0</v>
      </c>
      <c r="T231" s="65">
        <f t="shared" si="93"/>
        <v>0</v>
      </c>
      <c r="U231" s="65">
        <f t="shared" si="93"/>
        <v>0</v>
      </c>
      <c r="V231" s="65">
        <f t="shared" si="93"/>
        <v>0</v>
      </c>
      <c r="W231" s="65">
        <f t="shared" si="93"/>
        <v>0</v>
      </c>
      <c r="X231" s="65">
        <f t="shared" si="93"/>
        <v>0</v>
      </c>
      <c r="Y231" s="65">
        <f t="shared" ref="Y231" si="102">Y194-Y193</f>
        <v>0</v>
      </c>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row>
    <row r="232" spans="4:79">
      <c r="D232" s="57" t="s">
        <v>129</v>
      </c>
      <c r="E232" s="65">
        <f t="shared" si="93"/>
        <v>0</v>
      </c>
      <c r="F232" s="65">
        <f t="shared" si="93"/>
        <v>0</v>
      </c>
      <c r="G232" s="65">
        <f t="shared" si="93"/>
        <v>0</v>
      </c>
      <c r="H232" s="65">
        <f t="shared" si="93"/>
        <v>0</v>
      </c>
      <c r="I232" s="65">
        <f t="shared" si="93"/>
        <v>0</v>
      </c>
      <c r="J232" s="65">
        <f t="shared" si="93"/>
        <v>0</v>
      </c>
      <c r="K232" s="65">
        <f t="shared" si="93"/>
        <v>0</v>
      </c>
      <c r="L232" s="65">
        <f t="shared" si="93"/>
        <v>0</v>
      </c>
      <c r="M232" s="65">
        <f t="shared" si="93"/>
        <v>0</v>
      </c>
      <c r="N232" s="65">
        <f t="shared" si="93"/>
        <v>0</v>
      </c>
      <c r="O232" s="65">
        <f t="shared" si="93"/>
        <v>0</v>
      </c>
      <c r="P232" s="65">
        <f t="shared" si="93"/>
        <v>0</v>
      </c>
      <c r="Q232" s="65">
        <f t="shared" si="93"/>
        <v>0</v>
      </c>
      <c r="R232" s="65">
        <f t="shared" si="93"/>
        <v>0</v>
      </c>
      <c r="S232" s="65">
        <f t="shared" si="93"/>
        <v>0</v>
      </c>
      <c r="T232" s="65">
        <f t="shared" si="93"/>
        <v>0</v>
      </c>
      <c r="U232" s="65">
        <f t="shared" si="93"/>
        <v>0</v>
      </c>
      <c r="V232" s="65">
        <f t="shared" si="93"/>
        <v>0</v>
      </c>
      <c r="W232" s="65">
        <f t="shared" si="93"/>
        <v>0</v>
      </c>
      <c r="X232" s="65">
        <f t="shared" si="93"/>
        <v>0</v>
      </c>
      <c r="Y232" s="65">
        <f t="shared" ref="Y232" si="103">Y195-Y194</f>
        <v>0</v>
      </c>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row>
    <row r="233" spans="4:79">
      <c r="D233" s="57" t="s">
        <v>132</v>
      </c>
      <c r="E233" s="65">
        <f t="shared" si="93"/>
        <v>6.8603162180008876</v>
      </c>
      <c r="F233" s="65">
        <f t="shared" si="93"/>
        <v>6.8447376897453838</v>
      </c>
      <c r="G233" s="65">
        <f t="shared" si="93"/>
        <v>6.829194537489311</v>
      </c>
      <c r="H233" s="65">
        <f t="shared" si="93"/>
        <v>6.8136866809002168</v>
      </c>
      <c r="I233" s="65">
        <f t="shared" si="93"/>
        <v>6.7982140398280713</v>
      </c>
      <c r="J233" s="65">
        <f t="shared" si="93"/>
        <v>6.1044988808743685</v>
      </c>
      <c r="K233" s="65">
        <f t="shared" si="93"/>
        <v>4.8725093408717761</v>
      </c>
      <c r="L233" s="65">
        <f t="shared" si="93"/>
        <v>3.8891558079018185</v>
      </c>
      <c r="M233" s="65">
        <f t="shared" si="93"/>
        <v>3.1042593948994313</v>
      </c>
      <c r="N233" s="65">
        <f t="shared" si="93"/>
        <v>2.4777681499009394</v>
      </c>
      <c r="O233" s="65">
        <f t="shared" si="93"/>
        <v>1.9777132718841055</v>
      </c>
      <c r="P233" s="65">
        <f t="shared" si="93"/>
        <v>1.5785777962893373</v>
      </c>
      <c r="Q233" s="65">
        <f t="shared" si="93"/>
        <v>1.2599945069710412</v>
      </c>
      <c r="R233" s="65">
        <f t="shared" si="93"/>
        <v>1.0057066312024896</v>
      </c>
      <c r="S233" s="65">
        <f t="shared" si="93"/>
        <v>0.80273828373753842</v>
      </c>
      <c r="T233" s="65">
        <f t="shared" si="93"/>
        <v>0.64073232907633804</v>
      </c>
      <c r="U233" s="65">
        <f t="shared" si="93"/>
        <v>4.3603616680098108E-3</v>
      </c>
      <c r="V233" s="65">
        <f t="shared" si="93"/>
        <v>1.553735743240693E-3</v>
      </c>
      <c r="W233" s="65">
        <f t="shared" si="93"/>
        <v>5.2847982697179204E-4</v>
      </c>
      <c r="X233" s="65">
        <f t="shared" si="93"/>
        <v>1.7193904746915059E-4</v>
      </c>
      <c r="Y233" s="65">
        <f t="shared" ref="Y233" si="104">Y196-Y195</f>
        <v>60.071503407571051</v>
      </c>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row>
    <row r="234" spans="4:79">
      <c r="D234" s="57" t="s">
        <v>135</v>
      </c>
      <c r="E234" s="65">
        <f t="shared" si="93"/>
        <v>0</v>
      </c>
      <c r="F234" s="65">
        <f t="shared" si="93"/>
        <v>0</v>
      </c>
      <c r="G234" s="65">
        <f t="shared" si="93"/>
        <v>0</v>
      </c>
      <c r="H234" s="65">
        <f t="shared" si="93"/>
        <v>0</v>
      </c>
      <c r="I234" s="65">
        <f t="shared" si="93"/>
        <v>0</v>
      </c>
      <c r="J234" s="65">
        <f t="shared" si="93"/>
        <v>0</v>
      </c>
      <c r="K234" s="65">
        <f t="shared" si="93"/>
        <v>0</v>
      </c>
      <c r="L234" s="65">
        <f t="shared" si="93"/>
        <v>0</v>
      </c>
      <c r="M234" s="65">
        <f t="shared" si="93"/>
        <v>0</v>
      </c>
      <c r="N234" s="65">
        <f t="shared" si="93"/>
        <v>0</v>
      </c>
      <c r="O234" s="65">
        <f t="shared" si="93"/>
        <v>0</v>
      </c>
      <c r="P234" s="65">
        <f t="shared" si="93"/>
        <v>0</v>
      </c>
      <c r="Q234" s="65">
        <f t="shared" si="93"/>
        <v>0</v>
      </c>
      <c r="R234" s="65">
        <f t="shared" si="93"/>
        <v>0</v>
      </c>
      <c r="S234" s="65">
        <f t="shared" si="93"/>
        <v>0</v>
      </c>
      <c r="T234" s="65">
        <f t="shared" si="93"/>
        <v>0</v>
      </c>
      <c r="U234" s="65">
        <f t="shared" si="93"/>
        <v>0</v>
      </c>
      <c r="V234" s="65">
        <f t="shared" si="93"/>
        <v>0</v>
      </c>
      <c r="W234" s="65">
        <f t="shared" si="93"/>
        <v>0</v>
      </c>
      <c r="X234" s="65">
        <f t="shared" si="93"/>
        <v>0</v>
      </c>
      <c r="Y234" s="65">
        <f t="shared" ref="Y234" si="105">Y197-Y196</f>
        <v>0</v>
      </c>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row>
    <row r="235" spans="4:79">
      <c r="D235" s="57" t="s">
        <v>138</v>
      </c>
      <c r="E235" s="65">
        <f t="shared" si="93"/>
        <v>1.9007642218338034</v>
      </c>
      <c r="F235" s="65">
        <f t="shared" si="93"/>
        <v>1.8964479325847456</v>
      </c>
      <c r="G235" s="65">
        <f t="shared" si="93"/>
        <v>1.8921414448421938</v>
      </c>
      <c r="H235" s="65">
        <f t="shared" ref="H235:X235" si="106">H198-H197</f>
        <v>1.8878447363487076</v>
      </c>
      <c r="I235" s="65">
        <f t="shared" si="106"/>
        <v>1.8835577848973948</v>
      </c>
      <c r="J235" s="65">
        <f t="shared" si="106"/>
        <v>1.6913525114986179</v>
      </c>
      <c r="K235" s="65">
        <f t="shared" si="106"/>
        <v>1.3500094064729407</v>
      </c>
      <c r="L235" s="65">
        <f t="shared" si="106"/>
        <v>1.0775550248543881</v>
      </c>
      <c r="M235" s="65">
        <f t="shared" si="106"/>
        <v>0.86008647496947166</v>
      </c>
      <c r="N235" s="65">
        <f t="shared" si="106"/>
        <v>0.68650670022663274</v>
      </c>
      <c r="O235" s="65">
        <f t="shared" si="106"/>
        <v>0.54795821486762364</v>
      </c>
      <c r="P235" s="65">
        <f t="shared" si="106"/>
        <v>0.43737112127498579</v>
      </c>
      <c r="Q235" s="65">
        <f t="shared" si="106"/>
        <v>0.3491023449142947</v>
      </c>
      <c r="R235" s="65">
        <f t="shared" si="106"/>
        <v>0.27864767767333953</v>
      </c>
      <c r="S235" s="65">
        <f t="shared" si="106"/>
        <v>0.22241193565115447</v>
      </c>
      <c r="T235" s="65">
        <f t="shared" si="106"/>
        <v>0.17752550293307578</v>
      </c>
      <c r="U235" s="65">
        <f t="shared" si="106"/>
        <v>1.2081104120334205E-3</v>
      </c>
      <c r="V235" s="65">
        <f t="shared" si="106"/>
        <v>4.3048821906883699E-4</v>
      </c>
      <c r="W235" s="65">
        <f t="shared" si="106"/>
        <v>1.4642408821230978E-4</v>
      </c>
      <c r="X235" s="65">
        <f t="shared" si="106"/>
        <v>4.7638560582383756E-5</v>
      </c>
      <c r="Y235" s="65">
        <f t="shared" ref="Y235" si="107">Y198-Y197</f>
        <v>16.64380486270808</v>
      </c>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row>
    <row r="236" spans="4:79">
      <c r="D236" s="57" t="s">
        <v>141</v>
      </c>
      <c r="E236" s="65">
        <f t="shared" ref="E236:Y236" si="108">E199-E198</f>
        <v>0</v>
      </c>
      <c r="F236" s="65">
        <f t="shared" si="108"/>
        <v>0</v>
      </c>
      <c r="G236" s="65">
        <f t="shared" si="108"/>
        <v>0</v>
      </c>
      <c r="H236" s="65">
        <f t="shared" si="108"/>
        <v>0</v>
      </c>
      <c r="I236" s="65">
        <f t="shared" si="108"/>
        <v>0</v>
      </c>
      <c r="J236" s="65">
        <f t="shared" si="108"/>
        <v>0</v>
      </c>
      <c r="K236" s="65">
        <f t="shared" si="108"/>
        <v>0</v>
      </c>
      <c r="L236" s="65">
        <f t="shared" si="108"/>
        <v>0</v>
      </c>
      <c r="M236" s="65">
        <f t="shared" si="108"/>
        <v>0</v>
      </c>
      <c r="N236" s="65">
        <f t="shared" si="108"/>
        <v>0</v>
      </c>
      <c r="O236" s="65">
        <f t="shared" si="108"/>
        <v>0</v>
      </c>
      <c r="P236" s="65">
        <f t="shared" si="108"/>
        <v>0</v>
      </c>
      <c r="Q236" s="65">
        <f t="shared" si="108"/>
        <v>0</v>
      </c>
      <c r="R236" s="65">
        <f t="shared" si="108"/>
        <v>0</v>
      </c>
      <c r="S236" s="65">
        <f t="shared" si="108"/>
        <v>0</v>
      </c>
      <c r="T236" s="65">
        <f t="shared" si="108"/>
        <v>0</v>
      </c>
      <c r="U236" s="65">
        <f t="shared" si="108"/>
        <v>0</v>
      </c>
      <c r="V236" s="65">
        <f t="shared" si="108"/>
        <v>0</v>
      </c>
      <c r="W236" s="65">
        <f t="shared" si="108"/>
        <v>0</v>
      </c>
      <c r="X236" s="65">
        <f t="shared" si="108"/>
        <v>0</v>
      </c>
      <c r="Y236" s="65">
        <f t="shared" si="108"/>
        <v>0</v>
      </c>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row>
    <row r="237" spans="4:79">
      <c r="D237" s="57" t="s">
        <v>144</v>
      </c>
      <c r="E237" s="65">
        <f t="shared" ref="E237:Y237" si="109">E200-E199</f>
        <v>1.9592704607731548E-3</v>
      </c>
      <c r="F237" s="65">
        <f t="shared" si="109"/>
        <v>1.9548213145164084E-3</v>
      </c>
      <c r="G237" s="65">
        <f t="shared" si="109"/>
        <v>1.9503822714561636E-3</v>
      </c>
      <c r="H237" s="65">
        <f t="shared" si="109"/>
        <v>1.9459533086578773E-3</v>
      </c>
      <c r="I237" s="65">
        <f t="shared" si="109"/>
        <v>1.9415344032260862E-3</v>
      </c>
      <c r="J237" s="65">
        <f t="shared" si="109"/>
        <v>1.7434129790885322E-3</v>
      </c>
      <c r="K237" s="65">
        <f t="shared" si="109"/>
        <v>1.3915632046774817E-3</v>
      </c>
      <c r="L237" s="65">
        <f t="shared" si="109"/>
        <v>1.1107225745332627E-3</v>
      </c>
      <c r="M237" s="65">
        <f t="shared" si="109"/>
        <v>8.8656026074307448E-4</v>
      </c>
      <c r="N237" s="65">
        <f t="shared" si="109"/>
        <v>7.0763763512982081E-4</v>
      </c>
      <c r="O237" s="65">
        <f t="shared" si="109"/>
        <v>5.6482457518747253E-4</v>
      </c>
      <c r="P237" s="65">
        <f t="shared" si="109"/>
        <v>4.5083356918551587E-4</v>
      </c>
      <c r="Q237" s="65">
        <f t="shared" si="109"/>
        <v>3.5984784662979052E-4</v>
      </c>
      <c r="R237" s="65">
        <f t="shared" si="109"/>
        <v>2.872245581841959E-4</v>
      </c>
      <c r="S237" s="65">
        <f t="shared" si="109"/>
        <v>2.2925785883343153E-4</v>
      </c>
      <c r="T237" s="65">
        <f t="shared" si="109"/>
        <v>1.829898048035794E-4</v>
      </c>
      <c r="U237" s="65">
        <f t="shared" si="109"/>
        <v>1.2452965057214299E-6</v>
      </c>
      <c r="V237" s="65">
        <f t="shared" si="109"/>
        <v>4.4373880865589133E-7</v>
      </c>
      <c r="W237" s="65">
        <f t="shared" si="109"/>
        <v>1.5093107681870242E-7</v>
      </c>
      <c r="X237" s="65">
        <f t="shared" si="109"/>
        <v>4.9104893426910479E-8</v>
      </c>
      <c r="Y237" s="65">
        <f t="shared" si="109"/>
        <v>1.7156107447632962E-2</v>
      </c>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row>
    <row r="238" spans="4:79">
      <c r="D238" s="57" t="s">
        <v>147</v>
      </c>
      <c r="E238" s="65">
        <f t="shared" ref="E238:Y238" si="110">E201-E200</f>
        <v>6.6204759662902291E-3</v>
      </c>
      <c r="F238" s="65">
        <f t="shared" si="110"/>
        <v>6.605442071549561E-3</v>
      </c>
      <c r="G238" s="65">
        <f t="shared" si="110"/>
        <v>6.5904423160461079E-3</v>
      </c>
      <c r="H238" s="65">
        <f t="shared" si="110"/>
        <v>6.5754766222543282E-3</v>
      </c>
      <c r="I238" s="65">
        <f t="shared" si="110"/>
        <v>6.5605449128227633E-3</v>
      </c>
      <c r="J238" s="65">
        <f t="shared" si="110"/>
        <v>5.8910823995290684E-3</v>
      </c>
      <c r="K238" s="65">
        <f t="shared" si="110"/>
        <v>4.7021638597524174E-3</v>
      </c>
      <c r="L238" s="65">
        <f t="shared" si="110"/>
        <v>3.7531888818485015E-3</v>
      </c>
      <c r="M238" s="65">
        <f t="shared" si="110"/>
        <v>2.9957328589516052E-3</v>
      </c>
      <c r="N238" s="65">
        <f t="shared" si="110"/>
        <v>2.3911440763342284E-3</v>
      </c>
      <c r="O238" s="65">
        <f t="shared" si="110"/>
        <v>1.9085713790225611E-3</v>
      </c>
      <c r="P238" s="65">
        <f t="shared" si="110"/>
        <v>1.523389888913762E-3</v>
      </c>
      <c r="Q238" s="65">
        <f t="shared" si="110"/>
        <v>1.2159444384165496E-3</v>
      </c>
      <c r="R238" s="65">
        <f t="shared" si="110"/>
        <v>9.705466001030949E-4</v>
      </c>
      <c r="S238" s="65">
        <f t="shared" si="110"/>
        <v>7.7467413247811479E-4</v>
      </c>
      <c r="T238" s="65">
        <f t="shared" si="110"/>
        <v>6.1833199092831137E-4</v>
      </c>
      <c r="U238" s="65">
        <f t="shared" si="110"/>
        <v>4.2079211380434411E-6</v>
      </c>
      <c r="V238" s="65">
        <f t="shared" si="110"/>
        <v>1.4994163270633937E-6</v>
      </c>
      <c r="W238" s="65">
        <f t="shared" si="110"/>
        <v>5.1000389514940098E-7</v>
      </c>
      <c r="X238" s="65">
        <f t="shared" si="110"/>
        <v>1.6592796822536941E-7</v>
      </c>
      <c r="Y238" s="65">
        <f t="shared" si="110"/>
        <v>5.7971372154128176E-2</v>
      </c>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row>
    <row r="239" spans="4:79">
      <c r="D239" s="57" t="s">
        <v>150</v>
      </c>
      <c r="E239" s="65">
        <f t="shared" ref="E239:Y239" si="111">E202-E201</f>
        <v>0</v>
      </c>
      <c r="F239" s="65">
        <f t="shared" si="111"/>
        <v>0</v>
      </c>
      <c r="G239" s="65">
        <f t="shared" si="111"/>
        <v>0</v>
      </c>
      <c r="H239" s="65">
        <f t="shared" si="111"/>
        <v>0</v>
      </c>
      <c r="I239" s="65">
        <f t="shared" si="111"/>
        <v>0</v>
      </c>
      <c r="J239" s="65">
        <f t="shared" si="111"/>
        <v>0</v>
      </c>
      <c r="K239" s="65">
        <f t="shared" si="111"/>
        <v>0</v>
      </c>
      <c r="L239" s="65">
        <f t="shared" si="111"/>
        <v>0</v>
      </c>
      <c r="M239" s="65">
        <f t="shared" si="111"/>
        <v>0</v>
      </c>
      <c r="N239" s="65">
        <f t="shared" si="111"/>
        <v>0</v>
      </c>
      <c r="O239" s="65">
        <f t="shared" si="111"/>
        <v>0</v>
      </c>
      <c r="P239" s="65">
        <f t="shared" si="111"/>
        <v>0</v>
      </c>
      <c r="Q239" s="65">
        <f t="shared" si="111"/>
        <v>0</v>
      </c>
      <c r="R239" s="65">
        <f t="shared" si="111"/>
        <v>0</v>
      </c>
      <c r="S239" s="65">
        <f t="shared" si="111"/>
        <v>0</v>
      </c>
      <c r="T239" s="65">
        <f t="shared" si="111"/>
        <v>0</v>
      </c>
      <c r="U239" s="65">
        <f t="shared" si="111"/>
        <v>0</v>
      </c>
      <c r="V239" s="65">
        <f t="shared" si="111"/>
        <v>0</v>
      </c>
      <c r="W239" s="65">
        <f t="shared" si="111"/>
        <v>0</v>
      </c>
      <c r="X239" s="65">
        <f t="shared" si="111"/>
        <v>0</v>
      </c>
      <c r="Y239" s="65">
        <f t="shared" si="111"/>
        <v>0</v>
      </c>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row>
    <row r="240" spans="4:79">
      <c r="D240" s="57" t="s">
        <v>153</v>
      </c>
      <c r="E240" s="65">
        <f t="shared" ref="E240:Y240" si="112">E203-E202</f>
        <v>0</v>
      </c>
      <c r="F240" s="65">
        <f t="shared" si="112"/>
        <v>0</v>
      </c>
      <c r="G240" s="65">
        <f t="shared" si="112"/>
        <v>0</v>
      </c>
      <c r="H240" s="65">
        <f t="shared" si="112"/>
        <v>0</v>
      </c>
      <c r="I240" s="65">
        <f t="shared" si="112"/>
        <v>0</v>
      </c>
      <c r="J240" s="65">
        <f t="shared" si="112"/>
        <v>0</v>
      </c>
      <c r="K240" s="65">
        <f t="shared" si="112"/>
        <v>0</v>
      </c>
      <c r="L240" s="65">
        <f t="shared" si="112"/>
        <v>0</v>
      </c>
      <c r="M240" s="65">
        <f t="shared" si="112"/>
        <v>0</v>
      </c>
      <c r="N240" s="65">
        <f t="shared" si="112"/>
        <v>0</v>
      </c>
      <c r="O240" s="65">
        <f t="shared" si="112"/>
        <v>0</v>
      </c>
      <c r="P240" s="65">
        <f t="shared" si="112"/>
        <v>0</v>
      </c>
      <c r="Q240" s="65">
        <f t="shared" si="112"/>
        <v>0</v>
      </c>
      <c r="R240" s="65">
        <f t="shared" si="112"/>
        <v>0</v>
      </c>
      <c r="S240" s="65">
        <f t="shared" si="112"/>
        <v>0</v>
      </c>
      <c r="T240" s="65">
        <f t="shared" si="112"/>
        <v>0</v>
      </c>
      <c r="U240" s="65">
        <f t="shared" si="112"/>
        <v>0</v>
      </c>
      <c r="V240" s="65">
        <f t="shared" si="112"/>
        <v>0</v>
      </c>
      <c r="W240" s="65">
        <f t="shared" si="112"/>
        <v>0</v>
      </c>
      <c r="X240" s="65">
        <f t="shared" si="112"/>
        <v>0</v>
      </c>
      <c r="Y240" s="65">
        <f t="shared" si="112"/>
        <v>0</v>
      </c>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row>
    <row r="241" spans="4:79">
      <c r="D241" s="57" t="s">
        <v>156</v>
      </c>
      <c r="E241" s="65">
        <f t="shared" ref="E241:Y241" si="113">E204-E203</f>
        <v>5.0835905485868693E-4</v>
      </c>
      <c r="F241" s="65">
        <f t="shared" si="113"/>
        <v>5.0720466406062314E-4</v>
      </c>
      <c r="G241" s="65">
        <f t="shared" si="113"/>
        <v>5.0605289467675618E-4</v>
      </c>
      <c r="H241" s="65">
        <f t="shared" si="113"/>
        <v>5.049037407491852E-4</v>
      </c>
      <c r="I241" s="65">
        <f t="shared" si="113"/>
        <v>5.0375719634132565E-4</v>
      </c>
      <c r="J241" s="65">
        <f t="shared" si="113"/>
        <v>4.5235192997594709E-4</v>
      </c>
      <c r="K241" s="65">
        <f t="shared" si="113"/>
        <v>3.6105977692635349E-4</v>
      </c>
      <c r="L241" s="65">
        <f t="shared" si="113"/>
        <v>2.8819190076312395E-4</v>
      </c>
      <c r="M241" s="65">
        <f t="shared" si="113"/>
        <v>2.3002997556886839E-4</v>
      </c>
      <c r="N241" s="65">
        <f t="shared" si="113"/>
        <v>1.8360609552381391E-4</v>
      </c>
      <c r="O241" s="65">
        <f t="shared" si="113"/>
        <v>1.4655132762442236E-4</v>
      </c>
      <c r="P241" s="65">
        <f t="shared" si="113"/>
        <v>1.169748290079653E-4</v>
      </c>
      <c r="Q241" s="65">
        <f t="shared" si="113"/>
        <v>9.3367360386231724E-5</v>
      </c>
      <c r="R241" s="65">
        <f t="shared" si="113"/>
        <v>7.4524272096976318E-5</v>
      </c>
      <c r="S241" s="65">
        <f t="shared" si="113"/>
        <v>5.9484032842060941E-5</v>
      </c>
      <c r="T241" s="65">
        <f t="shared" si="113"/>
        <v>4.7479164352770553E-5</v>
      </c>
      <c r="U241" s="65">
        <f t="shared" si="113"/>
        <v>3.2310891596651348E-7</v>
      </c>
      <c r="V241" s="65">
        <f t="shared" si="113"/>
        <v>1.1513399803073782E-7</v>
      </c>
      <c r="W241" s="65">
        <f t="shared" si="113"/>
        <v>3.9161096487784139E-8</v>
      </c>
      <c r="X241" s="65">
        <f t="shared" si="113"/>
        <v>1.2740924599803204E-8</v>
      </c>
      <c r="Y241" s="65">
        <f t="shared" si="113"/>
        <v>4.4513826660050881E-3</v>
      </c>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row>
    <row r="242" spans="4:79">
      <c r="D242" s="57" t="s">
        <v>159</v>
      </c>
      <c r="E242" s="65">
        <f t="shared" ref="E242:Y242" si="114">E205-E204</f>
        <v>1.6007483711568682E-3</v>
      </c>
      <c r="F242" s="65">
        <f t="shared" si="114"/>
        <v>1.5971133632461942E-3</v>
      </c>
      <c r="G242" s="65">
        <f t="shared" si="114"/>
        <v>1.5934866097744305E-3</v>
      </c>
      <c r="H242" s="65">
        <f t="shared" si="114"/>
        <v>1.5898680920010122E-3</v>
      </c>
      <c r="I242" s="65">
        <f t="shared" si="114"/>
        <v>1.5862577912209019E-3</v>
      </c>
      <c r="J242" s="65">
        <f t="shared" si="114"/>
        <v>1.4243901198973674E-3</v>
      </c>
      <c r="K242" s="65">
        <f t="shared" si="114"/>
        <v>1.1369244715560001E-3</v>
      </c>
      <c r="L242" s="65">
        <f t="shared" si="114"/>
        <v>9.0747417857262036E-4</v>
      </c>
      <c r="M242" s="65">
        <f t="shared" si="114"/>
        <v>7.2433077603584195E-4</v>
      </c>
      <c r="N242" s="65">
        <f t="shared" si="114"/>
        <v>5.7814876224693279E-4</v>
      </c>
      <c r="O242" s="65">
        <f t="shared" si="114"/>
        <v>4.6146871339303175E-4</v>
      </c>
      <c r="P242" s="65">
        <f t="shared" si="114"/>
        <v>3.683366416149525E-4</v>
      </c>
      <c r="Q242" s="65">
        <f t="shared" si="114"/>
        <v>2.9400017296765668E-4</v>
      </c>
      <c r="R242" s="65">
        <f t="shared" si="114"/>
        <v>2.3466604171051841E-4</v>
      </c>
      <c r="S242" s="65">
        <f t="shared" si="114"/>
        <v>1.8730652630649658E-4</v>
      </c>
      <c r="T242" s="65">
        <f t="shared" si="114"/>
        <v>1.4950494984855567E-4</v>
      </c>
      <c r="U242" s="65">
        <f t="shared" si="114"/>
        <v>1.0174227566099592E-6</v>
      </c>
      <c r="V242" s="65">
        <f t="shared" si="114"/>
        <v>3.6254013389015044E-7</v>
      </c>
      <c r="W242" s="65">
        <f t="shared" si="114"/>
        <v>1.2331256976096626E-7</v>
      </c>
      <c r="X242" s="65">
        <f t="shared" si="114"/>
        <v>4.0119309581182656E-8</v>
      </c>
      <c r="Y242" s="65">
        <f t="shared" si="114"/>
        <v>1.4016753481470801E-2</v>
      </c>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row>
    <row r="243" spans="4:79">
      <c r="D243" s="27" t="s">
        <v>1667</v>
      </c>
      <c r="E243" s="65">
        <f t="shared" ref="E243:X243" si="115">E206-E205</f>
        <v>0</v>
      </c>
      <c r="F243" s="65">
        <f t="shared" si="115"/>
        <v>0</v>
      </c>
      <c r="G243" s="65">
        <f t="shared" si="115"/>
        <v>0</v>
      </c>
      <c r="H243" s="65">
        <f t="shared" si="115"/>
        <v>0</v>
      </c>
      <c r="I243" s="65">
        <f t="shared" si="115"/>
        <v>0</v>
      </c>
      <c r="J243" s="65">
        <f t="shared" si="115"/>
        <v>0</v>
      </c>
      <c r="K243" s="65">
        <f t="shared" si="115"/>
        <v>0</v>
      </c>
      <c r="L243" s="65">
        <f t="shared" si="115"/>
        <v>0</v>
      </c>
      <c r="M243" s="65">
        <f t="shared" si="115"/>
        <v>0</v>
      </c>
      <c r="N243" s="65">
        <f t="shared" si="115"/>
        <v>0</v>
      </c>
      <c r="O243" s="65">
        <f t="shared" si="115"/>
        <v>0</v>
      </c>
      <c r="P243" s="65">
        <f t="shared" si="115"/>
        <v>0</v>
      </c>
      <c r="Q243" s="65">
        <f t="shared" si="115"/>
        <v>0</v>
      </c>
      <c r="R243" s="65">
        <f t="shared" si="115"/>
        <v>0</v>
      </c>
      <c r="S243" s="65">
        <f t="shared" si="115"/>
        <v>0</v>
      </c>
      <c r="T243" s="65">
        <f t="shared" si="115"/>
        <v>0</v>
      </c>
      <c r="U243" s="65">
        <f t="shared" si="115"/>
        <v>0</v>
      </c>
      <c r="V243" s="65">
        <f t="shared" si="115"/>
        <v>0</v>
      </c>
      <c r="W243" s="65">
        <f t="shared" si="115"/>
        <v>0</v>
      </c>
      <c r="X243" s="65">
        <f t="shared" si="115"/>
        <v>0</v>
      </c>
      <c r="Y243" s="65">
        <f t="shared" ref="Y243" si="116">Y206-Y205</f>
        <v>0</v>
      </c>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row>
    <row r="244" spans="4:79">
      <c r="D244" s="27" t="s">
        <v>1669</v>
      </c>
      <c r="E244" s="65">
        <f t="shared" ref="E244:X244" si="117">E207-E206</f>
        <v>0</v>
      </c>
      <c r="F244" s="65">
        <f t="shared" si="117"/>
        <v>0</v>
      </c>
      <c r="G244" s="65">
        <f t="shared" si="117"/>
        <v>0</v>
      </c>
      <c r="H244" s="65">
        <f t="shared" si="117"/>
        <v>0</v>
      </c>
      <c r="I244" s="65">
        <f t="shared" si="117"/>
        <v>0</v>
      </c>
      <c r="J244" s="65">
        <f t="shared" si="117"/>
        <v>0</v>
      </c>
      <c r="K244" s="65">
        <f t="shared" si="117"/>
        <v>0</v>
      </c>
      <c r="L244" s="65">
        <f t="shared" si="117"/>
        <v>0</v>
      </c>
      <c r="M244" s="65">
        <f t="shared" si="117"/>
        <v>0</v>
      </c>
      <c r="N244" s="65">
        <f t="shared" si="117"/>
        <v>0</v>
      </c>
      <c r="O244" s="65">
        <f t="shared" si="117"/>
        <v>0</v>
      </c>
      <c r="P244" s="65">
        <f t="shared" si="117"/>
        <v>0</v>
      </c>
      <c r="Q244" s="65">
        <f t="shared" si="117"/>
        <v>0</v>
      </c>
      <c r="R244" s="65">
        <f t="shared" si="117"/>
        <v>0</v>
      </c>
      <c r="S244" s="65">
        <f t="shared" si="117"/>
        <v>0</v>
      </c>
      <c r="T244" s="65">
        <f t="shared" si="117"/>
        <v>0</v>
      </c>
      <c r="U244" s="65">
        <f t="shared" si="117"/>
        <v>0</v>
      </c>
      <c r="V244" s="65">
        <f t="shared" si="117"/>
        <v>0</v>
      </c>
      <c r="W244" s="65">
        <f t="shared" si="117"/>
        <v>0</v>
      </c>
      <c r="X244" s="65">
        <f t="shared" si="117"/>
        <v>0</v>
      </c>
      <c r="Y244" s="65">
        <f t="shared" ref="Y244" si="118">Y207-Y206</f>
        <v>0</v>
      </c>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row>
    <row r="245" spans="4:79">
      <c r="D245" s="27" t="s">
        <v>1672</v>
      </c>
      <c r="E245" s="65">
        <f t="shared" ref="E245:X245" si="119">E208-E207</f>
        <v>0</v>
      </c>
      <c r="F245" s="65">
        <f t="shared" si="119"/>
        <v>0</v>
      </c>
      <c r="G245" s="65">
        <f t="shared" si="119"/>
        <v>0</v>
      </c>
      <c r="H245" s="65">
        <f t="shared" si="119"/>
        <v>0</v>
      </c>
      <c r="I245" s="65">
        <f t="shared" si="119"/>
        <v>0</v>
      </c>
      <c r="J245" s="65">
        <f t="shared" si="119"/>
        <v>0</v>
      </c>
      <c r="K245" s="65">
        <f t="shared" si="119"/>
        <v>0</v>
      </c>
      <c r="L245" s="65">
        <f t="shared" si="119"/>
        <v>0</v>
      </c>
      <c r="M245" s="65">
        <f t="shared" si="119"/>
        <v>0</v>
      </c>
      <c r="N245" s="65">
        <f t="shared" si="119"/>
        <v>0</v>
      </c>
      <c r="O245" s="65">
        <f t="shared" si="119"/>
        <v>0</v>
      </c>
      <c r="P245" s="65">
        <f t="shared" si="119"/>
        <v>0</v>
      </c>
      <c r="Q245" s="65">
        <f t="shared" si="119"/>
        <v>0</v>
      </c>
      <c r="R245" s="65">
        <f t="shared" si="119"/>
        <v>0</v>
      </c>
      <c r="S245" s="65">
        <f t="shared" si="119"/>
        <v>0</v>
      </c>
      <c r="T245" s="65">
        <f t="shared" si="119"/>
        <v>0</v>
      </c>
      <c r="U245" s="65">
        <f t="shared" si="119"/>
        <v>0</v>
      </c>
      <c r="V245" s="65">
        <f t="shared" si="119"/>
        <v>0</v>
      </c>
      <c r="W245" s="65">
        <f t="shared" si="119"/>
        <v>0</v>
      </c>
      <c r="X245" s="65">
        <f t="shared" si="119"/>
        <v>0</v>
      </c>
      <c r="Y245" s="65">
        <f t="shared" ref="Y245" si="120">Y208-Y207</f>
        <v>0</v>
      </c>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row>
    <row r="246" spans="4:79">
      <c r="D246" s="27" t="s">
        <v>1675</v>
      </c>
      <c r="E246" s="65">
        <f t="shared" ref="E246:X246" si="121">E209-E208</f>
        <v>0</v>
      </c>
      <c r="F246" s="65">
        <f t="shared" si="121"/>
        <v>0</v>
      </c>
      <c r="G246" s="65">
        <f t="shared" si="121"/>
        <v>0</v>
      </c>
      <c r="H246" s="65">
        <f t="shared" si="121"/>
        <v>0</v>
      </c>
      <c r="I246" s="65">
        <f t="shared" si="121"/>
        <v>0</v>
      </c>
      <c r="J246" s="65">
        <f t="shared" si="121"/>
        <v>0</v>
      </c>
      <c r="K246" s="65">
        <f t="shared" si="121"/>
        <v>0</v>
      </c>
      <c r="L246" s="65">
        <f t="shared" si="121"/>
        <v>0</v>
      </c>
      <c r="M246" s="65">
        <f t="shared" si="121"/>
        <v>0</v>
      </c>
      <c r="N246" s="65">
        <f t="shared" si="121"/>
        <v>0</v>
      </c>
      <c r="O246" s="65">
        <f t="shared" si="121"/>
        <v>0</v>
      </c>
      <c r="P246" s="65">
        <f t="shared" si="121"/>
        <v>0</v>
      </c>
      <c r="Q246" s="65">
        <f t="shared" si="121"/>
        <v>0</v>
      </c>
      <c r="R246" s="65">
        <f t="shared" si="121"/>
        <v>0</v>
      </c>
      <c r="S246" s="65">
        <f t="shared" si="121"/>
        <v>0</v>
      </c>
      <c r="T246" s="65">
        <f t="shared" si="121"/>
        <v>0</v>
      </c>
      <c r="U246" s="65">
        <f t="shared" si="121"/>
        <v>0</v>
      </c>
      <c r="V246" s="65">
        <f t="shared" si="121"/>
        <v>0</v>
      </c>
      <c r="W246" s="65">
        <f t="shared" si="121"/>
        <v>0</v>
      </c>
      <c r="X246" s="65">
        <f t="shared" si="121"/>
        <v>0</v>
      </c>
      <c r="Y246" s="65">
        <f t="shared" ref="Y246" si="122">Y209-Y208</f>
        <v>0</v>
      </c>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row>
    <row r="247" spans="4:79">
      <c r="D247" s="27" t="s">
        <v>1678</v>
      </c>
      <c r="E247" s="65">
        <f t="shared" ref="E247:X247" si="123">E210-E209</f>
        <v>0.14415440387308109</v>
      </c>
      <c r="F247" s="65">
        <f t="shared" si="123"/>
        <v>0.14382705548526076</v>
      </c>
      <c r="G247" s="65">
        <f t="shared" si="123"/>
        <v>0.14350045044599113</v>
      </c>
      <c r="H247" s="65">
        <f t="shared" si="123"/>
        <v>0.14317458706726249</v>
      </c>
      <c r="I247" s="65">
        <f t="shared" si="123"/>
        <v>0.14284946366489848</v>
      </c>
      <c r="J247" s="65">
        <f t="shared" si="123"/>
        <v>0.12827257070269127</v>
      </c>
      <c r="K247" s="65">
        <f t="shared" si="123"/>
        <v>0.10238502965160023</v>
      </c>
      <c r="L247" s="65">
        <f t="shared" si="123"/>
        <v>8.1722025522167563E-2</v>
      </c>
      <c r="M247" s="65">
        <f t="shared" si="123"/>
        <v>6.522915975286292E-2</v>
      </c>
      <c r="N247" s="65">
        <f t="shared" si="123"/>
        <v>5.2064828972089749E-2</v>
      </c>
      <c r="O247" s="65">
        <f t="shared" si="123"/>
        <v>4.1557279384915269E-2</v>
      </c>
      <c r="P247" s="65">
        <f t="shared" si="123"/>
        <v>3.3170328299776841E-2</v>
      </c>
      <c r="Q247" s="65">
        <f t="shared" si="123"/>
        <v>2.6476003621986877E-2</v>
      </c>
      <c r="R247" s="65">
        <f t="shared" si="123"/>
        <v>2.1132705153122711E-2</v>
      </c>
      <c r="S247" s="65">
        <f t="shared" si="123"/>
        <v>1.686777330389666E-2</v>
      </c>
      <c r="T247" s="65">
        <f t="shared" si="123"/>
        <v>1.3463575731079702E-2</v>
      </c>
      <c r="U247" s="65">
        <f t="shared" si="123"/>
        <v>9.1623376670841097E-5</v>
      </c>
      <c r="V247" s="65">
        <f t="shared" si="123"/>
        <v>3.2648327384015002E-5</v>
      </c>
      <c r="W247" s="65">
        <f t="shared" si="123"/>
        <v>1.1104837152574754E-5</v>
      </c>
      <c r="X247" s="65">
        <f t="shared" si="123"/>
        <v>3.612919594782652E-6</v>
      </c>
      <c r="Y247" s="65">
        <f t="shared" ref="Y247" si="124">Y210-Y209</f>
        <v>1.2622700599071663</v>
      </c>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row>
    <row r="248" spans="4:79">
      <c r="D248" s="27" t="s">
        <v>1681</v>
      </c>
      <c r="E248" s="65">
        <f t="shared" ref="E248:X248" si="125">E211-E210</f>
        <v>0</v>
      </c>
      <c r="F248" s="65">
        <f t="shared" si="125"/>
        <v>0</v>
      </c>
      <c r="G248" s="65">
        <f t="shared" si="125"/>
        <v>0</v>
      </c>
      <c r="H248" s="65">
        <f t="shared" si="125"/>
        <v>0</v>
      </c>
      <c r="I248" s="65">
        <f t="shared" si="125"/>
        <v>0</v>
      </c>
      <c r="J248" s="65">
        <f t="shared" si="125"/>
        <v>0</v>
      </c>
      <c r="K248" s="65">
        <f t="shared" si="125"/>
        <v>0</v>
      </c>
      <c r="L248" s="65">
        <f t="shared" si="125"/>
        <v>0</v>
      </c>
      <c r="M248" s="65">
        <f t="shared" si="125"/>
        <v>0</v>
      </c>
      <c r="N248" s="65">
        <f t="shared" si="125"/>
        <v>0</v>
      </c>
      <c r="O248" s="65">
        <f t="shared" si="125"/>
        <v>0</v>
      </c>
      <c r="P248" s="65">
        <f t="shared" si="125"/>
        <v>0</v>
      </c>
      <c r="Q248" s="65">
        <f t="shared" si="125"/>
        <v>0</v>
      </c>
      <c r="R248" s="65">
        <f t="shared" si="125"/>
        <v>0</v>
      </c>
      <c r="S248" s="65">
        <f t="shared" si="125"/>
        <v>0</v>
      </c>
      <c r="T248" s="65">
        <f t="shared" si="125"/>
        <v>0</v>
      </c>
      <c r="U248" s="65">
        <f t="shared" si="125"/>
        <v>0</v>
      </c>
      <c r="V248" s="65">
        <f t="shared" si="125"/>
        <v>0</v>
      </c>
      <c r="W248" s="65">
        <f t="shared" si="125"/>
        <v>0</v>
      </c>
      <c r="X248" s="65">
        <f t="shared" si="125"/>
        <v>0</v>
      </c>
      <c r="Y248" s="65">
        <f t="shared" ref="Y248" si="126">Y211-Y210</f>
        <v>0</v>
      </c>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row>
    <row r="249" spans="4:79">
      <c r="D249" s="27" t="s">
        <v>1684</v>
      </c>
      <c r="E249" s="65">
        <f t="shared" ref="E249:X249" si="127">E212-E211</f>
        <v>0</v>
      </c>
      <c r="F249" s="65">
        <f t="shared" si="127"/>
        <v>0</v>
      </c>
      <c r="G249" s="65">
        <f t="shared" si="127"/>
        <v>0</v>
      </c>
      <c r="H249" s="65">
        <f t="shared" si="127"/>
        <v>0</v>
      </c>
      <c r="I249" s="65">
        <f t="shared" si="127"/>
        <v>0</v>
      </c>
      <c r="J249" s="65">
        <f t="shared" si="127"/>
        <v>0</v>
      </c>
      <c r="K249" s="65">
        <f t="shared" si="127"/>
        <v>0</v>
      </c>
      <c r="L249" s="65">
        <f t="shared" si="127"/>
        <v>0</v>
      </c>
      <c r="M249" s="65">
        <f t="shared" si="127"/>
        <v>0</v>
      </c>
      <c r="N249" s="65">
        <f t="shared" si="127"/>
        <v>0</v>
      </c>
      <c r="O249" s="65">
        <f t="shared" si="127"/>
        <v>0</v>
      </c>
      <c r="P249" s="65">
        <f t="shared" si="127"/>
        <v>0</v>
      </c>
      <c r="Q249" s="65">
        <f t="shared" si="127"/>
        <v>0</v>
      </c>
      <c r="R249" s="65">
        <f t="shared" si="127"/>
        <v>0</v>
      </c>
      <c r="S249" s="65">
        <f t="shared" si="127"/>
        <v>0</v>
      </c>
      <c r="T249" s="65">
        <f t="shared" si="127"/>
        <v>0</v>
      </c>
      <c r="U249" s="65">
        <f t="shared" si="127"/>
        <v>0</v>
      </c>
      <c r="V249" s="65">
        <f t="shared" si="127"/>
        <v>0</v>
      </c>
      <c r="W249" s="65">
        <f t="shared" si="127"/>
        <v>0</v>
      </c>
      <c r="X249" s="65">
        <f t="shared" si="127"/>
        <v>0</v>
      </c>
      <c r="Y249" s="65">
        <f t="shared" ref="Y249" si="128">Y212-Y211</f>
        <v>0</v>
      </c>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row>
    <row r="250" spans="4:79">
      <c r="D250" s="27" t="s">
        <v>1687</v>
      </c>
      <c r="E250" s="65">
        <f t="shared" ref="E250:X250" si="129">E213-E212</f>
        <v>0</v>
      </c>
      <c r="F250" s="65">
        <f t="shared" si="129"/>
        <v>0</v>
      </c>
      <c r="G250" s="65">
        <f t="shared" si="129"/>
        <v>0</v>
      </c>
      <c r="H250" s="65">
        <f t="shared" si="129"/>
        <v>0</v>
      </c>
      <c r="I250" s="65">
        <f t="shared" si="129"/>
        <v>0</v>
      </c>
      <c r="J250" s="65">
        <f t="shared" si="129"/>
        <v>0</v>
      </c>
      <c r="K250" s="65">
        <f t="shared" si="129"/>
        <v>0</v>
      </c>
      <c r="L250" s="65">
        <f t="shared" si="129"/>
        <v>0</v>
      </c>
      <c r="M250" s="65">
        <f t="shared" si="129"/>
        <v>0</v>
      </c>
      <c r="N250" s="65">
        <f t="shared" si="129"/>
        <v>0</v>
      </c>
      <c r="O250" s="65">
        <f t="shared" si="129"/>
        <v>0</v>
      </c>
      <c r="P250" s="65">
        <f t="shared" si="129"/>
        <v>0</v>
      </c>
      <c r="Q250" s="65">
        <f t="shared" si="129"/>
        <v>0</v>
      </c>
      <c r="R250" s="65">
        <f t="shared" si="129"/>
        <v>0</v>
      </c>
      <c r="S250" s="65">
        <f t="shared" si="129"/>
        <v>0</v>
      </c>
      <c r="T250" s="65">
        <f t="shared" si="129"/>
        <v>0</v>
      </c>
      <c r="U250" s="65">
        <f t="shared" si="129"/>
        <v>0</v>
      </c>
      <c r="V250" s="65">
        <f t="shared" si="129"/>
        <v>0</v>
      </c>
      <c r="W250" s="65">
        <f t="shared" si="129"/>
        <v>0</v>
      </c>
      <c r="X250" s="65">
        <f t="shared" si="129"/>
        <v>0</v>
      </c>
      <c r="Y250" s="65">
        <f t="shared" ref="Y250" si="130">Y213-Y212</f>
        <v>0</v>
      </c>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row>
    <row r="251" spans="4:79">
      <c r="D251" s="27" t="s">
        <v>1690</v>
      </c>
      <c r="E251" s="65">
        <f t="shared" ref="E251:X251" si="131">E214-E213</f>
        <v>0</v>
      </c>
      <c r="F251" s="65">
        <f t="shared" si="131"/>
        <v>0</v>
      </c>
      <c r="G251" s="65">
        <f t="shared" si="131"/>
        <v>0</v>
      </c>
      <c r="H251" s="65">
        <f t="shared" si="131"/>
        <v>0</v>
      </c>
      <c r="I251" s="65">
        <f t="shared" si="131"/>
        <v>0</v>
      </c>
      <c r="J251" s="65">
        <f t="shared" si="131"/>
        <v>0</v>
      </c>
      <c r="K251" s="65">
        <f t="shared" si="131"/>
        <v>0</v>
      </c>
      <c r="L251" s="65">
        <f t="shared" si="131"/>
        <v>0</v>
      </c>
      <c r="M251" s="65">
        <f t="shared" si="131"/>
        <v>0</v>
      </c>
      <c r="N251" s="65">
        <f t="shared" si="131"/>
        <v>0</v>
      </c>
      <c r="O251" s="65">
        <f t="shared" si="131"/>
        <v>0</v>
      </c>
      <c r="P251" s="65">
        <f t="shared" si="131"/>
        <v>0</v>
      </c>
      <c r="Q251" s="65">
        <f t="shared" si="131"/>
        <v>0</v>
      </c>
      <c r="R251" s="65">
        <f t="shared" si="131"/>
        <v>0</v>
      </c>
      <c r="S251" s="65">
        <f t="shared" si="131"/>
        <v>0</v>
      </c>
      <c r="T251" s="65">
        <f t="shared" si="131"/>
        <v>0</v>
      </c>
      <c r="U251" s="65">
        <f t="shared" si="131"/>
        <v>0</v>
      </c>
      <c r="V251" s="65">
        <f t="shared" si="131"/>
        <v>0</v>
      </c>
      <c r="W251" s="65">
        <f t="shared" si="131"/>
        <v>0</v>
      </c>
      <c r="X251" s="65">
        <f t="shared" si="131"/>
        <v>0</v>
      </c>
      <c r="Y251" s="65">
        <f t="shared" ref="Y251" si="132">Y214-Y213</f>
        <v>0</v>
      </c>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row>
    <row r="252" spans="4:79">
      <c r="D252" s="27" t="s">
        <v>1693</v>
      </c>
      <c r="E252" s="65">
        <f t="shared" ref="E252:X252" si="133">E215-E214</f>
        <v>1.0072989722054615E-2</v>
      </c>
      <c r="F252" s="65">
        <f t="shared" si="133"/>
        <v>1.0050115797586301E-2</v>
      </c>
      <c r="G252" s="65">
        <f t="shared" si="133"/>
        <v>1.0027293815634053E-2</v>
      </c>
      <c r="H252" s="65">
        <f t="shared" si="133"/>
        <v>1.0004523658242448E-2</v>
      </c>
      <c r="I252" s="65">
        <f t="shared" si="133"/>
        <v>9.9818052077296215E-3</v>
      </c>
      <c r="J252" s="65">
        <f t="shared" si="133"/>
        <v>8.9632245120121468E-3</v>
      </c>
      <c r="K252" s="65">
        <f t="shared" si="133"/>
        <v>7.1542965297197725E-3</v>
      </c>
      <c r="L252" s="65">
        <f t="shared" si="133"/>
        <v>5.7104403405894288E-3</v>
      </c>
      <c r="M252" s="65">
        <f t="shared" si="133"/>
        <v>4.5579783767646376E-3</v>
      </c>
      <c r="N252" s="65">
        <f t="shared" si="133"/>
        <v>3.6381024306288978E-3</v>
      </c>
      <c r="O252" s="65">
        <f t="shared" si="133"/>
        <v>2.9038727702657141E-3</v>
      </c>
      <c r="P252" s="65">
        <f t="shared" si="133"/>
        <v>2.3178228834064285E-3</v>
      </c>
      <c r="Q252" s="65">
        <f t="shared" si="133"/>
        <v>1.8500476239360353E-3</v>
      </c>
      <c r="R252" s="65">
        <f t="shared" si="133"/>
        <v>1.47667720227318E-3</v>
      </c>
      <c r="S252" s="65">
        <f t="shared" si="133"/>
        <v>1.1786591499050036E-3</v>
      </c>
      <c r="T252" s="65">
        <f t="shared" si="133"/>
        <v>9.4078610377179572E-4</v>
      </c>
      <c r="U252" s="65">
        <f t="shared" si="133"/>
        <v>6.4023110408605727E-6</v>
      </c>
      <c r="V252" s="65">
        <f t="shared" si="133"/>
        <v>2.2813473424718698E-6</v>
      </c>
      <c r="W252" s="65">
        <f t="shared" si="133"/>
        <v>7.7596596078657008E-7</v>
      </c>
      <c r="X252" s="65">
        <f t="shared" si="133"/>
        <v>2.5245778808739633E-7</v>
      </c>
      <c r="Y252" s="65">
        <f t="shared" ref="Y252" si="134">Y215-Y214</f>
        <v>8.820287829082929E-2</v>
      </c>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row>
    <row r="253" spans="4:79">
      <c r="D253" s="27" t="s">
        <v>1696</v>
      </c>
      <c r="E253" s="65">
        <f t="shared" ref="E253:X253" si="135">E216-E215</f>
        <v>6.3245729967050579E-2</v>
      </c>
      <c r="F253" s="65">
        <f t="shared" si="135"/>
        <v>6.3102110436986436E-2</v>
      </c>
      <c r="G253" s="65">
        <f t="shared" si="135"/>
        <v>6.2958817040703607E-2</v>
      </c>
      <c r="H253" s="65">
        <f t="shared" si="135"/>
        <v>6.2815849037621163E-2</v>
      </c>
      <c r="I253" s="65">
        <f t="shared" si="135"/>
        <v>6.2673205688827949E-2</v>
      </c>
      <c r="J253" s="65">
        <f t="shared" si="135"/>
        <v>5.6277797631381077E-2</v>
      </c>
      <c r="K253" s="65">
        <f t="shared" si="135"/>
        <v>4.492000080493419E-2</v>
      </c>
      <c r="L253" s="65">
        <f t="shared" si="135"/>
        <v>3.5854396533636645E-2</v>
      </c>
      <c r="M253" s="65">
        <f t="shared" si="135"/>
        <v>2.8618382185114477E-2</v>
      </c>
      <c r="N253" s="65">
        <f t="shared" si="135"/>
        <v>2.2842716042505096E-2</v>
      </c>
      <c r="O253" s="65">
        <f t="shared" si="135"/>
        <v>1.8232675516855146E-2</v>
      </c>
      <c r="P253" s="65">
        <f t="shared" si="135"/>
        <v>1.4553017946042246E-2</v>
      </c>
      <c r="Q253" s="65">
        <f t="shared" si="135"/>
        <v>1.161597655495239E-2</v>
      </c>
      <c r="R253" s="65">
        <f t="shared" si="135"/>
        <v>9.27167903080095E-3</v>
      </c>
      <c r="S253" s="65">
        <f t="shared" si="135"/>
        <v>7.4004997895378288E-3</v>
      </c>
      <c r="T253" s="65">
        <f t="shared" si="135"/>
        <v>5.9069556822453073E-3</v>
      </c>
      <c r="U253" s="65">
        <f t="shared" si="135"/>
        <v>4.0198475966752092E-5</v>
      </c>
      <c r="V253" s="65">
        <f t="shared" si="135"/>
        <v>1.4323997339847107E-5</v>
      </c>
      <c r="W253" s="65">
        <f t="shared" si="135"/>
        <v>4.8720920971527699E-6</v>
      </c>
      <c r="X253" s="65">
        <f t="shared" si="135"/>
        <v>1.5851179772868678E-6</v>
      </c>
      <c r="Y253" s="65">
        <f t="shared" ref="Y253" si="136">Y216-Y215</f>
        <v>0.55380334703245637</v>
      </c>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row>
    <row r="254" spans="4:79">
      <c r="E254" s="65"/>
      <c r="F254" s="65"/>
      <c r="G254" s="65"/>
      <c r="H254" s="65"/>
      <c r="I254" s="65"/>
      <c r="J254" s="65"/>
      <c r="K254" s="65"/>
      <c r="L254" s="65"/>
      <c r="M254" s="65"/>
      <c r="N254" s="65"/>
      <c r="O254" s="65"/>
      <c r="P254" s="65"/>
      <c r="Q254" s="65"/>
      <c r="R254" s="65"/>
      <c r="S254" s="65"/>
      <c r="T254" s="65"/>
      <c r="U254" s="65"/>
      <c r="V254" s="65"/>
      <c r="W254" s="65"/>
      <c r="X254" s="65"/>
      <c r="Y254" s="65"/>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row>
    <row r="255" spans="4:79" ht="15">
      <c r="D255" s="89" t="s">
        <v>1704</v>
      </c>
      <c r="E255" s="90">
        <f>SUM(E222:E253)</f>
        <v>13.621665389142173</v>
      </c>
      <c r="F255" s="90">
        <f t="shared" ref="F255:Y255" si="137">SUM(F222:F253)</f>
        <v>13.590733068763857</v>
      </c>
      <c r="G255" s="90">
        <f t="shared" si="137"/>
        <v>13.559870990049586</v>
      </c>
      <c r="H255" s="90">
        <f t="shared" si="137"/>
        <v>13.529078993493341</v>
      </c>
      <c r="I255" s="90">
        <f t="shared" si="137"/>
        <v>13.498356919951298</v>
      </c>
      <c r="J255" s="90">
        <f t="shared" si="137"/>
        <v>12.120934149576943</v>
      </c>
      <c r="K255" s="90">
        <f t="shared" si="137"/>
        <v>9.6747277731413188</v>
      </c>
      <c r="L255" s="90">
        <f t="shared" si="137"/>
        <v>7.7222065831996023</v>
      </c>
      <c r="M255" s="90">
        <f t="shared" si="137"/>
        <v>6.1637366871614852</v>
      </c>
      <c r="N255" s="90">
        <f t="shared" si="137"/>
        <v>4.9197919712889959</v>
      </c>
      <c r="O255" s="90">
        <f t="shared" si="137"/>
        <v>3.9268960160441617</v>
      </c>
      <c r="P255" s="90">
        <f t="shared" si="137"/>
        <v>3.1343830005038402</v>
      </c>
      <c r="Q255" s="90">
        <f t="shared" si="137"/>
        <v>2.5018123102083614</v>
      </c>
      <c r="R255" s="90">
        <f t="shared" si="137"/>
        <v>1.9969049202040656</v>
      </c>
      <c r="S255" s="90">
        <f t="shared" si="137"/>
        <v>1.5938962503558463</v>
      </c>
      <c r="T255" s="90">
        <f t="shared" si="137"/>
        <v>1.2722214418895867</v>
      </c>
      <c r="U255" s="90">
        <f t="shared" si="137"/>
        <v>8.6578206790851719E-3</v>
      </c>
      <c r="V255" s="90">
        <f t="shared" si="137"/>
        <v>3.0850572663168301E-3</v>
      </c>
      <c r="W255" s="90">
        <f t="shared" si="137"/>
        <v>1.0493357943227933E-3</v>
      </c>
      <c r="X255" s="90">
        <f t="shared" si="137"/>
        <v>3.4139769910418119E-4</v>
      </c>
      <c r="Y255" s="90">
        <f t="shared" si="137"/>
        <v>119.2764142115731</v>
      </c>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row>
    <row r="256" spans="4:79" ht="15">
      <c r="D256" s="89" t="s">
        <v>1705</v>
      </c>
      <c r="E256" s="90">
        <f>E255</f>
        <v>13.621665389142173</v>
      </c>
      <c r="F256" s="90">
        <f t="shared" ref="F256:X256" si="138">E256+F255</f>
        <v>27.21239845790603</v>
      </c>
      <c r="G256" s="90">
        <f t="shared" si="138"/>
        <v>40.772269447955615</v>
      </c>
      <c r="H256" s="90">
        <f t="shared" si="138"/>
        <v>54.301348441448958</v>
      </c>
      <c r="I256" s="90">
        <f t="shared" si="138"/>
        <v>67.799705361400257</v>
      </c>
      <c r="J256" s="90">
        <f t="shared" si="138"/>
        <v>79.920639510977196</v>
      </c>
      <c r="K256" s="90">
        <f t="shared" si="138"/>
        <v>89.59536728411851</v>
      </c>
      <c r="L256" s="90">
        <f t="shared" si="138"/>
        <v>97.317573867318117</v>
      </c>
      <c r="M256" s="90">
        <f t="shared" si="138"/>
        <v>103.48131055447961</v>
      </c>
      <c r="N256" s="90">
        <f t="shared" si="138"/>
        <v>108.40110252576861</v>
      </c>
      <c r="O256" s="90">
        <f t="shared" si="138"/>
        <v>112.32799854181278</v>
      </c>
      <c r="P256" s="90">
        <f t="shared" si="138"/>
        <v>115.46238154231662</v>
      </c>
      <c r="Q256" s="90">
        <f t="shared" si="138"/>
        <v>117.96419385252499</v>
      </c>
      <c r="R256" s="90">
        <f t="shared" si="138"/>
        <v>119.96109877272904</v>
      </c>
      <c r="S256" s="90">
        <f t="shared" si="138"/>
        <v>121.55499502308489</v>
      </c>
      <c r="T256" s="90">
        <f t="shared" si="138"/>
        <v>122.82721646497447</v>
      </c>
      <c r="U256" s="90">
        <f t="shared" si="138"/>
        <v>122.83587428565356</v>
      </c>
      <c r="V256" s="90">
        <f t="shared" si="138"/>
        <v>122.83895934291988</v>
      </c>
      <c r="W256" s="90">
        <f t="shared" si="138"/>
        <v>122.8400086787142</v>
      </c>
      <c r="X256" s="90">
        <f t="shared" si="138"/>
        <v>122.8403500764133</v>
      </c>
      <c r="Y256" s="90"/>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row>
    <row r="257" spans="29:7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row>
    <row r="258" spans="29:7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row>
    <row r="259" spans="29:79" s="59" customFormat="1"/>
    <row r="260" spans="29:79" s="59" customFormat="1"/>
    <row r="261" spans="29:79" s="59" customFormat="1"/>
    <row r="262" spans="29:79" s="59" customFormat="1"/>
    <row r="263" spans="29:79" s="59" customFormat="1"/>
    <row r="264" spans="29:79" s="59" customFormat="1"/>
    <row r="265" spans="29:79" s="59" customFormat="1"/>
    <row r="266" spans="29:79" s="59" customFormat="1"/>
  </sheetData>
  <mergeCells count="1">
    <mergeCell ref="B1:S6"/>
  </mergeCell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dimension ref="A1:EA43"/>
  <sheetViews>
    <sheetView workbookViewId="0">
      <selection sqref="A1:EA43"/>
    </sheetView>
  </sheetViews>
  <sheetFormatPr defaultRowHeight="12.75"/>
  <cols>
    <col min="1" max="1" width="18.85546875" customWidth="1"/>
  </cols>
  <sheetData>
    <row r="1" spans="1:131" ht="13.5" thickBot="1">
      <c r="A1" s="36" t="s">
        <v>30</v>
      </c>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row>
    <row r="2" spans="1:131" ht="13.5" thickBot="1">
      <c r="A2" s="39"/>
      <c r="B2" s="40"/>
      <c r="C2" s="41"/>
      <c r="D2" s="41"/>
      <c r="E2" s="41"/>
      <c r="F2" s="41"/>
      <c r="G2" s="41"/>
      <c r="H2" s="41"/>
      <c r="I2" s="41"/>
      <c r="J2" s="41"/>
      <c r="K2" s="41"/>
      <c r="L2" s="41"/>
      <c r="M2" s="41"/>
      <c r="N2" s="41"/>
      <c r="O2" s="42" t="s">
        <v>1700</v>
      </c>
      <c r="P2" s="43"/>
      <c r="Q2" s="43"/>
      <c r="R2" s="43"/>
      <c r="S2" s="43"/>
      <c r="T2" s="43"/>
      <c r="U2" s="43"/>
      <c r="V2" s="43"/>
      <c r="W2" s="43"/>
      <c r="X2" s="43"/>
      <c r="Y2" s="43"/>
      <c r="Z2" s="44"/>
      <c r="AA2" s="41"/>
      <c r="AB2" s="42" t="s">
        <v>1701</v>
      </c>
      <c r="AC2" s="43"/>
      <c r="AD2" s="43"/>
      <c r="AE2" s="43"/>
      <c r="AF2" s="43"/>
      <c r="AG2" s="43"/>
      <c r="AH2" s="43"/>
      <c r="AI2" s="43"/>
      <c r="AJ2" s="43"/>
      <c r="AK2" s="43"/>
      <c r="AL2" s="43"/>
      <c r="AM2" s="44"/>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row>
    <row r="3" spans="1:131" ht="191.25">
      <c r="A3" s="45" t="s">
        <v>31</v>
      </c>
      <c r="B3" s="46" t="s">
        <v>32</v>
      </c>
      <c r="C3" s="47" t="s">
        <v>33</v>
      </c>
      <c r="D3" s="47" t="s">
        <v>34</v>
      </c>
      <c r="E3" s="47" t="s">
        <v>35</v>
      </c>
      <c r="F3" s="47" t="s">
        <v>36</v>
      </c>
      <c r="G3" s="47" t="s">
        <v>37</v>
      </c>
      <c r="H3" s="47" t="s">
        <v>38</v>
      </c>
      <c r="I3" s="47" t="s">
        <v>39</v>
      </c>
      <c r="J3" s="47" t="s">
        <v>40</v>
      </c>
      <c r="K3" s="47" t="s">
        <v>41</v>
      </c>
      <c r="L3" s="47" t="s">
        <v>42</v>
      </c>
      <c r="M3" s="47" t="s">
        <v>43</v>
      </c>
      <c r="N3" s="47" t="s">
        <v>1702</v>
      </c>
      <c r="O3" s="47" t="s">
        <v>44</v>
      </c>
      <c r="P3" s="47" t="s">
        <v>45</v>
      </c>
      <c r="Q3" s="47" t="s">
        <v>46</v>
      </c>
      <c r="R3" s="47" t="s">
        <v>47</v>
      </c>
      <c r="S3" s="47" t="s">
        <v>48</v>
      </c>
      <c r="T3" s="47" t="s">
        <v>49</v>
      </c>
      <c r="U3" s="47" t="s">
        <v>50</v>
      </c>
      <c r="V3" s="47" t="s">
        <v>51</v>
      </c>
      <c r="W3" s="47" t="s">
        <v>52</v>
      </c>
      <c r="X3" s="47" t="s">
        <v>53</v>
      </c>
      <c r="Y3" s="47" t="s">
        <v>54</v>
      </c>
      <c r="Z3" s="47" t="s">
        <v>55</v>
      </c>
      <c r="AA3" s="47"/>
      <c r="AB3" s="47" t="s">
        <v>44</v>
      </c>
      <c r="AC3" s="47" t="s">
        <v>45</v>
      </c>
      <c r="AD3" s="47" t="s">
        <v>46</v>
      </c>
      <c r="AE3" s="47" t="s">
        <v>47</v>
      </c>
      <c r="AF3" s="47" t="s">
        <v>48</v>
      </c>
      <c r="AG3" s="47" t="s">
        <v>49</v>
      </c>
      <c r="AH3" s="47" t="s">
        <v>50</v>
      </c>
      <c r="AI3" s="47" t="s">
        <v>51</v>
      </c>
      <c r="AJ3" s="47" t="s">
        <v>52</v>
      </c>
      <c r="AK3" s="47" t="s">
        <v>53</v>
      </c>
      <c r="AL3" s="47" t="s">
        <v>54</v>
      </c>
      <c r="AM3" s="47" t="s">
        <v>55</v>
      </c>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row>
    <row r="4" spans="1:131">
      <c r="A4" s="27" t="s">
        <v>232</v>
      </c>
      <c r="B4" s="27"/>
      <c r="C4" s="48">
        <v>717.60736655826236</v>
      </c>
      <c r="D4" s="48">
        <v>444.2906023738596</v>
      </c>
      <c r="E4" s="48">
        <v>88.858120474771923</v>
      </c>
      <c r="F4" s="48">
        <v>533.14872284863156</v>
      </c>
      <c r="G4" s="48">
        <v>385.09040558029801</v>
      </c>
      <c r="H4" s="48">
        <v>667.52934160751761</v>
      </c>
      <c r="I4" s="48">
        <v>6508.2704411937293</v>
      </c>
      <c r="J4" s="48">
        <v>-0.85007175170955207</v>
      </c>
      <c r="K4" s="48">
        <v>9.7968778952292404</v>
      </c>
      <c r="L4" s="49">
        <v>1.7334354009719055</v>
      </c>
      <c r="M4" s="48">
        <v>6.8173134706967451</v>
      </c>
      <c r="N4" s="48">
        <v>0.3752504280546366</v>
      </c>
      <c r="O4" s="48">
        <v>79.937974117064826</v>
      </c>
      <c r="P4" s="48">
        <v>58.322730415453606</v>
      </c>
      <c r="Q4" s="48">
        <v>52.849377129989946</v>
      </c>
      <c r="R4" s="48">
        <v>42.364298803046722</v>
      </c>
      <c r="S4" s="48">
        <v>17.454560730743136</v>
      </c>
      <c r="T4" s="48">
        <v>4.875526351924349</v>
      </c>
      <c r="U4" s="48">
        <v>1.1872307630592094</v>
      </c>
      <c r="V4" s="48">
        <v>0.9980400351373333</v>
      </c>
      <c r="W4" s="48">
        <v>9.4705394583690357</v>
      </c>
      <c r="X4" s="48">
        <v>32.528769839671384</v>
      </c>
      <c r="Y4" s="48">
        <v>51.453350105649648</v>
      </c>
      <c r="Z4" s="48">
        <v>93.159985297794691</v>
      </c>
      <c r="AA4" s="48"/>
      <c r="AB4" s="48">
        <v>50.812069721668337</v>
      </c>
      <c r="AC4" s="48">
        <v>38.067424407367994</v>
      </c>
      <c r="AD4" s="48">
        <v>29.487410471462525</v>
      </c>
      <c r="AE4" s="48">
        <v>25.28837301156495</v>
      </c>
      <c r="AF4" s="48">
        <v>9.9347564337680137</v>
      </c>
      <c r="AG4" s="48">
        <v>2.4663340475417432</v>
      </c>
      <c r="AH4" s="48">
        <v>0.66427911542204532</v>
      </c>
      <c r="AI4" s="48">
        <v>0.44417977639934375</v>
      </c>
      <c r="AJ4" s="48">
        <v>5.4384851723163088</v>
      </c>
      <c r="AK4" s="48">
        <v>16.770963961001058</v>
      </c>
      <c r="AL4" s="48">
        <v>33.664744442916565</v>
      </c>
      <c r="AM4" s="38">
        <v>59.96596294892958</v>
      </c>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row>
    <row r="5" spans="1:131">
      <c r="A5" s="27" t="s">
        <v>235</v>
      </c>
      <c r="B5" s="27"/>
      <c r="C5" s="48">
        <v>4321.9423011033477</v>
      </c>
      <c r="D5" s="48">
        <v>2730.3075374938753</v>
      </c>
      <c r="E5" s="48">
        <v>546.06150749877509</v>
      </c>
      <c r="F5" s="48">
        <v>3276.3690449926503</v>
      </c>
      <c r="G5" s="48">
        <v>2366.5034357123791</v>
      </c>
      <c r="H5" s="48">
        <v>4020.3367930267268</v>
      </c>
      <c r="I5" s="48">
        <v>6640.7626096277472</v>
      </c>
      <c r="J5" s="48">
        <v>-0.26297539784183366</v>
      </c>
      <c r="K5" s="48">
        <v>10.600719613119042</v>
      </c>
      <c r="L5" s="49">
        <v>1.6988510273666688</v>
      </c>
      <c r="M5" s="48">
        <v>41.058713778537786</v>
      </c>
      <c r="N5" s="48">
        <v>2.2600251531626352</v>
      </c>
      <c r="O5" s="48">
        <v>481.44337405292919</v>
      </c>
      <c r="P5" s="48">
        <v>351.26099235483593</v>
      </c>
      <c r="Q5" s="48">
        <v>318.2965633429331</v>
      </c>
      <c r="R5" s="48">
        <v>255.1479591571389</v>
      </c>
      <c r="S5" s="48">
        <v>105.12378758203752</v>
      </c>
      <c r="T5" s="48">
        <v>29.363889729266209</v>
      </c>
      <c r="U5" s="48">
        <v>7.1503486379277668</v>
      </c>
      <c r="V5" s="48">
        <v>6.010907422456766</v>
      </c>
      <c r="W5" s="48">
        <v>57.038329045734976</v>
      </c>
      <c r="X5" s="48">
        <v>195.91140353980222</v>
      </c>
      <c r="Y5" s="48">
        <v>309.88869501388092</v>
      </c>
      <c r="Z5" s="48">
        <v>561.07573582999896</v>
      </c>
      <c r="AA5" s="48"/>
      <c r="AB5" s="48">
        <v>306.02644812574005</v>
      </c>
      <c r="AC5" s="48">
        <v>229.26912334992036</v>
      </c>
      <c r="AD5" s="48">
        <v>177.59417281046632</v>
      </c>
      <c r="AE5" s="48">
        <v>152.30458066359495</v>
      </c>
      <c r="AF5" s="48">
        <v>59.834174066793857</v>
      </c>
      <c r="AG5" s="48">
        <v>14.854018987912193</v>
      </c>
      <c r="AH5" s="48">
        <v>4.0007616176679219</v>
      </c>
      <c r="AI5" s="48">
        <v>2.6751667476912511</v>
      </c>
      <c r="AJ5" s="48">
        <v>32.754428417993161</v>
      </c>
      <c r="AK5" s="48">
        <v>101.00668130118108</v>
      </c>
      <c r="AL5" s="48">
        <v>202.75305110299766</v>
      </c>
      <c r="AM5" s="38">
        <v>361.1577082024462</v>
      </c>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row>
    <row r="6" spans="1:131">
      <c r="A6" s="27" t="s">
        <v>221</v>
      </c>
      <c r="B6" s="27"/>
      <c r="C6" s="48">
        <v>645.08422854274454</v>
      </c>
      <c r="D6" s="48">
        <v>444.29060237385954</v>
      </c>
      <c r="E6" s="48">
        <v>88.858120474771908</v>
      </c>
      <c r="F6" s="48">
        <v>533.14872284863145</v>
      </c>
      <c r="G6" s="48">
        <v>385.09040558029801</v>
      </c>
      <c r="H6" s="48">
        <v>600.06721004803228</v>
      </c>
      <c r="I6" s="48">
        <v>7239.9581411321742</v>
      </c>
      <c r="J6" s="48">
        <v>2.3921665321151466</v>
      </c>
      <c r="K6" s="48">
        <v>14.236091960702645</v>
      </c>
      <c r="L6" s="49">
        <v>1.5582502221622032</v>
      </c>
      <c r="M6" s="48">
        <v>6.1283392645070141</v>
      </c>
      <c r="N6" s="48">
        <v>0.33732671119716895</v>
      </c>
      <c r="O6" s="48">
        <v>71.859248898039226</v>
      </c>
      <c r="P6" s="48">
        <v>52.428494062156126</v>
      </c>
      <c r="Q6" s="48">
        <v>47.508291112415982</v>
      </c>
      <c r="R6" s="48">
        <v>38.082860188836861</v>
      </c>
      <c r="S6" s="48">
        <v>15.690560560361458</v>
      </c>
      <c r="T6" s="48">
        <v>4.3827938536296909</v>
      </c>
      <c r="U6" s="48">
        <v>1.0672463474886635</v>
      </c>
      <c r="V6" s="48">
        <v>0.8971756926203025</v>
      </c>
      <c r="W6" s="48">
        <v>8.5134238095779082</v>
      </c>
      <c r="X6" s="48">
        <v>29.241333597381963</v>
      </c>
      <c r="Y6" s="48">
        <v>46.25334995937213</v>
      </c>
      <c r="Z6" s="48">
        <v>83.745011614233661</v>
      </c>
      <c r="AA6" s="48"/>
      <c r="AB6" s="48">
        <v>45.6768789237357</v>
      </c>
      <c r="AC6" s="48">
        <v>34.220238323657838</v>
      </c>
      <c r="AD6" s="48">
        <v>26.507341371003431</v>
      </c>
      <c r="AE6" s="48">
        <v>22.732668803981795</v>
      </c>
      <c r="AF6" s="48">
        <v>8.9307258934290523</v>
      </c>
      <c r="AG6" s="48">
        <v>2.2170803569335957</v>
      </c>
      <c r="AH6" s="48">
        <v>0.59714545959067411</v>
      </c>
      <c r="AI6" s="48">
        <v>0.39928989269871978</v>
      </c>
      <c r="AJ6" s="48">
        <v>4.8888586925340389</v>
      </c>
      <c r="AK6" s="48">
        <v>15.076049735370399</v>
      </c>
      <c r="AL6" s="48">
        <v>30.262503856674545</v>
      </c>
      <c r="AM6" s="38">
        <v>53.905657537020801</v>
      </c>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row>
    <row r="7" spans="1:131">
      <c r="A7" s="27" t="s">
        <v>224</v>
      </c>
      <c r="B7" s="27"/>
      <c r="C7" s="48">
        <v>3879.632460283558</v>
      </c>
      <c r="D7" s="48">
        <v>2730.3075374938753</v>
      </c>
      <c r="E7" s="48">
        <v>546.06150749877509</v>
      </c>
      <c r="F7" s="48">
        <v>3276.3690449926503</v>
      </c>
      <c r="G7" s="48">
        <v>2366.5034357123791</v>
      </c>
      <c r="H7" s="48">
        <v>3608.8934180164606</v>
      </c>
      <c r="I7" s="48">
        <v>7397.8638770431089</v>
      </c>
      <c r="J7" s="48">
        <v>3.0918749217040449</v>
      </c>
      <c r="K7" s="48">
        <v>15.194120042811599</v>
      </c>
      <c r="L7" s="49">
        <v>1.5249897226242943</v>
      </c>
      <c r="M7" s="48">
        <v>36.856743485918614</v>
      </c>
      <c r="N7" s="48">
        <v>2.0287329941976973</v>
      </c>
      <c r="O7" s="48">
        <v>432.17220676160969</v>
      </c>
      <c r="P7" s="48">
        <v>315.31275825300509</v>
      </c>
      <c r="Q7" s="48">
        <v>285.72192618737517</v>
      </c>
      <c r="R7" s="48">
        <v>229.03598325883095</v>
      </c>
      <c r="S7" s="48">
        <v>94.365364051044509</v>
      </c>
      <c r="T7" s="48">
        <v>26.358773860716578</v>
      </c>
      <c r="U7" s="48">
        <v>6.4185782098402768</v>
      </c>
      <c r="V7" s="48">
        <v>5.3957480056985627</v>
      </c>
      <c r="W7" s="48">
        <v>51.200996549554915</v>
      </c>
      <c r="X7" s="48">
        <v>175.86172779740517</v>
      </c>
      <c r="Y7" s="48">
        <v>278.17452351083932</v>
      </c>
      <c r="Z7" s="48">
        <v>503.65495088813196</v>
      </c>
      <c r="AA7" s="48"/>
      <c r="AB7" s="48">
        <v>274.70754099396601</v>
      </c>
      <c r="AC7" s="48">
        <v>205.80560107478323</v>
      </c>
      <c r="AD7" s="48">
        <v>159.41909206349149</v>
      </c>
      <c r="AE7" s="48">
        <v>136.7176500346873</v>
      </c>
      <c r="AF7" s="48">
        <v>53.71071332547141</v>
      </c>
      <c r="AG7" s="48">
        <v>13.333850897653262</v>
      </c>
      <c r="AH7" s="48">
        <v>3.5913215763659205</v>
      </c>
      <c r="AI7" s="48">
        <v>2.4013887803094009</v>
      </c>
      <c r="AJ7" s="48">
        <v>29.402323042591181</v>
      </c>
      <c r="AK7" s="48">
        <v>90.669604585313024</v>
      </c>
      <c r="AL7" s="48">
        <v>182.00319756233395</v>
      </c>
      <c r="AM7" s="38">
        <v>324.19663901253989</v>
      </c>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row>
    <row r="8" spans="1:131">
      <c r="A8" s="27" t="s">
        <v>237</v>
      </c>
      <c r="B8" s="27"/>
      <c r="C8" s="48">
        <v>4704.3999020605224</v>
      </c>
      <c r="D8" s="48">
        <v>3567.2363679851774</v>
      </c>
      <c r="E8" s="48">
        <v>713.44727359703552</v>
      </c>
      <c r="F8" s="48">
        <v>4280.6836415822127</v>
      </c>
      <c r="G8" s="48">
        <v>3091.9143740795562</v>
      </c>
      <c r="H8" s="48">
        <v>4376.1046996247242</v>
      </c>
      <c r="I8" s="48">
        <v>7971.0036308426397</v>
      </c>
      <c r="J8" s="48">
        <v>5.6315590682422743</v>
      </c>
      <c r="K8" s="48">
        <v>18.671409679856037</v>
      </c>
      <c r="L8" s="49">
        <v>1.4153382565542305</v>
      </c>
      <c r="M8" s="48">
        <v>44.692084165300656</v>
      </c>
      <c r="N8" s="48">
        <v>2.4600194469228249</v>
      </c>
      <c r="O8" s="48">
        <v>524.04729261750697</v>
      </c>
      <c r="P8" s="48">
        <v>382.34480307844763</v>
      </c>
      <c r="Q8" s="48">
        <v>346.46328365707842</v>
      </c>
      <c r="R8" s="48">
        <v>277.72652905693752</v>
      </c>
      <c r="S8" s="48">
        <v>114.42640867253512</v>
      </c>
      <c r="T8" s="48">
        <v>31.962360980897486</v>
      </c>
      <c r="U8" s="48">
        <v>7.7830977575472282</v>
      </c>
      <c r="V8" s="48">
        <v>6.5428250354664534</v>
      </c>
      <c r="W8" s="48">
        <v>62.085768592502795</v>
      </c>
      <c r="X8" s="48">
        <v>213.24800828319673</v>
      </c>
      <c r="Y8" s="48">
        <v>337.31138569360184</v>
      </c>
      <c r="Z8" s="48">
        <v>610.72648656446404</v>
      </c>
      <c r="AA8" s="48"/>
      <c r="AB8" s="48">
        <v>333.10736060107229</v>
      </c>
      <c r="AC8" s="48">
        <v>249.55762161783565</v>
      </c>
      <c r="AD8" s="48">
        <v>193.30984797339596</v>
      </c>
      <c r="AE8" s="48">
        <v>165.7823275831955</v>
      </c>
      <c r="AF8" s="48">
        <v>65.12902371413827</v>
      </c>
      <c r="AG8" s="48">
        <v>16.168481808306371</v>
      </c>
      <c r="AH8" s="48">
        <v>4.354797276566976</v>
      </c>
      <c r="AI8" s="48">
        <v>2.9118977786032572</v>
      </c>
      <c r="AJ8" s="48">
        <v>35.652935441159826</v>
      </c>
      <c r="AK8" s="48">
        <v>109.9449711532306</v>
      </c>
      <c r="AL8" s="48">
        <v>220.69508737030358</v>
      </c>
      <c r="AM8" s="38">
        <v>393.11729975253155</v>
      </c>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row>
    <row r="9" spans="1:131">
      <c r="A9" s="27" t="s">
        <v>226</v>
      </c>
      <c r="B9" s="27"/>
      <c r="C9" s="48">
        <v>4219.451076731496</v>
      </c>
      <c r="D9" s="48">
        <v>3567.2363679851778</v>
      </c>
      <c r="E9" s="48">
        <v>713.44727359703563</v>
      </c>
      <c r="F9" s="48">
        <v>4280.6836415822136</v>
      </c>
      <c r="G9" s="48">
        <v>3091.9143740795566</v>
      </c>
      <c r="H9" s="48">
        <v>3924.9978894510573</v>
      </c>
      <c r="I9" s="48">
        <v>8887.1248933422394</v>
      </c>
      <c r="J9" s="48">
        <v>9.6910552578760143</v>
      </c>
      <c r="K9" s="48">
        <v>24.229598500728116</v>
      </c>
      <c r="L9" s="49">
        <v>1.2694393875702021</v>
      </c>
      <c r="M9" s="48">
        <v>40.085040935838961</v>
      </c>
      <c r="N9" s="48">
        <v>2.2064305586675435</v>
      </c>
      <c r="O9" s="48">
        <v>470.02634961468004</v>
      </c>
      <c r="P9" s="48">
        <v>342.93113353850521</v>
      </c>
      <c r="Q9" s="48">
        <v>310.74842821812098</v>
      </c>
      <c r="R9" s="48">
        <v>249.09734003542636</v>
      </c>
      <c r="S9" s="48">
        <v>102.63086543054585</v>
      </c>
      <c r="T9" s="48">
        <v>28.667549796661323</v>
      </c>
      <c r="U9" s="48">
        <v>6.9807841376335986</v>
      </c>
      <c r="V9" s="48">
        <v>5.8683638116463746</v>
      </c>
      <c r="W9" s="48">
        <v>55.685713075241921</v>
      </c>
      <c r="X9" s="48">
        <v>191.26552948172511</v>
      </c>
      <c r="Y9" s="48">
        <v>302.53994541052327</v>
      </c>
      <c r="Z9" s="48">
        <v>547.77029694992109</v>
      </c>
      <c r="AA9" s="48"/>
      <c r="AB9" s="48">
        <v>298.76928845691043</v>
      </c>
      <c r="AC9" s="48">
        <v>223.83219904003417</v>
      </c>
      <c r="AD9" s="48">
        <v>173.38267646355672</v>
      </c>
      <c r="AE9" s="48">
        <v>148.69280571100751</v>
      </c>
      <c r="AF9" s="48">
        <v>58.415256984578626</v>
      </c>
      <c r="AG9" s="48">
        <v>14.501768428591864</v>
      </c>
      <c r="AH9" s="48">
        <v>3.9058869229016326</v>
      </c>
      <c r="AI9" s="48">
        <v>2.6117274196604852</v>
      </c>
      <c r="AJ9" s="48">
        <v>31.977684713824956</v>
      </c>
      <c r="AK9" s="48">
        <v>98.611392860228833</v>
      </c>
      <c r="AL9" s="48">
        <v>197.94493313081426</v>
      </c>
      <c r="AM9" s="38">
        <v>352.59315709875597</v>
      </c>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1">
      <c r="A10" s="27" t="s">
        <v>217</v>
      </c>
      <c r="B10" s="27"/>
      <c r="C10" s="48">
        <v>261.56665528837181</v>
      </c>
      <c r="D10" s="48">
        <v>262.65009234084522</v>
      </c>
      <c r="E10" s="48">
        <v>52.530018468169047</v>
      </c>
      <c r="F10" s="48">
        <v>315.18011080901425</v>
      </c>
      <c r="G10" s="48">
        <v>227.65286964167791</v>
      </c>
      <c r="H10" s="48">
        <v>243.31330101661027</v>
      </c>
      <c r="I10" s="48">
        <v>10555.541827925445</v>
      </c>
      <c r="J10" s="48">
        <v>17.084107319762779</v>
      </c>
      <c r="K10" s="48">
        <v>34.352031778886101</v>
      </c>
      <c r="L10" s="49">
        <v>1.0687908366785872</v>
      </c>
      <c r="M10" s="48">
        <v>2.484899076684342</v>
      </c>
      <c r="N10" s="48">
        <v>0.13677813792873331</v>
      </c>
      <c r="O10" s="48">
        <v>29.137254569461664</v>
      </c>
      <c r="P10" s="48">
        <v>21.258535284025708</v>
      </c>
      <c r="Q10" s="48">
        <v>19.263507391604939</v>
      </c>
      <c r="R10" s="48">
        <v>15.441714310565725</v>
      </c>
      <c r="S10" s="48">
        <v>6.3621574730553805</v>
      </c>
      <c r="T10" s="48">
        <v>1.7771209996903368</v>
      </c>
      <c r="U10" s="48">
        <v>0.43274357848115286</v>
      </c>
      <c r="V10" s="48">
        <v>0.3637838823851684</v>
      </c>
      <c r="W10" s="48">
        <v>3.4519954021417028</v>
      </c>
      <c r="X10" s="48">
        <v>11.856680859361429</v>
      </c>
      <c r="Y10" s="48">
        <v>18.754657933717965</v>
      </c>
      <c r="Z10" s="48">
        <v>33.956654985201652</v>
      </c>
      <c r="AA10" s="48"/>
      <c r="AB10" s="48">
        <v>18.520912332771132</v>
      </c>
      <c r="AC10" s="48">
        <v>13.875510957243993</v>
      </c>
      <c r="AD10" s="48">
        <v>10.748110581874236</v>
      </c>
      <c r="AE10" s="48">
        <v>9.2175686239736176</v>
      </c>
      <c r="AF10" s="48">
        <v>3.6212016941082394</v>
      </c>
      <c r="AG10" s="48">
        <v>0.89897453357169455</v>
      </c>
      <c r="AH10" s="48">
        <v>0.24212859914218246</v>
      </c>
      <c r="AI10" s="48">
        <v>0.16190276727054803</v>
      </c>
      <c r="AJ10" s="48">
        <v>1.982318524934884</v>
      </c>
      <c r="AK10" s="48">
        <v>6.1129876220197827</v>
      </c>
      <c r="AL10" s="48">
        <v>12.270741655432218</v>
      </c>
      <c r="AM10" s="38">
        <v>21.857490726336447</v>
      </c>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row>
    <row r="11" spans="1:131">
      <c r="A11" s="27" t="s">
        <v>1207</v>
      </c>
      <c r="B11" s="27"/>
      <c r="C11" s="48">
        <v>192.05259822441437</v>
      </c>
      <c r="D11" s="48">
        <v>196.91489394951594</v>
      </c>
      <c r="E11" s="48">
        <v>39.382978789903191</v>
      </c>
      <c r="F11" s="48">
        <v>236.29787273941912</v>
      </c>
      <c r="G11" s="48">
        <v>170.67666066006808</v>
      </c>
      <c r="H11" s="48">
        <v>178.65026255461106</v>
      </c>
      <c r="I11" s="48">
        <v>10778.137782747113</v>
      </c>
      <c r="J11" s="48">
        <v>18.070469570499039</v>
      </c>
      <c r="K11" s="48">
        <v>35.702541147357046</v>
      </c>
      <c r="L11" s="49">
        <v>1.0467175878863941</v>
      </c>
      <c r="M11" s="48">
        <v>1.8245113218905495</v>
      </c>
      <c r="N11" s="48">
        <v>0.10042792626051654</v>
      </c>
      <c r="O11" s="48">
        <v>21.39372634872727</v>
      </c>
      <c r="P11" s="48">
        <v>15.608858595685186</v>
      </c>
      <c r="Q11" s="48">
        <v>14.144030099686063</v>
      </c>
      <c r="R11" s="48">
        <v>11.337918249226886</v>
      </c>
      <c r="S11" s="48">
        <v>4.6713480036898254</v>
      </c>
      <c r="T11" s="48">
        <v>1.3048326246838342</v>
      </c>
      <c r="U11" s="48">
        <v>0.31773747506389777</v>
      </c>
      <c r="V11" s="48">
        <v>0.2671045348926871</v>
      </c>
      <c r="W11" s="48">
        <v>2.5345917479777436</v>
      </c>
      <c r="X11" s="48">
        <v>8.7056446963684344</v>
      </c>
      <c r="Y11" s="48">
        <v>13.770412673624866</v>
      </c>
      <c r="Z11" s="48">
        <v>24.932321016714507</v>
      </c>
      <c r="AA11" s="48"/>
      <c r="AB11" s="48">
        <v>13.59878739541089</v>
      </c>
      <c r="AC11" s="48">
        <v>10.187949714355305</v>
      </c>
      <c r="AD11" s="48">
        <v>7.8916884913198464</v>
      </c>
      <c r="AE11" s="48">
        <v>6.7679039654129491</v>
      </c>
      <c r="AF11" s="48">
        <v>2.658829709319817</v>
      </c>
      <c r="AG11" s="48">
        <v>0.66006270837420578</v>
      </c>
      <c r="AH11" s="48">
        <v>0.17778040751573243</v>
      </c>
      <c r="AI11" s="48">
        <v>0.11887542423842637</v>
      </c>
      <c r="AJ11" s="48">
        <v>1.4554967750090653</v>
      </c>
      <c r="AK11" s="48">
        <v>4.4883976301499757</v>
      </c>
      <c r="AL11" s="48">
        <v>9.0096645326147407</v>
      </c>
      <c r="AM11" s="38">
        <v>16.048635404352222</v>
      </c>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row>
    <row r="12" spans="1:131">
      <c r="A12" s="27" t="s">
        <v>234</v>
      </c>
      <c r="B12" s="27"/>
      <c r="C12" s="48">
        <v>325.2989796945879</v>
      </c>
      <c r="D12" s="48">
        <v>337.57430889025602</v>
      </c>
      <c r="E12" s="48">
        <v>67.514861778051213</v>
      </c>
      <c r="F12" s="48">
        <v>405.08917066830725</v>
      </c>
      <c r="G12" s="48">
        <v>292.5936916726601</v>
      </c>
      <c r="H12" s="48">
        <v>302.59808338170905</v>
      </c>
      <c r="I12" s="48">
        <v>10908.675884523256</v>
      </c>
      <c r="J12" s="48">
        <v>18.648907107595836</v>
      </c>
      <c r="K12" s="48">
        <v>36.494527369803585</v>
      </c>
      <c r="L12" s="49">
        <v>1.0341920963909277</v>
      </c>
      <c r="M12" s="48">
        <v>3.0903600208454214</v>
      </c>
      <c r="N12" s="48">
        <v>0.17010497253057383</v>
      </c>
      <c r="O12" s="48">
        <v>36.236725862850136</v>
      </c>
      <c r="P12" s="48">
        <v>26.438308163060373</v>
      </c>
      <c r="Q12" s="48">
        <v>23.957179453625933</v>
      </c>
      <c r="R12" s="48">
        <v>19.204182981291716</v>
      </c>
      <c r="S12" s="48">
        <v>7.912336273748342</v>
      </c>
      <c r="T12" s="48">
        <v>2.2101274619876685</v>
      </c>
      <c r="U12" s="48">
        <v>0.53818421309897735</v>
      </c>
      <c r="V12" s="48">
        <v>0.45242206289163839</v>
      </c>
      <c r="W12" s="48">
        <v>4.2930953144203219</v>
      </c>
      <c r="X12" s="48">
        <v>14.74563407886375</v>
      </c>
      <c r="Y12" s="48">
        <v>23.324345695491569</v>
      </c>
      <c r="Z12" s="48">
        <v>42.230402833072063</v>
      </c>
      <c r="AA12" s="48"/>
      <c r="AB12" s="48">
        <v>23.033646541150688</v>
      </c>
      <c r="AC12" s="48">
        <v>17.256364547523447</v>
      </c>
      <c r="AD12" s="48">
        <v>13.366953834668413</v>
      </c>
      <c r="AE12" s="48">
        <v>11.463485914661861</v>
      </c>
      <c r="AF12" s="48">
        <v>4.5035297601792266</v>
      </c>
      <c r="AG12" s="48">
        <v>1.1180152080925079</v>
      </c>
      <c r="AH12" s="48">
        <v>0.3011247216087079</v>
      </c>
      <c r="AI12" s="48">
        <v>0.20135137234818995</v>
      </c>
      <c r="AJ12" s="48">
        <v>2.4653226263877892</v>
      </c>
      <c r="AK12" s="48">
        <v>7.6024546559130286</v>
      </c>
      <c r="AL12" s="48">
        <v>15.260583334703947</v>
      </c>
      <c r="AM12" s="38">
        <v>27.183202782947596</v>
      </c>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row>
    <row r="13" spans="1:131">
      <c r="A13" s="27" t="s">
        <v>228</v>
      </c>
      <c r="B13" s="27"/>
      <c r="C13" s="48">
        <v>253.0973747146395</v>
      </c>
      <c r="D13" s="48">
        <v>262.65009234084528</v>
      </c>
      <c r="E13" s="48">
        <v>52.530018468169061</v>
      </c>
      <c r="F13" s="48">
        <v>315.18011080901431</v>
      </c>
      <c r="G13" s="48">
        <v>227.652869641678</v>
      </c>
      <c r="H13" s="48">
        <v>235.43504676681391</v>
      </c>
      <c r="I13" s="48">
        <v>10908.757049731923</v>
      </c>
      <c r="J13" s="48">
        <v>18.649266765065647</v>
      </c>
      <c r="K13" s="48">
        <v>36.495019806311646</v>
      </c>
      <c r="L13" s="49">
        <v>1.0341844016171855</v>
      </c>
      <c r="M13" s="48">
        <v>2.4044403979791187</v>
      </c>
      <c r="N13" s="48">
        <v>0.13234939136241747</v>
      </c>
      <c r="O13" s="48">
        <v>28.193817861808796</v>
      </c>
      <c r="P13" s="48">
        <v>20.570204045059082</v>
      </c>
      <c r="Q13" s="48">
        <v>18.639773266344207</v>
      </c>
      <c r="R13" s="48">
        <v>14.941726225725874</v>
      </c>
      <c r="S13" s="48">
        <v>6.1561568395489079</v>
      </c>
      <c r="T13" s="48">
        <v>1.71957950479583</v>
      </c>
      <c r="U13" s="48">
        <v>0.41873175125265083</v>
      </c>
      <c r="V13" s="48">
        <v>0.35200490480591662</v>
      </c>
      <c r="W13" s="48">
        <v>3.3402230603355965</v>
      </c>
      <c r="X13" s="48">
        <v>11.472772762358678</v>
      </c>
      <c r="Y13" s="48">
        <v>18.14739987198255</v>
      </c>
      <c r="Z13" s="48">
        <v>32.857170656444083</v>
      </c>
      <c r="AA13" s="48"/>
      <c r="AB13" s="48">
        <v>17.921222732218634</v>
      </c>
      <c r="AC13" s="48">
        <v>13.426235053665085</v>
      </c>
      <c r="AD13" s="48">
        <v>10.400096940551963</v>
      </c>
      <c r="AE13" s="48">
        <v>8.9191124817027401</v>
      </c>
      <c r="AF13" s="48">
        <v>3.5039506128201241</v>
      </c>
      <c r="AG13" s="48">
        <v>0.86986658957529761</v>
      </c>
      <c r="AH13" s="48">
        <v>0.23428870441707272</v>
      </c>
      <c r="AI13" s="48">
        <v>0.15666050900117409</v>
      </c>
      <c r="AJ13" s="48">
        <v>1.9181329285113975</v>
      </c>
      <c r="AK13" s="48">
        <v>5.9150548723061007</v>
      </c>
      <c r="AL13" s="48">
        <v>11.873426662001327</v>
      </c>
      <c r="AM13" s="38">
        <v>21.149765877406423</v>
      </c>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row>
    <row r="14" spans="1:131">
      <c r="A14" s="27" t="s">
        <v>1205</v>
      </c>
      <c r="B14" s="27"/>
      <c r="C14" s="48">
        <v>185.72248912736737</v>
      </c>
      <c r="D14" s="48">
        <v>196.91489394951594</v>
      </c>
      <c r="E14" s="48">
        <v>39.382978789903191</v>
      </c>
      <c r="F14" s="48">
        <v>236.29787273941912</v>
      </c>
      <c r="G14" s="48">
        <v>170.67666066006808</v>
      </c>
      <c r="H14" s="48">
        <v>172.76189831147099</v>
      </c>
      <c r="I14" s="48">
        <v>11145.4965681498</v>
      </c>
      <c r="J14" s="48">
        <v>19.698301660654625</v>
      </c>
      <c r="K14" s="48">
        <v>37.93133942751404</v>
      </c>
      <c r="L14" s="49">
        <v>1.012217473926069</v>
      </c>
      <c r="M14" s="48">
        <v>1.7643749018517556</v>
      </c>
      <c r="N14" s="48">
        <v>9.7117792810114484E-2</v>
      </c>
      <c r="O14" s="48">
        <v>20.688582950346539</v>
      </c>
      <c r="P14" s="48">
        <v>15.094386108957295</v>
      </c>
      <c r="Q14" s="48">
        <v>13.677838783188959</v>
      </c>
      <c r="R14" s="48">
        <v>10.964217189649746</v>
      </c>
      <c r="S14" s="48">
        <v>4.5173790245298742</v>
      </c>
      <c r="T14" s="48">
        <v>1.2618249645740589</v>
      </c>
      <c r="U14" s="48">
        <v>0.30726475613184512</v>
      </c>
      <c r="V14" s="48">
        <v>0.25830069229009445</v>
      </c>
      <c r="W14" s="48">
        <v>2.4510508720431914</v>
      </c>
      <c r="X14" s="48">
        <v>8.4187041332225654</v>
      </c>
      <c r="Y14" s="48">
        <v>13.316535895381294</v>
      </c>
      <c r="Z14" s="48">
        <v>24.110544516226955</v>
      </c>
      <c r="AA14" s="48"/>
      <c r="AB14" s="48">
        <v>13.150567435897967</v>
      </c>
      <c r="AC14" s="48">
        <v>9.8521519497671886</v>
      </c>
      <c r="AD14" s="48">
        <v>7.6315761597408072</v>
      </c>
      <c r="AE14" s="48">
        <v>6.5448318963262269</v>
      </c>
      <c r="AF14" s="48">
        <v>2.5711939143028837</v>
      </c>
      <c r="AG14" s="48">
        <v>0.63830685089802253</v>
      </c>
      <c r="AH14" s="48">
        <v>0.17192071394586433</v>
      </c>
      <c r="AI14" s="48">
        <v>0.11495725592753639</v>
      </c>
      <c r="AJ14" s="48">
        <v>1.4075231809968589</v>
      </c>
      <c r="AK14" s="48">
        <v>4.3404587481329928</v>
      </c>
      <c r="AL14" s="48">
        <v>8.7127033878735265</v>
      </c>
      <c r="AM14" s="38">
        <v>15.519667747015076</v>
      </c>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row>
    <row r="15" spans="1:131">
      <c r="A15" s="27" t="s">
        <v>218</v>
      </c>
      <c r="B15" s="27"/>
      <c r="C15" s="48">
        <v>277.68551540849614</v>
      </c>
      <c r="D15" s="48">
        <v>297.93884832438431</v>
      </c>
      <c r="E15" s="48">
        <v>59.587769664876866</v>
      </c>
      <c r="F15" s="48">
        <v>357.52661798926118</v>
      </c>
      <c r="G15" s="48">
        <v>258.23952009414489</v>
      </c>
      <c r="H15" s="48">
        <v>258.30731109074827</v>
      </c>
      <c r="I15" s="48">
        <v>11278.705585268357</v>
      </c>
      <c r="J15" s="48">
        <v>20.288574498490732</v>
      </c>
      <c r="K15" s="48">
        <v>38.739530329848918</v>
      </c>
      <c r="L15" s="49">
        <v>1.0002625120917923</v>
      </c>
      <c r="M15" s="48">
        <v>2.6380292246595975</v>
      </c>
      <c r="N15" s="48">
        <v>0.14520699393231559</v>
      </c>
      <c r="O15" s="48">
        <v>30.932817272864423</v>
      </c>
      <c r="P15" s="48">
        <v>22.568577484260135</v>
      </c>
      <c r="Q15" s="48">
        <v>20.450607409097366</v>
      </c>
      <c r="R15" s="48">
        <v>16.393299032679945</v>
      </c>
      <c r="S15" s="48">
        <v>6.7542209272342912</v>
      </c>
      <c r="T15" s="48">
        <v>1.8866348242983069</v>
      </c>
      <c r="U15" s="48">
        <v>0.45941109541571629</v>
      </c>
      <c r="V15" s="48">
        <v>0.38620180682457222</v>
      </c>
      <c r="W15" s="48">
        <v>3.6647221771241258</v>
      </c>
      <c r="X15" s="48">
        <v>12.58734043082057</v>
      </c>
      <c r="Y15" s="48">
        <v>19.910400463288855</v>
      </c>
      <c r="Z15" s="48">
        <v>36.049209830353284</v>
      </c>
      <c r="AA15" s="48"/>
      <c r="AB15" s="48">
        <v>19.662250455017237</v>
      </c>
      <c r="AC15" s="48">
        <v>14.730579505520879</v>
      </c>
      <c r="AD15" s="48">
        <v>11.410455294100103</v>
      </c>
      <c r="AE15" s="48">
        <v>9.7855947706308637</v>
      </c>
      <c r="AF15" s="48">
        <v>3.8443556871496565</v>
      </c>
      <c r="AG15" s="48">
        <v>0.95437320333799469</v>
      </c>
      <c r="AH15" s="48">
        <v>0.25704960280127542</v>
      </c>
      <c r="AI15" s="48">
        <v>0.17187991078610007</v>
      </c>
      <c r="AJ15" s="48">
        <v>2.1044775018951904</v>
      </c>
      <c r="AK15" s="48">
        <v>6.4896961603721053</v>
      </c>
      <c r="AL15" s="48">
        <v>13.02691743057464</v>
      </c>
      <c r="AM15" s="38">
        <v>23.204443132048517</v>
      </c>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row>
    <row r="16" spans="1:131">
      <c r="A16" s="27" t="s">
        <v>229</v>
      </c>
      <c r="B16" s="27"/>
      <c r="C16" s="48">
        <v>268.72982198388451</v>
      </c>
      <c r="D16" s="48">
        <v>297.93884832438431</v>
      </c>
      <c r="E16" s="48">
        <v>59.587769664876866</v>
      </c>
      <c r="F16" s="48">
        <v>357.52661798926118</v>
      </c>
      <c r="G16" s="48">
        <v>258.23952009414489</v>
      </c>
      <c r="H16" s="48">
        <v>249.97658817183242</v>
      </c>
      <c r="I16" s="48">
        <v>11654.579869344561</v>
      </c>
      <c r="J16" s="48">
        <v>21.954140277223352</v>
      </c>
      <c r="K16" s="48">
        <v>41.01999289449391</v>
      </c>
      <c r="L16" s="50">
        <v>0.96800283736857895</v>
      </c>
      <c r="M16" s="48">
        <v>2.552949594393461</v>
      </c>
      <c r="N16" s="48">
        <v>0.1405238929111686</v>
      </c>
      <c r="O16" s="48">
        <v>29.935196536875438</v>
      </c>
      <c r="P16" s="48">
        <v>21.840713588726022</v>
      </c>
      <c r="Q16" s="48">
        <v>19.791050607823301</v>
      </c>
      <c r="R16" s="48">
        <v>15.864595329360416</v>
      </c>
      <c r="S16" s="48">
        <v>6.5363891405909618</v>
      </c>
      <c r="T16" s="48">
        <v>1.8257885714220765</v>
      </c>
      <c r="U16" s="48">
        <v>0.44459453244030989</v>
      </c>
      <c r="V16" s="48">
        <v>0.37374633187167833</v>
      </c>
      <c r="W16" s="48">
        <v>3.5465304584944448</v>
      </c>
      <c r="X16" s="48">
        <v>12.181383491497263</v>
      </c>
      <c r="Y16" s="48">
        <v>19.268265988798348</v>
      </c>
      <c r="Z16" s="48">
        <v>34.886579251782379</v>
      </c>
      <c r="AA16" s="48"/>
      <c r="AB16" s="48">
        <v>19.028119118155733</v>
      </c>
      <c r="AC16" s="48">
        <v>14.255500516167602</v>
      </c>
      <c r="AD16" s="48">
        <v>11.04245432257348</v>
      </c>
      <c r="AE16" s="48">
        <v>9.4699975144530164</v>
      </c>
      <c r="AF16" s="48">
        <v>3.7203705707541288</v>
      </c>
      <c r="AG16" s="48">
        <v>0.92359351427432046</v>
      </c>
      <c r="AH16" s="48">
        <v>0.24875944249449844</v>
      </c>
      <c r="AI16" s="48">
        <v>0.1663365759651049</v>
      </c>
      <c r="AJ16" s="48">
        <v>2.036605559427322</v>
      </c>
      <c r="AK16" s="48">
        <v>6.2803956171094386</v>
      </c>
      <c r="AL16" s="48">
        <v>12.606783601828358</v>
      </c>
      <c r="AM16" s="38">
        <v>22.456071800998878</v>
      </c>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row>
    <row r="17" spans="1:131">
      <c r="A17" s="27" t="s">
        <v>236</v>
      </c>
      <c r="B17" s="27"/>
      <c r="C17" s="48">
        <v>2401.6643306206706</v>
      </c>
      <c r="D17" s="48">
        <v>2730.3075374938753</v>
      </c>
      <c r="E17" s="48">
        <v>546.06150749877509</v>
      </c>
      <c r="F17" s="48">
        <v>3276.3690449926503</v>
      </c>
      <c r="G17" s="48">
        <v>2366.5034357123791</v>
      </c>
      <c r="H17" s="48">
        <v>2234.0648718122029</v>
      </c>
      <c r="I17" s="48">
        <v>11950.459715874749</v>
      </c>
      <c r="J17" s="48">
        <v>23.265236481127097</v>
      </c>
      <c r="K17" s="48">
        <v>42.81512212314901</v>
      </c>
      <c r="L17" s="50">
        <v>0.94403618355182795</v>
      </c>
      <c r="M17" s="48">
        <v>22.815956686396252</v>
      </c>
      <c r="N17" s="48">
        <v>1.2558755805857362</v>
      </c>
      <c r="O17" s="48">
        <v>267.53373787091107</v>
      </c>
      <c r="P17" s="48">
        <v>195.19256327454079</v>
      </c>
      <c r="Q17" s="48">
        <v>176.8745275809701</v>
      </c>
      <c r="R17" s="48">
        <v>141.78341815945203</v>
      </c>
      <c r="S17" s="48">
        <v>58.416340003213413</v>
      </c>
      <c r="T17" s="48">
        <v>16.317248509554076</v>
      </c>
      <c r="U17" s="48">
        <v>3.9733842052516963</v>
      </c>
      <c r="V17" s="48">
        <v>3.3402070054225481</v>
      </c>
      <c r="W17" s="48">
        <v>31.695684672230652</v>
      </c>
      <c r="X17" s="48">
        <v>108.86619882066864</v>
      </c>
      <c r="Y17" s="48">
        <v>172.20235103264253</v>
      </c>
      <c r="Z17" s="48">
        <v>311.78472261780257</v>
      </c>
      <c r="AA17" s="48"/>
      <c r="AB17" s="48">
        <v>170.05613529419304</v>
      </c>
      <c r="AC17" s="48">
        <v>127.40278266130599</v>
      </c>
      <c r="AD17" s="48">
        <v>98.68747901981331</v>
      </c>
      <c r="AE17" s="48">
        <v>84.634280905720018</v>
      </c>
      <c r="AF17" s="48">
        <v>33.249310517560964</v>
      </c>
      <c r="AG17" s="48">
        <v>8.2542442920914443</v>
      </c>
      <c r="AH17" s="48">
        <v>2.2231871235338687</v>
      </c>
      <c r="AI17" s="48">
        <v>1.4865660179573397</v>
      </c>
      <c r="AJ17" s="48">
        <v>18.201340258818313</v>
      </c>
      <c r="AK17" s="48">
        <v>56.128501200371694</v>
      </c>
      <c r="AL17" s="48">
        <v>112.66804062475973</v>
      </c>
      <c r="AM17" s="38">
        <v>200.69207895188475</v>
      </c>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row>
    <row r="18" spans="1:131">
      <c r="A18" s="27" t="s">
        <v>223</v>
      </c>
      <c r="B18" s="27"/>
      <c r="C18" s="48">
        <v>296.63107397054569</v>
      </c>
      <c r="D18" s="48">
        <v>337.57430889025602</v>
      </c>
      <c r="E18" s="48">
        <v>67.514861778051213</v>
      </c>
      <c r="F18" s="48">
        <v>405.08917066830725</v>
      </c>
      <c r="G18" s="48">
        <v>292.5936916726601</v>
      </c>
      <c r="H18" s="48">
        <v>275.93075926403969</v>
      </c>
      <c r="I18" s="48">
        <v>11962.944702842331</v>
      </c>
      <c r="J18" s="48">
        <v>23.320559678063109</v>
      </c>
      <c r="K18" s="48">
        <v>42.890869644609893</v>
      </c>
      <c r="L18" s="50">
        <v>0.94305095125816285</v>
      </c>
      <c r="M18" s="48">
        <v>2.818013179136535</v>
      </c>
      <c r="N18" s="48">
        <v>0.15511398387061642</v>
      </c>
      <c r="O18" s="48">
        <v>33.043260449096074</v>
      </c>
      <c r="P18" s="48">
        <v>24.108356416413688</v>
      </c>
      <c r="Q18" s="48">
        <v>21.845884291755695</v>
      </c>
      <c r="R18" s="48">
        <v>17.511759267784182</v>
      </c>
      <c r="S18" s="48">
        <v>7.2150389426417396</v>
      </c>
      <c r="T18" s="48">
        <v>2.0153536395248208</v>
      </c>
      <c r="U18" s="48">
        <v>0.49075518550788344</v>
      </c>
      <c r="V18" s="48">
        <v>0.41255107080112752</v>
      </c>
      <c r="W18" s="48">
        <v>3.9147539748511688</v>
      </c>
      <c r="X18" s="48">
        <v>13.446132776981484</v>
      </c>
      <c r="Y18" s="48">
        <v>21.268820823876219</v>
      </c>
      <c r="Z18" s="48">
        <v>38.50872744311701</v>
      </c>
      <c r="AA18" s="48"/>
      <c r="AB18" s="48">
        <v>21.003740366398535</v>
      </c>
      <c r="AC18" s="48">
        <v>15.735597920918694</v>
      </c>
      <c r="AD18" s="48">
        <v>12.188952684127841</v>
      </c>
      <c r="AE18" s="48">
        <v>10.453233334776872</v>
      </c>
      <c r="AF18" s="48">
        <v>4.1066432814345024</v>
      </c>
      <c r="AG18" s="48">
        <v>1.0194869107897215</v>
      </c>
      <c r="AH18" s="48">
        <v>0.27458724172370558</v>
      </c>
      <c r="AI18" s="48">
        <v>0.18360670507224625</v>
      </c>
      <c r="AJ18" s="48">
        <v>2.2480589980204693</v>
      </c>
      <c r="AK18" s="48">
        <v>6.9324665312910483</v>
      </c>
      <c r="AL18" s="48">
        <v>13.915700652489802</v>
      </c>
      <c r="AM18" s="38">
        <v>24.787605061151151</v>
      </c>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row>
    <row r="19" spans="1:131">
      <c r="A19" s="27" t="s">
        <v>233</v>
      </c>
      <c r="B19" s="27"/>
      <c r="C19" s="48">
        <v>249.66123195769964</v>
      </c>
      <c r="D19" s="48">
        <v>315.42921929554086</v>
      </c>
      <c r="E19" s="48">
        <v>63.085843859108174</v>
      </c>
      <c r="F19" s="48">
        <v>378.51506315464906</v>
      </c>
      <c r="G19" s="48">
        <v>273.39935920630529</v>
      </c>
      <c r="H19" s="48">
        <v>232.23869424996269</v>
      </c>
      <c r="I19" s="48">
        <v>13281.164749665753</v>
      </c>
      <c r="J19" s="48">
        <v>29.161827069431883</v>
      </c>
      <c r="K19" s="48">
        <v>50.888627395272962</v>
      </c>
      <c r="L19" s="50">
        <v>0.84944856829279158</v>
      </c>
      <c r="M19" s="48">
        <v>2.3717968335512962</v>
      </c>
      <c r="N19" s="48">
        <v>0.13055256749955396</v>
      </c>
      <c r="O19" s="48">
        <v>27.811048253291272</v>
      </c>
      <c r="P19" s="48">
        <v>20.290935412905561</v>
      </c>
      <c r="Q19" s="48">
        <v>18.38671287023238</v>
      </c>
      <c r="R19" s="48">
        <v>14.738871872121486</v>
      </c>
      <c r="S19" s="48">
        <v>6.0725785971485209</v>
      </c>
      <c r="T19" s="48">
        <v>1.6962338629571965</v>
      </c>
      <c r="U19" s="48">
        <v>0.41304689547020829</v>
      </c>
      <c r="V19" s="48">
        <v>0.34722595715614396</v>
      </c>
      <c r="W19" s="48">
        <v>3.2948749673801627</v>
      </c>
      <c r="X19" s="48">
        <v>11.317014192860109</v>
      </c>
      <c r="Y19" s="48">
        <v>17.901024117600624</v>
      </c>
      <c r="Z19" s="48">
        <v>32.411089660574525</v>
      </c>
      <c r="AA19" s="48"/>
      <c r="AB19" s="48">
        <v>17.677917641613689</v>
      </c>
      <c r="AC19" s="48">
        <v>13.243955563865404</v>
      </c>
      <c r="AD19" s="48">
        <v>10.258901411305397</v>
      </c>
      <c r="AE19" s="48">
        <v>8.7980233404704826</v>
      </c>
      <c r="AF19" s="48">
        <v>3.4563796945816723</v>
      </c>
      <c r="AG19" s="48">
        <v>0.85805696181980173</v>
      </c>
      <c r="AH19" s="48">
        <v>0.23110791506426645</v>
      </c>
      <c r="AI19" s="48">
        <v>0.15453362849160807</v>
      </c>
      <c r="AJ19" s="48">
        <v>1.892091652593054</v>
      </c>
      <c r="AK19" s="48">
        <v>5.8347499186127161</v>
      </c>
      <c r="AL19" s="48">
        <v>11.712228668261993</v>
      </c>
      <c r="AM19" s="38">
        <v>20.862628901321383</v>
      </c>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row>
    <row r="20" spans="1:131">
      <c r="A20" s="27" t="s">
        <v>225</v>
      </c>
      <c r="B20" s="27"/>
      <c r="C20" s="48">
        <v>2138.5339132289205</v>
      </c>
      <c r="D20" s="48">
        <v>2730.3075374938753</v>
      </c>
      <c r="E20" s="48">
        <v>546.06150749877509</v>
      </c>
      <c r="F20" s="48">
        <v>3276.3690449926503</v>
      </c>
      <c r="G20" s="48">
        <v>2366.5034357123791</v>
      </c>
      <c r="H20" s="48">
        <v>1989.2969353836063</v>
      </c>
      <c r="I20" s="48">
        <v>13420.873364033159</v>
      </c>
      <c r="J20" s="48">
        <v>29.780900778228975</v>
      </c>
      <c r="K20" s="48">
        <v>51.736251929647075</v>
      </c>
      <c r="L20" s="50">
        <v>0.84060597815476068</v>
      </c>
      <c r="M20" s="48">
        <v>20.316201774962785</v>
      </c>
      <c r="N20" s="48">
        <v>1.1182797219562208</v>
      </c>
      <c r="O20" s="48">
        <v>238.22228780071953</v>
      </c>
      <c r="P20" s="48">
        <v>173.80693498695987</v>
      </c>
      <c r="Q20" s="48">
        <v>157.49585435217566</v>
      </c>
      <c r="R20" s="48">
        <v>126.24938639495305</v>
      </c>
      <c r="S20" s="48">
        <v>52.016146715764492</v>
      </c>
      <c r="T20" s="48">
        <v>14.529503088072019</v>
      </c>
      <c r="U20" s="48">
        <v>3.5380534926889342</v>
      </c>
      <c r="V20" s="48">
        <v>2.9742482607696088</v>
      </c>
      <c r="W20" s="48">
        <v>28.22305170225771</v>
      </c>
      <c r="X20" s="48">
        <v>96.938633435986972</v>
      </c>
      <c r="Y20" s="48">
        <v>153.33556939070098</v>
      </c>
      <c r="Z20" s="48">
        <v>277.62505960711388</v>
      </c>
      <c r="AA20" s="48"/>
      <c r="AB20" s="48">
        <v>151.42449668863287</v>
      </c>
      <c r="AC20" s="48">
        <v>113.44431771217788</v>
      </c>
      <c r="AD20" s="48">
        <v>87.875111440072416</v>
      </c>
      <c r="AE20" s="48">
        <v>75.361605546204871</v>
      </c>
      <c r="AF20" s="48">
        <v>29.606459664955466</v>
      </c>
      <c r="AG20" s="48">
        <v>7.3498952878864356</v>
      </c>
      <c r="AH20" s="48">
        <v>1.9796109716557873</v>
      </c>
      <c r="AI20" s="48">
        <v>1.3236953237482045</v>
      </c>
      <c r="AJ20" s="48">
        <v>16.20717054978391</v>
      </c>
      <c r="AK20" s="48">
        <v>49.978967412437925</v>
      </c>
      <c r="AL20" s="48">
        <v>100.32393900392995</v>
      </c>
      <c r="AM20" s="38">
        <v>178.70391439927218</v>
      </c>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row>
    <row r="21" spans="1:131">
      <c r="A21" s="27" t="s">
        <v>238</v>
      </c>
      <c r="B21" s="27"/>
      <c r="C21" s="48">
        <v>2784.1219315778467</v>
      </c>
      <c r="D21" s="48">
        <v>3567.2363679851774</v>
      </c>
      <c r="E21" s="48">
        <v>713.44727359703552</v>
      </c>
      <c r="F21" s="48">
        <v>4280.6836415822127</v>
      </c>
      <c r="G21" s="48">
        <v>3091.9143740795562</v>
      </c>
      <c r="H21" s="48">
        <v>2589.8327784102007</v>
      </c>
      <c r="I21" s="48">
        <v>13468.802596231293</v>
      </c>
      <c r="J21" s="48">
        <v>29.9932837273481</v>
      </c>
      <c r="K21" s="48">
        <v>52.027042825461216</v>
      </c>
      <c r="L21" s="50">
        <v>0.83761465069069962</v>
      </c>
      <c r="M21" s="48">
        <v>26.449327073159179</v>
      </c>
      <c r="N21" s="48">
        <v>1.4558698743459266</v>
      </c>
      <c r="O21" s="48">
        <v>310.13765643548908</v>
      </c>
      <c r="P21" s="48">
        <v>226.27637399815256</v>
      </c>
      <c r="Q21" s="48">
        <v>205.0412478951155</v>
      </c>
      <c r="R21" s="48">
        <v>164.36198805925076</v>
      </c>
      <c r="S21" s="48">
        <v>67.718961093711044</v>
      </c>
      <c r="T21" s="48">
        <v>18.915719761185365</v>
      </c>
      <c r="U21" s="48">
        <v>4.6061333248711609</v>
      </c>
      <c r="V21" s="48">
        <v>3.8721246184322378</v>
      </c>
      <c r="W21" s="48">
        <v>36.743124218998489</v>
      </c>
      <c r="X21" s="48">
        <v>126.20280356406322</v>
      </c>
      <c r="Y21" s="48">
        <v>199.62504171236358</v>
      </c>
      <c r="Z21" s="48">
        <v>361.43547335226788</v>
      </c>
      <c r="AA21" s="48"/>
      <c r="AB21" s="48">
        <v>197.1370477695254</v>
      </c>
      <c r="AC21" s="48">
        <v>147.69128092922136</v>
      </c>
      <c r="AD21" s="48">
        <v>114.40315418274301</v>
      </c>
      <c r="AE21" s="48">
        <v>98.112027825320638</v>
      </c>
      <c r="AF21" s="48">
        <v>38.544160164905399</v>
      </c>
      <c r="AG21" s="48">
        <v>9.5687071124856296</v>
      </c>
      <c r="AH21" s="48">
        <v>2.5772227824329241</v>
      </c>
      <c r="AI21" s="48">
        <v>1.7232970488693466</v>
      </c>
      <c r="AJ21" s="48">
        <v>21.099847281984992</v>
      </c>
      <c r="AK21" s="48">
        <v>65.066791052421252</v>
      </c>
      <c r="AL21" s="48">
        <v>130.61007689206573</v>
      </c>
      <c r="AM21" s="38">
        <v>232.65167050197022</v>
      </c>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row>
    <row r="22" spans="1:131">
      <c r="A22" s="27" t="s">
        <v>246</v>
      </c>
      <c r="B22" s="27"/>
      <c r="C22" s="48">
        <v>2125.4980617136061</v>
      </c>
      <c r="D22" s="48">
        <v>2730.3075374938753</v>
      </c>
      <c r="E22" s="48">
        <v>546.06150749877509</v>
      </c>
      <c r="F22" s="48">
        <v>3276.3690449926503</v>
      </c>
      <c r="G22" s="48">
        <v>2366.5034357123791</v>
      </c>
      <c r="H22" s="48">
        <v>1977.1707870400539</v>
      </c>
      <c r="I22" s="48">
        <v>13503.184665807918</v>
      </c>
      <c r="J22" s="48">
        <v>30.14563679036641</v>
      </c>
      <c r="K22" s="48">
        <v>52.23564188606791</v>
      </c>
      <c r="L22" s="50">
        <v>0.83548190009066015</v>
      </c>
      <c r="M22" s="48">
        <v>20.192360395569544</v>
      </c>
      <c r="N22" s="48">
        <v>1.1114630293062562</v>
      </c>
      <c r="O22" s="48">
        <v>236.77015727700021</v>
      </c>
      <c r="P22" s="48">
        <v>172.74746083842933</v>
      </c>
      <c r="Q22" s="48">
        <v>156.53580758419497</v>
      </c>
      <c r="R22" s="48">
        <v>125.47980858056187</v>
      </c>
      <c r="S22" s="48">
        <v>51.699072125181218</v>
      </c>
      <c r="T22" s="48">
        <v>14.440935661726449</v>
      </c>
      <c r="U22" s="48">
        <v>3.5164865959946034</v>
      </c>
      <c r="V22" s="48">
        <v>2.9561181490808335</v>
      </c>
      <c r="W22" s="48">
        <v>28.051012573477109</v>
      </c>
      <c r="X22" s="48">
        <v>96.347725046013863</v>
      </c>
      <c r="Y22" s="48">
        <v>152.40088245296835</v>
      </c>
      <c r="Z22" s="48">
        <v>275.93274178527292</v>
      </c>
      <c r="AA22" s="48"/>
      <c r="AB22" s="48">
        <v>150.50145906813808</v>
      </c>
      <c r="AC22" s="48">
        <v>112.75279569711701</v>
      </c>
      <c r="AD22" s="48">
        <v>87.339451520190735</v>
      </c>
      <c r="AE22" s="48">
        <v>74.902224147678112</v>
      </c>
      <c r="AF22" s="48">
        <v>29.425987702505374</v>
      </c>
      <c r="AG22" s="48">
        <v>7.3050925643788478</v>
      </c>
      <c r="AH22" s="48">
        <v>1.9675438659975806</v>
      </c>
      <c r="AI22" s="48">
        <v>1.315626480142239</v>
      </c>
      <c r="AJ22" s="48">
        <v>16.108376573469847</v>
      </c>
      <c r="AK22" s="48">
        <v>49.674310846532194</v>
      </c>
      <c r="AL22" s="48">
        <v>99.712394822097437</v>
      </c>
      <c r="AM22" s="38">
        <v>177.61458975545719</v>
      </c>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row>
    <row r="23" spans="1:131">
      <c r="A23" s="27" t="s">
        <v>222</v>
      </c>
      <c r="B23" s="27"/>
      <c r="C23" s="48">
        <v>227.78283998200996</v>
      </c>
      <c r="D23" s="48">
        <v>315.42921929554086</v>
      </c>
      <c r="E23" s="48">
        <v>63.085843859108174</v>
      </c>
      <c r="F23" s="48">
        <v>378.51506315464906</v>
      </c>
      <c r="G23" s="48">
        <v>273.39935920630529</v>
      </c>
      <c r="H23" s="48">
        <v>211.88707960446598</v>
      </c>
      <c r="I23" s="48">
        <v>14556.811889326707</v>
      </c>
      <c r="J23" s="48">
        <v>34.814446340205663</v>
      </c>
      <c r="K23" s="48">
        <v>58.628091548408534</v>
      </c>
      <c r="L23" s="50">
        <v>0.77500942291740138</v>
      </c>
      <c r="M23" s="48">
        <v>2.1639507839094114</v>
      </c>
      <c r="N23" s="48">
        <v>0.11911194364782247</v>
      </c>
      <c r="O23" s="48">
        <v>25.373901684041712</v>
      </c>
      <c r="P23" s="48">
        <v>18.512793748555499</v>
      </c>
      <c r="Q23" s="48">
        <v>16.775442637505339</v>
      </c>
      <c r="R23" s="48">
        <v>13.447270394514515</v>
      </c>
      <c r="S23" s="48">
        <v>5.5404244704953713</v>
      </c>
      <c r="T23" s="48">
        <v>1.547588961042655</v>
      </c>
      <c r="U23" s="48">
        <v>0.37685063939721875</v>
      </c>
      <c r="V23" s="48">
        <v>0.31679774234991692</v>
      </c>
      <c r="W23" s="48">
        <v>3.0061374430077579</v>
      </c>
      <c r="X23" s="48">
        <v>10.3252780287616</v>
      </c>
      <c r="Y23" s="48">
        <v>16.332315915129293</v>
      </c>
      <c r="Z23" s="48">
        <v>29.570830809038391</v>
      </c>
      <c r="AA23" s="48"/>
      <c r="AB23" s="48">
        <v>16.128760776351108</v>
      </c>
      <c r="AC23" s="48">
        <v>12.083357064599978</v>
      </c>
      <c r="AD23" s="48">
        <v>9.3598901208599337</v>
      </c>
      <c r="AE23" s="48">
        <v>8.0270321787882661</v>
      </c>
      <c r="AF23" s="48">
        <v>3.1534891369171776</v>
      </c>
      <c r="AG23" s="48">
        <v>0.78286344298246879</v>
      </c>
      <c r="AH23" s="48">
        <v>0.21085539321771435</v>
      </c>
      <c r="AI23" s="48">
        <v>0.14099148872463838</v>
      </c>
      <c r="AJ23" s="48">
        <v>1.7262832789630822</v>
      </c>
      <c r="AK23" s="48">
        <v>5.3234372698745203</v>
      </c>
      <c r="AL23" s="48">
        <v>10.68585894436124</v>
      </c>
      <c r="AM23" s="38">
        <v>19.034388412530568</v>
      </c>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row>
    <row r="24" spans="1:131">
      <c r="A24" s="27" t="s">
        <v>227</v>
      </c>
      <c r="B24" s="27"/>
      <c r="C24" s="48">
        <v>2478.352529676858</v>
      </c>
      <c r="D24" s="48">
        <v>3567.2363679851778</v>
      </c>
      <c r="E24" s="48">
        <v>713.44727359703563</v>
      </c>
      <c r="F24" s="48">
        <v>4280.6836415822136</v>
      </c>
      <c r="G24" s="48">
        <v>3091.9143740795566</v>
      </c>
      <c r="H24" s="48">
        <v>2305.4014068181987</v>
      </c>
      <c r="I24" s="48">
        <v>15130.530564652761</v>
      </c>
      <c r="J24" s="48">
        <v>37.35669579095331</v>
      </c>
      <c r="K24" s="48">
        <v>62.108893553617094</v>
      </c>
      <c r="L24" s="50">
        <v>0.74562265570646735</v>
      </c>
      <c r="M24" s="48">
        <v>23.544499224883111</v>
      </c>
      <c r="N24" s="48">
        <v>1.2959772864260666</v>
      </c>
      <c r="O24" s="48">
        <v>276.07643065378977</v>
      </c>
      <c r="P24" s="48">
        <v>201.42531027245994</v>
      </c>
      <c r="Q24" s="48">
        <v>182.5223563829214</v>
      </c>
      <c r="R24" s="48">
        <v>146.31074317154841</v>
      </c>
      <c r="S24" s="48">
        <v>60.281648095265822</v>
      </c>
      <c r="T24" s="48">
        <v>16.83827902401676</v>
      </c>
      <c r="U24" s="48">
        <v>4.1002594204822556</v>
      </c>
      <c r="V24" s="48">
        <v>3.4468640667174197</v>
      </c>
      <c r="W24" s="48">
        <v>32.707768227944705</v>
      </c>
      <c r="X24" s="48">
        <v>112.34243512030687</v>
      </c>
      <c r="Y24" s="48">
        <v>177.70099129038491</v>
      </c>
      <c r="Z24" s="48">
        <v>321.74040566890284</v>
      </c>
      <c r="AA24" s="48"/>
      <c r="AB24" s="48">
        <v>175.48624415157724</v>
      </c>
      <c r="AC24" s="48">
        <v>131.47091567742879</v>
      </c>
      <c r="AD24" s="48">
        <v>101.83869584013762</v>
      </c>
      <c r="AE24" s="48">
        <v>87.33676122252507</v>
      </c>
      <c r="AF24" s="48">
        <v>34.311003324062668</v>
      </c>
      <c r="AG24" s="48">
        <v>8.5178128188250355</v>
      </c>
      <c r="AH24" s="48">
        <v>2.2941763181914991</v>
      </c>
      <c r="AI24" s="48">
        <v>1.5340339630992881</v>
      </c>
      <c r="AJ24" s="48">
        <v>18.782532221017679</v>
      </c>
      <c r="AK24" s="48">
        <v>57.920755687353711</v>
      </c>
      <c r="AL24" s="48">
        <v>116.26567457241021</v>
      </c>
      <c r="AM24" s="38">
        <v>207.10043248548817</v>
      </c>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row>
    <row r="25" spans="1:131">
      <c r="A25" s="27" t="s">
        <v>243</v>
      </c>
      <c r="B25" s="27"/>
      <c r="C25" s="48">
        <v>292.170021134612</v>
      </c>
      <c r="D25" s="48">
        <v>444.29060237385954</v>
      </c>
      <c r="E25" s="48">
        <v>88.858120474771908</v>
      </c>
      <c r="F25" s="48">
        <v>533.14872284863145</v>
      </c>
      <c r="G25" s="48">
        <v>385.09040558029801</v>
      </c>
      <c r="H25" s="48">
        <v>271.78101972509165</v>
      </c>
      <c r="I25" s="48">
        <v>15985.15410313852</v>
      </c>
      <c r="J25" s="48">
        <v>41.143684631915598</v>
      </c>
      <c r="K25" s="48">
        <v>67.293970237357726</v>
      </c>
      <c r="L25" s="50">
        <v>0.70575900044962459</v>
      </c>
      <c r="M25" s="48">
        <v>2.7756329068467416</v>
      </c>
      <c r="N25" s="48">
        <v>0.15278121519477739</v>
      </c>
      <c r="O25" s="48">
        <v>32.546320837335877</v>
      </c>
      <c r="P25" s="48">
        <v>23.745789372032419</v>
      </c>
      <c r="Q25" s="48">
        <v>21.517342703820464</v>
      </c>
      <c r="R25" s="48">
        <v>17.248398850758239</v>
      </c>
      <c r="S25" s="48">
        <v>7.1065315313796287</v>
      </c>
      <c r="T25" s="48">
        <v>1.9850446130675856</v>
      </c>
      <c r="U25" s="48">
        <v>0.48337468830388353</v>
      </c>
      <c r="V25" s="48">
        <v>0.40634669005392504</v>
      </c>
      <c r="W25" s="48">
        <v>3.8558797507595064</v>
      </c>
      <c r="X25" s="48">
        <v>13.24391556502799</v>
      </c>
      <c r="Y25" s="48">
        <v>20.948957728674198</v>
      </c>
      <c r="Z25" s="48">
        <v>37.929592339471832</v>
      </c>
      <c r="AA25" s="48"/>
      <c r="AB25" s="48">
        <v>20.687863832384298</v>
      </c>
      <c r="AC25" s="48">
        <v>15.498949302853829</v>
      </c>
      <c r="AD25" s="48">
        <v>12.005642280363503</v>
      </c>
      <c r="AE25" s="48">
        <v>10.296026520303304</v>
      </c>
      <c r="AF25" s="48">
        <v>4.0448832223429507</v>
      </c>
      <c r="AG25" s="48">
        <v>1.0041547848809322</v>
      </c>
      <c r="AH25" s="48">
        <v>0.27045770742709185</v>
      </c>
      <c r="AI25" s="48">
        <v>0.18084543262227928</v>
      </c>
      <c r="AJ25" s="48">
        <v>2.2142503014661048</v>
      </c>
      <c r="AK25" s="48">
        <v>6.8282087437792045</v>
      </c>
      <c r="AL25" s="48">
        <v>13.706421580581246</v>
      </c>
      <c r="AM25" s="38">
        <v>24.414822754921722</v>
      </c>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row>
    <row r="26" spans="1:131">
      <c r="A26" s="27" t="s">
        <v>248</v>
      </c>
      <c r="B26" s="27"/>
      <c r="C26" s="48">
        <v>2292.1741242868616</v>
      </c>
      <c r="D26" s="48">
        <v>3567.2363679851778</v>
      </c>
      <c r="E26" s="48">
        <v>713.44727359703563</v>
      </c>
      <c r="F26" s="48">
        <v>4280.6836415822136</v>
      </c>
      <c r="G26" s="48">
        <v>3091.9143740795566</v>
      </c>
      <c r="H26" s="48">
        <v>2132.2154082301649</v>
      </c>
      <c r="I26" s="48">
        <v>16359.485216650706</v>
      </c>
      <c r="J26" s="48">
        <v>42.802412347521617</v>
      </c>
      <c r="K26" s="48">
        <v>69.565070249545158</v>
      </c>
      <c r="L26" s="50">
        <v>0.68961010890377972</v>
      </c>
      <c r="M26" s="48">
        <v>21.775793090906951</v>
      </c>
      <c r="N26" s="48">
        <v>1.1986210864023679</v>
      </c>
      <c r="O26" s="48">
        <v>255.33706084686958</v>
      </c>
      <c r="P26" s="48">
        <v>186.29387008279431</v>
      </c>
      <c r="Q26" s="48">
        <v>168.81094089521932</v>
      </c>
      <c r="R26" s="48">
        <v>135.31961074429205</v>
      </c>
      <c r="S26" s="48">
        <v>55.753179694476671</v>
      </c>
      <c r="T26" s="48">
        <v>15.573356499612204</v>
      </c>
      <c r="U26" s="48">
        <v>3.792240383057329</v>
      </c>
      <c r="V26" s="48">
        <v>3.1879292913563053</v>
      </c>
      <c r="W26" s="48">
        <v>30.250700454241699</v>
      </c>
      <c r="X26" s="48">
        <v>103.90306453929635</v>
      </c>
      <c r="Y26" s="48">
        <v>164.35176562595566</v>
      </c>
      <c r="Z26" s="48">
        <v>297.57067397832003</v>
      </c>
      <c r="AA26" s="48"/>
      <c r="AB26" s="48">
        <v>162.30339437020245</v>
      </c>
      <c r="AC26" s="48">
        <v>121.59457841592636</v>
      </c>
      <c r="AD26" s="48">
        <v>94.188385494262079</v>
      </c>
      <c r="AE26" s="48">
        <v>80.775862907362182</v>
      </c>
      <c r="AF26" s="48">
        <v>31.733497577921803</v>
      </c>
      <c r="AG26" s="48">
        <v>7.87793903612872</v>
      </c>
      <c r="AH26" s="48">
        <v>2.1218335689297234</v>
      </c>
      <c r="AI26" s="48">
        <v>1.4187945071930048</v>
      </c>
      <c r="AJ26" s="48">
        <v>17.371553816524415</v>
      </c>
      <c r="AK26" s="48">
        <v>53.569641871329686</v>
      </c>
      <c r="AL26" s="48">
        <v>107.53158301994412</v>
      </c>
      <c r="AM26" s="38">
        <v>191.54266666564567</v>
      </c>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row>
    <row r="27" spans="1:131">
      <c r="A27" s="27" t="s">
        <v>239</v>
      </c>
      <c r="B27" s="27"/>
      <c r="C27" s="48">
        <v>128.17856451481882</v>
      </c>
      <c r="D27" s="48">
        <v>262.65009234084522</v>
      </c>
      <c r="E27" s="48">
        <v>52.530018468169047</v>
      </c>
      <c r="F27" s="48">
        <v>315.18011080901425</v>
      </c>
      <c r="G27" s="48">
        <v>227.65286964167791</v>
      </c>
      <c r="H27" s="48">
        <v>119.23366002936227</v>
      </c>
      <c r="I27" s="48">
        <v>21540.089648669506</v>
      </c>
      <c r="J27" s="48">
        <v>65.758591635838528</v>
      </c>
      <c r="K27" s="48">
        <v>100.99625607405254</v>
      </c>
      <c r="L27" s="50">
        <v>0.52375206259000473</v>
      </c>
      <c r="M27" s="48">
        <v>1.2177041307595051</v>
      </c>
      <c r="N27" s="48">
        <v>6.7026989190905231E-2</v>
      </c>
      <c r="O27" s="48">
        <v>14.27846932744135</v>
      </c>
      <c r="P27" s="48">
        <v>10.41756845263747</v>
      </c>
      <c r="Q27" s="48">
        <v>9.4399216224801883</v>
      </c>
      <c r="R27" s="48">
        <v>7.5670837010708274</v>
      </c>
      <c r="S27" s="48">
        <v>3.1177223687568376</v>
      </c>
      <c r="T27" s="48">
        <v>0.87086336925597307</v>
      </c>
      <c r="U27" s="48">
        <v>0.21206239240077143</v>
      </c>
      <c r="V27" s="48">
        <v>0.17826926672419596</v>
      </c>
      <c r="W27" s="48">
        <v>1.6916216437086073</v>
      </c>
      <c r="X27" s="48">
        <v>5.8102678676215778</v>
      </c>
      <c r="Y27" s="48">
        <v>9.1905641766918915</v>
      </c>
      <c r="Z27" s="48">
        <v>16.640176428182549</v>
      </c>
      <c r="AA27" s="48"/>
      <c r="AB27" s="48">
        <v>9.0760190885269392</v>
      </c>
      <c r="AC27" s="48">
        <v>6.7995787706516637</v>
      </c>
      <c r="AD27" s="48">
        <v>5.267022220826707</v>
      </c>
      <c r="AE27" s="48">
        <v>4.5169928607115413</v>
      </c>
      <c r="AF27" s="48">
        <v>1.7745397801478058</v>
      </c>
      <c r="AG27" s="48">
        <v>0.44053499526367662</v>
      </c>
      <c r="AH27" s="48">
        <v>0.11865310672651577</v>
      </c>
      <c r="AI27" s="48">
        <v>7.9339104890248646E-2</v>
      </c>
      <c r="AJ27" s="48">
        <v>0.97141871029836258</v>
      </c>
      <c r="AK27" s="48">
        <v>2.9956187550874924</v>
      </c>
      <c r="AL27" s="48">
        <v>6.0131749178482377</v>
      </c>
      <c r="AM27" s="38">
        <v>10.711081586867396</v>
      </c>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row>
    <row r="28" spans="1:131">
      <c r="A28" s="27" t="s">
        <v>247</v>
      </c>
      <c r="B28" s="27"/>
      <c r="C28" s="48">
        <v>1306.1854825447131</v>
      </c>
      <c r="D28" s="48">
        <v>2730.3075374938753</v>
      </c>
      <c r="E28" s="48">
        <v>546.06150749877509</v>
      </c>
      <c r="F28" s="48">
        <v>3276.3690449926503</v>
      </c>
      <c r="G28" s="48">
        <v>2366.5034357123791</v>
      </c>
      <c r="H28" s="48">
        <v>1215.0337020120046</v>
      </c>
      <c r="I28" s="48">
        <v>21973.137213422622</v>
      </c>
      <c r="J28" s="48">
        <v>67.677502385981981</v>
      </c>
      <c r="K28" s="48">
        <v>103.62359399518033</v>
      </c>
      <c r="L28" s="50">
        <v>0.51342993366339562</v>
      </c>
      <c r="M28" s="48">
        <v>12.408841241539333</v>
      </c>
      <c r="N28" s="48">
        <v>0.68302902713284885</v>
      </c>
      <c r="O28" s="48">
        <v>145.50271661302372</v>
      </c>
      <c r="P28" s="48">
        <v>106.15875382718694</v>
      </c>
      <c r="Q28" s="48">
        <v>96.196182460898441</v>
      </c>
      <c r="R28" s="48">
        <v>77.111293241209083</v>
      </c>
      <c r="S28" s="48">
        <v>31.770707622523666</v>
      </c>
      <c r="T28" s="48">
        <v>8.874409652720205</v>
      </c>
      <c r="U28" s="48">
        <v>2.1609917336495412</v>
      </c>
      <c r="V28" s="48">
        <v>1.8166276792100895</v>
      </c>
      <c r="W28" s="48">
        <v>17.23823044308752</v>
      </c>
      <c r="X28" s="48">
        <v>59.208710653846715</v>
      </c>
      <c r="Y28" s="48">
        <v>93.655140775137895</v>
      </c>
      <c r="Z28" s="48">
        <v>169.56935786998895</v>
      </c>
      <c r="AA28" s="48"/>
      <c r="AB28" s="48">
        <v>92.487885299745457</v>
      </c>
      <c r="AC28" s="48">
        <v>69.290143100468498</v>
      </c>
      <c r="AD28" s="48">
        <v>53.672842936924056</v>
      </c>
      <c r="AE28" s="48">
        <v>46.029775116863796</v>
      </c>
      <c r="AF28" s="48">
        <v>18.08319595246504</v>
      </c>
      <c r="AG28" s="48">
        <v>4.4892093896073666</v>
      </c>
      <c r="AH28" s="48">
        <v>1.2091176559173091</v>
      </c>
      <c r="AI28" s="48">
        <v>0.80849389598019794</v>
      </c>
      <c r="AJ28" s="48">
        <v>9.8991045941799136</v>
      </c>
      <c r="AK28" s="48">
        <v>30.526428064979484</v>
      </c>
      <c r="AL28" s="48">
        <v>61.27640617154298</v>
      </c>
      <c r="AM28" s="38">
        <v>109.14975779355611</v>
      </c>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row>
    <row r="29" spans="1:131">
      <c r="A29" s="27" t="s">
        <v>1209</v>
      </c>
      <c r="B29" s="27"/>
      <c r="C29" s="48">
        <v>93.874050204446334</v>
      </c>
      <c r="D29" s="48">
        <v>196.91489394951594</v>
      </c>
      <c r="E29" s="48">
        <v>39.382978789903191</v>
      </c>
      <c r="F29" s="48">
        <v>236.29787273941912</v>
      </c>
      <c r="G29" s="48">
        <v>170.67666066006808</v>
      </c>
      <c r="H29" s="48">
        <v>87.323076444363011</v>
      </c>
      <c r="I29" s="48">
        <v>22050.495964424339</v>
      </c>
      <c r="J29" s="48">
        <v>68.020292765139288</v>
      </c>
      <c r="K29" s="48">
        <v>104.09293638751957</v>
      </c>
      <c r="L29" s="50">
        <v>0.51162869080431528</v>
      </c>
      <c r="M29" s="48">
        <v>0.89180916589110426</v>
      </c>
      <c r="N29" s="48">
        <v>4.9088511578958161E-2</v>
      </c>
      <c r="O29" s="48">
        <v>10.457113102806781</v>
      </c>
      <c r="P29" s="48">
        <v>7.6295076921234033</v>
      </c>
      <c r="Q29" s="48">
        <v>6.9135091321161859</v>
      </c>
      <c r="R29" s="48">
        <v>5.5419000668668437</v>
      </c>
      <c r="S29" s="48">
        <v>2.2833242615567642</v>
      </c>
      <c r="T29" s="48">
        <v>0.63779362763340319</v>
      </c>
      <c r="U29" s="48">
        <v>0.155307993548356</v>
      </c>
      <c r="V29" s="48">
        <v>0.13055894452962355</v>
      </c>
      <c r="W29" s="48">
        <v>1.2388918202471437</v>
      </c>
      <c r="X29" s="48">
        <v>4.2552620211574563</v>
      </c>
      <c r="Y29" s="48">
        <v>6.7308873850761284</v>
      </c>
      <c r="Z29" s="48">
        <v>12.186754964395467</v>
      </c>
      <c r="AA29" s="48"/>
      <c r="AB29" s="48">
        <v>6.6469980748956701</v>
      </c>
      <c r="AC29" s="48">
        <v>4.9798029904715229</v>
      </c>
      <c r="AD29" s="48">
        <v>3.8574055674391521</v>
      </c>
      <c r="AE29" s="48">
        <v>3.3081070628664957</v>
      </c>
      <c r="AF29" s="48">
        <v>1.2996185207872526</v>
      </c>
      <c r="AG29" s="48">
        <v>0.32263432203921155</v>
      </c>
      <c r="AH29" s="48">
        <v>8.6897897007348249E-2</v>
      </c>
      <c r="AI29" s="48">
        <v>5.8105527580486975E-2</v>
      </c>
      <c r="AJ29" s="48">
        <v>0.7114372760005776</v>
      </c>
      <c r="AK29" s="48">
        <v>2.1938993190702591</v>
      </c>
      <c r="AL29" s="48">
        <v>4.4038649228353837</v>
      </c>
      <c r="AM29" s="38">
        <v>7.8444677113954171</v>
      </c>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row>
    <row r="30" spans="1:131">
      <c r="A30" s="27" t="s">
        <v>240</v>
      </c>
      <c r="B30" s="27"/>
      <c r="C30" s="48">
        <v>136.13621192605405</v>
      </c>
      <c r="D30" s="48">
        <v>297.93884832438431</v>
      </c>
      <c r="E30" s="48">
        <v>59.587769664876866</v>
      </c>
      <c r="F30" s="48">
        <v>357.52661798926118</v>
      </c>
      <c r="G30" s="48">
        <v>258.23952009414489</v>
      </c>
      <c r="H30" s="48">
        <v>126.63598529065867</v>
      </c>
      <c r="I30" s="48">
        <v>23005.878665752207</v>
      </c>
      <c r="J30" s="48">
        <v>72.253763370439373</v>
      </c>
      <c r="K30" s="48">
        <v>109.88932783430955</v>
      </c>
      <c r="L30" s="50">
        <v>0.49038189524396464</v>
      </c>
      <c r="M30" s="48">
        <v>1.2933022634150506</v>
      </c>
      <c r="N30" s="48">
        <v>7.1188193125719418E-2</v>
      </c>
      <c r="O30" s="48">
        <v>15.164912586577547</v>
      </c>
      <c r="P30" s="48">
        <v>11.064317282617635</v>
      </c>
      <c r="Q30" s="48">
        <v>10.025975680315328</v>
      </c>
      <c r="R30" s="48">
        <v>8.0368672741070579</v>
      </c>
      <c r="S30" s="48">
        <v>3.3112784085720577</v>
      </c>
      <c r="T30" s="48">
        <v>0.92492875579022615</v>
      </c>
      <c r="U30" s="48">
        <v>0.22522775865601025</v>
      </c>
      <c r="V30" s="48">
        <v>0.18933667081176939</v>
      </c>
      <c r="W30" s="48">
        <v>1.7966417665723722</v>
      </c>
      <c r="X30" s="48">
        <v>6.1709838986551189</v>
      </c>
      <c r="Y30" s="48">
        <v>9.7611374976311218</v>
      </c>
      <c r="Z30" s="48">
        <v>17.673240399350014</v>
      </c>
      <c r="AA30" s="48"/>
      <c r="AB30" s="48">
        <v>9.639481162529087</v>
      </c>
      <c r="AC30" s="48">
        <v>7.2217137087872105</v>
      </c>
      <c r="AD30" s="48">
        <v>5.5940121968740231</v>
      </c>
      <c r="AE30" s="48">
        <v>4.797419129180585</v>
      </c>
      <c r="AF30" s="48">
        <v>1.8847076693036759</v>
      </c>
      <c r="AG30" s="48">
        <v>0.46788451488022087</v>
      </c>
      <c r="AH30" s="48">
        <v>0.12601938977978022</v>
      </c>
      <c r="AI30" s="48">
        <v>8.4264675909314121E-2</v>
      </c>
      <c r="AJ30" s="48">
        <v>1.0317268251106293</v>
      </c>
      <c r="AK30" s="48">
        <v>3.1815942957069518</v>
      </c>
      <c r="AL30" s="48">
        <v>6.3864879284865141</v>
      </c>
      <c r="AM30" s="38">
        <v>11.376052449849798</v>
      </c>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row>
    <row r="31" spans="1:131">
      <c r="A31" s="27" t="s">
        <v>249</v>
      </c>
      <c r="B31" s="27"/>
      <c r="C31" s="48">
        <v>1472.8615451179683</v>
      </c>
      <c r="D31" s="48">
        <v>3567.2363679851778</v>
      </c>
      <c r="E31" s="48">
        <v>713.44727359703563</v>
      </c>
      <c r="F31" s="48">
        <v>4280.6836415822136</v>
      </c>
      <c r="G31" s="48">
        <v>3091.9143740795566</v>
      </c>
      <c r="H31" s="48">
        <v>1370.0783232021149</v>
      </c>
      <c r="I31" s="48">
        <v>25459.819237290725</v>
      </c>
      <c r="J31" s="48">
        <v>83.127610324463831</v>
      </c>
      <c r="K31" s="48">
        <v>124.77760257492093</v>
      </c>
      <c r="L31" s="50">
        <v>0.44311651534980767</v>
      </c>
      <c r="M31" s="48">
        <v>13.992273936876764</v>
      </c>
      <c r="N31" s="48">
        <v>0.77018708422896076</v>
      </c>
      <c r="O31" s="48">
        <v>164.06962018289312</v>
      </c>
      <c r="P31" s="48">
        <v>119.70516307155192</v>
      </c>
      <c r="Q31" s="48">
        <v>108.47131577192278</v>
      </c>
      <c r="R31" s="48">
        <v>86.951095404939252</v>
      </c>
      <c r="S31" s="48">
        <v>35.82481519181912</v>
      </c>
      <c r="T31" s="48">
        <v>10.006830490605962</v>
      </c>
      <c r="U31" s="48">
        <v>2.4367455207122672</v>
      </c>
      <c r="V31" s="48">
        <v>2.0484388214855613</v>
      </c>
      <c r="W31" s="48">
        <v>19.437918323852109</v>
      </c>
      <c r="X31" s="48">
        <v>66.764050147129211</v>
      </c>
      <c r="Y31" s="48">
        <v>105.60602394812521</v>
      </c>
      <c r="Z31" s="48">
        <v>191.20729006303606</v>
      </c>
      <c r="AA31" s="48"/>
      <c r="AB31" s="48">
        <v>104.28982060180982</v>
      </c>
      <c r="AC31" s="48">
        <v>78.131925819277853</v>
      </c>
      <c r="AD31" s="48">
        <v>60.521776910995399</v>
      </c>
      <c r="AE31" s="48">
        <v>51.903413876547866</v>
      </c>
      <c r="AF31" s="48">
        <v>20.390705827881469</v>
      </c>
      <c r="AG31" s="48">
        <v>5.0620558613572388</v>
      </c>
      <c r="AH31" s="48">
        <v>1.363407358849452</v>
      </c>
      <c r="AI31" s="48">
        <v>0.91166192303096372</v>
      </c>
      <c r="AJ31" s="48">
        <v>11.162281837234481</v>
      </c>
      <c r="AK31" s="48">
        <v>34.42175908977697</v>
      </c>
      <c r="AL31" s="48">
        <v>69.095594369389673</v>
      </c>
      <c r="AM31" s="38">
        <v>123.07783470374459</v>
      </c>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row>
    <row r="32" spans="1:131">
      <c r="A32" s="27" t="s">
        <v>220</v>
      </c>
      <c r="B32" s="27"/>
      <c r="C32" s="48">
        <v>85.632917184081805</v>
      </c>
      <c r="D32" s="48">
        <v>235.52932235113522</v>
      </c>
      <c r="E32" s="48">
        <v>47.105864470227047</v>
      </c>
      <c r="F32" s="48">
        <v>282.63518682136225</v>
      </c>
      <c r="G32" s="48">
        <v>204.14584910335225</v>
      </c>
      <c r="H32" s="48">
        <v>79.65704853613741</v>
      </c>
      <c r="I32" s="48">
        <v>28912.762965120291</v>
      </c>
      <c r="J32" s="48">
        <v>98.428217874929899</v>
      </c>
      <c r="K32" s="48">
        <v>145.72691792511569</v>
      </c>
      <c r="L32" s="50">
        <v>0.39019675827848793</v>
      </c>
      <c r="M32" s="48">
        <v>0.81351790276905278</v>
      </c>
      <c r="N32" s="48">
        <v>4.477906767179906E-2</v>
      </c>
      <c r="O32" s="48">
        <v>9.5390909241371578</v>
      </c>
      <c r="P32" s="48">
        <v>6.9597188885749519</v>
      </c>
      <c r="Q32" s="48">
        <v>6.3065773094113027</v>
      </c>
      <c r="R32" s="48">
        <v>5.0553807834530602</v>
      </c>
      <c r="S32" s="48">
        <v>2.0828729235444663</v>
      </c>
      <c r="T32" s="48">
        <v>0.58180219961447277</v>
      </c>
      <c r="U32" s="48">
        <v>0.14167362035181852</v>
      </c>
      <c r="V32" s="48">
        <v>0.11909727193188516</v>
      </c>
      <c r="W32" s="48">
        <v>1.1301304291463827</v>
      </c>
      <c r="X32" s="48">
        <v>3.8816957344521366</v>
      </c>
      <c r="Y32" s="48">
        <v>6.1399877896639916</v>
      </c>
      <c r="Z32" s="48">
        <v>11.116888813638782</v>
      </c>
      <c r="AA32" s="48"/>
      <c r="AB32" s="48">
        <v>6.0634630596063479</v>
      </c>
      <c r="AC32" s="48">
        <v>4.5426297911655755</v>
      </c>
      <c r="AD32" s="48">
        <v>3.5187668027802577</v>
      </c>
      <c r="AE32" s="48">
        <v>3.0176908052179159</v>
      </c>
      <c r="AF32" s="48">
        <v>1.1855259778298397</v>
      </c>
      <c r="AG32" s="48">
        <v>0.29431049496378903</v>
      </c>
      <c r="AH32" s="48">
        <v>7.9269195285542993E-2</v>
      </c>
      <c r="AI32" s="48">
        <v>5.3004486547673715E-2</v>
      </c>
      <c r="AJ32" s="48">
        <v>0.6489807268861254</v>
      </c>
      <c r="AK32" s="48">
        <v>2.0012985302221309</v>
      </c>
      <c r="AL32" s="48">
        <v>4.0172528979599011</v>
      </c>
      <c r="AM32" s="38">
        <v>7.1558077276962999</v>
      </c>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row>
    <row r="33" spans="1:131">
      <c r="A33" s="27" t="s">
        <v>231</v>
      </c>
      <c r="B33" s="27"/>
      <c r="C33" s="48">
        <v>83.00733285651711</v>
      </c>
      <c r="D33" s="48">
        <v>235.52932235113522</v>
      </c>
      <c r="E33" s="48">
        <v>47.105864470227047</v>
      </c>
      <c r="F33" s="48">
        <v>282.63518682136225</v>
      </c>
      <c r="G33" s="48">
        <v>204.14584910335225</v>
      </c>
      <c r="H33" s="48">
        <v>77.214689860361489</v>
      </c>
      <c r="I33" s="48">
        <v>29827.295388888593</v>
      </c>
      <c r="J33" s="48">
        <v>102.48067363766859</v>
      </c>
      <c r="K33" s="48">
        <v>151.27546712071552</v>
      </c>
      <c r="L33" s="50">
        <v>0.37823296530153921</v>
      </c>
      <c r="M33" s="48">
        <v>0.78857469254170331</v>
      </c>
      <c r="N33" s="48">
        <v>4.3406100101054085E-2</v>
      </c>
      <c r="O33" s="48">
        <v>9.2466135865288948</v>
      </c>
      <c r="P33" s="48">
        <v>6.7463274797687234</v>
      </c>
      <c r="Q33" s="48">
        <v>6.1132118246343401</v>
      </c>
      <c r="R33" s="48">
        <v>4.9003781397106678</v>
      </c>
      <c r="S33" s="48">
        <v>2.0190101160610867</v>
      </c>
      <c r="T33" s="48">
        <v>0.5639636068480175</v>
      </c>
      <c r="U33" s="48">
        <v>0.13732977630846471</v>
      </c>
      <c r="V33" s="48">
        <v>0.11544563958158383</v>
      </c>
      <c r="W33" s="48">
        <v>1.095479586451253</v>
      </c>
      <c r="X33" s="48">
        <v>3.7626793582746965</v>
      </c>
      <c r="Y33" s="48">
        <v>5.9517300934170505</v>
      </c>
      <c r="Z33" s="48">
        <v>10.776034735555418</v>
      </c>
      <c r="AA33" s="48"/>
      <c r="AB33" s="48">
        <v>5.8775516822577645</v>
      </c>
      <c r="AC33" s="48">
        <v>4.4033485664004113</v>
      </c>
      <c r="AD33" s="48">
        <v>3.4108781628326725</v>
      </c>
      <c r="AE33" s="48">
        <v>2.9251656181267882</v>
      </c>
      <c r="AF33" s="48">
        <v>1.1491766564512444</v>
      </c>
      <c r="AG33" s="48">
        <v>0.28528666337629788</v>
      </c>
      <c r="AH33" s="48">
        <v>7.6838728548634078E-2</v>
      </c>
      <c r="AI33" s="48">
        <v>5.1379320037568468E-2</v>
      </c>
      <c r="AJ33" s="48">
        <v>0.62908237843046289</v>
      </c>
      <c r="AK33" s="48">
        <v>1.9399368689764451</v>
      </c>
      <c r="AL33" s="48">
        <v>3.8940802139548296</v>
      </c>
      <c r="AM33" s="38">
        <v>6.936404053983801</v>
      </c>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row>
    <row r="34" spans="1:131">
      <c r="A34" s="27" t="s">
        <v>219</v>
      </c>
      <c r="B34" s="27"/>
      <c r="C34" s="48">
        <v>69.514057063957438</v>
      </c>
      <c r="D34" s="48">
        <v>198.23826361528401</v>
      </c>
      <c r="E34" s="48">
        <v>39.647652723056808</v>
      </c>
      <c r="F34" s="48">
        <v>237.88591633834082</v>
      </c>
      <c r="G34" s="48">
        <v>171.82369586315451</v>
      </c>
      <c r="H34" s="48">
        <v>64.663038461999307</v>
      </c>
      <c r="I34" s="48">
        <v>29977.830602040107</v>
      </c>
      <c r="J34" s="48">
        <v>103.14772193051898</v>
      </c>
      <c r="K34" s="48">
        <v>152.18877758859335</v>
      </c>
      <c r="L34" s="50">
        <v>0.37633364907654454</v>
      </c>
      <c r="M34" s="48">
        <v>0.66038775479379674</v>
      </c>
      <c r="N34" s="48">
        <v>3.6350211668216788E-2</v>
      </c>
      <c r="O34" s="48">
        <v>7.7435282207343965</v>
      </c>
      <c r="P34" s="48">
        <v>5.6496766883405245</v>
      </c>
      <c r="Q34" s="48">
        <v>5.1194772919188756</v>
      </c>
      <c r="R34" s="48">
        <v>4.1037960613388398</v>
      </c>
      <c r="S34" s="48">
        <v>1.6908094693655553</v>
      </c>
      <c r="T34" s="48">
        <v>0.47228837500650273</v>
      </c>
      <c r="U34" s="48">
        <v>0.11500610341725512</v>
      </c>
      <c r="V34" s="48">
        <v>9.6679347492481346E-2</v>
      </c>
      <c r="W34" s="48">
        <v>0.91740365416395953</v>
      </c>
      <c r="X34" s="48">
        <v>3.1510361629929946</v>
      </c>
      <c r="Y34" s="48">
        <v>4.9842452600930995</v>
      </c>
      <c r="Z34" s="48">
        <v>9.0243339684871504</v>
      </c>
      <c r="AA34" s="48"/>
      <c r="AB34" s="48">
        <v>4.9221249373602447</v>
      </c>
      <c r="AC34" s="48">
        <v>3.6875612428886897</v>
      </c>
      <c r="AD34" s="48">
        <v>2.85642209055439</v>
      </c>
      <c r="AE34" s="48">
        <v>2.4496646585606703</v>
      </c>
      <c r="AF34" s="48">
        <v>0.96237198478842267</v>
      </c>
      <c r="AG34" s="48">
        <v>0.23891182519748883</v>
      </c>
      <c r="AH34" s="48">
        <v>6.434819162645003E-2</v>
      </c>
      <c r="AI34" s="48">
        <v>4.3027343032121683E-2</v>
      </c>
      <c r="AJ34" s="48">
        <v>0.52682174992581887</v>
      </c>
      <c r="AK34" s="48">
        <v>1.6245899918698075</v>
      </c>
      <c r="AL34" s="48">
        <v>3.2610771228174791</v>
      </c>
      <c r="AM34" s="38">
        <v>5.808855321984228</v>
      </c>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row>
    <row r="35" spans="1:131">
      <c r="A35" s="27" t="s">
        <v>230</v>
      </c>
      <c r="B35" s="27"/>
      <c r="C35" s="48">
        <v>67.374885587272161</v>
      </c>
      <c r="D35" s="48">
        <v>198.23826361528404</v>
      </c>
      <c r="E35" s="48">
        <v>39.647652723056808</v>
      </c>
      <c r="F35" s="48">
        <v>237.88591633834085</v>
      </c>
      <c r="G35" s="48">
        <v>171.82369586315451</v>
      </c>
      <c r="H35" s="48">
        <v>62.67314845534294</v>
      </c>
      <c r="I35" s="48">
        <v>30929.635114920824</v>
      </c>
      <c r="J35" s="48">
        <v>107.36533694665026</v>
      </c>
      <c r="K35" s="48">
        <v>157.96345984923076</v>
      </c>
      <c r="L35" s="50">
        <v>0.36475265032861182</v>
      </c>
      <c r="M35" s="48">
        <v>0.64006549612735997</v>
      </c>
      <c r="N35" s="48">
        <v>3.5231598552302998E-2</v>
      </c>
      <c r="O35" s="48">
        <v>7.5052349114622601</v>
      </c>
      <c r="P35" s="48">
        <v>5.47581793610179</v>
      </c>
      <c r="Q35" s="48">
        <v>4.9619344831552485</v>
      </c>
      <c r="R35" s="48">
        <v>3.9775090360761292</v>
      </c>
      <c r="S35" s="48">
        <v>1.6387778150190342</v>
      </c>
      <c r="T35" s="48">
        <v>0.45775454022177126</v>
      </c>
      <c r="U35" s="48">
        <v>0.1114669951208057</v>
      </c>
      <c r="V35" s="48">
        <v>9.3704212515822186E-2</v>
      </c>
      <c r="W35" s="48">
        <v>0.88917218829240519</v>
      </c>
      <c r="X35" s="48">
        <v>3.0540686291361134</v>
      </c>
      <c r="Y35" s="48">
        <v>4.8308639766012567</v>
      </c>
      <c r="Z35" s="48">
        <v>8.7466261402171313</v>
      </c>
      <c r="AA35" s="48"/>
      <c r="AB35" s="48">
        <v>4.7706552963206663</v>
      </c>
      <c r="AC35" s="48">
        <v>3.5740831038978973</v>
      </c>
      <c r="AD35" s="48">
        <v>2.7685207808111572</v>
      </c>
      <c r="AE35" s="48">
        <v>2.3742805853765141</v>
      </c>
      <c r="AF35" s="48">
        <v>0.93275669851724041</v>
      </c>
      <c r="AG35" s="48">
        <v>0.23155973867727511</v>
      </c>
      <c r="AH35" s="48">
        <v>6.2367990471208411E-2</v>
      </c>
      <c r="AI35" s="48">
        <v>4.170325307363771E-2</v>
      </c>
      <c r="AJ35" s="48">
        <v>0.5106097475145388</v>
      </c>
      <c r="AK35" s="48">
        <v>1.5745961241731086</v>
      </c>
      <c r="AL35" s="48">
        <v>3.1607232741278004</v>
      </c>
      <c r="AM35" s="38">
        <v>5.6300981303913487</v>
      </c>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row>
    <row r="36" spans="1:131">
      <c r="A36" s="27" t="s">
        <v>1208</v>
      </c>
      <c r="B36" s="27"/>
      <c r="C36" s="48">
        <v>50.378797065966225</v>
      </c>
      <c r="D36" s="48">
        <v>169.97517278288436</v>
      </c>
      <c r="E36" s="48">
        <v>33.995034556576876</v>
      </c>
      <c r="F36" s="48">
        <v>203.97020733946124</v>
      </c>
      <c r="G36" s="48">
        <v>147.32656481098093</v>
      </c>
      <c r="H36" s="48">
        <v>46.863127113248275</v>
      </c>
      <c r="I36" s="48">
        <v>35466.885284181437</v>
      </c>
      <c r="J36" s="48">
        <v>127.47069911592601</v>
      </c>
      <c r="K36" s="48">
        <v>185.49135839344265</v>
      </c>
      <c r="L36" s="50">
        <v>0.31809013651661111</v>
      </c>
      <c r="M36" s="48">
        <v>0.47860162517914356</v>
      </c>
      <c r="N36" s="48">
        <v>2.6344023270762556E-2</v>
      </c>
      <c r="O36" s="48">
        <v>5.6119532262091179</v>
      </c>
      <c r="P36" s="48">
        <v>4.0944799856575047</v>
      </c>
      <c r="Q36" s="48">
        <v>3.7102295343818961</v>
      </c>
      <c r="R36" s="48">
        <v>2.9741367099906526</v>
      </c>
      <c r="S36" s="48">
        <v>1.2253772939192622</v>
      </c>
      <c r="T36" s="48">
        <v>0.34228070128572929</v>
      </c>
      <c r="U36" s="48">
        <v>8.3348165682153835E-2</v>
      </c>
      <c r="V36" s="48">
        <v>7.0066248950374027E-2</v>
      </c>
      <c r="W36" s="48">
        <v>0.66486829387872881</v>
      </c>
      <c r="X36" s="48">
        <v>2.2836447491028884</v>
      </c>
      <c r="Y36" s="48">
        <v>3.6122230681228369</v>
      </c>
      <c r="Z36" s="48">
        <v>6.5401892632396068</v>
      </c>
      <c r="AA36" s="48"/>
      <c r="AB36" s="48">
        <v>3.5672027187890119</v>
      </c>
      <c r="AC36" s="48">
        <v>2.6724796015414052</v>
      </c>
      <c r="AD36" s="48">
        <v>2.0701296243201921</v>
      </c>
      <c r="AE36" s="48">
        <v>1.7753410450457694</v>
      </c>
      <c r="AF36" s="48">
        <v>0.69745811094034471</v>
      </c>
      <c r="AG36" s="48">
        <v>0.17314613571194531</v>
      </c>
      <c r="AH36" s="48">
        <v>4.6634948734587331E-2</v>
      </c>
      <c r="AI36" s="48">
        <v>3.1183128628337446E-2</v>
      </c>
      <c r="AJ36" s="48">
        <v>0.38180257562914105</v>
      </c>
      <c r="AK36" s="48">
        <v>1.1773861715552891</v>
      </c>
      <c r="AL36" s="48">
        <v>2.3633945352337893</v>
      </c>
      <c r="AM36" s="38">
        <v>4.2098412294156651</v>
      </c>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row>
    <row r="37" spans="1:131">
      <c r="A37" s="27" t="s">
        <v>1206</v>
      </c>
      <c r="B37" s="27"/>
      <c r="C37" s="48">
        <v>48.820467224768407</v>
      </c>
      <c r="D37" s="48">
        <v>169.97517278288436</v>
      </c>
      <c r="E37" s="48">
        <v>33.995034556576876</v>
      </c>
      <c r="F37" s="48">
        <v>203.97020733946124</v>
      </c>
      <c r="G37" s="48">
        <v>147.32656481098093</v>
      </c>
      <c r="H37" s="48">
        <v>45.413544874577553</v>
      </c>
      <c r="I37" s="48">
        <v>36598.974116068726</v>
      </c>
      <c r="J37" s="48">
        <v>132.48718600198973</v>
      </c>
      <c r="K37" s="48">
        <v>192.35984158142327</v>
      </c>
      <c r="L37" s="50">
        <v>0.30825089102459458</v>
      </c>
      <c r="M37" s="48">
        <v>0.46379739724996405</v>
      </c>
      <c r="N37" s="48">
        <v>2.5529143202342411E-2</v>
      </c>
      <c r="O37" s="48">
        <v>5.4383628530932819</v>
      </c>
      <c r="P37" s="48">
        <v>3.9678284830921973</v>
      </c>
      <c r="Q37" s="48">
        <v>3.5954637650930792</v>
      </c>
      <c r="R37" s="48">
        <v>2.8821399522889619</v>
      </c>
      <c r="S37" s="48">
        <v>1.1874736099281527</v>
      </c>
      <c r="T37" s="48">
        <v>0.33169318705466794</v>
      </c>
      <c r="U37" s="48">
        <v>8.0770018895093193E-2</v>
      </c>
      <c r="V37" s="48">
        <v>6.789894181008653E-2</v>
      </c>
      <c r="W37" s="48">
        <v>0.64430241769353813</v>
      </c>
      <c r="X37" s="48">
        <v>2.2130064654106039</v>
      </c>
      <c r="Y37" s="48">
        <v>3.5004888599251247</v>
      </c>
      <c r="Z37" s="48">
        <v>6.3378864555198691</v>
      </c>
      <c r="AA37" s="48"/>
      <c r="AB37" s="48">
        <v>3.4568610915561879</v>
      </c>
      <c r="AC37" s="48">
        <v>2.589813778702855</v>
      </c>
      <c r="AD37" s="48">
        <v>2.006095845099507</v>
      </c>
      <c r="AE37" s="48">
        <v>1.7204257415863478</v>
      </c>
      <c r="AF37" s="48">
        <v>0.67588415819509262</v>
      </c>
      <c r="AG37" s="48">
        <v>0.16779033513944039</v>
      </c>
      <c r="AH37" s="48">
        <v>4.5192424567909027E-2</v>
      </c>
      <c r="AI37" s="48">
        <v>3.0218564114821579E-2</v>
      </c>
      <c r="AJ37" s="48">
        <v>0.36999256066848174</v>
      </c>
      <c r="AK37" s="48">
        <v>1.1409669612405644</v>
      </c>
      <c r="AL37" s="48">
        <v>2.290289410751436</v>
      </c>
      <c r="AM37" s="38">
        <v>4.0796213433411079</v>
      </c>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row>
    <row r="38" spans="1:131">
      <c r="A38" s="27" t="s">
        <v>245</v>
      </c>
      <c r="B38" s="27"/>
      <c r="C38" s="48">
        <v>79.110639428020434</v>
      </c>
      <c r="D38" s="48">
        <v>337.57430889025602</v>
      </c>
      <c r="E38" s="48">
        <v>67.514861778051213</v>
      </c>
      <c r="F38" s="48">
        <v>405.08917066830725</v>
      </c>
      <c r="G38" s="48">
        <v>292.5936916726601</v>
      </c>
      <c r="H38" s="48">
        <v>73.589926068921883</v>
      </c>
      <c r="I38" s="48">
        <v>44855.927858895411</v>
      </c>
      <c r="J38" s="48">
        <v>169.07521602492761</v>
      </c>
      <c r="K38" s="48">
        <v>242.45551108113341</v>
      </c>
      <c r="L38" s="50">
        <v>0.251508929150977</v>
      </c>
      <c r="M38" s="48">
        <v>0.75155586882383207</v>
      </c>
      <c r="N38" s="48">
        <v>4.1368445604760183E-2</v>
      </c>
      <c r="O38" s="48">
        <v>8.8125408707995838</v>
      </c>
      <c r="P38" s="48">
        <v>6.429628110541401</v>
      </c>
      <c r="Q38" s="48">
        <v>5.8262334153263655</v>
      </c>
      <c r="R38" s="48">
        <v>4.6703349539216887</v>
      </c>
      <c r="S38" s="48">
        <v>1.9242297734024094</v>
      </c>
      <c r="T38" s="48">
        <v>0.53748891834652546</v>
      </c>
      <c r="U38" s="48">
        <v>0.1308829719303127</v>
      </c>
      <c r="V38" s="48">
        <v>0.11002616337839397</v>
      </c>
      <c r="W38" s="48">
        <v>1.0440534297651245</v>
      </c>
      <c r="X38" s="48">
        <v>3.5860442656344684</v>
      </c>
      <c r="Y38" s="48">
        <v>5.672332277042285</v>
      </c>
      <c r="Z38" s="48">
        <v>10.270164925090908</v>
      </c>
      <c r="AA38" s="48"/>
      <c r="AB38" s="48">
        <v>5.6016360947097024</v>
      </c>
      <c r="AC38" s="48">
        <v>4.1966379201044726</v>
      </c>
      <c r="AD38" s="48">
        <v>3.2507580136226335</v>
      </c>
      <c r="AE38" s="48">
        <v>2.7878467422014284</v>
      </c>
      <c r="AF38" s="48">
        <v>1.0952297463256557</v>
      </c>
      <c r="AG38" s="48">
        <v>0.27189417589163484</v>
      </c>
      <c r="AH38" s="48">
        <v>7.3231613872307089E-2</v>
      </c>
      <c r="AI38" s="48">
        <v>4.8967370974018938E-2</v>
      </c>
      <c r="AJ38" s="48">
        <v>0.59955075651640466</v>
      </c>
      <c r="AK38" s="48">
        <v>1.8488685381567369</v>
      </c>
      <c r="AL38" s="48">
        <v>3.7112766439860665</v>
      </c>
      <c r="AM38" s="38">
        <v>6.6107817364799049</v>
      </c>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row>
    <row r="39" spans="1:131">
      <c r="A39" s="27" t="s">
        <v>244</v>
      </c>
      <c r="B39" s="27"/>
      <c r="C39" s="48">
        <v>61.203904418075837</v>
      </c>
      <c r="D39" s="48">
        <v>315.42921929554086</v>
      </c>
      <c r="E39" s="48">
        <v>63.085843859108174</v>
      </c>
      <c r="F39" s="48">
        <v>378.51506315464906</v>
      </c>
      <c r="G39" s="48">
        <v>273.39935920630529</v>
      </c>
      <c r="H39" s="48">
        <v>56.932807443094461</v>
      </c>
      <c r="I39" s="48">
        <v>54176.1507662156</v>
      </c>
      <c r="J39" s="48">
        <v>210.37478075238644</v>
      </c>
      <c r="K39" s="48">
        <v>299.00212875285848</v>
      </c>
      <c r="L39" s="50">
        <v>0.20824045677493103</v>
      </c>
      <c r="M39" s="48">
        <v>0.58144080104660956</v>
      </c>
      <c r="N39" s="48">
        <v>3.2004676096971697E-2</v>
      </c>
      <c r="O39" s="48">
        <v>6.8178175911161496</v>
      </c>
      <c r="P39" s="48">
        <v>4.9742783924707856</v>
      </c>
      <c r="Q39" s="48">
        <v>4.5074624051481678</v>
      </c>
      <c r="R39" s="48">
        <v>3.6132021708698034</v>
      </c>
      <c r="S39" s="48">
        <v>1.4886793480779699</v>
      </c>
      <c r="T39" s="48">
        <v>0.41582801785070689</v>
      </c>
      <c r="U39" s="48">
        <v>0.10125754211941412</v>
      </c>
      <c r="V39" s="48">
        <v>8.5121683196933876E-2</v>
      </c>
      <c r="W39" s="48">
        <v>0.80773138461166272</v>
      </c>
      <c r="X39" s="48">
        <v>2.7743412524503341</v>
      </c>
      <c r="Y39" s="48">
        <v>4.3883968707842067</v>
      </c>
      <c r="Z39" s="48">
        <v>7.9455076710011072</v>
      </c>
      <c r="AA39" s="48"/>
      <c r="AB39" s="48">
        <v>4.3337028066546512</v>
      </c>
      <c r="AC39" s="48">
        <v>3.2467267107990541</v>
      </c>
      <c r="AD39" s="48">
        <v>2.5149472206336867</v>
      </c>
      <c r="AE39" s="48">
        <v>2.1568161599450479</v>
      </c>
      <c r="AF39" s="48">
        <v>0.84732391489439152</v>
      </c>
      <c r="AG39" s="48">
        <v>0.21035078560127271</v>
      </c>
      <c r="AH39" s="48">
        <v>5.6655599401394863E-2</v>
      </c>
      <c r="AI39" s="48">
        <v>3.7883580696186386E-2</v>
      </c>
      <c r="AJ39" s="48">
        <v>0.46384212617826515</v>
      </c>
      <c r="AK39" s="48">
        <v>1.4303761682256453</v>
      </c>
      <c r="AL39" s="48">
        <v>2.8712272158314454</v>
      </c>
      <c r="AM39" s="38">
        <v>5.114427799517558</v>
      </c>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row>
    <row r="40" spans="1:131">
      <c r="A40" s="27" t="s">
        <v>242</v>
      </c>
      <c r="B40" s="27"/>
      <c r="C40" s="48">
        <v>42.262161721607704</v>
      </c>
      <c r="D40" s="48">
        <v>235.52932235113522</v>
      </c>
      <c r="E40" s="48">
        <v>47.105864470227047</v>
      </c>
      <c r="F40" s="48">
        <v>282.63518682136225</v>
      </c>
      <c r="G40" s="48">
        <v>204.14584910335225</v>
      </c>
      <c r="H40" s="48">
        <v>39.312908846295656</v>
      </c>
      <c r="I40" s="48">
        <v>58583.94686160289</v>
      </c>
      <c r="J40" s="48">
        <v>229.90650890493009</v>
      </c>
      <c r="K40" s="48">
        <v>325.74461796789939</v>
      </c>
      <c r="L40" s="50">
        <v>0.1925726583174015</v>
      </c>
      <c r="M40" s="48">
        <v>0.40149309752394924</v>
      </c>
      <c r="N40" s="48">
        <v>2.2099681546761254E-2</v>
      </c>
      <c r="O40" s="48">
        <v>4.7077994837707635</v>
      </c>
      <c r="P40" s="48">
        <v>3.4348095904942313</v>
      </c>
      <c r="Q40" s="48">
        <v>3.1124665481991416</v>
      </c>
      <c r="R40" s="48">
        <v>2.4949672072402138</v>
      </c>
      <c r="S40" s="48">
        <v>1.0279541470152933</v>
      </c>
      <c r="T40" s="48">
        <v>0.28713512815682296</v>
      </c>
      <c r="U40" s="48">
        <v>6.9919765107654228E-2</v>
      </c>
      <c r="V40" s="48">
        <v>5.8777726282145809E-2</v>
      </c>
      <c r="W40" s="48">
        <v>0.55774994632522834</v>
      </c>
      <c r="X40" s="48">
        <v>1.9157218774976619</v>
      </c>
      <c r="Y40" s="48">
        <v>3.0302501125549925</v>
      </c>
      <c r="Z40" s="48">
        <v>5.486485434954548</v>
      </c>
      <c r="AA40" s="48"/>
      <c r="AB40" s="48">
        <v>2.9924830876334161</v>
      </c>
      <c r="AC40" s="48">
        <v>2.2419107183156872</v>
      </c>
      <c r="AD40" s="48">
        <v>1.7366066294348708</v>
      </c>
      <c r="AE40" s="48">
        <v>1.4893120663140891</v>
      </c>
      <c r="AF40" s="48">
        <v>0.58508914851642313</v>
      </c>
      <c r="AG40" s="48">
        <v>0.14525019284100932</v>
      </c>
      <c r="AH40" s="48">
        <v>3.9121492772431959E-2</v>
      </c>
      <c r="AI40" s="48">
        <v>2.6159148328827143E-2</v>
      </c>
      <c r="AJ40" s="48">
        <v>0.32028954911005164</v>
      </c>
      <c r="AK40" s="48">
        <v>0.98769497663669248</v>
      </c>
      <c r="AL40" s="48">
        <v>1.9826230056511298</v>
      </c>
      <c r="AM40" s="38">
        <v>3.5315847384543804</v>
      </c>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row>
    <row r="41" spans="1:131">
      <c r="A41" s="27" t="s">
        <v>241</v>
      </c>
      <c r="B41" s="27"/>
      <c r="C41" s="48">
        <v>34.304514310372483</v>
      </c>
      <c r="D41" s="48">
        <v>198.23826361528401</v>
      </c>
      <c r="E41" s="48">
        <v>39.647652723056808</v>
      </c>
      <c r="F41" s="48">
        <v>237.88591633834082</v>
      </c>
      <c r="G41" s="48">
        <v>171.82369586315451</v>
      </c>
      <c r="H41" s="48">
        <v>31.910583584999237</v>
      </c>
      <c r="I41" s="48">
        <v>60746.542226769649</v>
      </c>
      <c r="J41" s="48">
        <v>239.48935345179805</v>
      </c>
      <c r="K41" s="48">
        <v>338.86527554323317</v>
      </c>
      <c r="L41" s="50">
        <v>0.18571701315523892</v>
      </c>
      <c r="M41" s="48">
        <v>0.32589496486840236</v>
      </c>
      <c r="N41" s="48">
        <v>1.7938477611947067E-2</v>
      </c>
      <c r="O41" s="48">
        <v>3.8213562246345671</v>
      </c>
      <c r="P41" s="48">
        <v>2.7880607605140657</v>
      </c>
      <c r="Q41" s="48">
        <v>2.5264124903640015</v>
      </c>
      <c r="R41" s="48">
        <v>2.0251836342039837</v>
      </c>
      <c r="S41" s="48">
        <v>0.83439810720007357</v>
      </c>
      <c r="T41" s="48">
        <v>0.23306974162256988</v>
      </c>
      <c r="U41" s="48">
        <v>5.6754398852415414E-2</v>
      </c>
      <c r="V41" s="48">
        <v>4.7710322194572392E-2</v>
      </c>
      <c r="W41" s="48">
        <v>0.45272982346146357</v>
      </c>
      <c r="X41" s="48">
        <v>1.5550058464641214</v>
      </c>
      <c r="Y41" s="48">
        <v>2.4596767916157636</v>
      </c>
      <c r="Z41" s="48">
        <v>4.4534214637870804</v>
      </c>
      <c r="AA41" s="48"/>
      <c r="AB41" s="48">
        <v>2.4290210136312691</v>
      </c>
      <c r="AC41" s="48">
        <v>1.8197757801801409</v>
      </c>
      <c r="AD41" s="48">
        <v>1.4096166533875543</v>
      </c>
      <c r="AE41" s="48">
        <v>1.2088857978450458</v>
      </c>
      <c r="AF41" s="48">
        <v>0.47492125936055302</v>
      </c>
      <c r="AG41" s="48">
        <v>0.11790067322446508</v>
      </c>
      <c r="AH41" s="48">
        <v>3.1755209719167503E-2</v>
      </c>
      <c r="AI41" s="48">
        <v>2.1233577309761661E-2</v>
      </c>
      <c r="AJ41" s="48">
        <v>0.25998143429778497</v>
      </c>
      <c r="AK41" s="48">
        <v>0.80171943601723328</v>
      </c>
      <c r="AL41" s="48">
        <v>1.6093099950128531</v>
      </c>
      <c r="AM41" s="38">
        <v>2.8666138754719785</v>
      </c>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row>
    <row r="42" spans="1:131">
      <c r="A42" s="27" t="s">
        <v>1210</v>
      </c>
      <c r="B42" s="27"/>
      <c r="C42" s="48">
        <v>24.891646007987582</v>
      </c>
      <c r="D42" s="48">
        <v>169.97517278288436</v>
      </c>
      <c r="E42" s="48">
        <v>33.995034556576876</v>
      </c>
      <c r="F42" s="48">
        <v>203.97020733946124</v>
      </c>
      <c r="G42" s="48">
        <v>147.32656481098093</v>
      </c>
      <c r="H42" s="48">
        <v>23.154589606474346</v>
      </c>
      <c r="I42" s="48">
        <v>71782.276500329215</v>
      </c>
      <c r="J42" s="48">
        <v>288.39065404064377</v>
      </c>
      <c r="K42" s="48">
        <v>405.8200525801218</v>
      </c>
      <c r="L42" s="50">
        <v>0.15716506820193318</v>
      </c>
      <c r="M42" s="48">
        <v>0.23647214555773571</v>
      </c>
      <c r="N42" s="48">
        <v>1.3016311223615993E-2</v>
      </c>
      <c r="O42" s="48">
        <v>2.772808428459884</v>
      </c>
      <c r="P42" s="48">
        <v>2.0230404917434672</v>
      </c>
      <c r="Q42" s="48">
        <v>1.8331862917903015</v>
      </c>
      <c r="R42" s="48">
        <v>1.4694903903225678</v>
      </c>
      <c r="S42" s="48">
        <v>0.60544633065622855</v>
      </c>
      <c r="T42" s="48">
        <v>0.16911737770582488</v>
      </c>
      <c r="U42" s="48">
        <v>4.1181472293962983E-2</v>
      </c>
      <c r="V42" s="48">
        <v>3.4619013703256075E-2</v>
      </c>
      <c r="W42" s="48">
        <v>0.32850459274551086</v>
      </c>
      <c r="X42" s="48">
        <v>1.1283254069809834</v>
      </c>
      <c r="Y42" s="48">
        <v>1.784762303789557</v>
      </c>
      <c r="Z42" s="48">
        <v>3.2314403170968031</v>
      </c>
      <c r="AA42" s="48"/>
      <c r="AB42" s="48">
        <v>1.7625182117500795</v>
      </c>
      <c r="AC42" s="48">
        <v>1.3204447124458252</v>
      </c>
      <c r="AD42" s="48">
        <v>1.022829777609702</v>
      </c>
      <c r="AE42" s="48">
        <v>0.87717776942680703</v>
      </c>
      <c r="AF42" s="48">
        <v>0.34460688650811516</v>
      </c>
      <c r="AG42" s="48">
        <v>8.5549726646893268E-2</v>
      </c>
      <c r="AH42" s="48">
        <v>2.3041849014020965E-2</v>
      </c>
      <c r="AI42" s="48">
        <v>1.5407263460891295E-2</v>
      </c>
      <c r="AJ42" s="48">
        <v>0.18864472974720503</v>
      </c>
      <c r="AK42" s="48">
        <v>0.5817344101860783</v>
      </c>
      <c r="AL42" s="48">
        <v>1.1677289569106055</v>
      </c>
      <c r="AM42" s="38">
        <v>2.0800392969930113</v>
      </c>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row>
    <row r="43" spans="1:131">
      <c r="A43" s="27"/>
      <c r="B43" s="2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232"/>
  <sheetViews>
    <sheetView workbookViewId="0">
      <selection activeCell="A49" sqref="A49:EA232"/>
    </sheetView>
  </sheetViews>
  <sheetFormatPr defaultRowHeight="12.75"/>
  <cols>
    <col min="1" max="1" width="84.42578125" bestFit="1" customWidth="1"/>
    <col min="2" max="2" width="95.7109375" bestFit="1" customWidth="1"/>
    <col min="7" max="7" width="14.5703125" customWidth="1"/>
    <col min="15" max="15" width="9.85546875" customWidth="1"/>
  </cols>
  <sheetData>
    <row r="1" spans="1:20">
      <c r="A1" s="1" t="s">
        <v>0</v>
      </c>
      <c r="B1" s="32"/>
      <c r="C1" s="32"/>
      <c r="D1" s="32" t="s">
        <v>64</v>
      </c>
      <c r="E1" s="32" t="s">
        <v>64</v>
      </c>
      <c r="F1" s="32" t="s">
        <v>64</v>
      </c>
      <c r="G1" s="32" t="s">
        <v>64</v>
      </c>
      <c r="H1" s="2"/>
      <c r="I1" s="3"/>
      <c r="J1" s="3"/>
      <c r="K1" s="3"/>
      <c r="L1" s="3"/>
      <c r="M1" s="3"/>
      <c r="N1" s="4"/>
      <c r="O1" s="33" t="s">
        <v>64</v>
      </c>
      <c r="P1" s="4"/>
    </row>
    <row r="2" spans="1:20">
      <c r="A2" s="8" t="s">
        <v>29</v>
      </c>
      <c r="B2" s="2"/>
      <c r="C2" s="2"/>
      <c r="D2" s="2"/>
      <c r="E2" s="2"/>
      <c r="F2" s="2"/>
      <c r="G2" s="2"/>
      <c r="H2" s="2"/>
      <c r="I2" s="3"/>
      <c r="J2" s="3"/>
      <c r="K2" s="3"/>
      <c r="L2" s="3"/>
      <c r="M2" s="3"/>
      <c r="N2" s="4"/>
      <c r="O2" s="4"/>
      <c r="P2" s="4"/>
    </row>
    <row r="3" spans="1:20">
      <c r="A3" s="8" t="s">
        <v>1</v>
      </c>
      <c r="B3" s="27"/>
      <c r="C3" s="8">
        <v>2012</v>
      </c>
      <c r="D3" s="27"/>
      <c r="E3" s="27"/>
      <c r="F3" s="27"/>
      <c r="G3" s="27"/>
      <c r="H3" s="27"/>
      <c r="I3" s="27"/>
      <c r="J3" s="34"/>
      <c r="K3" s="35"/>
      <c r="L3" s="27"/>
      <c r="M3" s="27"/>
      <c r="N3" s="27"/>
      <c r="O3" s="27"/>
      <c r="P3" s="27"/>
    </row>
    <row r="4" spans="1:20">
      <c r="A4" s="27"/>
      <c r="B4" s="27"/>
      <c r="C4" s="27"/>
      <c r="D4" s="27"/>
      <c r="E4" s="27"/>
      <c r="F4" s="27"/>
      <c r="G4" s="27"/>
      <c r="H4" s="27"/>
      <c r="I4" s="27"/>
      <c r="J4" s="27"/>
      <c r="K4" s="27"/>
      <c r="L4" s="27"/>
      <c r="M4" s="27"/>
      <c r="N4" s="27"/>
      <c r="O4" s="27"/>
      <c r="P4" s="2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2</v>
      </c>
      <c r="B6" s="13"/>
      <c r="C6" s="13"/>
      <c r="D6" s="13"/>
      <c r="E6" s="13"/>
      <c r="F6" s="13"/>
      <c r="G6" s="14"/>
      <c r="H6" s="28"/>
      <c r="I6" s="631" t="s">
        <v>3</v>
      </c>
      <c r="J6" s="632"/>
      <c r="K6" s="632"/>
      <c r="L6" s="632"/>
      <c r="M6" s="632"/>
      <c r="N6" s="633"/>
      <c r="O6" s="634" t="s">
        <v>4</v>
      </c>
      <c r="P6" s="635"/>
      <c r="Q6" s="116" t="s">
        <v>326</v>
      </c>
      <c r="R6" s="636" t="s">
        <v>327</v>
      </c>
      <c r="S6" s="636"/>
      <c r="T6" s="636"/>
    </row>
    <row r="7" spans="1:20" ht="38.25">
      <c r="A7" s="29" t="s">
        <v>5</v>
      </c>
      <c r="B7" s="29" t="s">
        <v>6</v>
      </c>
      <c r="C7" s="29" t="s">
        <v>7</v>
      </c>
      <c r="D7" s="29" t="s">
        <v>8</v>
      </c>
      <c r="E7" s="29" t="s">
        <v>9</v>
      </c>
      <c r="F7" s="29" t="s">
        <v>10</v>
      </c>
      <c r="G7" s="29" t="s">
        <v>11</v>
      </c>
      <c r="H7" s="29" t="s">
        <v>12</v>
      </c>
      <c r="I7" s="29" t="s">
        <v>13</v>
      </c>
      <c r="J7" s="29" t="s">
        <v>14</v>
      </c>
      <c r="K7" s="29" t="s">
        <v>15</v>
      </c>
      <c r="L7" s="29" t="s">
        <v>16</v>
      </c>
      <c r="M7" s="29" t="s">
        <v>17</v>
      </c>
      <c r="N7" s="29" t="s">
        <v>18</v>
      </c>
      <c r="O7" s="30" t="s">
        <v>19</v>
      </c>
      <c r="P7" s="29" t="s">
        <v>11</v>
      </c>
      <c r="Q7" s="117" t="s">
        <v>328</v>
      </c>
      <c r="R7" s="118" t="s">
        <v>329</v>
      </c>
      <c r="S7" s="118" t="s">
        <v>330</v>
      </c>
      <c r="T7" s="118" t="s">
        <v>331</v>
      </c>
    </row>
    <row r="8" spans="1:20" ht="25.5">
      <c r="A8" s="55" t="str">
        <f>Segmented!F136</f>
        <v>WALL R0 - R11_Electric Zonal</v>
      </c>
      <c r="B8" s="55" t="str">
        <f>Segmented!G136</f>
        <v>WALL R0 - R11</v>
      </c>
      <c r="C8" s="55">
        <f>Segmented!H136</f>
        <v>665.44896170039999</v>
      </c>
      <c r="D8" s="55">
        <f>Segmented!I136</f>
        <v>45</v>
      </c>
      <c r="E8" s="55">
        <f>Segmented!J136</f>
        <v>444.2906023738596</v>
      </c>
      <c r="F8" s="55">
        <f>Segmented!K136</f>
        <v>0</v>
      </c>
      <c r="G8" s="55" t="s">
        <v>1479</v>
      </c>
      <c r="H8" s="55">
        <f>Segmented!M136</f>
        <v>0</v>
      </c>
      <c r="I8" s="55">
        <f>Segmented!N136</f>
        <v>0</v>
      </c>
      <c r="J8" s="55">
        <f>Segmented!O136</f>
        <v>0</v>
      </c>
      <c r="K8" s="55">
        <f>Segmented!P136</f>
        <v>0</v>
      </c>
      <c r="L8" s="55">
        <f>Segmented!Q136</f>
        <v>0</v>
      </c>
      <c r="M8" s="55">
        <f>Segmented!R136</f>
        <v>0</v>
      </c>
      <c r="N8" s="55">
        <f>Segmented!S136</f>
        <v>0</v>
      </c>
      <c r="O8" s="55">
        <f>Segmented!T136</f>
        <v>0</v>
      </c>
      <c r="P8" s="55"/>
      <c r="Q8" t="s">
        <v>332</v>
      </c>
    </row>
    <row r="9" spans="1:20" ht="25.5">
      <c r="A9" s="55" t="str">
        <f>Segmented!F137</f>
        <v>FLOOR R0 - R19_Electric Zonal</v>
      </c>
      <c r="B9" s="55" t="str">
        <f>Segmented!G137</f>
        <v>FLOOR R0 - R19</v>
      </c>
      <c r="C9" s="55">
        <f>Segmented!H137</f>
        <v>231.5149137611387</v>
      </c>
      <c r="D9" s="55">
        <f>Segmented!I137</f>
        <v>45</v>
      </c>
      <c r="E9" s="55">
        <f>Segmented!J137</f>
        <v>315.42921929554086</v>
      </c>
      <c r="F9" s="55">
        <f>Segmented!K137</f>
        <v>0</v>
      </c>
      <c r="G9" s="55" t="s">
        <v>1479</v>
      </c>
      <c r="H9" s="55">
        <f>Segmented!M137</f>
        <v>0</v>
      </c>
      <c r="I9" s="55">
        <f>Segmented!N137</f>
        <v>0</v>
      </c>
      <c r="J9" s="55">
        <f>Segmented!O137</f>
        <v>0</v>
      </c>
      <c r="K9" s="55">
        <f>Segmented!P137</f>
        <v>0</v>
      </c>
      <c r="L9" s="55">
        <f>Segmented!Q137</f>
        <v>0</v>
      </c>
      <c r="M9" s="55">
        <f>Segmented!R137</f>
        <v>0</v>
      </c>
      <c r="N9" s="55">
        <f>Segmented!S137</f>
        <v>0</v>
      </c>
      <c r="O9" s="55">
        <f>Segmented!T137</f>
        <v>0</v>
      </c>
      <c r="P9" s="55"/>
      <c r="Q9" t="s">
        <v>332</v>
      </c>
    </row>
    <row r="10" spans="1:20" ht="25.5">
      <c r="A10" s="55" t="str">
        <f>Segmented!F138</f>
        <v>FLOOR R0 - R30_Electric Zonal</v>
      </c>
      <c r="B10" s="55" t="str">
        <f>Segmented!G138</f>
        <v>FLOOR R0 - R30</v>
      </c>
      <c r="C10" s="55">
        <f>Segmented!H138</f>
        <v>301.65502525173406</v>
      </c>
      <c r="D10" s="55">
        <f>Segmented!I138</f>
        <v>45</v>
      </c>
      <c r="E10" s="55">
        <f>Segmented!J138</f>
        <v>337.57430889025602</v>
      </c>
      <c r="F10" s="55">
        <f>Segmented!K138</f>
        <v>0</v>
      </c>
      <c r="G10" s="55" t="s">
        <v>1479</v>
      </c>
      <c r="H10" s="55">
        <f>Segmented!M138</f>
        <v>0</v>
      </c>
      <c r="I10" s="55">
        <f>Segmented!N138</f>
        <v>0</v>
      </c>
      <c r="J10" s="55">
        <f>Segmented!O138</f>
        <v>0</v>
      </c>
      <c r="K10" s="55">
        <f>Segmented!P138</f>
        <v>0</v>
      </c>
      <c r="L10" s="55">
        <f>Segmented!Q138</f>
        <v>0</v>
      </c>
      <c r="M10" s="55">
        <f>Segmented!R138</f>
        <v>0</v>
      </c>
      <c r="N10" s="55">
        <f>Segmented!S138</f>
        <v>0</v>
      </c>
      <c r="O10" s="55">
        <f>Segmented!T138</f>
        <v>0</v>
      </c>
      <c r="P10" s="55"/>
      <c r="Q10" t="s">
        <v>332</v>
      </c>
    </row>
    <row r="11" spans="1:20" ht="25.5">
      <c r="A11" s="55" t="str">
        <f>Segmented!F139</f>
        <v>ATTIC R0 - R19_Electric Zonal</v>
      </c>
      <c r="B11" s="55" t="str">
        <f>Segmented!G139</f>
        <v>ATTIC R0 - R19</v>
      </c>
      <c r="C11" s="55">
        <f>Segmented!H139</f>
        <v>172.2234794592041</v>
      </c>
      <c r="D11" s="55">
        <f>Segmented!I139</f>
        <v>45</v>
      </c>
      <c r="E11" s="55">
        <f>Segmented!J139</f>
        <v>196.91489394951594</v>
      </c>
      <c r="F11" s="55">
        <f>Segmented!K139</f>
        <v>0</v>
      </c>
      <c r="G11" s="55" t="s">
        <v>1479</v>
      </c>
      <c r="H11" s="55">
        <f>Segmented!M139</f>
        <v>0</v>
      </c>
      <c r="I11" s="55">
        <f>Segmented!N139</f>
        <v>0</v>
      </c>
      <c r="J11" s="55">
        <f>Segmented!O139</f>
        <v>0</v>
      </c>
      <c r="K11" s="55">
        <f>Segmented!P139</f>
        <v>0</v>
      </c>
      <c r="L11" s="55">
        <f>Segmented!Q139</f>
        <v>0</v>
      </c>
      <c r="M11" s="55">
        <f>Segmented!R139</f>
        <v>0</v>
      </c>
      <c r="N11" s="55">
        <f>Segmented!S139</f>
        <v>0</v>
      </c>
      <c r="O11" s="55">
        <f>Segmented!T139</f>
        <v>0</v>
      </c>
      <c r="P11" s="55"/>
      <c r="Q11" t="s">
        <v>332</v>
      </c>
    </row>
    <row r="12" spans="1:20" ht="25.5">
      <c r="A12" s="55" t="str">
        <f>Segmented!F140</f>
        <v>ATTIC R0 - R38_Electric Zonal</v>
      </c>
      <c r="B12" s="55" t="str">
        <f>Segmented!G140</f>
        <v>ATTIC R0 - R38</v>
      </c>
      <c r="C12" s="55">
        <f>Segmented!H140</f>
        <v>234.70130472703235</v>
      </c>
      <c r="D12" s="55">
        <f>Segmented!I140</f>
        <v>45</v>
      </c>
      <c r="E12" s="55">
        <f>Segmented!J140</f>
        <v>262.65009234084528</v>
      </c>
      <c r="F12" s="55">
        <f>Segmented!K140</f>
        <v>0</v>
      </c>
      <c r="G12" s="55" t="s">
        <v>1479</v>
      </c>
      <c r="H12" s="55">
        <f>Segmented!M140</f>
        <v>0</v>
      </c>
      <c r="I12" s="55">
        <f>Segmented!N140</f>
        <v>0</v>
      </c>
      <c r="J12" s="55">
        <f>Segmented!O140</f>
        <v>0</v>
      </c>
      <c r="K12" s="55">
        <f>Segmented!P140</f>
        <v>0</v>
      </c>
      <c r="L12" s="55">
        <f>Segmented!Q140</f>
        <v>0</v>
      </c>
      <c r="M12" s="55">
        <f>Segmented!R140</f>
        <v>0</v>
      </c>
      <c r="N12" s="55">
        <f>Segmented!S140</f>
        <v>0</v>
      </c>
      <c r="O12" s="55">
        <f>Segmented!T140</f>
        <v>0</v>
      </c>
      <c r="P12" s="55"/>
      <c r="Q12" t="s">
        <v>332</v>
      </c>
    </row>
    <row r="13" spans="1:20" ht="25.5">
      <c r="A13" s="55" t="str">
        <f>Segmented!F141</f>
        <v>ATTIC R0 - R49_Electric Zonal</v>
      </c>
      <c r="B13" s="55" t="str">
        <f>Segmented!G141</f>
        <v>ATTIC R0 - R49</v>
      </c>
      <c r="C13" s="55">
        <f>Segmented!H141</f>
        <v>249.19752687988947</v>
      </c>
      <c r="D13" s="55">
        <f>Segmented!I141</f>
        <v>45</v>
      </c>
      <c r="E13" s="55">
        <f>Segmented!J141</f>
        <v>297.93884832438431</v>
      </c>
      <c r="F13" s="55">
        <f>Segmented!K141</f>
        <v>0</v>
      </c>
      <c r="G13" s="55" t="s">
        <v>1479</v>
      </c>
      <c r="H13" s="55">
        <f>Segmented!M141</f>
        <v>0</v>
      </c>
      <c r="I13" s="55">
        <f>Segmented!N141</f>
        <v>0</v>
      </c>
      <c r="J13" s="55">
        <f>Segmented!O141</f>
        <v>0</v>
      </c>
      <c r="K13" s="55">
        <f>Segmented!P141</f>
        <v>0</v>
      </c>
      <c r="L13" s="55">
        <f>Segmented!Q141</f>
        <v>0</v>
      </c>
      <c r="M13" s="55">
        <f>Segmented!R141</f>
        <v>0</v>
      </c>
      <c r="N13" s="55">
        <f>Segmented!S141</f>
        <v>0</v>
      </c>
      <c r="O13" s="55">
        <f>Segmented!T141</f>
        <v>0</v>
      </c>
      <c r="P13" s="55"/>
      <c r="Q13" t="s">
        <v>332</v>
      </c>
    </row>
    <row r="14" spans="1:20" ht="25.5">
      <c r="A14" s="55" t="str">
        <f>Segmented!F142</f>
        <v>ATTIC R19 - R30_Electric Zonal</v>
      </c>
      <c r="B14" s="55" t="str">
        <f>Segmented!G142</f>
        <v>ATTIC R19 - R30</v>
      </c>
      <c r="C14" s="55">
        <f>Segmented!H142</f>
        <v>45.272011880626216</v>
      </c>
      <c r="D14" s="55">
        <f>Segmented!I142</f>
        <v>45</v>
      </c>
      <c r="E14" s="55">
        <f>Segmented!J142</f>
        <v>169.97517278288436</v>
      </c>
      <c r="F14" s="55">
        <f>Segmented!K142</f>
        <v>0</v>
      </c>
      <c r="G14" s="55" t="s">
        <v>1479</v>
      </c>
      <c r="H14" s="55">
        <f>Segmented!M142</f>
        <v>0</v>
      </c>
      <c r="I14" s="55">
        <f>Segmented!N142</f>
        <v>0</v>
      </c>
      <c r="J14" s="55">
        <f>Segmented!O142</f>
        <v>0</v>
      </c>
      <c r="K14" s="55">
        <f>Segmented!P142</f>
        <v>0</v>
      </c>
      <c r="L14" s="55">
        <f>Segmented!Q142</f>
        <v>0</v>
      </c>
      <c r="M14" s="55">
        <f>Segmented!R142</f>
        <v>0</v>
      </c>
      <c r="N14" s="55">
        <f>Segmented!S142</f>
        <v>0</v>
      </c>
      <c r="O14" s="55">
        <f>Segmented!T142</f>
        <v>0</v>
      </c>
      <c r="P14" s="55"/>
      <c r="Q14" t="s">
        <v>332</v>
      </c>
    </row>
    <row r="15" spans="1:20" ht="25.5">
      <c r="A15" s="55" t="str">
        <f>Segmented!F143</f>
        <v>ATTIC R19 - R38_Electric Zonal</v>
      </c>
      <c r="B15" s="55" t="str">
        <f>Segmented!G143</f>
        <v>ATTIC R19 - R38</v>
      </c>
      <c r="C15" s="55">
        <f>Segmented!H143</f>
        <v>62.477825267828266</v>
      </c>
      <c r="D15" s="55">
        <f>Segmented!I143</f>
        <v>45</v>
      </c>
      <c r="E15" s="55">
        <f>Segmented!J143</f>
        <v>198.23826361528404</v>
      </c>
      <c r="F15" s="55">
        <f>Segmented!K143</f>
        <v>0</v>
      </c>
      <c r="G15" s="55" t="s">
        <v>1479</v>
      </c>
      <c r="H15" s="55">
        <f>Segmented!M143</f>
        <v>0</v>
      </c>
      <c r="I15" s="55">
        <f>Segmented!N143</f>
        <v>0</v>
      </c>
      <c r="J15" s="55">
        <f>Segmented!O143</f>
        <v>0</v>
      </c>
      <c r="K15" s="55">
        <f>Segmented!P143</f>
        <v>0</v>
      </c>
      <c r="L15" s="55">
        <f>Segmented!Q143</f>
        <v>0</v>
      </c>
      <c r="M15" s="55">
        <f>Segmented!R143</f>
        <v>0</v>
      </c>
      <c r="N15" s="55">
        <f>Segmented!S143</f>
        <v>0</v>
      </c>
      <c r="O15" s="55">
        <f>Segmented!T143</f>
        <v>0</v>
      </c>
      <c r="P15" s="55"/>
      <c r="Q15" t="s">
        <v>332</v>
      </c>
    </row>
    <row r="16" spans="1:20" ht="25.5">
      <c r="A16" s="55" t="str">
        <f>Segmented!F144</f>
        <v>ATTIC R19 - R49_Electric Zonal</v>
      </c>
      <c r="B16" s="55" t="str">
        <f>Segmented!G144</f>
        <v>ATTIC R19 - R49</v>
      </c>
      <c r="C16" s="55">
        <f>Segmented!H144</f>
        <v>76.974047420685338</v>
      </c>
      <c r="D16" s="55">
        <f>Segmented!I144</f>
        <v>45</v>
      </c>
      <c r="E16" s="55">
        <f>Segmented!J144</f>
        <v>235.52932235113522</v>
      </c>
      <c r="F16" s="55">
        <f>Segmented!K144</f>
        <v>0</v>
      </c>
      <c r="G16" s="55" t="s">
        <v>1479</v>
      </c>
      <c r="H16" s="55">
        <f>Segmented!M144</f>
        <v>0</v>
      </c>
      <c r="I16" s="55">
        <f>Segmented!N144</f>
        <v>0</v>
      </c>
      <c r="J16" s="55">
        <f>Segmented!O144</f>
        <v>0</v>
      </c>
      <c r="K16" s="55">
        <f>Segmented!P144</f>
        <v>0</v>
      </c>
      <c r="L16" s="55">
        <f>Segmented!Q144</f>
        <v>0</v>
      </c>
      <c r="M16" s="55">
        <f>Segmented!R144</f>
        <v>0</v>
      </c>
      <c r="N16" s="55">
        <f>Segmented!S144</f>
        <v>0</v>
      </c>
      <c r="O16" s="55">
        <f>Segmented!T144</f>
        <v>0</v>
      </c>
      <c r="P16" s="55"/>
      <c r="Q16" t="s">
        <v>332</v>
      </c>
    </row>
    <row r="17" spans="1:17" ht="25.5">
      <c r="A17" s="55" t="str">
        <f>Segmented!F145</f>
        <v>WINDOW CL22 Prime Window Replacement of Single Pane Base_Electric Zonal</v>
      </c>
      <c r="B17" s="55" t="str">
        <f>Segmented!G145</f>
        <v>WINDOW CL22 Prime Window Replacement of Single Pane Base</v>
      </c>
      <c r="C17" s="55">
        <f>Segmented!H145</f>
        <v>4362.4664073114282</v>
      </c>
      <c r="D17" s="55">
        <f>Segmented!I145</f>
        <v>45</v>
      </c>
      <c r="E17" s="55">
        <f>Segmented!J145</f>
        <v>3567.2363679851774</v>
      </c>
      <c r="F17" s="55">
        <f>Segmented!K145</f>
        <v>0</v>
      </c>
      <c r="G17" s="55" t="s">
        <v>1479</v>
      </c>
      <c r="H17" s="55">
        <f>Segmented!M145</f>
        <v>0</v>
      </c>
      <c r="I17" s="55">
        <f>Segmented!N145</f>
        <v>0</v>
      </c>
      <c r="J17" s="55">
        <f>Segmented!O145</f>
        <v>0</v>
      </c>
      <c r="K17" s="55">
        <f>Segmented!P145</f>
        <v>0</v>
      </c>
      <c r="L17" s="55">
        <f>Segmented!Q145</f>
        <v>0</v>
      </c>
      <c r="M17" s="55">
        <f>Segmented!R145</f>
        <v>0</v>
      </c>
      <c r="N17" s="55">
        <f>Segmented!S145</f>
        <v>0</v>
      </c>
      <c r="O17" s="55">
        <f>Segmented!T145</f>
        <v>0</v>
      </c>
      <c r="P17" s="55"/>
      <c r="Q17" t="s">
        <v>332</v>
      </c>
    </row>
    <row r="18" spans="1:17" ht="25.5">
      <c r="A18" s="55" t="str">
        <f>Segmented!F146</f>
        <v>WINDOW CL22 Prime Window Replacement of Double Pane Base_Electric Zonal</v>
      </c>
      <c r="B18" s="55" t="str">
        <f>Segmented!G146</f>
        <v>WINDOW CL22 Prime Window Replacement of Double Pane Base</v>
      </c>
      <c r="C18" s="55">
        <f>Segmented!H146</f>
        <v>2581.7614686726752</v>
      </c>
      <c r="D18" s="55">
        <f>Segmented!I146</f>
        <v>45</v>
      </c>
      <c r="E18" s="55">
        <f>Segmented!J146</f>
        <v>3567.2363679851774</v>
      </c>
      <c r="F18" s="55">
        <f>Segmented!K146</f>
        <v>0</v>
      </c>
      <c r="G18" s="55" t="s">
        <v>1479</v>
      </c>
      <c r="H18" s="55">
        <f>Segmented!M146</f>
        <v>0</v>
      </c>
      <c r="I18" s="55">
        <f>Segmented!N146</f>
        <v>0</v>
      </c>
      <c r="J18" s="55">
        <f>Segmented!O146</f>
        <v>0</v>
      </c>
      <c r="K18" s="55">
        <f>Segmented!P146</f>
        <v>0</v>
      </c>
      <c r="L18" s="55">
        <f>Segmented!Q146</f>
        <v>0</v>
      </c>
      <c r="M18" s="55">
        <f>Segmented!R146</f>
        <v>0</v>
      </c>
      <c r="N18" s="55">
        <f>Segmented!S146</f>
        <v>0</v>
      </c>
      <c r="O18" s="55">
        <f>Segmented!T146</f>
        <v>0</v>
      </c>
      <c r="P18" s="55"/>
      <c r="Q18" t="s">
        <v>332</v>
      </c>
    </row>
    <row r="19" spans="1:17" ht="25.5">
      <c r="A19" s="55" t="str">
        <f>Segmented!F147</f>
        <v>WINDOW CL30 Prime Window Replacement of Single Pane Base_Electric Zonal</v>
      </c>
      <c r="B19" s="55" t="str">
        <f>Segmented!G147</f>
        <v>WINDOW CL30 Prime Window Replacement of Single Pane Base</v>
      </c>
      <c r="C19" s="55">
        <f>Segmented!H147</f>
        <v>4007.8072645659718</v>
      </c>
      <c r="D19" s="55">
        <f>Segmented!I147</f>
        <v>45</v>
      </c>
      <c r="E19" s="55">
        <f>Segmented!J147</f>
        <v>2730.3075374938753</v>
      </c>
      <c r="F19" s="55">
        <f>Segmented!K147</f>
        <v>0</v>
      </c>
      <c r="G19" s="55" t="s">
        <v>1479</v>
      </c>
      <c r="H19" s="55">
        <f>Segmented!M147</f>
        <v>0</v>
      </c>
      <c r="I19" s="55">
        <f>Segmented!N147</f>
        <v>0</v>
      </c>
      <c r="J19" s="55">
        <f>Segmented!O147</f>
        <v>0</v>
      </c>
      <c r="K19" s="55">
        <f>Segmented!P147</f>
        <v>0</v>
      </c>
      <c r="L19" s="55">
        <f>Segmented!Q147</f>
        <v>0</v>
      </c>
      <c r="M19" s="55">
        <f>Segmented!R147</f>
        <v>0</v>
      </c>
      <c r="N19" s="55">
        <f>Segmented!S147</f>
        <v>0</v>
      </c>
      <c r="O19" s="55">
        <f>Segmented!T147</f>
        <v>0</v>
      </c>
      <c r="P19" s="55"/>
      <c r="Q19" t="s">
        <v>332</v>
      </c>
    </row>
    <row r="20" spans="1:17" ht="25.5">
      <c r="A20" s="55" t="str">
        <f>Segmented!F148</f>
        <v>WINDOW CL30 Prime Window Replacement of Double Pane Base_Electric Zonal</v>
      </c>
      <c r="B20" s="55" t="str">
        <f>Segmented!G148</f>
        <v>WINDOW CL30 Prime Window Replacement of Double Pane Base</v>
      </c>
      <c r="C20" s="55">
        <f>Segmented!H148</f>
        <v>2227.1023259272174</v>
      </c>
      <c r="D20" s="55">
        <f>Segmented!I148</f>
        <v>45</v>
      </c>
      <c r="E20" s="55">
        <f>Segmented!J148</f>
        <v>2730.3075374938753</v>
      </c>
      <c r="F20" s="55">
        <f>Segmented!K148</f>
        <v>0</v>
      </c>
      <c r="G20" s="55" t="s">
        <v>1479</v>
      </c>
      <c r="H20" s="55">
        <f>Segmented!M148</f>
        <v>0</v>
      </c>
      <c r="I20" s="55">
        <f>Segmented!N148</f>
        <v>0</v>
      </c>
      <c r="J20" s="55">
        <f>Segmented!O148</f>
        <v>0</v>
      </c>
      <c r="K20" s="55">
        <f>Segmented!P148</f>
        <v>0</v>
      </c>
      <c r="L20" s="55">
        <f>Segmented!Q148</f>
        <v>0</v>
      </c>
      <c r="M20" s="55">
        <f>Segmented!R148</f>
        <v>0</v>
      </c>
      <c r="N20" s="55">
        <f>Segmented!S148</f>
        <v>0</v>
      </c>
      <c r="O20" s="55">
        <f>Segmented!T148</f>
        <v>0</v>
      </c>
      <c r="P20" s="55"/>
      <c r="Q20" t="s">
        <v>332</v>
      </c>
    </row>
    <row r="21" spans="1:17" ht="25.5">
      <c r="A21" s="55" t="str">
        <f>Segmented!F149</f>
        <v>WALL R0 - R11_Electric FAF</v>
      </c>
      <c r="B21" s="55" t="str">
        <f>Segmented!G149</f>
        <v>WALL R0 - R11</v>
      </c>
      <c r="C21" s="55">
        <f>Segmented!H149</f>
        <v>598.19707837157569</v>
      </c>
      <c r="D21" s="55">
        <f>Segmented!I149</f>
        <v>45</v>
      </c>
      <c r="E21" s="55">
        <f>Segmented!J149</f>
        <v>444.29060237385954</v>
      </c>
      <c r="F21" s="55">
        <f>Segmented!K149</f>
        <v>0</v>
      </c>
      <c r="G21" s="55" t="s">
        <v>1479</v>
      </c>
      <c r="H21" s="55">
        <f>Segmented!M149</f>
        <v>0</v>
      </c>
      <c r="I21" s="55">
        <f>Segmented!N149</f>
        <v>0</v>
      </c>
      <c r="J21" s="55">
        <f>Segmented!O149</f>
        <v>0</v>
      </c>
      <c r="K21" s="55">
        <f>Segmented!P149</f>
        <v>0</v>
      </c>
      <c r="L21" s="55">
        <f>Segmented!Q149</f>
        <v>0</v>
      </c>
      <c r="M21" s="55">
        <f>Segmented!R149</f>
        <v>0</v>
      </c>
      <c r="N21" s="55">
        <f>Segmented!S149</f>
        <v>0</v>
      </c>
      <c r="O21" s="55">
        <f>Segmented!T149</f>
        <v>0</v>
      </c>
      <c r="P21" s="55"/>
      <c r="Q21" t="s">
        <v>332</v>
      </c>
    </row>
    <row r="22" spans="1:17" ht="25.5">
      <c r="A22" s="55" t="str">
        <f>Segmented!F150</f>
        <v>FLOOR R0 - R19_Electric FAF</v>
      </c>
      <c r="B22" s="55" t="str">
        <f>Segmented!G150</f>
        <v>FLOOR R0 - R19</v>
      </c>
      <c r="C22" s="55">
        <f>Segmented!H150</f>
        <v>211.22672567616448</v>
      </c>
      <c r="D22" s="55">
        <f>Segmented!I150</f>
        <v>45</v>
      </c>
      <c r="E22" s="55">
        <f>Segmented!J150</f>
        <v>315.42921929554086</v>
      </c>
      <c r="F22" s="55">
        <f>Segmented!K150</f>
        <v>0</v>
      </c>
      <c r="G22" s="55" t="s">
        <v>1479</v>
      </c>
      <c r="H22" s="55">
        <f>Segmented!M150</f>
        <v>0</v>
      </c>
      <c r="I22" s="55">
        <f>Segmented!N150</f>
        <v>0</v>
      </c>
      <c r="J22" s="55">
        <f>Segmented!O150</f>
        <v>0</v>
      </c>
      <c r="K22" s="55">
        <f>Segmented!P150</f>
        <v>0</v>
      </c>
      <c r="L22" s="55">
        <f>Segmented!Q150</f>
        <v>0</v>
      </c>
      <c r="M22" s="55">
        <f>Segmented!R150</f>
        <v>0</v>
      </c>
      <c r="N22" s="55">
        <f>Segmented!S150</f>
        <v>0</v>
      </c>
      <c r="O22" s="55">
        <f>Segmented!T150</f>
        <v>0</v>
      </c>
      <c r="P22" s="55"/>
      <c r="Q22" t="s">
        <v>332</v>
      </c>
    </row>
    <row r="23" spans="1:17" ht="25.5">
      <c r="A23" s="55" t="str">
        <f>Segmented!F151</f>
        <v>FLOOR R0 - R30_Electric FAF</v>
      </c>
      <c r="B23" s="55" t="str">
        <f>Segmented!G151</f>
        <v>FLOOR R0 - R30</v>
      </c>
      <c r="C23" s="55">
        <f>Segmented!H151</f>
        <v>275.07081083698421</v>
      </c>
      <c r="D23" s="55">
        <f>Segmented!I151</f>
        <v>45</v>
      </c>
      <c r="E23" s="55">
        <f>Segmented!J151</f>
        <v>337.57430889025602</v>
      </c>
      <c r="F23" s="55">
        <f>Segmented!K151</f>
        <v>0</v>
      </c>
      <c r="G23" s="55" t="s">
        <v>1479</v>
      </c>
      <c r="H23" s="55">
        <f>Segmented!M151</f>
        <v>0</v>
      </c>
      <c r="I23" s="55">
        <f>Segmented!N151</f>
        <v>0</v>
      </c>
      <c r="J23" s="55">
        <f>Segmented!O151</f>
        <v>0</v>
      </c>
      <c r="K23" s="55">
        <f>Segmented!P151</f>
        <v>0</v>
      </c>
      <c r="L23" s="55">
        <f>Segmented!Q151</f>
        <v>0</v>
      </c>
      <c r="M23" s="55">
        <f>Segmented!R151</f>
        <v>0</v>
      </c>
      <c r="N23" s="55">
        <f>Segmented!S151</f>
        <v>0</v>
      </c>
      <c r="O23" s="55">
        <f>Segmented!T151</f>
        <v>0</v>
      </c>
      <c r="P23" s="55"/>
      <c r="Q23" t="s">
        <v>332</v>
      </c>
    </row>
    <row r="24" spans="1:17" ht="25.5">
      <c r="A24" s="55" t="str">
        <f>Segmented!F152</f>
        <v>ATTIC R0 - R19_Electric FAF</v>
      </c>
      <c r="B24" s="55" t="str">
        <f>Segmented!G152</f>
        <v>ATTIC R0 - R19</v>
      </c>
      <c r="C24" s="55">
        <f>Segmented!H152</f>
        <v>178.09349239717494</v>
      </c>
      <c r="D24" s="55">
        <f>Segmented!I152</f>
        <v>45</v>
      </c>
      <c r="E24" s="55">
        <f>Segmented!J152</f>
        <v>196.91489394951594</v>
      </c>
      <c r="F24" s="55">
        <f>Segmented!K152</f>
        <v>0</v>
      </c>
      <c r="G24" s="55" t="s">
        <v>1479</v>
      </c>
      <c r="H24" s="55">
        <f>Segmented!M152</f>
        <v>0</v>
      </c>
      <c r="I24" s="55">
        <f>Segmented!N152</f>
        <v>0</v>
      </c>
      <c r="J24" s="55">
        <f>Segmented!O152</f>
        <v>0</v>
      </c>
      <c r="K24" s="55">
        <f>Segmented!P152</f>
        <v>0</v>
      </c>
      <c r="L24" s="55">
        <f>Segmented!Q152</f>
        <v>0</v>
      </c>
      <c r="M24" s="55">
        <f>Segmented!R152</f>
        <v>0</v>
      </c>
      <c r="N24" s="55">
        <f>Segmented!S152</f>
        <v>0</v>
      </c>
      <c r="O24" s="55">
        <f>Segmented!T152</f>
        <v>0</v>
      </c>
      <c r="P24" s="55"/>
      <c r="Q24" t="s">
        <v>332</v>
      </c>
    </row>
    <row r="25" spans="1:17" ht="25.5">
      <c r="A25" s="55" t="str">
        <f>Segmented!F153</f>
        <v>ATTIC R0 - R38_Electric FAF</v>
      </c>
      <c r="B25" s="55" t="str">
        <f>Segmented!G153</f>
        <v>ATTIC R0 - R38</v>
      </c>
      <c r="C25" s="55">
        <f>Segmented!H153</f>
        <v>242.55500610578198</v>
      </c>
      <c r="D25" s="55">
        <f>Segmented!I153</f>
        <v>45</v>
      </c>
      <c r="E25" s="55">
        <f>Segmented!J153</f>
        <v>262.65009234084522</v>
      </c>
      <c r="F25" s="55">
        <f>Segmented!K153</f>
        <v>0</v>
      </c>
      <c r="G25" s="55" t="s">
        <v>1479</v>
      </c>
      <c r="H25" s="55">
        <f>Segmented!M153</f>
        <v>0</v>
      </c>
      <c r="I25" s="55">
        <f>Segmented!N153</f>
        <v>0</v>
      </c>
      <c r="J25" s="55">
        <f>Segmented!O153</f>
        <v>0</v>
      </c>
      <c r="K25" s="55">
        <f>Segmented!P153</f>
        <v>0</v>
      </c>
      <c r="L25" s="55">
        <f>Segmented!Q153</f>
        <v>0</v>
      </c>
      <c r="M25" s="55">
        <f>Segmented!R153</f>
        <v>0</v>
      </c>
      <c r="N25" s="55">
        <f>Segmented!S153</f>
        <v>0</v>
      </c>
      <c r="O25" s="55">
        <f>Segmented!T153</f>
        <v>0</v>
      </c>
      <c r="P25" s="55"/>
      <c r="Q25" t="s">
        <v>332</v>
      </c>
    </row>
    <row r="26" spans="1:17" ht="25.5">
      <c r="A26" s="55" t="str">
        <f>Segmented!F154</f>
        <v>ATTIC R0 - R49_Electric FAF</v>
      </c>
      <c r="B26" s="55" t="str">
        <f>Segmented!G154</f>
        <v>ATTIC R0 - R49</v>
      </c>
      <c r="C26" s="55">
        <f>Segmented!H154</f>
        <v>257.50228679239945</v>
      </c>
      <c r="D26" s="55">
        <f>Segmented!I154</f>
        <v>45</v>
      </c>
      <c r="E26" s="55">
        <f>Segmented!J154</f>
        <v>297.93884832438431</v>
      </c>
      <c r="F26" s="55">
        <f>Segmented!K154</f>
        <v>0</v>
      </c>
      <c r="G26" s="55" t="s">
        <v>1479</v>
      </c>
      <c r="H26" s="55">
        <f>Segmented!M154</f>
        <v>0</v>
      </c>
      <c r="I26" s="55">
        <f>Segmented!N154</f>
        <v>0</v>
      </c>
      <c r="J26" s="55">
        <f>Segmented!O154</f>
        <v>0</v>
      </c>
      <c r="K26" s="55">
        <f>Segmented!P154</f>
        <v>0</v>
      </c>
      <c r="L26" s="55">
        <f>Segmented!Q154</f>
        <v>0</v>
      </c>
      <c r="M26" s="55">
        <f>Segmented!R154</f>
        <v>0</v>
      </c>
      <c r="N26" s="55">
        <f>Segmented!S154</f>
        <v>0</v>
      </c>
      <c r="O26" s="55">
        <f>Segmented!T154</f>
        <v>0</v>
      </c>
      <c r="P26" s="55"/>
      <c r="Q26" t="s">
        <v>332</v>
      </c>
    </row>
    <row r="27" spans="1:17" ht="25.5">
      <c r="A27" s="55" t="str">
        <f>Segmented!F155</f>
        <v>ATTIC R19 - R30_Electric FAF</v>
      </c>
      <c r="B27" s="55" t="str">
        <f>Segmented!G155</f>
        <v>ATTIC R19 - R30</v>
      </c>
      <c r="C27" s="55">
        <f>Segmented!H155</f>
        <v>46.717076442582112</v>
      </c>
      <c r="D27" s="55">
        <f>Segmented!I155</f>
        <v>45</v>
      </c>
      <c r="E27" s="55">
        <f>Segmented!J155</f>
        <v>169.97517278288436</v>
      </c>
      <c r="F27" s="55">
        <f>Segmented!K155</f>
        <v>0</v>
      </c>
      <c r="G27" s="55" t="s">
        <v>1479</v>
      </c>
      <c r="H27" s="55">
        <f>Segmented!M155</f>
        <v>0</v>
      </c>
      <c r="I27" s="55">
        <f>Segmented!N155</f>
        <v>0</v>
      </c>
      <c r="J27" s="55">
        <f>Segmented!O155</f>
        <v>0</v>
      </c>
      <c r="K27" s="55">
        <f>Segmented!P155</f>
        <v>0</v>
      </c>
      <c r="L27" s="55">
        <f>Segmented!Q155</f>
        <v>0</v>
      </c>
      <c r="M27" s="55">
        <f>Segmented!R155</f>
        <v>0</v>
      </c>
      <c r="N27" s="55">
        <f>Segmented!S155</f>
        <v>0</v>
      </c>
      <c r="O27" s="55">
        <f>Segmented!T155</f>
        <v>0</v>
      </c>
      <c r="P27" s="55"/>
      <c r="Q27" t="s">
        <v>332</v>
      </c>
    </row>
    <row r="28" spans="1:17" ht="25.5">
      <c r="A28" s="55" t="str">
        <f>Segmented!F156</f>
        <v>ATTIC R19 - R38_Electric FAF</v>
      </c>
      <c r="B28" s="55" t="str">
        <f>Segmented!G156</f>
        <v>ATTIC R19 - R38</v>
      </c>
      <c r="C28" s="55">
        <f>Segmented!H156</f>
        <v>64.461513708607058</v>
      </c>
      <c r="D28" s="55">
        <f>Segmented!I156</f>
        <v>45</v>
      </c>
      <c r="E28" s="55">
        <f>Segmented!J156</f>
        <v>198.23826361528401</v>
      </c>
      <c r="F28" s="55">
        <f>Segmented!K156</f>
        <v>0</v>
      </c>
      <c r="G28" s="55" t="s">
        <v>1479</v>
      </c>
      <c r="H28" s="55">
        <f>Segmented!M156</f>
        <v>0</v>
      </c>
      <c r="I28" s="55">
        <f>Segmented!N156</f>
        <v>0</v>
      </c>
      <c r="J28" s="55">
        <f>Segmented!O156</f>
        <v>0</v>
      </c>
      <c r="K28" s="55">
        <f>Segmented!P156</f>
        <v>0</v>
      </c>
      <c r="L28" s="55">
        <f>Segmented!Q156</f>
        <v>0</v>
      </c>
      <c r="M28" s="55">
        <f>Segmented!R156</f>
        <v>0</v>
      </c>
      <c r="N28" s="55">
        <f>Segmented!S156</f>
        <v>0</v>
      </c>
      <c r="O28" s="55">
        <f>Segmented!T156</f>
        <v>0</v>
      </c>
      <c r="P28" s="55"/>
      <c r="Q28" t="s">
        <v>332</v>
      </c>
    </row>
    <row r="29" spans="1:17" ht="25.5">
      <c r="A29" s="55" t="str">
        <f>Segmented!F157</f>
        <v>ATTIC R19 - R49_Electric FAF</v>
      </c>
      <c r="B29" s="55" t="str">
        <f>Segmented!G157</f>
        <v>ATTIC R19 - R49</v>
      </c>
      <c r="C29" s="55">
        <f>Segmented!H157</f>
        <v>79.408794395224533</v>
      </c>
      <c r="D29" s="55">
        <f>Segmented!I157</f>
        <v>45</v>
      </c>
      <c r="E29" s="55">
        <f>Segmented!J157</f>
        <v>235.52932235113522</v>
      </c>
      <c r="F29" s="55">
        <f>Segmented!K157</f>
        <v>0</v>
      </c>
      <c r="G29" s="55" t="s">
        <v>1479</v>
      </c>
      <c r="H29" s="55">
        <f>Segmented!M157</f>
        <v>0</v>
      </c>
      <c r="I29" s="55">
        <f>Segmented!N157</f>
        <v>0</v>
      </c>
      <c r="J29" s="55">
        <f>Segmented!O157</f>
        <v>0</v>
      </c>
      <c r="K29" s="55">
        <f>Segmented!P157</f>
        <v>0</v>
      </c>
      <c r="L29" s="55">
        <f>Segmented!Q157</f>
        <v>0</v>
      </c>
      <c r="M29" s="55">
        <f>Segmented!R157</f>
        <v>0</v>
      </c>
      <c r="N29" s="55">
        <f>Segmented!S157</f>
        <v>0</v>
      </c>
      <c r="O29" s="55">
        <f>Segmented!T157</f>
        <v>0</v>
      </c>
      <c r="P29" s="55"/>
      <c r="Q29" t="s">
        <v>332</v>
      </c>
    </row>
    <row r="30" spans="1:17" ht="25.5">
      <c r="A30" s="55" t="str">
        <f>Segmented!F158</f>
        <v>WINDOW CL22 Prime Window Replacement of Single Pane Base_Electric FAF</v>
      </c>
      <c r="B30" s="55" t="str">
        <f>Segmented!G158</f>
        <v>WINDOW CL22 Prime Window Replacement of Single Pane Base</v>
      </c>
      <c r="C30" s="55">
        <f>Segmented!H158</f>
        <v>3912.7654882130341</v>
      </c>
      <c r="D30" s="55">
        <f>Segmented!I158</f>
        <v>45</v>
      </c>
      <c r="E30" s="55">
        <f>Segmented!J158</f>
        <v>3567.2363679851778</v>
      </c>
      <c r="F30" s="55">
        <f>Segmented!K158</f>
        <v>0</v>
      </c>
      <c r="G30" s="55" t="s">
        <v>1479</v>
      </c>
      <c r="H30" s="55">
        <f>Segmented!M158</f>
        <v>0</v>
      </c>
      <c r="I30" s="55">
        <f>Segmented!N158</f>
        <v>0</v>
      </c>
      <c r="J30" s="55">
        <f>Segmented!O158</f>
        <v>0</v>
      </c>
      <c r="K30" s="55">
        <f>Segmented!P158</f>
        <v>0</v>
      </c>
      <c r="L30" s="55">
        <f>Segmented!Q158</f>
        <v>0</v>
      </c>
      <c r="M30" s="55">
        <f>Segmented!R158</f>
        <v>0</v>
      </c>
      <c r="N30" s="55">
        <f>Segmented!S158</f>
        <v>0</v>
      </c>
      <c r="O30" s="55">
        <f>Segmented!T158</f>
        <v>0</v>
      </c>
      <c r="P30" s="55"/>
      <c r="Q30" t="s">
        <v>332</v>
      </c>
    </row>
    <row r="31" spans="1:17" ht="25.5">
      <c r="A31" s="55" t="str">
        <f>Segmented!F159</f>
        <v>WINDOW CL22 Prime Window Replacement of Double Pane Base_Electric FAF</v>
      </c>
      <c r="B31" s="55" t="str">
        <f>Segmented!G159</f>
        <v>WINDOW CL22 Prime Window Replacement of Double Pane Base</v>
      </c>
      <c r="C31" s="55">
        <f>Segmented!H159</f>
        <v>2298.216537980767</v>
      </c>
      <c r="D31" s="55">
        <f>Segmented!I159</f>
        <v>45</v>
      </c>
      <c r="E31" s="55">
        <f>Segmented!J159</f>
        <v>3567.2363679851778</v>
      </c>
      <c r="F31" s="55">
        <f>Segmented!K159</f>
        <v>0</v>
      </c>
      <c r="G31" s="55" t="s">
        <v>1479</v>
      </c>
      <c r="H31" s="55">
        <f>Segmented!M159</f>
        <v>0</v>
      </c>
      <c r="I31" s="55">
        <f>Segmented!N159</f>
        <v>0</v>
      </c>
      <c r="J31" s="55">
        <f>Segmented!O159</f>
        <v>0</v>
      </c>
      <c r="K31" s="55">
        <f>Segmented!P159</f>
        <v>0</v>
      </c>
      <c r="L31" s="55">
        <f>Segmented!Q159</f>
        <v>0</v>
      </c>
      <c r="M31" s="55">
        <f>Segmented!R159</f>
        <v>0</v>
      </c>
      <c r="N31" s="55">
        <f>Segmented!S159</f>
        <v>0</v>
      </c>
      <c r="O31" s="55">
        <f>Segmented!T159</f>
        <v>0</v>
      </c>
      <c r="P31" s="55"/>
      <c r="Q31" t="s">
        <v>332</v>
      </c>
    </row>
    <row r="32" spans="1:17" ht="25.5">
      <c r="A32" s="55" t="str">
        <f>Segmented!F160</f>
        <v>WINDOW CL30 Prime Window Replacement of Single Pane Base_Electric FAF</v>
      </c>
      <c r="B32" s="55" t="str">
        <f>Segmented!G160</f>
        <v>WINDOW CL30 Prime Window Replacement of Single Pane Base</v>
      </c>
      <c r="C32" s="55">
        <f>Segmented!H160</f>
        <v>3597.6461680668308</v>
      </c>
      <c r="D32" s="55">
        <f>Segmented!I160</f>
        <v>45</v>
      </c>
      <c r="E32" s="55">
        <f>Segmented!J160</f>
        <v>2730.3075374938753</v>
      </c>
      <c r="F32" s="55">
        <f>Segmented!K160</f>
        <v>0</v>
      </c>
      <c r="G32" s="55" t="s">
        <v>1479</v>
      </c>
      <c r="H32" s="55">
        <f>Segmented!M160</f>
        <v>0</v>
      </c>
      <c r="I32" s="55">
        <f>Segmented!N160</f>
        <v>0</v>
      </c>
      <c r="J32" s="55">
        <f>Segmented!O160</f>
        <v>0</v>
      </c>
      <c r="K32" s="55">
        <f>Segmented!P160</f>
        <v>0</v>
      </c>
      <c r="L32" s="55">
        <f>Segmented!Q160</f>
        <v>0</v>
      </c>
      <c r="M32" s="55">
        <f>Segmented!R160</f>
        <v>0</v>
      </c>
      <c r="N32" s="55">
        <f>Segmented!S160</f>
        <v>0</v>
      </c>
      <c r="O32" s="55">
        <f>Segmented!T160</f>
        <v>0</v>
      </c>
      <c r="P32" s="55"/>
      <c r="Q32" t="s">
        <v>332</v>
      </c>
    </row>
    <row r="33" spans="1:17" ht="25.5">
      <c r="A33" s="55" t="str">
        <f>Segmented!F161</f>
        <v>WINDOW CL30 Prime Window Replacement of Double Pane Base_Electric FAF</v>
      </c>
      <c r="B33" s="55" t="str">
        <f>Segmented!G161</f>
        <v>WINDOW CL30 Prime Window Replacement of Double Pane Base</v>
      </c>
      <c r="C33" s="55">
        <f>Segmented!H161</f>
        <v>1983.0972178345644</v>
      </c>
      <c r="D33" s="55">
        <f>Segmented!I161</f>
        <v>45</v>
      </c>
      <c r="E33" s="55">
        <f>Segmented!J161</f>
        <v>2730.3075374938753</v>
      </c>
      <c r="F33" s="55">
        <f>Segmented!K161</f>
        <v>0</v>
      </c>
      <c r="G33" s="55" t="s">
        <v>1479</v>
      </c>
      <c r="H33" s="55">
        <f>Segmented!M161</f>
        <v>0</v>
      </c>
      <c r="I33" s="55">
        <f>Segmented!N161</f>
        <v>0</v>
      </c>
      <c r="J33" s="55">
        <f>Segmented!O161</f>
        <v>0</v>
      </c>
      <c r="K33" s="55">
        <f>Segmented!P161</f>
        <v>0</v>
      </c>
      <c r="L33" s="55">
        <f>Segmented!Q161</f>
        <v>0</v>
      </c>
      <c r="M33" s="55">
        <f>Segmented!R161</f>
        <v>0</v>
      </c>
      <c r="N33" s="55">
        <f>Segmented!S161</f>
        <v>0</v>
      </c>
      <c r="O33" s="55">
        <f>Segmented!T161</f>
        <v>0</v>
      </c>
      <c r="P33" s="55"/>
      <c r="Q33" t="s">
        <v>332</v>
      </c>
    </row>
    <row r="34" spans="1:17" ht="25.5">
      <c r="A34" s="55" t="str">
        <f>Segmented!F162</f>
        <v>WALL R0 - R11_Heat Pump</v>
      </c>
      <c r="B34" s="55" t="str">
        <f>Segmented!G162</f>
        <v>WALL R0 - R11</v>
      </c>
      <c r="C34" s="55">
        <f>Segmented!H162</f>
        <v>270.93400411494554</v>
      </c>
      <c r="D34" s="55">
        <f>Segmented!I162</f>
        <v>45</v>
      </c>
      <c r="E34" s="55">
        <f>Segmented!J162</f>
        <v>444.29060237385954</v>
      </c>
      <c r="F34" s="55">
        <f>Segmented!K162</f>
        <v>0</v>
      </c>
      <c r="G34" s="55" t="s">
        <v>1479</v>
      </c>
      <c r="H34" s="55">
        <f>Segmented!M162</f>
        <v>0</v>
      </c>
      <c r="I34" s="55">
        <f>Segmented!N162</f>
        <v>0</v>
      </c>
      <c r="J34" s="55">
        <f>Segmented!O162</f>
        <v>0</v>
      </c>
      <c r="K34" s="55">
        <f>Segmented!P162</f>
        <v>0</v>
      </c>
      <c r="L34" s="55">
        <f>Segmented!Q162</f>
        <v>0</v>
      </c>
      <c r="M34" s="55">
        <f>Segmented!R162</f>
        <v>0</v>
      </c>
      <c r="N34" s="55">
        <f>Segmented!S162</f>
        <v>0</v>
      </c>
      <c r="O34" s="55">
        <f>Segmented!T162</f>
        <v>0</v>
      </c>
      <c r="P34" s="55"/>
      <c r="Q34" t="s">
        <v>332</v>
      </c>
    </row>
    <row r="35" spans="1:17" ht="25.5">
      <c r="A35" s="55" t="str">
        <f>Segmented!F163</f>
        <v>FLOOR R0 - R19_Heat Pump</v>
      </c>
      <c r="B35" s="55" t="str">
        <f>Segmented!G163</f>
        <v>FLOOR R0 - R19</v>
      </c>
      <c r="C35" s="55">
        <f>Segmented!H163</f>
        <v>56.755374240869628</v>
      </c>
      <c r="D35" s="55">
        <f>Segmented!I163</f>
        <v>45</v>
      </c>
      <c r="E35" s="55">
        <f>Segmented!J163</f>
        <v>315.42921929554086</v>
      </c>
      <c r="F35" s="55">
        <f>Segmented!K163</f>
        <v>0</v>
      </c>
      <c r="G35" s="55" t="s">
        <v>1479</v>
      </c>
      <c r="H35" s="55">
        <f>Segmented!M163</f>
        <v>0</v>
      </c>
      <c r="I35" s="55">
        <f>Segmented!N163</f>
        <v>0</v>
      </c>
      <c r="J35" s="55">
        <f>Segmented!O163</f>
        <v>0</v>
      </c>
      <c r="K35" s="55">
        <f>Segmented!P163</f>
        <v>0</v>
      </c>
      <c r="L35" s="55">
        <f>Segmented!Q163</f>
        <v>0</v>
      </c>
      <c r="M35" s="55">
        <f>Segmented!R163</f>
        <v>0</v>
      </c>
      <c r="N35" s="55">
        <f>Segmented!S163</f>
        <v>0</v>
      </c>
      <c r="O35" s="55">
        <f>Segmented!T163</f>
        <v>0</v>
      </c>
      <c r="P35" s="55"/>
      <c r="Q35" t="s">
        <v>332</v>
      </c>
    </row>
    <row r="36" spans="1:17" ht="25.5">
      <c r="A36" s="55" t="str">
        <f>Segmented!F164</f>
        <v>FLOOR R0 - R30_Heat Pump</v>
      </c>
      <c r="B36" s="55" t="str">
        <f>Segmented!G164</f>
        <v>FLOOR R0 - R30</v>
      </c>
      <c r="C36" s="55">
        <f>Segmented!H164</f>
        <v>73.360580339801686</v>
      </c>
      <c r="D36" s="55">
        <f>Segmented!I164</f>
        <v>45</v>
      </c>
      <c r="E36" s="55">
        <f>Segmented!J164</f>
        <v>337.57430889025602</v>
      </c>
      <c r="F36" s="55">
        <f>Segmented!K164</f>
        <v>0</v>
      </c>
      <c r="G36" s="55" t="s">
        <v>1479</v>
      </c>
      <c r="H36" s="55">
        <f>Segmented!M164</f>
        <v>0</v>
      </c>
      <c r="I36" s="55">
        <f>Segmented!N164</f>
        <v>0</v>
      </c>
      <c r="J36" s="55">
        <f>Segmented!O164</f>
        <v>0</v>
      </c>
      <c r="K36" s="55">
        <f>Segmented!P164</f>
        <v>0</v>
      </c>
      <c r="L36" s="55">
        <f>Segmented!Q164</f>
        <v>0</v>
      </c>
      <c r="M36" s="55">
        <f>Segmented!R164</f>
        <v>0</v>
      </c>
      <c r="N36" s="55">
        <f>Segmented!S164</f>
        <v>0</v>
      </c>
      <c r="O36" s="55">
        <f>Segmented!T164</f>
        <v>0</v>
      </c>
      <c r="P36" s="55"/>
      <c r="Q36" t="s">
        <v>332</v>
      </c>
    </row>
    <row r="37" spans="1:17" ht="25.5">
      <c r="A37" s="55" t="str">
        <f>Segmented!F165</f>
        <v>ATTIC R0 - R19_Heat Pump</v>
      </c>
      <c r="B37" s="55" t="str">
        <f>Segmented!G165</f>
        <v>ATTIC R0 - R19</v>
      </c>
      <c r="C37" s="55">
        <f>Segmented!H165</f>
        <v>87.0509308436541</v>
      </c>
      <c r="D37" s="55">
        <f>Segmented!I165</f>
        <v>45</v>
      </c>
      <c r="E37" s="55">
        <f>Segmented!J165</f>
        <v>196.91489394951594</v>
      </c>
      <c r="F37" s="55">
        <f>Segmented!K165</f>
        <v>0</v>
      </c>
      <c r="G37" s="55" t="s">
        <v>1479</v>
      </c>
      <c r="H37" s="55">
        <f>Segmented!M165</f>
        <v>0</v>
      </c>
      <c r="I37" s="55">
        <f>Segmented!N165</f>
        <v>0</v>
      </c>
      <c r="J37" s="55">
        <f>Segmented!O165</f>
        <v>0</v>
      </c>
      <c r="K37" s="55">
        <f>Segmented!P165</f>
        <v>0</v>
      </c>
      <c r="L37" s="55">
        <f>Segmented!Q165</f>
        <v>0</v>
      </c>
      <c r="M37" s="55">
        <f>Segmented!R165</f>
        <v>0</v>
      </c>
      <c r="N37" s="55">
        <f>Segmented!S165</f>
        <v>0</v>
      </c>
      <c r="O37" s="55">
        <f>Segmented!T165</f>
        <v>0</v>
      </c>
      <c r="P37" s="55"/>
      <c r="Q37" t="s">
        <v>332</v>
      </c>
    </row>
    <row r="38" spans="1:17" ht="25.5">
      <c r="A38" s="55" t="str">
        <f>Segmented!F166</f>
        <v>ATTIC R0 - R38_Heat Pump</v>
      </c>
      <c r="B38" s="55" t="str">
        <f>Segmented!G166</f>
        <v>ATTIC R0 - R38</v>
      </c>
      <c r="C38" s="55">
        <f>Segmented!H166</f>
        <v>118.86206391348233</v>
      </c>
      <c r="D38" s="55">
        <f>Segmented!I166</f>
        <v>45</v>
      </c>
      <c r="E38" s="55">
        <f>Segmented!J166</f>
        <v>262.65009234084522</v>
      </c>
      <c r="F38" s="55">
        <f>Segmented!K166</f>
        <v>0</v>
      </c>
      <c r="G38" s="55" t="s">
        <v>1479</v>
      </c>
      <c r="H38" s="55">
        <f>Segmented!M166</f>
        <v>0</v>
      </c>
      <c r="I38" s="55">
        <f>Segmented!N166</f>
        <v>0</v>
      </c>
      <c r="J38" s="55">
        <f>Segmented!O166</f>
        <v>0</v>
      </c>
      <c r="K38" s="55">
        <f>Segmented!P166</f>
        <v>0</v>
      </c>
      <c r="L38" s="55">
        <f>Segmented!Q166</f>
        <v>0</v>
      </c>
      <c r="M38" s="55">
        <f>Segmented!R166</f>
        <v>0</v>
      </c>
      <c r="N38" s="55">
        <f>Segmented!S166</f>
        <v>0</v>
      </c>
      <c r="O38" s="55">
        <f>Segmented!T166</f>
        <v>0</v>
      </c>
      <c r="P38" s="55"/>
      <c r="Q38" t="s">
        <v>332</v>
      </c>
    </row>
    <row r="39" spans="1:17" ht="25.5">
      <c r="A39" s="55" t="str">
        <f>Segmented!F167</f>
        <v>ATTIC R0 - R49_Heat Pump</v>
      </c>
      <c r="B39" s="55" t="str">
        <f>Segmented!G167</f>
        <v>ATTIC R0 - R49</v>
      </c>
      <c r="C39" s="55">
        <f>Segmented!H167</f>
        <v>126.24131955404496</v>
      </c>
      <c r="D39" s="55">
        <f>Segmented!I167</f>
        <v>45</v>
      </c>
      <c r="E39" s="55">
        <f>Segmented!J167</f>
        <v>297.93884832438431</v>
      </c>
      <c r="F39" s="55">
        <f>Segmented!K167</f>
        <v>0</v>
      </c>
      <c r="G39" s="55" t="s">
        <v>1479</v>
      </c>
      <c r="H39" s="55">
        <f>Segmented!M167</f>
        <v>0</v>
      </c>
      <c r="I39" s="55">
        <f>Segmented!N167</f>
        <v>0</v>
      </c>
      <c r="J39" s="55">
        <f>Segmented!O167</f>
        <v>0</v>
      </c>
      <c r="K39" s="55">
        <f>Segmented!P167</f>
        <v>0</v>
      </c>
      <c r="L39" s="55">
        <f>Segmented!Q167</f>
        <v>0</v>
      </c>
      <c r="M39" s="55">
        <f>Segmented!R167</f>
        <v>0</v>
      </c>
      <c r="N39" s="55">
        <f>Segmented!S167</f>
        <v>0</v>
      </c>
      <c r="O39" s="55">
        <f>Segmented!T167</f>
        <v>0</v>
      </c>
      <c r="P39" s="55"/>
      <c r="Q39" t="s">
        <v>332</v>
      </c>
    </row>
    <row r="40" spans="1:17" ht="25.5">
      <c r="A40" s="55" t="str">
        <f>Segmented!F168</f>
        <v>ATTIC R19 - R30_Heat Pump</v>
      </c>
      <c r="B40" s="55" t="str">
        <f>Segmented!G168</f>
        <v>ATTIC R19 - R30</v>
      </c>
      <c r="C40" s="55">
        <f>Segmented!H168</f>
        <v>23.08242747071132</v>
      </c>
      <c r="D40" s="55">
        <f>Segmented!I168</f>
        <v>45</v>
      </c>
      <c r="E40" s="55">
        <f>Segmented!J168</f>
        <v>169.97517278288436</v>
      </c>
      <c r="F40" s="55">
        <f>Segmented!K168</f>
        <v>0</v>
      </c>
      <c r="G40" s="55" t="s">
        <v>1479</v>
      </c>
      <c r="H40" s="55">
        <f>Segmented!M168</f>
        <v>0</v>
      </c>
      <c r="I40" s="55">
        <f>Segmented!N168</f>
        <v>0</v>
      </c>
      <c r="J40" s="55">
        <f>Segmented!O168</f>
        <v>0</v>
      </c>
      <c r="K40" s="55">
        <f>Segmented!P168</f>
        <v>0</v>
      </c>
      <c r="L40" s="55">
        <f>Segmented!Q168</f>
        <v>0</v>
      </c>
      <c r="M40" s="55">
        <f>Segmented!R168</f>
        <v>0</v>
      </c>
      <c r="N40" s="55">
        <f>Segmented!S168</f>
        <v>0</v>
      </c>
      <c r="O40" s="55">
        <f>Segmented!T168</f>
        <v>0</v>
      </c>
      <c r="P40" s="55"/>
      <c r="Q40" t="s">
        <v>332</v>
      </c>
    </row>
    <row r="41" spans="1:17" ht="25.5">
      <c r="A41" s="55" t="str">
        <f>Segmented!F169</f>
        <v>ATTIC R19 - R38_Heat Pump</v>
      </c>
      <c r="B41" s="55" t="str">
        <f>Segmented!G169</f>
        <v>ATTIC R19 - R38</v>
      </c>
      <c r="C41" s="55">
        <f>Segmented!H169</f>
        <v>31.811133069828223</v>
      </c>
      <c r="D41" s="55">
        <f>Segmented!I169</f>
        <v>45</v>
      </c>
      <c r="E41" s="55">
        <f>Segmented!J169</f>
        <v>198.23826361528401</v>
      </c>
      <c r="F41" s="55">
        <f>Segmented!K169</f>
        <v>0</v>
      </c>
      <c r="G41" s="55" t="s">
        <v>1479</v>
      </c>
      <c r="H41" s="55">
        <f>Segmented!M169</f>
        <v>0</v>
      </c>
      <c r="I41" s="55">
        <f>Segmented!N169</f>
        <v>0</v>
      </c>
      <c r="J41" s="55">
        <f>Segmented!O169</f>
        <v>0</v>
      </c>
      <c r="K41" s="55">
        <f>Segmented!P169</f>
        <v>0</v>
      </c>
      <c r="L41" s="55">
        <f>Segmented!Q169</f>
        <v>0</v>
      </c>
      <c r="M41" s="55">
        <f>Segmented!R169</f>
        <v>0</v>
      </c>
      <c r="N41" s="55">
        <f>Segmented!S169</f>
        <v>0</v>
      </c>
      <c r="O41" s="55">
        <f>Segmented!T169</f>
        <v>0</v>
      </c>
      <c r="P41" s="55"/>
      <c r="Q41" t="s">
        <v>332</v>
      </c>
    </row>
    <row r="42" spans="1:17" ht="25.5">
      <c r="A42" s="55" t="str">
        <f>Segmented!F170</f>
        <v>ATTIC R19 - R49_Heat Pump</v>
      </c>
      <c r="B42" s="55" t="str">
        <f>Segmented!G170</f>
        <v>ATTIC R19 - R49</v>
      </c>
      <c r="C42" s="55">
        <f>Segmented!H170</f>
        <v>39.190388710390856</v>
      </c>
      <c r="D42" s="55">
        <f>Segmented!I170</f>
        <v>45</v>
      </c>
      <c r="E42" s="55">
        <f>Segmented!J170</f>
        <v>235.52932235113522</v>
      </c>
      <c r="F42" s="55">
        <f>Segmented!K170</f>
        <v>0</v>
      </c>
      <c r="G42" s="55" t="s">
        <v>1479</v>
      </c>
      <c r="H42" s="55">
        <f>Segmented!M170</f>
        <v>0</v>
      </c>
      <c r="I42" s="55">
        <f>Segmented!N170</f>
        <v>0</v>
      </c>
      <c r="J42" s="55">
        <f>Segmented!O170</f>
        <v>0</v>
      </c>
      <c r="K42" s="55">
        <f>Segmented!P170</f>
        <v>0</v>
      </c>
      <c r="L42" s="55">
        <f>Segmented!Q170</f>
        <v>0</v>
      </c>
      <c r="M42" s="55">
        <f>Segmented!R170</f>
        <v>0</v>
      </c>
      <c r="N42" s="55">
        <f>Segmented!S170</f>
        <v>0</v>
      </c>
      <c r="O42" s="55">
        <f>Segmented!T170</f>
        <v>0</v>
      </c>
      <c r="P42" s="55"/>
      <c r="Q42" t="s">
        <v>332</v>
      </c>
    </row>
    <row r="43" spans="1:17" ht="25.5">
      <c r="A43" s="55" t="str">
        <f>Segmented!F171</f>
        <v>WINDOW CL22 Prime Window Replacement of Single Pane Base_Heat Pump</v>
      </c>
      <c r="B43" s="55" t="str">
        <f>Segmented!G171</f>
        <v>WINDOW CL22 Prime Window Replacement of Single Pane Base</v>
      </c>
      <c r="C43" s="55">
        <f>Segmented!H171</f>
        <v>2125.5702799692135</v>
      </c>
      <c r="D43" s="55">
        <f>Segmented!I171</f>
        <v>45</v>
      </c>
      <c r="E43" s="55">
        <f>Segmented!J171</f>
        <v>3567.2363679851778</v>
      </c>
      <c r="F43" s="55">
        <f>Segmented!K171</f>
        <v>0</v>
      </c>
      <c r="G43" s="55" t="s">
        <v>1479</v>
      </c>
      <c r="H43" s="55">
        <f>Segmented!M171</f>
        <v>0</v>
      </c>
      <c r="I43" s="55">
        <f>Segmented!N171</f>
        <v>0</v>
      </c>
      <c r="J43" s="55">
        <f>Segmented!O171</f>
        <v>0</v>
      </c>
      <c r="K43" s="55">
        <f>Segmented!P171</f>
        <v>0</v>
      </c>
      <c r="L43" s="55">
        <f>Segmented!Q171</f>
        <v>0</v>
      </c>
      <c r="M43" s="55">
        <f>Segmented!R171</f>
        <v>0</v>
      </c>
      <c r="N43" s="55">
        <f>Segmented!S171</f>
        <v>0</v>
      </c>
      <c r="O43" s="55">
        <f>Segmented!T171</f>
        <v>0</v>
      </c>
      <c r="P43" s="55"/>
      <c r="Q43" t="s">
        <v>332</v>
      </c>
    </row>
    <row r="44" spans="1:17" ht="25.5">
      <c r="A44" s="55" t="str">
        <f>Segmented!F172</f>
        <v>WINDOW CL22 Prime Window Replacement of Double Pane Base_Heat Pump</v>
      </c>
      <c r="B44" s="55" t="str">
        <f>Segmented!G172</f>
        <v>WINDOW CL22 Prime Window Replacement of Double Pane Base</v>
      </c>
      <c r="C44" s="55">
        <f>Segmented!H172</f>
        <v>1365.8084233833233</v>
      </c>
      <c r="D44" s="55">
        <f>Segmented!I172</f>
        <v>45</v>
      </c>
      <c r="E44" s="55">
        <f>Segmented!J172</f>
        <v>3567.2363679851778</v>
      </c>
      <c r="F44" s="55">
        <f>Segmented!K172</f>
        <v>0</v>
      </c>
      <c r="G44" s="55" t="s">
        <v>1479</v>
      </c>
      <c r="H44" s="55">
        <f>Segmented!M172</f>
        <v>0</v>
      </c>
      <c r="I44" s="55">
        <f>Segmented!N172</f>
        <v>0</v>
      </c>
      <c r="J44" s="55">
        <f>Segmented!O172</f>
        <v>0</v>
      </c>
      <c r="K44" s="55">
        <f>Segmented!P172</f>
        <v>0</v>
      </c>
      <c r="L44" s="55">
        <f>Segmented!Q172</f>
        <v>0</v>
      </c>
      <c r="M44" s="55">
        <f>Segmented!R172</f>
        <v>0</v>
      </c>
      <c r="N44" s="55">
        <f>Segmented!S172</f>
        <v>0</v>
      </c>
      <c r="O44" s="55">
        <f>Segmented!T172</f>
        <v>0</v>
      </c>
      <c r="P44" s="55"/>
      <c r="Q44" t="s">
        <v>332</v>
      </c>
    </row>
    <row r="45" spans="1:17" ht="25.5">
      <c r="A45" s="55" t="str">
        <f>Segmented!F173</f>
        <v>WINDOW CL30 Prime Window Replacement of Single Pane Base_Heat Pump</v>
      </c>
      <c r="B45" s="55" t="str">
        <f>Segmented!G173</f>
        <v>WINDOW CL30 Prime Window Replacement of Single Pane Base</v>
      </c>
      <c r="C45" s="55">
        <f>Segmented!H173</f>
        <v>1971.0088610812727</v>
      </c>
      <c r="D45" s="55">
        <f>Segmented!I173</f>
        <v>45</v>
      </c>
      <c r="E45" s="55">
        <f>Segmented!J173</f>
        <v>2730.3075374938753</v>
      </c>
      <c r="F45" s="55">
        <f>Segmented!K173</f>
        <v>0</v>
      </c>
      <c r="G45" s="55" t="s">
        <v>1479</v>
      </c>
      <c r="H45" s="55">
        <f>Segmented!M173</f>
        <v>0</v>
      </c>
      <c r="I45" s="55">
        <f>Segmented!N173</f>
        <v>0</v>
      </c>
      <c r="J45" s="55">
        <f>Segmented!O173</f>
        <v>0</v>
      </c>
      <c r="K45" s="55">
        <f>Segmented!P173</f>
        <v>0</v>
      </c>
      <c r="L45" s="55">
        <f>Segmented!Q173</f>
        <v>0</v>
      </c>
      <c r="M45" s="55">
        <f>Segmented!R173</f>
        <v>0</v>
      </c>
      <c r="N45" s="55">
        <f>Segmented!S173</f>
        <v>0</v>
      </c>
      <c r="O45" s="55">
        <f>Segmented!T173</f>
        <v>0</v>
      </c>
      <c r="P45" s="55"/>
      <c r="Q45" t="s">
        <v>332</v>
      </c>
    </row>
    <row r="46" spans="1:17" ht="25.5">
      <c r="A46" s="55" t="str">
        <f>Segmented!F174</f>
        <v>WINDOW CL30 Prime Window Replacement of Double Pane Base_Heat Pump</v>
      </c>
      <c r="B46" s="55" t="str">
        <f>Segmented!G174</f>
        <v>WINDOW CL30 Prime Window Replacement of Double Pane Base</v>
      </c>
      <c r="C46" s="55">
        <f>Segmented!H174</f>
        <v>1211.2470044953825</v>
      </c>
      <c r="D46" s="55">
        <f>Segmented!I174</f>
        <v>45</v>
      </c>
      <c r="E46" s="55">
        <f>Segmented!J174</f>
        <v>2730.3075374938753</v>
      </c>
      <c r="F46" s="55">
        <f>Segmented!K174</f>
        <v>0</v>
      </c>
      <c r="G46" s="55" t="s">
        <v>1479</v>
      </c>
      <c r="H46" s="55">
        <f>Segmented!M174</f>
        <v>0</v>
      </c>
      <c r="I46" s="55">
        <f>Segmented!N174</f>
        <v>0</v>
      </c>
      <c r="J46" s="55">
        <f>Segmented!O174</f>
        <v>0</v>
      </c>
      <c r="K46" s="55">
        <f>Segmented!P174</f>
        <v>0</v>
      </c>
      <c r="L46" s="55">
        <f>Segmented!Q174</f>
        <v>0</v>
      </c>
      <c r="M46" s="55">
        <f>Segmented!R174</f>
        <v>0</v>
      </c>
      <c r="N46" s="55">
        <f>Segmented!S174</f>
        <v>0</v>
      </c>
      <c r="O46" s="55">
        <f>Segmented!T174</f>
        <v>0</v>
      </c>
      <c r="P46" s="55"/>
      <c r="Q46" t="s">
        <v>332</v>
      </c>
    </row>
    <row r="49" spans="1:13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row>
    <row r="50" spans="1:131">
      <c r="A50" s="520" t="s">
        <v>1480</v>
      </c>
      <c r="B50" s="521"/>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row>
    <row r="51" spans="1:131">
      <c r="A51" s="27" t="s">
        <v>1481</v>
      </c>
      <c r="B51" s="27" t="s">
        <v>1482</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row>
    <row r="52" spans="1:131">
      <c r="A52" s="27" t="s">
        <v>1483</v>
      </c>
      <c r="B52" s="27" t="s">
        <v>1776</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row>
    <row r="53" spans="1:13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row>
    <row r="54" spans="1:131" ht="13.5" thickBot="1">
      <c r="A54" s="36" t="s">
        <v>1484</v>
      </c>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c r="AF54" s="522"/>
      <c r="AG54" s="522"/>
      <c r="AH54" s="522"/>
      <c r="AI54" s="3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row>
    <row r="55" spans="1:131">
      <c r="A55" s="27"/>
      <c r="B55" s="523" t="s">
        <v>1485</v>
      </c>
      <c r="C55" s="524"/>
      <c r="D55" s="524" t="s">
        <v>1485</v>
      </c>
      <c r="E55" s="525"/>
      <c r="F55" s="27"/>
      <c r="G55" s="523" t="s">
        <v>1486</v>
      </c>
      <c r="H55" s="524"/>
      <c r="I55" s="524"/>
      <c r="J55" s="524"/>
      <c r="K55" s="524"/>
      <c r="L55" s="524"/>
      <c r="M55" s="524"/>
      <c r="N55" s="524"/>
      <c r="O55" s="525"/>
      <c r="P55" s="27"/>
      <c r="Q55" s="523" t="s">
        <v>1487</v>
      </c>
      <c r="R55" s="524"/>
      <c r="S55" s="524"/>
      <c r="T55" s="524"/>
      <c r="U55" s="525"/>
      <c r="V55" s="27"/>
      <c r="W55" s="523" t="s">
        <v>1488</v>
      </c>
      <c r="X55" s="525"/>
      <c r="Y55" s="27"/>
      <c r="Z55" s="523" t="s">
        <v>1489</v>
      </c>
      <c r="AA55" s="524"/>
      <c r="AB55" s="525"/>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row>
    <row r="56" spans="1:131">
      <c r="A56" s="27"/>
      <c r="B56" s="526" t="s">
        <v>1490</v>
      </c>
      <c r="C56" s="189" t="s">
        <v>1308</v>
      </c>
      <c r="D56" s="189" t="s">
        <v>1490</v>
      </c>
      <c r="E56" s="527" t="s">
        <v>1308</v>
      </c>
      <c r="F56" s="27"/>
      <c r="G56" s="526" t="s">
        <v>1491</v>
      </c>
      <c r="H56" s="189" t="s">
        <v>1777</v>
      </c>
      <c r="I56" s="189"/>
      <c r="J56" s="189"/>
      <c r="K56" s="189" t="s">
        <v>1492</v>
      </c>
      <c r="L56" s="189"/>
      <c r="M56" s="189"/>
      <c r="N56" s="189"/>
      <c r="O56" s="527"/>
      <c r="P56" s="27"/>
      <c r="Q56" s="526"/>
      <c r="R56" s="189" t="s">
        <v>1493</v>
      </c>
      <c r="S56" s="189" t="s">
        <v>1494</v>
      </c>
      <c r="T56" s="189" t="s">
        <v>1495</v>
      </c>
      <c r="U56" s="527" t="s">
        <v>1496</v>
      </c>
      <c r="V56" s="27"/>
      <c r="W56" s="526" t="s">
        <v>1497</v>
      </c>
      <c r="X56" s="527">
        <v>20</v>
      </c>
      <c r="Y56" s="27"/>
      <c r="Z56" s="526"/>
      <c r="AA56" s="189" t="s">
        <v>1308</v>
      </c>
      <c r="AB56" s="527" t="s">
        <v>1498</v>
      </c>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row>
    <row r="57" spans="1:131">
      <c r="A57" s="27"/>
      <c r="B57" s="526" t="s">
        <v>1499</v>
      </c>
      <c r="C57" s="189" t="s">
        <v>1500</v>
      </c>
      <c r="D57" s="189" t="s">
        <v>1499</v>
      </c>
      <c r="E57" s="527" t="s">
        <v>1500</v>
      </c>
      <c r="F57" s="27"/>
      <c r="G57" s="526" t="s">
        <v>1501</v>
      </c>
      <c r="H57" s="189" t="s">
        <v>1502</v>
      </c>
      <c r="I57" s="189"/>
      <c r="J57" s="189"/>
      <c r="K57" s="189" t="s">
        <v>1503</v>
      </c>
      <c r="L57" s="189"/>
      <c r="M57" s="189"/>
      <c r="N57" s="189"/>
      <c r="O57" s="527"/>
      <c r="P57" s="27"/>
      <c r="Q57" s="526" t="s">
        <v>1504</v>
      </c>
      <c r="R57" s="189">
        <v>4.3096045197740109E-2</v>
      </c>
      <c r="S57" s="189">
        <v>4.387844424080023E-2</v>
      </c>
      <c r="T57" s="189">
        <v>5.3289007766645871E-2</v>
      </c>
      <c r="U57" s="527">
        <v>5.447903102274565E-2</v>
      </c>
      <c r="V57" s="27"/>
      <c r="W57" s="526" t="s">
        <v>1505</v>
      </c>
      <c r="X57" s="527">
        <v>2016</v>
      </c>
      <c r="Y57" s="27"/>
      <c r="Z57" s="526" t="s">
        <v>1506</v>
      </c>
      <c r="AA57" s="189">
        <v>4.03890184699085E-3</v>
      </c>
      <c r="AB57" s="527">
        <v>0.01</v>
      </c>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row>
    <row r="58" spans="1:131">
      <c r="A58" s="27"/>
      <c r="B58" s="526" t="s">
        <v>1507</v>
      </c>
      <c r="C58" s="189" t="s">
        <v>1508</v>
      </c>
      <c r="D58" s="189" t="s">
        <v>1507</v>
      </c>
      <c r="E58" s="527" t="s">
        <v>1508</v>
      </c>
      <c r="F58" s="27"/>
      <c r="G58" s="526" t="s">
        <v>1509</v>
      </c>
      <c r="H58" s="189" t="s">
        <v>1510</v>
      </c>
      <c r="I58" s="189"/>
      <c r="J58" s="189"/>
      <c r="K58" s="189" t="s">
        <v>1511</v>
      </c>
      <c r="L58" s="189"/>
      <c r="M58" s="189"/>
      <c r="N58" s="189"/>
      <c r="O58" s="527"/>
      <c r="P58" s="27"/>
      <c r="Q58" s="526" t="s">
        <v>1512</v>
      </c>
      <c r="R58" s="189">
        <v>12</v>
      </c>
      <c r="S58" s="189">
        <v>12</v>
      </c>
      <c r="T58" s="189">
        <v>1</v>
      </c>
      <c r="U58" s="527">
        <v>1</v>
      </c>
      <c r="V58" s="27"/>
      <c r="W58" s="526" t="s">
        <v>1513</v>
      </c>
      <c r="X58" s="527">
        <v>2016</v>
      </c>
      <c r="Y58" s="27"/>
      <c r="Z58" s="526" t="s">
        <v>1514</v>
      </c>
      <c r="AA58" s="189">
        <v>26</v>
      </c>
      <c r="AB58" s="527">
        <v>0</v>
      </c>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row>
    <row r="59" spans="1:131" ht="13.5" thickBot="1">
      <c r="A59" s="27"/>
      <c r="B59" s="528" t="s">
        <v>1515</v>
      </c>
      <c r="C59" s="529" t="s">
        <v>1508</v>
      </c>
      <c r="D59" s="529" t="s">
        <v>1515</v>
      </c>
      <c r="E59" s="530" t="s">
        <v>1508</v>
      </c>
      <c r="F59" s="27"/>
      <c r="G59" s="526" t="s">
        <v>1516</v>
      </c>
      <c r="H59" s="189" t="s">
        <v>1517</v>
      </c>
      <c r="I59" s="189"/>
      <c r="J59" s="189"/>
      <c r="K59" s="189" t="s">
        <v>1503</v>
      </c>
      <c r="L59" s="189"/>
      <c r="M59" s="189"/>
      <c r="N59" s="189"/>
      <c r="O59" s="527"/>
      <c r="P59" s="27"/>
      <c r="Q59" s="526"/>
      <c r="R59" s="189" t="s">
        <v>1493</v>
      </c>
      <c r="S59" s="189" t="s">
        <v>1494</v>
      </c>
      <c r="T59" s="189" t="s">
        <v>1495</v>
      </c>
      <c r="U59" s="527" t="s">
        <v>1496</v>
      </c>
      <c r="V59" s="27"/>
      <c r="W59" s="526" t="s">
        <v>1518</v>
      </c>
      <c r="X59" s="527">
        <v>2012</v>
      </c>
      <c r="Y59" s="27"/>
      <c r="Z59" s="526" t="s">
        <v>1519</v>
      </c>
      <c r="AA59" s="189">
        <v>0.9</v>
      </c>
      <c r="AB59" s="527" t="s">
        <v>1520</v>
      </c>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row>
    <row r="60" spans="1:131">
      <c r="A60" s="27"/>
      <c r="B60" s="27"/>
      <c r="C60" s="27"/>
      <c r="D60" s="27"/>
      <c r="E60" s="27"/>
      <c r="F60" s="27"/>
      <c r="G60" s="526" t="s">
        <v>1521</v>
      </c>
      <c r="H60" s="189" t="s">
        <v>1510</v>
      </c>
      <c r="I60" s="189"/>
      <c r="J60" s="189"/>
      <c r="K60" s="189"/>
      <c r="L60" s="189"/>
      <c r="M60" s="189"/>
      <c r="N60" s="189"/>
      <c r="O60" s="527"/>
      <c r="P60" s="27"/>
      <c r="Q60" s="526" t="s">
        <v>1522</v>
      </c>
      <c r="R60" s="189">
        <v>0.35</v>
      </c>
      <c r="S60" s="189">
        <v>0.19500000000000001</v>
      </c>
      <c r="T60" s="189">
        <v>0.45499999999999996</v>
      </c>
      <c r="U60" s="527">
        <v>0</v>
      </c>
      <c r="V60" s="27"/>
      <c r="W60" s="526" t="s">
        <v>1523</v>
      </c>
      <c r="X60" s="527">
        <v>0.04</v>
      </c>
      <c r="Y60" s="27"/>
      <c r="Z60" s="526" t="s">
        <v>1524</v>
      </c>
      <c r="AA60" s="189">
        <v>4.7399348199455904E-2</v>
      </c>
      <c r="AB60" s="527">
        <v>0</v>
      </c>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row>
    <row r="61" spans="1:131">
      <c r="A61" s="27"/>
      <c r="B61" s="27" t="s">
        <v>1525</v>
      </c>
      <c r="C61" s="27" t="s">
        <v>1308</v>
      </c>
      <c r="D61" s="27"/>
      <c r="E61" s="27"/>
      <c r="F61" s="27"/>
      <c r="G61" s="526" t="s">
        <v>1526</v>
      </c>
      <c r="H61" s="189" t="s">
        <v>1527</v>
      </c>
      <c r="I61" s="189"/>
      <c r="J61" s="189"/>
      <c r="K61" s="189" t="s">
        <v>1528</v>
      </c>
      <c r="L61" s="189"/>
      <c r="M61" s="189"/>
      <c r="N61" s="189"/>
      <c r="O61" s="527"/>
      <c r="P61" s="27"/>
      <c r="Q61" s="526" t="s">
        <v>1529</v>
      </c>
      <c r="R61" s="189">
        <v>1</v>
      </c>
      <c r="S61" s="189">
        <v>0</v>
      </c>
      <c r="T61" s="189">
        <v>0</v>
      </c>
      <c r="U61" s="527">
        <v>0</v>
      </c>
      <c r="V61" s="27"/>
      <c r="W61" s="526" t="s">
        <v>1530</v>
      </c>
      <c r="X61" s="527">
        <v>0</v>
      </c>
      <c r="Y61" s="27"/>
      <c r="Z61" s="526" t="s">
        <v>1531</v>
      </c>
      <c r="AA61" s="189">
        <v>31</v>
      </c>
      <c r="AB61" s="527">
        <v>0</v>
      </c>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row>
    <row r="62" spans="1:131">
      <c r="A62" s="27"/>
      <c r="B62" s="27" t="s">
        <v>1532</v>
      </c>
      <c r="C62" s="27" t="s">
        <v>1533</v>
      </c>
      <c r="D62" s="27"/>
      <c r="E62" s="27"/>
      <c r="F62" s="27"/>
      <c r="G62" s="526" t="s">
        <v>1534</v>
      </c>
      <c r="H62" s="189" t="s">
        <v>1528</v>
      </c>
      <c r="I62" s="189"/>
      <c r="J62" s="189"/>
      <c r="K62" s="189" t="s">
        <v>1535</v>
      </c>
      <c r="L62" s="189"/>
      <c r="M62" s="189"/>
      <c r="N62" s="189"/>
      <c r="O62" s="527"/>
      <c r="P62" s="27"/>
      <c r="Q62" s="526" t="s">
        <v>1536</v>
      </c>
      <c r="R62" s="189">
        <v>1</v>
      </c>
      <c r="S62" s="189">
        <v>0</v>
      </c>
      <c r="T62" s="189">
        <v>0</v>
      </c>
      <c r="U62" s="527">
        <v>0</v>
      </c>
      <c r="V62" s="27"/>
      <c r="W62" s="526" t="s">
        <v>1537</v>
      </c>
      <c r="X62" s="527">
        <v>0.2</v>
      </c>
      <c r="Y62" s="27"/>
      <c r="Z62" s="526" t="s">
        <v>1538</v>
      </c>
      <c r="AA62" s="189">
        <v>0.7</v>
      </c>
      <c r="AB62" s="527" t="s">
        <v>1520</v>
      </c>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row>
    <row r="63" spans="1:131">
      <c r="A63" s="27"/>
      <c r="B63" s="27" t="s">
        <v>1539</v>
      </c>
      <c r="C63" s="27" t="s">
        <v>1540</v>
      </c>
      <c r="D63" s="27"/>
      <c r="E63" s="27"/>
      <c r="F63" s="27"/>
      <c r="G63" s="526" t="s">
        <v>1541</v>
      </c>
      <c r="H63" s="189" t="s">
        <v>1535</v>
      </c>
      <c r="I63" s="189"/>
      <c r="J63" s="189"/>
      <c r="K63" s="189" t="s">
        <v>1542</v>
      </c>
      <c r="L63" s="189"/>
      <c r="M63" s="189"/>
      <c r="N63" s="189"/>
      <c r="O63" s="527"/>
      <c r="P63" s="27"/>
      <c r="Q63" s="526" t="s">
        <v>1543</v>
      </c>
      <c r="R63" s="189"/>
      <c r="S63" s="189">
        <v>0.3</v>
      </c>
      <c r="T63" s="189">
        <v>0.7</v>
      </c>
      <c r="U63" s="527">
        <v>0</v>
      </c>
      <c r="V63" s="27"/>
      <c r="W63" s="526" t="s">
        <v>1544</v>
      </c>
      <c r="X63" s="527">
        <v>0</v>
      </c>
      <c r="Y63" s="27"/>
      <c r="Z63" s="526" t="s">
        <v>1545</v>
      </c>
      <c r="AA63" s="189">
        <v>0</v>
      </c>
      <c r="AB63" s="527">
        <v>0</v>
      </c>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row>
    <row r="64" spans="1:131" ht="13.5" thickBot="1">
      <c r="A64" s="27"/>
      <c r="B64" s="27" t="s">
        <v>1546</v>
      </c>
      <c r="C64" s="27" t="s">
        <v>1547</v>
      </c>
      <c r="D64" s="27"/>
      <c r="E64" s="27"/>
      <c r="F64" s="27"/>
      <c r="G64" s="528" t="s">
        <v>1548</v>
      </c>
      <c r="H64" s="529" t="s">
        <v>1542</v>
      </c>
      <c r="I64" s="529"/>
      <c r="J64" s="529"/>
      <c r="K64" s="529"/>
      <c r="L64" s="529"/>
      <c r="M64" s="529"/>
      <c r="N64" s="529"/>
      <c r="O64" s="530"/>
      <c r="P64" s="27"/>
      <c r="Q64" s="528" t="s">
        <v>1549</v>
      </c>
      <c r="R64" s="529"/>
      <c r="S64" s="529">
        <v>20</v>
      </c>
      <c r="T64" s="529"/>
      <c r="U64" s="530"/>
      <c r="V64" s="27"/>
      <c r="W64" s="528" t="s">
        <v>1550</v>
      </c>
      <c r="X64" s="530">
        <v>2018</v>
      </c>
      <c r="Y64" s="27"/>
      <c r="Z64" s="528" t="s">
        <v>1551</v>
      </c>
      <c r="AA64" s="529">
        <v>0</v>
      </c>
      <c r="AB64" s="530">
        <v>0</v>
      </c>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row>
    <row r="65" spans="1:13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row>
    <row r="66" spans="1:13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row>
    <row r="67" spans="1:13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row>
    <row r="68" spans="1:13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row>
    <row r="69" spans="1:13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row>
    <row r="72" spans="1:131" ht="13.5" thickBot="1">
      <c r="A72" s="36" t="s">
        <v>1552</v>
      </c>
      <c r="B72" s="37"/>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row>
    <row r="73" spans="1:131" ht="26.25" thickBot="1">
      <c r="A73" s="531" t="s">
        <v>1553</v>
      </c>
      <c r="B73" s="532"/>
      <c r="C73" s="533" t="s">
        <v>1554</v>
      </c>
      <c r="D73" s="534"/>
      <c r="E73" s="534"/>
      <c r="F73" s="534"/>
      <c r="G73" s="534"/>
      <c r="H73" s="534"/>
      <c r="I73" s="534"/>
      <c r="J73" s="534"/>
      <c r="K73" s="535"/>
      <c r="L73" s="533" t="s">
        <v>1555</v>
      </c>
      <c r="M73" s="534"/>
      <c r="N73" s="534"/>
      <c r="O73" s="534"/>
      <c r="P73" s="534"/>
      <c r="Q73" s="535"/>
      <c r="R73" s="533" t="s">
        <v>1556</v>
      </c>
      <c r="S73" s="534"/>
      <c r="T73" s="534"/>
      <c r="U73" s="535"/>
      <c r="V73" s="533" t="s">
        <v>1557</v>
      </c>
      <c r="W73" s="534"/>
      <c r="X73" s="534"/>
      <c r="Y73" s="535"/>
      <c r="Z73" s="533" t="s">
        <v>1558</v>
      </c>
      <c r="AA73" s="534"/>
      <c r="AB73" s="534"/>
      <c r="AC73" s="535"/>
      <c r="AD73" s="533" t="s">
        <v>1559</v>
      </c>
      <c r="AE73" s="534"/>
      <c r="AF73" s="534"/>
      <c r="AG73" s="535"/>
      <c r="AH73" s="533" t="s">
        <v>1560</v>
      </c>
      <c r="AI73" s="534"/>
      <c r="AJ73" s="534"/>
      <c r="AK73" s="534"/>
      <c r="AL73" s="535"/>
      <c r="AM73" s="533" t="s">
        <v>1561</v>
      </c>
      <c r="AN73" s="534"/>
      <c r="AO73" s="534"/>
      <c r="AP73" s="534"/>
      <c r="AQ73" s="534"/>
      <c r="AR73" s="534"/>
      <c r="AS73" s="535"/>
      <c r="AT73" s="533" t="s">
        <v>1562</v>
      </c>
      <c r="AU73" s="534"/>
      <c r="AV73" s="534"/>
      <c r="AW73" s="534"/>
      <c r="AX73" s="534"/>
      <c r="AY73" s="534"/>
      <c r="AZ73" s="535"/>
      <c r="BA73" s="533" t="s">
        <v>1563</v>
      </c>
      <c r="BB73" s="534"/>
      <c r="BC73" s="534"/>
      <c r="BD73" s="534"/>
      <c r="BE73" s="534"/>
      <c r="BF73" s="535"/>
      <c r="BG73" s="533" t="s">
        <v>1564</v>
      </c>
      <c r="BH73" s="535"/>
      <c r="BI73" s="533" t="s">
        <v>1565</v>
      </c>
      <c r="BJ73" s="534"/>
      <c r="BK73" s="534"/>
      <c r="BL73" s="534"/>
      <c r="BM73" s="535"/>
      <c r="BN73" s="533" t="s">
        <v>1566</v>
      </c>
      <c r="BO73" s="534"/>
      <c r="BP73" s="534"/>
      <c r="BQ73" s="534"/>
      <c r="BR73" s="534"/>
      <c r="BS73" s="534"/>
      <c r="BT73" s="534"/>
      <c r="BU73" s="534"/>
      <c r="BV73" s="534"/>
      <c r="BW73" s="534"/>
      <c r="BX73" s="534"/>
      <c r="BY73" s="534"/>
      <c r="BZ73" s="534"/>
      <c r="CA73" s="534"/>
      <c r="CB73" s="534"/>
      <c r="CC73" s="535"/>
      <c r="CD73" s="533" t="s">
        <v>1567</v>
      </c>
      <c r="CE73" s="535"/>
      <c r="CF73" s="533" t="s">
        <v>1568</v>
      </c>
      <c r="CG73" s="534"/>
      <c r="CH73" s="534"/>
      <c r="CI73" s="534"/>
      <c r="CJ73" s="534"/>
      <c r="CK73" s="535"/>
      <c r="CL73" s="536"/>
      <c r="CM73" s="533" t="s">
        <v>4</v>
      </c>
      <c r="CN73" s="534"/>
      <c r="CO73" s="534"/>
      <c r="CP73" s="535"/>
      <c r="CQ73" s="533" t="s">
        <v>1569</v>
      </c>
      <c r="CR73" s="534"/>
      <c r="CS73" s="534"/>
      <c r="CT73" s="534"/>
      <c r="CU73" s="535"/>
      <c r="CV73" s="533" t="s">
        <v>1570</v>
      </c>
      <c r="CW73" s="535"/>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row>
    <row r="74" spans="1:131" ht="204">
      <c r="A74" s="45" t="s">
        <v>31</v>
      </c>
      <c r="B74" s="46" t="s">
        <v>32</v>
      </c>
      <c r="C74" s="47" t="s">
        <v>302</v>
      </c>
      <c r="D74" s="47" t="s">
        <v>1571</v>
      </c>
      <c r="E74" s="47" t="s">
        <v>1572</v>
      </c>
      <c r="F74" s="47" t="s">
        <v>1573</v>
      </c>
      <c r="G74" s="47" t="s">
        <v>1574</v>
      </c>
      <c r="H74" s="47" t="s">
        <v>1575</v>
      </c>
      <c r="I74" s="47" t="s">
        <v>1576</v>
      </c>
      <c r="J74" s="47" t="s">
        <v>1577</v>
      </c>
      <c r="K74" s="47" t="s">
        <v>1578</v>
      </c>
      <c r="L74" s="47" t="s">
        <v>1579</v>
      </c>
      <c r="M74" s="47" t="s">
        <v>1580</v>
      </c>
      <c r="N74" s="47" t="s">
        <v>1581</v>
      </c>
      <c r="O74" s="47" t="s">
        <v>1582</v>
      </c>
      <c r="P74" s="47" t="s">
        <v>1583</v>
      </c>
      <c r="Q74" s="47" t="s">
        <v>1584</v>
      </c>
      <c r="R74" s="47" t="s">
        <v>1585</v>
      </c>
      <c r="S74" s="47" t="s">
        <v>1586</v>
      </c>
      <c r="T74" s="47" t="s">
        <v>1342</v>
      </c>
      <c r="U74" s="47" t="s">
        <v>1493</v>
      </c>
      <c r="V74" s="47" t="s">
        <v>1585</v>
      </c>
      <c r="W74" s="47" t="s">
        <v>1586</v>
      </c>
      <c r="X74" s="47" t="s">
        <v>1342</v>
      </c>
      <c r="Y74" s="47" t="s">
        <v>1493</v>
      </c>
      <c r="Z74" s="47" t="s">
        <v>1585</v>
      </c>
      <c r="AA74" s="47" t="s">
        <v>1586</v>
      </c>
      <c r="AB74" s="47" t="s">
        <v>1342</v>
      </c>
      <c r="AC74" s="47" t="s">
        <v>1493</v>
      </c>
      <c r="AD74" s="47" t="s">
        <v>1585</v>
      </c>
      <c r="AE74" s="47" t="s">
        <v>1586</v>
      </c>
      <c r="AF74" s="47" t="s">
        <v>1342</v>
      </c>
      <c r="AG74" s="47" t="s">
        <v>1493</v>
      </c>
      <c r="AH74" s="47" t="s">
        <v>1585</v>
      </c>
      <c r="AI74" s="47" t="s">
        <v>1586</v>
      </c>
      <c r="AJ74" s="47" t="s">
        <v>1342</v>
      </c>
      <c r="AK74" s="47" t="s">
        <v>1493</v>
      </c>
      <c r="AL74" s="47" t="s">
        <v>1587</v>
      </c>
      <c r="AM74" s="47" t="s">
        <v>1588</v>
      </c>
      <c r="AN74" s="47" t="s">
        <v>1589</v>
      </c>
      <c r="AO74" s="47" t="s">
        <v>1590</v>
      </c>
      <c r="AP74" s="47" t="s">
        <v>1591</v>
      </c>
      <c r="AQ74" s="47" t="s">
        <v>1592</v>
      </c>
      <c r="AR74" s="47" t="s">
        <v>1593</v>
      </c>
      <c r="AS74" s="47" t="s">
        <v>1594</v>
      </c>
      <c r="AT74" s="47" t="s">
        <v>1595</v>
      </c>
      <c r="AU74" s="47" t="s">
        <v>1596</v>
      </c>
      <c r="AV74" s="47" t="s">
        <v>1597</v>
      </c>
      <c r="AW74" s="47" t="s">
        <v>1598</v>
      </c>
      <c r="AX74" s="47" t="s">
        <v>1599</v>
      </c>
      <c r="AY74" s="47" t="s">
        <v>1600</v>
      </c>
      <c r="AZ74" s="47" t="s">
        <v>1601</v>
      </c>
      <c r="BA74" s="47" t="s">
        <v>1602</v>
      </c>
      <c r="BB74" s="47" t="s">
        <v>1603</v>
      </c>
      <c r="BC74" s="47" t="s">
        <v>1604</v>
      </c>
      <c r="BD74" s="47" t="s">
        <v>1605</v>
      </c>
      <c r="BE74" s="47" t="s">
        <v>1606</v>
      </c>
      <c r="BF74" s="47" t="s">
        <v>1607</v>
      </c>
      <c r="BG74" s="47" t="s">
        <v>1608</v>
      </c>
      <c r="BH74" s="47" t="s">
        <v>1609</v>
      </c>
      <c r="BI74" s="47" t="s">
        <v>1610</v>
      </c>
      <c r="BJ74" s="47" t="s">
        <v>1611</v>
      </c>
      <c r="BK74" s="47" t="s">
        <v>1612</v>
      </c>
      <c r="BL74" s="47" t="s">
        <v>1613</v>
      </c>
      <c r="BM74" s="47" t="s">
        <v>1614</v>
      </c>
      <c r="BN74" s="47" t="s">
        <v>1615</v>
      </c>
      <c r="BO74" s="47" t="s">
        <v>1616</v>
      </c>
      <c r="BP74" s="47" t="s">
        <v>1617</v>
      </c>
      <c r="BQ74" s="47" t="s">
        <v>1618</v>
      </c>
      <c r="BR74" s="47" t="s">
        <v>1619</v>
      </c>
      <c r="BS74" s="47" t="s">
        <v>1620</v>
      </c>
      <c r="BT74" s="47" t="s">
        <v>1621</v>
      </c>
      <c r="BU74" s="47" t="s">
        <v>1622</v>
      </c>
      <c r="BV74" s="47" t="s">
        <v>1623</v>
      </c>
      <c r="BW74" s="47" t="s">
        <v>1624</v>
      </c>
      <c r="BX74" s="47" t="s">
        <v>1625</v>
      </c>
      <c r="BY74" s="47" t="s">
        <v>1626</v>
      </c>
      <c r="BZ74" s="47" t="s">
        <v>1627</v>
      </c>
      <c r="CA74" s="47" t="s">
        <v>1628</v>
      </c>
      <c r="CB74" s="47" t="s">
        <v>1629</v>
      </c>
      <c r="CC74" s="47" t="s">
        <v>1630</v>
      </c>
      <c r="CD74" s="47" t="s">
        <v>42</v>
      </c>
      <c r="CE74" s="47" t="s">
        <v>41</v>
      </c>
      <c r="CF74" s="47" t="s">
        <v>1631</v>
      </c>
      <c r="CG74" s="47" t="s">
        <v>1632</v>
      </c>
      <c r="CH74" s="47" t="s">
        <v>1633</v>
      </c>
      <c r="CI74" s="47" t="s">
        <v>1634</v>
      </c>
      <c r="CJ74" s="47" t="s">
        <v>1635</v>
      </c>
      <c r="CK74" s="47" t="s">
        <v>1636</v>
      </c>
      <c r="CL74" s="47"/>
      <c r="CM74" s="47" t="s">
        <v>1637</v>
      </c>
      <c r="CN74" s="47" t="s">
        <v>1638</v>
      </c>
      <c r="CO74" s="47" t="s">
        <v>1639</v>
      </c>
      <c r="CP74" s="47" t="s">
        <v>1640</v>
      </c>
      <c r="CQ74" s="47" t="s">
        <v>1641</v>
      </c>
      <c r="CR74" s="47" t="s">
        <v>1642</v>
      </c>
      <c r="CS74" s="47" t="s">
        <v>1643</v>
      </c>
      <c r="CT74" s="47" t="s">
        <v>1644</v>
      </c>
      <c r="CU74" s="47" t="s">
        <v>1645</v>
      </c>
      <c r="CV74" s="47" t="s">
        <v>1646</v>
      </c>
      <c r="CW74" s="537" t="s">
        <v>1647</v>
      </c>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row>
    <row r="75" spans="1:131">
      <c r="A75" s="27" t="s">
        <v>232</v>
      </c>
      <c r="B75" s="27" t="s">
        <v>69</v>
      </c>
      <c r="C75" s="38">
        <v>45</v>
      </c>
      <c r="D75" s="38">
        <v>665.44896170039999</v>
      </c>
      <c r="E75" s="38">
        <v>0</v>
      </c>
      <c r="F75" s="38">
        <v>444.2906023738596</v>
      </c>
      <c r="G75" s="38">
        <v>0</v>
      </c>
      <c r="H75" s="38">
        <v>0</v>
      </c>
      <c r="I75" s="38" t="s">
        <v>1479</v>
      </c>
      <c r="J75" s="38"/>
      <c r="K75" s="38"/>
      <c r="L75" s="38">
        <v>717.60736655826236</v>
      </c>
      <c r="M75" s="38">
        <v>0.3752504280546366</v>
      </c>
      <c r="N75" s="38">
        <v>0.37254203874358283</v>
      </c>
      <c r="O75" s="38">
        <v>0</v>
      </c>
      <c r="P75" s="38">
        <v>0</v>
      </c>
      <c r="Q75" s="38">
        <v>0</v>
      </c>
      <c r="R75" s="38">
        <v>58.111311544840746</v>
      </c>
      <c r="S75" s="38">
        <v>134.28640229953521</v>
      </c>
      <c r="T75" s="38">
        <v>0</v>
      </c>
      <c r="U75" s="38">
        <v>103.83457126115015</v>
      </c>
      <c r="V75" s="38" t="s">
        <v>1648</v>
      </c>
      <c r="W75" s="38" t="s">
        <v>1648</v>
      </c>
      <c r="X75" s="38" t="s">
        <v>1648</v>
      </c>
      <c r="Y75" s="38" t="s">
        <v>1648</v>
      </c>
      <c r="Z75" s="38">
        <v>0</v>
      </c>
      <c r="AA75" s="38">
        <v>0</v>
      </c>
      <c r="AB75" s="38">
        <v>0</v>
      </c>
      <c r="AC75" s="38">
        <v>0</v>
      </c>
      <c r="AD75" s="38">
        <v>0</v>
      </c>
      <c r="AE75" s="38">
        <v>0</v>
      </c>
      <c r="AF75" s="38">
        <v>0</v>
      </c>
      <c r="AG75" s="38">
        <v>0</v>
      </c>
      <c r="AH75" s="38">
        <v>58.111311544840746</v>
      </c>
      <c r="AI75" s="38">
        <v>134.28640229953521</v>
      </c>
      <c r="AJ75" s="38">
        <v>0</v>
      </c>
      <c r="AK75" s="38">
        <v>103.83457126115015</v>
      </c>
      <c r="AL75" s="38">
        <v>296.2322851055261</v>
      </c>
      <c r="AM75" s="38">
        <v>377.98316697429163</v>
      </c>
      <c r="AN75" s="38">
        <v>132.59417023713456</v>
      </c>
      <c r="AO75" s="38">
        <v>0</v>
      </c>
      <c r="AP75" s="38">
        <v>0</v>
      </c>
      <c r="AQ75" s="38">
        <v>510.5773372114262</v>
      </c>
      <c r="AR75" s="38">
        <v>58.111311544840746</v>
      </c>
      <c r="AS75" s="49">
        <v>8.7861953832765707</v>
      </c>
      <c r="AT75" s="38">
        <v>377.98316697429163</v>
      </c>
      <c r="AU75" s="38">
        <v>156.95200439609144</v>
      </c>
      <c r="AV75" s="38">
        <v>0</v>
      </c>
      <c r="AW75" s="38">
        <v>0</v>
      </c>
      <c r="AX75" s="38">
        <v>534.93517137038305</v>
      </c>
      <c r="AY75" s="38">
        <v>134.28640229953521</v>
      </c>
      <c r="AZ75" s="49">
        <v>3.9835393771081358</v>
      </c>
      <c r="BA75" s="38">
        <v>377.98316697429163</v>
      </c>
      <c r="BB75" s="38">
        <v>289.54617463322597</v>
      </c>
      <c r="BC75" s="38">
        <v>0</v>
      </c>
      <c r="BD75" s="38">
        <v>0</v>
      </c>
      <c r="BE75" s="38">
        <v>667.52934160751761</v>
      </c>
      <c r="BF75" s="38">
        <v>192.39771384437597</v>
      </c>
      <c r="BG75" s="38">
        <v>-9.9613718026058979</v>
      </c>
      <c r="BH75" s="49">
        <v>3.4695284484900877</v>
      </c>
      <c r="BI75" s="38">
        <v>5.9585954891594284</v>
      </c>
      <c r="BJ75" s="38">
        <v>13.76940787818957</v>
      </c>
      <c r="BK75" s="38">
        <v>0</v>
      </c>
      <c r="BL75" s="38">
        <v>10.646949646938795</v>
      </c>
      <c r="BM75" s="38">
        <v>30.374953014287794</v>
      </c>
      <c r="BN75" s="38">
        <v>377.98316697429163</v>
      </c>
      <c r="BO75" s="38">
        <v>0</v>
      </c>
      <c r="BP75" s="38">
        <v>289.54617463322597</v>
      </c>
      <c r="BQ75" s="38">
        <v>0</v>
      </c>
      <c r="BR75" s="38">
        <v>0</v>
      </c>
      <c r="BS75" s="38">
        <v>0</v>
      </c>
      <c r="BT75" s="38">
        <v>0</v>
      </c>
      <c r="BU75" s="38">
        <v>0</v>
      </c>
      <c r="BV75" s="38">
        <v>0</v>
      </c>
      <c r="BW75" s="38">
        <v>0</v>
      </c>
      <c r="BX75" s="38">
        <v>296.2322851055261</v>
      </c>
      <c r="BY75" s="38"/>
      <c r="BZ75" s="38">
        <v>0</v>
      </c>
      <c r="CA75" s="38">
        <v>0</v>
      </c>
      <c r="CB75" s="38">
        <v>667.52934160751761</v>
      </c>
      <c r="CC75" s="38">
        <v>296.2322851055261</v>
      </c>
      <c r="CD75" s="49">
        <v>2.2533983470766032</v>
      </c>
      <c r="CE75" s="38">
        <v>0.68557784433289448</v>
      </c>
      <c r="CF75" s="38">
        <v>6.8173134706967451</v>
      </c>
      <c r="CG75" s="38">
        <v>0</v>
      </c>
      <c r="CH75" s="38">
        <v>6.8173134706967451</v>
      </c>
      <c r="CI75" s="38">
        <v>0.34086349911517466</v>
      </c>
      <c r="CJ75" s="38">
        <v>0</v>
      </c>
      <c r="CK75" s="38">
        <v>0.34086349911517466</v>
      </c>
      <c r="CL75" s="38"/>
      <c r="CM75" s="38">
        <v>0</v>
      </c>
      <c r="CN75" s="38"/>
      <c r="CO75" s="38">
        <v>0</v>
      </c>
      <c r="CP75" s="38">
        <v>0</v>
      </c>
      <c r="CQ75" s="38">
        <v>0</v>
      </c>
      <c r="CR75" s="38">
        <v>0</v>
      </c>
      <c r="CS75" s="38">
        <v>0</v>
      </c>
      <c r="CT75" s="38">
        <v>0</v>
      </c>
      <c r="CU75" s="38">
        <v>0</v>
      </c>
      <c r="CV75" s="38">
        <v>9999</v>
      </c>
      <c r="CW75" s="49">
        <v>9999</v>
      </c>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row>
    <row r="76" spans="1:131">
      <c r="A76" s="27" t="s">
        <v>233</v>
      </c>
      <c r="B76" s="27" t="s">
        <v>70</v>
      </c>
      <c r="C76" s="38">
        <v>45</v>
      </c>
      <c r="D76" s="38">
        <v>231.5149137611387</v>
      </c>
      <c r="E76" s="38">
        <v>0</v>
      </c>
      <c r="F76" s="38">
        <v>315.42921929554086</v>
      </c>
      <c r="G76" s="38">
        <v>0</v>
      </c>
      <c r="H76" s="38">
        <v>0</v>
      </c>
      <c r="I76" s="38" t="s">
        <v>1479</v>
      </c>
      <c r="J76" s="38"/>
      <c r="K76" s="38"/>
      <c r="L76" s="38">
        <v>249.66123195769964</v>
      </c>
      <c r="M76" s="38">
        <v>0.13055256749955396</v>
      </c>
      <c r="N76" s="38">
        <v>0.12961029761280268</v>
      </c>
      <c r="O76" s="38">
        <v>0</v>
      </c>
      <c r="P76" s="38">
        <v>0</v>
      </c>
      <c r="Q76" s="38">
        <v>0</v>
      </c>
      <c r="R76" s="38">
        <v>41.256793492572733</v>
      </c>
      <c r="S76" s="38">
        <v>95.338174638468317</v>
      </c>
      <c r="T76" s="38">
        <v>0</v>
      </c>
      <c r="U76" s="38">
        <v>73.718547216156082</v>
      </c>
      <c r="V76" s="38" t="s">
        <v>1648</v>
      </c>
      <c r="W76" s="38" t="s">
        <v>1648</v>
      </c>
      <c r="X76" s="38" t="s">
        <v>1648</v>
      </c>
      <c r="Y76" s="38" t="s">
        <v>1648</v>
      </c>
      <c r="Z76" s="38">
        <v>0</v>
      </c>
      <c r="AA76" s="38">
        <v>0</v>
      </c>
      <c r="AB76" s="38">
        <v>0</v>
      </c>
      <c r="AC76" s="38">
        <v>0</v>
      </c>
      <c r="AD76" s="38">
        <v>0</v>
      </c>
      <c r="AE76" s="38">
        <v>0</v>
      </c>
      <c r="AF76" s="38">
        <v>0</v>
      </c>
      <c r="AG76" s="38">
        <v>0</v>
      </c>
      <c r="AH76" s="38">
        <v>41.256793492572733</v>
      </c>
      <c r="AI76" s="38">
        <v>95.338174638468317</v>
      </c>
      <c r="AJ76" s="38">
        <v>0</v>
      </c>
      <c r="AK76" s="38">
        <v>73.718547216156082</v>
      </c>
      <c r="AL76" s="38">
        <v>210.31351534719713</v>
      </c>
      <c r="AM76" s="38">
        <v>131.50330880614374</v>
      </c>
      <c r="AN76" s="38">
        <v>46.13055193480136</v>
      </c>
      <c r="AO76" s="38">
        <v>0</v>
      </c>
      <c r="AP76" s="38">
        <v>0</v>
      </c>
      <c r="AQ76" s="38">
        <v>177.6338607409451</v>
      </c>
      <c r="AR76" s="38">
        <v>41.256793492572733</v>
      </c>
      <c r="AS76" s="49">
        <v>4.3055663250447154</v>
      </c>
      <c r="AT76" s="38">
        <v>131.50330880614374</v>
      </c>
      <c r="AU76" s="38">
        <v>54.604833509017602</v>
      </c>
      <c r="AV76" s="38">
        <v>0</v>
      </c>
      <c r="AW76" s="38">
        <v>0</v>
      </c>
      <c r="AX76" s="38">
        <v>186.10814231516133</v>
      </c>
      <c r="AY76" s="38">
        <v>95.338174638468317</v>
      </c>
      <c r="AZ76" s="49">
        <v>1.9520841784615828</v>
      </c>
      <c r="BA76" s="38">
        <v>131.50330880614374</v>
      </c>
      <c r="BB76" s="38">
        <v>100.73538544381896</v>
      </c>
      <c r="BC76" s="38">
        <v>0</v>
      </c>
      <c r="BD76" s="38">
        <v>0</v>
      </c>
      <c r="BE76" s="38">
        <v>232.23869424996269</v>
      </c>
      <c r="BF76" s="38">
        <v>136.59496813104104</v>
      </c>
      <c r="BG76" s="38">
        <v>10.568764879871535</v>
      </c>
      <c r="BH76" s="49">
        <v>1.700199483389218</v>
      </c>
      <c r="BI76" s="38">
        <v>12.159465265494788</v>
      </c>
      <c r="BJ76" s="38">
        <v>28.098674784331653</v>
      </c>
      <c r="BK76" s="38">
        <v>0</v>
      </c>
      <c r="BL76" s="38">
        <v>21.726800325841076</v>
      </c>
      <c r="BM76" s="38">
        <v>61.98494037566752</v>
      </c>
      <c r="BN76" s="38">
        <v>131.50330880614374</v>
      </c>
      <c r="BO76" s="38">
        <v>0</v>
      </c>
      <c r="BP76" s="38">
        <v>100.73538544381896</v>
      </c>
      <c r="BQ76" s="38">
        <v>0</v>
      </c>
      <c r="BR76" s="38">
        <v>0</v>
      </c>
      <c r="BS76" s="38">
        <v>0</v>
      </c>
      <c r="BT76" s="38">
        <v>0</v>
      </c>
      <c r="BU76" s="38">
        <v>0</v>
      </c>
      <c r="BV76" s="38">
        <v>0</v>
      </c>
      <c r="BW76" s="38">
        <v>0</v>
      </c>
      <c r="BX76" s="38">
        <v>210.31351534719713</v>
      </c>
      <c r="BY76" s="38"/>
      <c r="BZ76" s="38">
        <v>0</v>
      </c>
      <c r="CA76" s="38">
        <v>0</v>
      </c>
      <c r="CB76" s="38">
        <v>232.23869424996269</v>
      </c>
      <c r="CC76" s="38">
        <v>210.31351534719713</v>
      </c>
      <c r="CD76" s="49">
        <v>1.1042499758827684</v>
      </c>
      <c r="CE76" s="38">
        <v>32.295565205712613</v>
      </c>
      <c r="CF76" s="38">
        <v>2.3717968335512962</v>
      </c>
      <c r="CG76" s="38">
        <v>0</v>
      </c>
      <c r="CH76" s="38">
        <v>2.3717968335512962</v>
      </c>
      <c r="CI76" s="38">
        <v>0.11858908517990734</v>
      </c>
      <c r="CJ76" s="38">
        <v>0</v>
      </c>
      <c r="CK76" s="38">
        <v>0.11858908517990734</v>
      </c>
      <c r="CL76" s="38"/>
      <c r="CM76" s="38">
        <v>0</v>
      </c>
      <c r="CN76" s="38"/>
      <c r="CO76" s="38">
        <v>0</v>
      </c>
      <c r="CP76" s="38">
        <v>0</v>
      </c>
      <c r="CQ76" s="38">
        <v>0</v>
      </c>
      <c r="CR76" s="38">
        <v>0</v>
      </c>
      <c r="CS76" s="38">
        <v>0</v>
      </c>
      <c r="CT76" s="38">
        <v>0</v>
      </c>
      <c r="CU76" s="38">
        <v>0</v>
      </c>
      <c r="CV76" s="38">
        <v>9999</v>
      </c>
      <c r="CW76" s="49">
        <v>9999</v>
      </c>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row>
    <row r="77" spans="1:131">
      <c r="A77" s="27" t="s">
        <v>234</v>
      </c>
      <c r="B77" s="27" t="s">
        <v>71</v>
      </c>
      <c r="C77" s="38">
        <v>45</v>
      </c>
      <c r="D77" s="38">
        <v>301.65502525173406</v>
      </c>
      <c r="E77" s="38">
        <v>0</v>
      </c>
      <c r="F77" s="38">
        <v>337.57430889025602</v>
      </c>
      <c r="G77" s="38">
        <v>0</v>
      </c>
      <c r="H77" s="38">
        <v>0</v>
      </c>
      <c r="I77" s="38" t="s">
        <v>1479</v>
      </c>
      <c r="J77" s="38"/>
      <c r="K77" s="38"/>
      <c r="L77" s="38">
        <v>325.2989796945879</v>
      </c>
      <c r="M77" s="38">
        <v>0.17010497253057383</v>
      </c>
      <c r="N77" s="38">
        <v>0.16887723112133066</v>
      </c>
      <c r="O77" s="38">
        <v>0</v>
      </c>
      <c r="P77" s="38">
        <v>0</v>
      </c>
      <c r="Q77" s="38">
        <v>0</v>
      </c>
      <c r="R77" s="38">
        <v>44.153276546121596</v>
      </c>
      <c r="S77" s="38">
        <v>102.03150642263422</v>
      </c>
      <c r="T77" s="38">
        <v>0</v>
      </c>
      <c r="U77" s="38">
        <v>78.894046925853047</v>
      </c>
      <c r="V77" s="38" t="s">
        <v>1648</v>
      </c>
      <c r="W77" s="38" t="s">
        <v>1648</v>
      </c>
      <c r="X77" s="38" t="s">
        <v>1648</v>
      </c>
      <c r="Y77" s="38" t="s">
        <v>1648</v>
      </c>
      <c r="Z77" s="38">
        <v>0</v>
      </c>
      <c r="AA77" s="38">
        <v>0</v>
      </c>
      <c r="AB77" s="38">
        <v>0</v>
      </c>
      <c r="AC77" s="38">
        <v>0</v>
      </c>
      <c r="AD77" s="38">
        <v>0</v>
      </c>
      <c r="AE77" s="38">
        <v>0</v>
      </c>
      <c r="AF77" s="38">
        <v>0</v>
      </c>
      <c r="AG77" s="38">
        <v>0</v>
      </c>
      <c r="AH77" s="38">
        <v>44.153276546121596</v>
      </c>
      <c r="AI77" s="38">
        <v>102.03150642263422</v>
      </c>
      <c r="AJ77" s="38">
        <v>0</v>
      </c>
      <c r="AK77" s="38">
        <v>78.894046925853047</v>
      </c>
      <c r="AL77" s="38">
        <v>225.07882989460887</v>
      </c>
      <c r="AM77" s="38">
        <v>171.34375187393431</v>
      </c>
      <c r="AN77" s="38">
        <v>60.106334329398805</v>
      </c>
      <c r="AO77" s="38">
        <v>0</v>
      </c>
      <c r="AP77" s="38">
        <v>0</v>
      </c>
      <c r="AQ77" s="38">
        <v>231.45008620333311</v>
      </c>
      <c r="AR77" s="38">
        <v>44.153276546121596</v>
      </c>
      <c r="AS77" s="49">
        <v>5.2419685311817155</v>
      </c>
      <c r="AT77" s="38">
        <v>171.34375187393431</v>
      </c>
      <c r="AU77" s="38">
        <v>71.147997178375917</v>
      </c>
      <c r="AV77" s="38">
        <v>0</v>
      </c>
      <c r="AW77" s="38">
        <v>0</v>
      </c>
      <c r="AX77" s="38">
        <v>242.49174905231024</v>
      </c>
      <c r="AY77" s="38">
        <v>102.03150642263422</v>
      </c>
      <c r="AZ77" s="49">
        <v>2.3766359779876476</v>
      </c>
      <c r="BA77" s="38">
        <v>171.34375187393431</v>
      </c>
      <c r="BB77" s="38">
        <v>131.25433150777474</v>
      </c>
      <c r="BC77" s="38">
        <v>0</v>
      </c>
      <c r="BD77" s="38">
        <v>0</v>
      </c>
      <c r="BE77" s="38">
        <v>302.59808338170905</v>
      </c>
      <c r="BF77" s="38">
        <v>146.18478296875583</v>
      </c>
      <c r="BG77" s="38">
        <v>3.3772277820455154</v>
      </c>
      <c r="BH77" s="49">
        <v>2.0699697823294203</v>
      </c>
      <c r="BI77" s="38">
        <v>9.9873518633777483</v>
      </c>
      <c r="BJ77" s="38">
        <v>23.079251088622669</v>
      </c>
      <c r="BK77" s="38">
        <v>0</v>
      </c>
      <c r="BL77" s="38">
        <v>17.845620262207756</v>
      </c>
      <c r="BM77" s="38">
        <v>50.912223214208176</v>
      </c>
      <c r="BN77" s="38">
        <v>171.34375187393431</v>
      </c>
      <c r="BO77" s="38">
        <v>0</v>
      </c>
      <c r="BP77" s="38">
        <v>131.25433150777474</v>
      </c>
      <c r="BQ77" s="38">
        <v>0</v>
      </c>
      <c r="BR77" s="38">
        <v>0</v>
      </c>
      <c r="BS77" s="38">
        <v>0</v>
      </c>
      <c r="BT77" s="38">
        <v>0</v>
      </c>
      <c r="BU77" s="38">
        <v>0</v>
      </c>
      <c r="BV77" s="38">
        <v>0</v>
      </c>
      <c r="BW77" s="38">
        <v>0</v>
      </c>
      <c r="BX77" s="38">
        <v>225.07882989460887</v>
      </c>
      <c r="BY77" s="38"/>
      <c r="BZ77" s="38">
        <v>0</v>
      </c>
      <c r="CA77" s="38">
        <v>0</v>
      </c>
      <c r="CB77" s="38">
        <v>302.59808338170905</v>
      </c>
      <c r="CC77" s="38">
        <v>225.07882989460887</v>
      </c>
      <c r="CD77" s="49">
        <v>1.3444093499304126</v>
      </c>
      <c r="CE77" s="38">
        <v>21.222848044253269</v>
      </c>
      <c r="CF77" s="38">
        <v>3.0903600208454214</v>
      </c>
      <c r="CG77" s="38">
        <v>0</v>
      </c>
      <c r="CH77" s="38">
        <v>3.0903600208454214</v>
      </c>
      <c r="CI77" s="38">
        <v>0.15451701535492929</v>
      </c>
      <c r="CJ77" s="38">
        <v>0</v>
      </c>
      <c r="CK77" s="38">
        <v>0.15451701535492929</v>
      </c>
      <c r="CL77" s="38"/>
      <c r="CM77" s="38">
        <v>0</v>
      </c>
      <c r="CN77" s="38"/>
      <c r="CO77" s="38">
        <v>0</v>
      </c>
      <c r="CP77" s="38">
        <v>0</v>
      </c>
      <c r="CQ77" s="38">
        <v>0</v>
      </c>
      <c r="CR77" s="38">
        <v>0</v>
      </c>
      <c r="CS77" s="38">
        <v>0</v>
      </c>
      <c r="CT77" s="38">
        <v>0</v>
      </c>
      <c r="CU77" s="38">
        <v>0</v>
      </c>
      <c r="CV77" s="38">
        <v>9999</v>
      </c>
      <c r="CW77" s="49">
        <v>9999</v>
      </c>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row>
    <row r="78" spans="1:131">
      <c r="A78" s="27" t="s">
        <v>1205</v>
      </c>
      <c r="B78" s="27" t="s">
        <v>1080</v>
      </c>
      <c r="C78" s="38">
        <v>45</v>
      </c>
      <c r="D78" s="38">
        <v>172.2234794592041</v>
      </c>
      <c r="E78" s="38">
        <v>0</v>
      </c>
      <c r="F78" s="38">
        <v>196.91489394951594</v>
      </c>
      <c r="G78" s="38">
        <v>0</v>
      </c>
      <c r="H78" s="38">
        <v>0</v>
      </c>
      <c r="I78" s="38" t="s">
        <v>1479</v>
      </c>
      <c r="J78" s="38"/>
      <c r="K78" s="38"/>
      <c r="L78" s="38">
        <v>185.72248912736737</v>
      </c>
      <c r="M78" s="38">
        <v>9.7117792810114484E-2</v>
      </c>
      <c r="N78" s="38">
        <v>9.6416840133461565E-2</v>
      </c>
      <c r="O78" s="38">
        <v>0</v>
      </c>
      <c r="P78" s="38">
        <v>0</v>
      </c>
      <c r="Q78" s="38">
        <v>0</v>
      </c>
      <c r="R78" s="38">
        <v>25.75562636026816</v>
      </c>
      <c r="S78" s="38">
        <v>59.517335109924034</v>
      </c>
      <c r="T78" s="38">
        <v>0</v>
      </c>
      <c r="U78" s="38">
        <v>46.020720399972689</v>
      </c>
      <c r="V78" s="38" t="s">
        <v>1648</v>
      </c>
      <c r="W78" s="38" t="s">
        <v>1648</v>
      </c>
      <c r="X78" s="38" t="s">
        <v>1648</v>
      </c>
      <c r="Y78" s="38" t="s">
        <v>1648</v>
      </c>
      <c r="Z78" s="38">
        <v>0</v>
      </c>
      <c r="AA78" s="38">
        <v>0</v>
      </c>
      <c r="AB78" s="38">
        <v>0</v>
      </c>
      <c r="AC78" s="38">
        <v>0</v>
      </c>
      <c r="AD78" s="38">
        <v>0</v>
      </c>
      <c r="AE78" s="38">
        <v>0</v>
      </c>
      <c r="AF78" s="38">
        <v>0</v>
      </c>
      <c r="AG78" s="38">
        <v>0</v>
      </c>
      <c r="AH78" s="38">
        <v>25.75562636026816</v>
      </c>
      <c r="AI78" s="38">
        <v>59.517335109924034</v>
      </c>
      <c r="AJ78" s="38">
        <v>0</v>
      </c>
      <c r="AK78" s="38">
        <v>46.020720399972689</v>
      </c>
      <c r="AL78" s="38">
        <v>131.2936818701649</v>
      </c>
      <c r="AM78" s="38">
        <v>97.825047358974345</v>
      </c>
      <c r="AN78" s="38">
        <v>34.316424953002709</v>
      </c>
      <c r="AO78" s="38">
        <v>0</v>
      </c>
      <c r="AP78" s="38">
        <v>0</v>
      </c>
      <c r="AQ78" s="38">
        <v>132.14147231197705</v>
      </c>
      <c r="AR78" s="38">
        <v>25.75562636026816</v>
      </c>
      <c r="AS78" s="49">
        <v>5.1305866323571419</v>
      </c>
      <c r="AT78" s="38">
        <v>97.825047358974345</v>
      </c>
      <c r="AU78" s="38">
        <v>40.620425999493939</v>
      </c>
      <c r="AV78" s="38">
        <v>0</v>
      </c>
      <c r="AW78" s="38">
        <v>0</v>
      </c>
      <c r="AX78" s="38">
        <v>138.44547335846829</v>
      </c>
      <c r="AY78" s="38">
        <v>59.517335109924034</v>
      </c>
      <c r="AZ78" s="49">
        <v>2.3261369666966765</v>
      </c>
      <c r="BA78" s="38">
        <v>97.825047358974345</v>
      </c>
      <c r="BB78" s="38">
        <v>74.936850952496656</v>
      </c>
      <c r="BC78" s="38">
        <v>0</v>
      </c>
      <c r="BD78" s="38">
        <v>0</v>
      </c>
      <c r="BE78" s="38">
        <v>172.76189831147099</v>
      </c>
      <c r="BF78" s="38">
        <v>85.2729614701922</v>
      </c>
      <c r="BG78" s="38">
        <v>4.0950835144181665</v>
      </c>
      <c r="BH78" s="49">
        <v>2.0259868466261866</v>
      </c>
      <c r="BI78" s="38">
        <v>10.204171165824862</v>
      </c>
      <c r="BJ78" s="38">
        <v>23.580287518548207</v>
      </c>
      <c r="BK78" s="38">
        <v>0</v>
      </c>
      <c r="BL78" s="38">
        <v>18.233037766859418</v>
      </c>
      <c r="BM78" s="38">
        <v>52.017496451232496</v>
      </c>
      <c r="BN78" s="38">
        <v>97.825047358974345</v>
      </c>
      <c r="BO78" s="38">
        <v>0</v>
      </c>
      <c r="BP78" s="38">
        <v>74.936850952496656</v>
      </c>
      <c r="BQ78" s="38">
        <v>0</v>
      </c>
      <c r="BR78" s="38">
        <v>0</v>
      </c>
      <c r="BS78" s="38">
        <v>0</v>
      </c>
      <c r="BT78" s="38">
        <v>0</v>
      </c>
      <c r="BU78" s="38">
        <v>0</v>
      </c>
      <c r="BV78" s="38">
        <v>0</v>
      </c>
      <c r="BW78" s="38">
        <v>0</v>
      </c>
      <c r="BX78" s="38">
        <v>131.2936818701649</v>
      </c>
      <c r="BY78" s="38"/>
      <c r="BZ78" s="38">
        <v>0</v>
      </c>
      <c r="CA78" s="38">
        <v>0</v>
      </c>
      <c r="CB78" s="38">
        <v>172.76189831147099</v>
      </c>
      <c r="CC78" s="38">
        <v>131.2936818701649</v>
      </c>
      <c r="CD78" s="49">
        <v>1.3158431986263712</v>
      </c>
      <c r="CE78" s="38">
        <v>22.328121281277589</v>
      </c>
      <c r="CF78" s="38">
        <v>1.7643749018517556</v>
      </c>
      <c r="CG78" s="38">
        <v>0</v>
      </c>
      <c r="CH78" s="38">
        <v>1.7643749018517556</v>
      </c>
      <c r="CI78" s="38">
        <v>8.8218182335499495E-2</v>
      </c>
      <c r="CJ78" s="38">
        <v>0</v>
      </c>
      <c r="CK78" s="38">
        <v>8.8218182335499495E-2</v>
      </c>
      <c r="CL78" s="38"/>
      <c r="CM78" s="38">
        <v>0</v>
      </c>
      <c r="CN78" s="38"/>
      <c r="CO78" s="38">
        <v>0</v>
      </c>
      <c r="CP78" s="38">
        <v>0</v>
      </c>
      <c r="CQ78" s="38">
        <v>0</v>
      </c>
      <c r="CR78" s="38">
        <v>0</v>
      </c>
      <c r="CS78" s="38">
        <v>0</v>
      </c>
      <c r="CT78" s="38">
        <v>0</v>
      </c>
      <c r="CU78" s="38">
        <v>0</v>
      </c>
      <c r="CV78" s="38">
        <v>9999</v>
      </c>
      <c r="CW78" s="49">
        <v>9999</v>
      </c>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row>
    <row r="79" spans="1:131">
      <c r="A79" s="27" t="s">
        <v>228</v>
      </c>
      <c r="B79" s="27" t="s">
        <v>65</v>
      </c>
      <c r="C79" s="38">
        <v>45</v>
      </c>
      <c r="D79" s="38">
        <v>234.70130472703235</v>
      </c>
      <c r="E79" s="38">
        <v>0</v>
      </c>
      <c r="F79" s="38">
        <v>262.65009234084528</v>
      </c>
      <c r="G79" s="38">
        <v>0</v>
      </c>
      <c r="H79" s="38">
        <v>0</v>
      </c>
      <c r="I79" s="38" t="s">
        <v>1479</v>
      </c>
      <c r="J79" s="38"/>
      <c r="K79" s="38"/>
      <c r="L79" s="38">
        <v>253.0973747146395</v>
      </c>
      <c r="M79" s="38">
        <v>0.13234939136241747</v>
      </c>
      <c r="N79" s="38">
        <v>0.13139415280679814</v>
      </c>
      <c r="O79" s="38">
        <v>0</v>
      </c>
      <c r="P79" s="38">
        <v>0</v>
      </c>
      <c r="Q79" s="38">
        <v>0</v>
      </c>
      <c r="R79" s="38">
        <v>34.353509306183028</v>
      </c>
      <c r="S79" s="38">
        <v>79.385734867319357</v>
      </c>
      <c r="T79" s="38">
        <v>0</v>
      </c>
      <c r="U79" s="38">
        <v>61.383607000006535</v>
      </c>
      <c r="V79" s="38" t="s">
        <v>1648</v>
      </c>
      <c r="W79" s="38" t="s">
        <v>1648</v>
      </c>
      <c r="X79" s="38" t="s">
        <v>1648</v>
      </c>
      <c r="Y79" s="38" t="s">
        <v>1648</v>
      </c>
      <c r="Z79" s="38">
        <v>0</v>
      </c>
      <c r="AA79" s="38">
        <v>0</v>
      </c>
      <c r="AB79" s="38">
        <v>0</v>
      </c>
      <c r="AC79" s="38">
        <v>0</v>
      </c>
      <c r="AD79" s="38">
        <v>0</v>
      </c>
      <c r="AE79" s="38">
        <v>0</v>
      </c>
      <c r="AF79" s="38">
        <v>0</v>
      </c>
      <c r="AG79" s="38">
        <v>0</v>
      </c>
      <c r="AH79" s="38">
        <v>34.353509306183028</v>
      </c>
      <c r="AI79" s="38">
        <v>79.385734867319357</v>
      </c>
      <c r="AJ79" s="38">
        <v>0</v>
      </c>
      <c r="AK79" s="38">
        <v>61.383607000006535</v>
      </c>
      <c r="AL79" s="38">
        <v>175.12285117350893</v>
      </c>
      <c r="AM79" s="38">
        <v>133.3132179319002</v>
      </c>
      <c r="AN79" s="38">
        <v>46.765456924500626</v>
      </c>
      <c r="AO79" s="38">
        <v>0</v>
      </c>
      <c r="AP79" s="38">
        <v>0</v>
      </c>
      <c r="AQ79" s="38">
        <v>180.07867485640082</v>
      </c>
      <c r="AR79" s="38">
        <v>34.353509306183028</v>
      </c>
      <c r="AS79" s="49">
        <v>5.2419295289867174</v>
      </c>
      <c r="AT79" s="38">
        <v>133.3132179319002</v>
      </c>
      <c r="AU79" s="38">
        <v>55.356371910413095</v>
      </c>
      <c r="AV79" s="38">
        <v>0</v>
      </c>
      <c r="AW79" s="38">
        <v>0</v>
      </c>
      <c r="AX79" s="38">
        <v>188.66958984231329</v>
      </c>
      <c r="AY79" s="38">
        <v>79.385734867319357</v>
      </c>
      <c r="AZ79" s="49">
        <v>2.3766182949322636</v>
      </c>
      <c r="BA79" s="38">
        <v>133.3132179319002</v>
      </c>
      <c r="BB79" s="38">
        <v>102.12182883491371</v>
      </c>
      <c r="BC79" s="38">
        <v>0</v>
      </c>
      <c r="BD79" s="38">
        <v>0</v>
      </c>
      <c r="BE79" s="38">
        <v>235.43504676681391</v>
      </c>
      <c r="BF79" s="38">
        <v>113.73924417350239</v>
      </c>
      <c r="BG79" s="38">
        <v>3.3774738116972265</v>
      </c>
      <c r="BH79" s="49">
        <v>2.0699543809845604</v>
      </c>
      <c r="BI79" s="38">
        <v>9.987426173542115</v>
      </c>
      <c r="BJ79" s="38">
        <v>23.079422808110017</v>
      </c>
      <c r="BK79" s="38">
        <v>0</v>
      </c>
      <c r="BL79" s="38">
        <v>17.845753041245995</v>
      </c>
      <c r="BM79" s="38">
        <v>50.912602022898135</v>
      </c>
      <c r="BN79" s="38">
        <v>133.3132179319002</v>
      </c>
      <c r="BO79" s="38">
        <v>0</v>
      </c>
      <c r="BP79" s="38">
        <v>102.12182883491371</v>
      </c>
      <c r="BQ79" s="38">
        <v>0</v>
      </c>
      <c r="BR79" s="38">
        <v>0</v>
      </c>
      <c r="BS79" s="38">
        <v>0</v>
      </c>
      <c r="BT79" s="38">
        <v>0</v>
      </c>
      <c r="BU79" s="38">
        <v>0</v>
      </c>
      <c r="BV79" s="38">
        <v>0</v>
      </c>
      <c r="BW79" s="38">
        <v>0</v>
      </c>
      <c r="BX79" s="38">
        <v>175.12285117350893</v>
      </c>
      <c r="BY79" s="38"/>
      <c r="BZ79" s="38">
        <v>0</v>
      </c>
      <c r="CA79" s="38">
        <v>0</v>
      </c>
      <c r="CB79" s="38">
        <v>235.43504676681391</v>
      </c>
      <c r="CC79" s="38">
        <v>175.12285117350893</v>
      </c>
      <c r="CD79" s="49">
        <v>1.3443993470249558</v>
      </c>
      <c r="CE79" s="38">
        <v>21.223226852943228</v>
      </c>
      <c r="CF79" s="38">
        <v>2.4044403979791187</v>
      </c>
      <c r="CG79" s="38">
        <v>0</v>
      </c>
      <c r="CH79" s="38">
        <v>2.4044403979791187</v>
      </c>
      <c r="CI79" s="38">
        <v>0.12022125298945376</v>
      </c>
      <c r="CJ79" s="38">
        <v>0</v>
      </c>
      <c r="CK79" s="38">
        <v>0.12022125298945376</v>
      </c>
      <c r="CL79" s="38"/>
      <c r="CM79" s="38">
        <v>0</v>
      </c>
      <c r="CN79" s="38"/>
      <c r="CO79" s="38">
        <v>0</v>
      </c>
      <c r="CP79" s="38">
        <v>0</v>
      </c>
      <c r="CQ79" s="38">
        <v>0</v>
      </c>
      <c r="CR79" s="38">
        <v>0</v>
      </c>
      <c r="CS79" s="38">
        <v>0</v>
      </c>
      <c r="CT79" s="38">
        <v>0</v>
      </c>
      <c r="CU79" s="38">
        <v>0</v>
      </c>
      <c r="CV79" s="38">
        <v>9999</v>
      </c>
      <c r="CW79" s="49">
        <v>9999</v>
      </c>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row>
    <row r="80" spans="1:131">
      <c r="A80" s="27" t="s">
        <v>229</v>
      </c>
      <c r="B80" s="27" t="s">
        <v>66</v>
      </c>
      <c r="C80" s="38">
        <v>45</v>
      </c>
      <c r="D80" s="38">
        <v>249.19752687988947</v>
      </c>
      <c r="E80" s="38">
        <v>0</v>
      </c>
      <c r="F80" s="38">
        <v>297.93884832438431</v>
      </c>
      <c r="G80" s="38">
        <v>0</v>
      </c>
      <c r="H80" s="38">
        <v>0</v>
      </c>
      <c r="I80" s="38" t="s">
        <v>1479</v>
      </c>
      <c r="J80" s="38"/>
      <c r="K80" s="38"/>
      <c r="L80" s="38">
        <v>268.72982198388451</v>
      </c>
      <c r="M80" s="38">
        <v>0.1405238929111686</v>
      </c>
      <c r="N80" s="38">
        <v>0.1395096544691731</v>
      </c>
      <c r="O80" s="38">
        <v>0</v>
      </c>
      <c r="P80" s="38">
        <v>0</v>
      </c>
      <c r="Q80" s="38">
        <v>0</v>
      </c>
      <c r="R80" s="38">
        <v>38.969127737075944</v>
      </c>
      <c r="S80" s="38">
        <v>90.051727029512477</v>
      </c>
      <c r="T80" s="38">
        <v>0</v>
      </c>
      <c r="U80" s="38">
        <v>69.630895662679592</v>
      </c>
      <c r="V80" s="38" t="s">
        <v>1648</v>
      </c>
      <c r="W80" s="38" t="s">
        <v>1648</v>
      </c>
      <c r="X80" s="38" t="s">
        <v>1648</v>
      </c>
      <c r="Y80" s="38" t="s">
        <v>1648</v>
      </c>
      <c r="Z80" s="38">
        <v>0</v>
      </c>
      <c r="AA80" s="38">
        <v>0</v>
      </c>
      <c r="AB80" s="38">
        <v>0</v>
      </c>
      <c r="AC80" s="38">
        <v>0</v>
      </c>
      <c r="AD80" s="38">
        <v>0</v>
      </c>
      <c r="AE80" s="38">
        <v>0</v>
      </c>
      <c r="AF80" s="38">
        <v>0</v>
      </c>
      <c r="AG80" s="38">
        <v>0</v>
      </c>
      <c r="AH80" s="38">
        <v>38.969127737075944</v>
      </c>
      <c r="AI80" s="38">
        <v>90.051727029512477</v>
      </c>
      <c r="AJ80" s="38">
        <v>0</v>
      </c>
      <c r="AK80" s="38">
        <v>69.630895662679592</v>
      </c>
      <c r="AL80" s="38">
        <v>198.65175042926802</v>
      </c>
      <c r="AM80" s="38">
        <v>141.54724980190053</v>
      </c>
      <c r="AN80" s="38">
        <v>49.653904662129875</v>
      </c>
      <c r="AO80" s="38">
        <v>0</v>
      </c>
      <c r="AP80" s="38">
        <v>0</v>
      </c>
      <c r="AQ80" s="38">
        <v>191.20115446403042</v>
      </c>
      <c r="AR80" s="38">
        <v>38.969127737075944</v>
      </c>
      <c r="AS80" s="49">
        <v>4.9064776546722175</v>
      </c>
      <c r="AT80" s="38">
        <v>141.54724980190053</v>
      </c>
      <c r="AU80" s="38">
        <v>58.775433707802001</v>
      </c>
      <c r="AV80" s="38">
        <v>0</v>
      </c>
      <c r="AW80" s="38">
        <v>0</v>
      </c>
      <c r="AX80" s="38">
        <v>200.32268350970253</v>
      </c>
      <c r="AY80" s="38">
        <v>90.051727029512477</v>
      </c>
      <c r="AZ80" s="49">
        <v>2.2245290581051393</v>
      </c>
      <c r="BA80" s="38">
        <v>141.54724980190053</v>
      </c>
      <c r="BB80" s="38">
        <v>108.42933836993188</v>
      </c>
      <c r="BC80" s="38">
        <v>0</v>
      </c>
      <c r="BD80" s="38">
        <v>0</v>
      </c>
      <c r="BE80" s="38">
        <v>249.97658817183242</v>
      </c>
      <c r="BF80" s="38">
        <v>129.02085476658843</v>
      </c>
      <c r="BG80" s="38">
        <v>5.6382272990807536</v>
      </c>
      <c r="BH80" s="49">
        <v>1.9374897850743971</v>
      </c>
      <c r="BI80" s="38">
        <v>10.670258352814759</v>
      </c>
      <c r="BJ80" s="38">
        <v>24.657344116220898</v>
      </c>
      <c r="BK80" s="38">
        <v>0</v>
      </c>
      <c r="BL80" s="38">
        <v>19.065852617270554</v>
      </c>
      <c r="BM80" s="38">
        <v>54.393455086306219</v>
      </c>
      <c r="BN80" s="38">
        <v>141.54724980190053</v>
      </c>
      <c r="BO80" s="38">
        <v>0</v>
      </c>
      <c r="BP80" s="38">
        <v>108.42933836993188</v>
      </c>
      <c r="BQ80" s="38">
        <v>0</v>
      </c>
      <c r="BR80" s="38">
        <v>0</v>
      </c>
      <c r="BS80" s="38">
        <v>0</v>
      </c>
      <c r="BT80" s="38">
        <v>0</v>
      </c>
      <c r="BU80" s="38">
        <v>0</v>
      </c>
      <c r="BV80" s="38">
        <v>0</v>
      </c>
      <c r="BW80" s="38">
        <v>0</v>
      </c>
      <c r="BX80" s="38">
        <v>198.65175042926802</v>
      </c>
      <c r="BY80" s="38"/>
      <c r="BZ80" s="38">
        <v>0</v>
      </c>
      <c r="CA80" s="38">
        <v>0</v>
      </c>
      <c r="CB80" s="38">
        <v>249.97658817183242</v>
      </c>
      <c r="CC80" s="38">
        <v>198.65175042926802</v>
      </c>
      <c r="CD80" s="49">
        <v>1.2583658972632066</v>
      </c>
      <c r="CE80" s="38">
        <v>24.704079916351304</v>
      </c>
      <c r="CF80" s="38">
        <v>2.552949594393461</v>
      </c>
      <c r="CG80" s="38">
        <v>0</v>
      </c>
      <c r="CH80" s="38">
        <v>2.552949594393461</v>
      </c>
      <c r="CI80" s="38">
        <v>0.12764666544234518</v>
      </c>
      <c r="CJ80" s="38">
        <v>0</v>
      </c>
      <c r="CK80" s="38">
        <v>0.12764666544234518</v>
      </c>
      <c r="CL80" s="38"/>
      <c r="CM80" s="38">
        <v>0</v>
      </c>
      <c r="CN80" s="38"/>
      <c r="CO80" s="38">
        <v>0</v>
      </c>
      <c r="CP80" s="38">
        <v>0</v>
      </c>
      <c r="CQ80" s="38">
        <v>0</v>
      </c>
      <c r="CR80" s="38">
        <v>0</v>
      </c>
      <c r="CS80" s="38">
        <v>0</v>
      </c>
      <c r="CT80" s="38">
        <v>0</v>
      </c>
      <c r="CU80" s="38">
        <v>0</v>
      </c>
      <c r="CV80" s="38">
        <v>9999</v>
      </c>
      <c r="CW80" s="49">
        <v>9999</v>
      </c>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row>
    <row r="81" spans="1:131">
      <c r="A81" s="27" t="s">
        <v>1206</v>
      </c>
      <c r="B81" s="27" t="s">
        <v>1081</v>
      </c>
      <c r="C81" s="38">
        <v>45</v>
      </c>
      <c r="D81" s="38">
        <v>45.272011880626216</v>
      </c>
      <c r="E81" s="38">
        <v>0</v>
      </c>
      <c r="F81" s="38">
        <v>169.97517278288436</v>
      </c>
      <c r="G81" s="38">
        <v>0</v>
      </c>
      <c r="H81" s="38">
        <v>0</v>
      </c>
      <c r="I81" s="38" t="s">
        <v>1479</v>
      </c>
      <c r="J81" s="38"/>
      <c r="K81" s="38"/>
      <c r="L81" s="38">
        <v>48.820467224768407</v>
      </c>
      <c r="M81" s="38">
        <v>2.5529143202342411E-2</v>
      </c>
      <c r="N81" s="38">
        <v>2.5344885295088222E-2</v>
      </c>
      <c r="O81" s="38">
        <v>0</v>
      </c>
      <c r="P81" s="38">
        <v>0</v>
      </c>
      <c r="Q81" s="38">
        <v>0</v>
      </c>
      <c r="R81" s="38">
        <v>22.232025993119414</v>
      </c>
      <c r="S81" s="38">
        <v>51.374830598033775</v>
      </c>
      <c r="T81" s="38">
        <v>0</v>
      </c>
      <c r="U81" s="38">
        <v>39.724673663250847</v>
      </c>
      <c r="V81" s="38" t="s">
        <v>1648</v>
      </c>
      <c r="W81" s="38" t="s">
        <v>1648</v>
      </c>
      <c r="X81" s="38" t="s">
        <v>1648</v>
      </c>
      <c r="Y81" s="38" t="s">
        <v>1648</v>
      </c>
      <c r="Z81" s="38">
        <v>0</v>
      </c>
      <c r="AA81" s="38">
        <v>0</v>
      </c>
      <c r="AB81" s="38">
        <v>0</v>
      </c>
      <c r="AC81" s="38">
        <v>0</v>
      </c>
      <c r="AD81" s="38">
        <v>0</v>
      </c>
      <c r="AE81" s="38">
        <v>0</v>
      </c>
      <c r="AF81" s="38">
        <v>0</v>
      </c>
      <c r="AG81" s="38">
        <v>0</v>
      </c>
      <c r="AH81" s="38">
        <v>22.232025993119414</v>
      </c>
      <c r="AI81" s="38">
        <v>51.374830598033775</v>
      </c>
      <c r="AJ81" s="38">
        <v>0</v>
      </c>
      <c r="AK81" s="38">
        <v>39.724673663250847</v>
      </c>
      <c r="AL81" s="38">
        <v>113.33153025440404</v>
      </c>
      <c r="AM81" s="38">
        <v>25.71505766905247</v>
      </c>
      <c r="AN81" s="38">
        <v>9.0206840731084164</v>
      </c>
      <c r="AO81" s="38">
        <v>0</v>
      </c>
      <c r="AP81" s="38">
        <v>0</v>
      </c>
      <c r="AQ81" s="38">
        <v>34.735741742160883</v>
      </c>
      <c r="AR81" s="38">
        <v>22.232025993119414</v>
      </c>
      <c r="AS81" s="49">
        <v>1.5624190864526355</v>
      </c>
      <c r="AT81" s="38">
        <v>25.71505766905247</v>
      </c>
      <c r="AU81" s="38">
        <v>10.677803132416667</v>
      </c>
      <c r="AV81" s="38">
        <v>0</v>
      </c>
      <c r="AW81" s="38">
        <v>0</v>
      </c>
      <c r="AX81" s="38">
        <v>36.392860801469141</v>
      </c>
      <c r="AY81" s="38">
        <v>51.374830598033775</v>
      </c>
      <c r="AZ81" s="50">
        <v>0.70837918836586833</v>
      </c>
      <c r="BA81" s="38">
        <v>25.71505766905247</v>
      </c>
      <c r="BB81" s="38">
        <v>19.698487205525083</v>
      </c>
      <c r="BC81" s="38">
        <v>0</v>
      </c>
      <c r="BD81" s="38">
        <v>0</v>
      </c>
      <c r="BE81" s="38">
        <v>45.413544874577553</v>
      </c>
      <c r="BF81" s="38">
        <v>73.606856591153189</v>
      </c>
      <c r="BG81" s="38">
        <v>81.250188747565858</v>
      </c>
      <c r="BH81" s="50">
        <v>0.61697438224845769</v>
      </c>
      <c r="BI81" s="38">
        <v>33.507901069315494</v>
      </c>
      <c r="BJ81" s="38">
        <v>77.431662848205264</v>
      </c>
      <c r="BK81" s="38">
        <v>0</v>
      </c>
      <c r="BL81" s="38">
        <v>59.87265557943352</v>
      </c>
      <c r="BM81" s="38">
        <v>170.8122194969543</v>
      </c>
      <c r="BN81" s="38">
        <v>25.71505766905247</v>
      </c>
      <c r="BO81" s="38">
        <v>0</v>
      </c>
      <c r="BP81" s="38">
        <v>19.698487205525083</v>
      </c>
      <c r="BQ81" s="38">
        <v>0</v>
      </c>
      <c r="BR81" s="38">
        <v>0</v>
      </c>
      <c r="BS81" s="38">
        <v>0</v>
      </c>
      <c r="BT81" s="38">
        <v>0</v>
      </c>
      <c r="BU81" s="38">
        <v>0</v>
      </c>
      <c r="BV81" s="38">
        <v>0</v>
      </c>
      <c r="BW81" s="38">
        <v>0</v>
      </c>
      <c r="BX81" s="38">
        <v>113.33153025440404</v>
      </c>
      <c r="BY81" s="38"/>
      <c r="BZ81" s="38">
        <v>0</v>
      </c>
      <c r="CA81" s="38">
        <v>0</v>
      </c>
      <c r="CB81" s="38">
        <v>45.413544874577553</v>
      </c>
      <c r="CC81" s="38">
        <v>113.33153025440404</v>
      </c>
      <c r="CD81" s="50">
        <v>0.40071412406268814</v>
      </c>
      <c r="CE81" s="38">
        <v>141.12284432699937</v>
      </c>
      <c r="CF81" s="38">
        <v>0.46379739724996405</v>
      </c>
      <c r="CG81" s="38">
        <v>0</v>
      </c>
      <c r="CH81" s="38">
        <v>0.46379739724996405</v>
      </c>
      <c r="CI81" s="38">
        <v>2.3189721931764995E-2</v>
      </c>
      <c r="CJ81" s="38">
        <v>0</v>
      </c>
      <c r="CK81" s="38">
        <v>2.3189721931764995E-2</v>
      </c>
      <c r="CL81" s="38"/>
      <c r="CM81" s="38">
        <v>0</v>
      </c>
      <c r="CN81" s="38"/>
      <c r="CO81" s="38">
        <v>0</v>
      </c>
      <c r="CP81" s="38">
        <v>0</v>
      </c>
      <c r="CQ81" s="38">
        <v>0</v>
      </c>
      <c r="CR81" s="38">
        <v>0</v>
      </c>
      <c r="CS81" s="38">
        <v>0</v>
      </c>
      <c r="CT81" s="38">
        <v>0</v>
      </c>
      <c r="CU81" s="38">
        <v>0</v>
      </c>
      <c r="CV81" s="38">
        <v>9999</v>
      </c>
      <c r="CW81" s="49">
        <v>9999</v>
      </c>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row>
    <row r="82" spans="1:131">
      <c r="A82" s="27" t="s">
        <v>230</v>
      </c>
      <c r="B82" s="27" t="s">
        <v>67</v>
      </c>
      <c r="C82" s="38">
        <v>45</v>
      </c>
      <c r="D82" s="38">
        <v>62.477825267828266</v>
      </c>
      <c r="E82" s="38">
        <v>0</v>
      </c>
      <c r="F82" s="38">
        <v>198.23826361528404</v>
      </c>
      <c r="G82" s="38">
        <v>0</v>
      </c>
      <c r="H82" s="38">
        <v>0</v>
      </c>
      <c r="I82" s="38" t="s">
        <v>1479</v>
      </c>
      <c r="J82" s="38"/>
      <c r="K82" s="38"/>
      <c r="L82" s="38">
        <v>67.374885587272161</v>
      </c>
      <c r="M82" s="38">
        <v>3.5231598552302998E-2</v>
      </c>
      <c r="N82" s="38">
        <v>3.4977312673336591E-2</v>
      </c>
      <c r="O82" s="38">
        <v>0</v>
      </c>
      <c r="P82" s="38">
        <v>0</v>
      </c>
      <c r="Q82" s="38">
        <v>0</v>
      </c>
      <c r="R82" s="38">
        <v>25.928717455433237</v>
      </c>
      <c r="S82" s="38">
        <v>59.917322303843548</v>
      </c>
      <c r="T82" s="38">
        <v>0</v>
      </c>
      <c r="U82" s="38">
        <v>46.330003380820912</v>
      </c>
      <c r="V82" s="38" t="s">
        <v>1648</v>
      </c>
      <c r="W82" s="38" t="s">
        <v>1648</v>
      </c>
      <c r="X82" s="38" t="s">
        <v>1648</v>
      </c>
      <c r="Y82" s="38" t="s">
        <v>1648</v>
      </c>
      <c r="Z82" s="38">
        <v>0</v>
      </c>
      <c r="AA82" s="38">
        <v>0</v>
      </c>
      <c r="AB82" s="38">
        <v>0</v>
      </c>
      <c r="AC82" s="38">
        <v>0</v>
      </c>
      <c r="AD82" s="38">
        <v>0</v>
      </c>
      <c r="AE82" s="38">
        <v>0</v>
      </c>
      <c r="AF82" s="38">
        <v>0</v>
      </c>
      <c r="AG82" s="38">
        <v>0</v>
      </c>
      <c r="AH82" s="38">
        <v>25.928717455433237</v>
      </c>
      <c r="AI82" s="38">
        <v>59.917322303843548</v>
      </c>
      <c r="AJ82" s="38">
        <v>0</v>
      </c>
      <c r="AK82" s="38">
        <v>46.330003380820912</v>
      </c>
      <c r="AL82" s="38">
        <v>132.1760431400977</v>
      </c>
      <c r="AM82" s="38">
        <v>35.488170572925867</v>
      </c>
      <c r="AN82" s="38">
        <v>12.449031971497911</v>
      </c>
      <c r="AO82" s="38">
        <v>0</v>
      </c>
      <c r="AP82" s="38">
        <v>0</v>
      </c>
      <c r="AQ82" s="38">
        <v>47.937202544423776</v>
      </c>
      <c r="AR82" s="38">
        <v>25.928717455433237</v>
      </c>
      <c r="AS82" s="49">
        <v>1.8488073167066259</v>
      </c>
      <c r="AT82" s="38">
        <v>35.488170572925867</v>
      </c>
      <c r="AU82" s="38">
        <v>14.735945910919165</v>
      </c>
      <c r="AV82" s="38">
        <v>0</v>
      </c>
      <c r="AW82" s="38">
        <v>0</v>
      </c>
      <c r="AX82" s="38">
        <v>50.22411648384503</v>
      </c>
      <c r="AY82" s="38">
        <v>59.917322303843548</v>
      </c>
      <c r="AZ82" s="50">
        <v>0.83822364806551575</v>
      </c>
      <c r="BA82" s="38">
        <v>35.488170572925867</v>
      </c>
      <c r="BB82" s="38">
        <v>27.184977882417076</v>
      </c>
      <c r="BC82" s="38">
        <v>0</v>
      </c>
      <c r="BD82" s="38">
        <v>0</v>
      </c>
      <c r="BE82" s="38">
        <v>62.67314845534294</v>
      </c>
      <c r="BF82" s="38">
        <v>85.846039759276778</v>
      </c>
      <c r="BG82" s="38">
        <v>64.065171634974178</v>
      </c>
      <c r="BH82" s="50">
        <v>0.73006452750862383</v>
      </c>
      <c r="BI82" s="38">
        <v>28.317382619907086</v>
      </c>
      <c r="BJ82" s="38">
        <v>65.437164185021999</v>
      </c>
      <c r="BK82" s="38">
        <v>0</v>
      </c>
      <c r="BL82" s="38">
        <v>50.598122902580471</v>
      </c>
      <c r="BM82" s="38">
        <v>144.35266970750956</v>
      </c>
      <c r="BN82" s="38">
        <v>35.488170572925867</v>
      </c>
      <c r="BO82" s="38">
        <v>0</v>
      </c>
      <c r="BP82" s="38">
        <v>27.184977882417076</v>
      </c>
      <c r="BQ82" s="38">
        <v>0</v>
      </c>
      <c r="BR82" s="38">
        <v>0</v>
      </c>
      <c r="BS82" s="38">
        <v>0</v>
      </c>
      <c r="BT82" s="38">
        <v>0</v>
      </c>
      <c r="BU82" s="38">
        <v>0</v>
      </c>
      <c r="BV82" s="38">
        <v>0</v>
      </c>
      <c r="BW82" s="38">
        <v>0</v>
      </c>
      <c r="BX82" s="38">
        <v>132.1760431400977</v>
      </c>
      <c r="BY82" s="38"/>
      <c r="BZ82" s="38">
        <v>0</v>
      </c>
      <c r="CA82" s="38">
        <v>0</v>
      </c>
      <c r="CB82" s="38">
        <v>62.67314845534294</v>
      </c>
      <c r="CC82" s="38">
        <v>132.1760431400977</v>
      </c>
      <c r="CD82" s="50">
        <v>0.47416420530090786</v>
      </c>
      <c r="CE82" s="38">
        <v>114.66329453755466</v>
      </c>
      <c r="CF82" s="38">
        <v>0.64006549612735997</v>
      </c>
      <c r="CG82" s="38">
        <v>0</v>
      </c>
      <c r="CH82" s="38">
        <v>0.64006549612735997</v>
      </c>
      <c r="CI82" s="38">
        <v>3.2003070653954274E-2</v>
      </c>
      <c r="CJ82" s="38">
        <v>0</v>
      </c>
      <c r="CK82" s="38">
        <v>3.2003070653954274E-2</v>
      </c>
      <c r="CL82" s="38"/>
      <c r="CM82" s="38">
        <v>0</v>
      </c>
      <c r="CN82" s="38"/>
      <c r="CO82" s="38">
        <v>0</v>
      </c>
      <c r="CP82" s="38">
        <v>0</v>
      </c>
      <c r="CQ82" s="38">
        <v>0</v>
      </c>
      <c r="CR82" s="38">
        <v>0</v>
      </c>
      <c r="CS82" s="38">
        <v>0</v>
      </c>
      <c r="CT82" s="38">
        <v>0</v>
      </c>
      <c r="CU82" s="38">
        <v>0</v>
      </c>
      <c r="CV82" s="38">
        <v>9999</v>
      </c>
      <c r="CW82" s="49">
        <v>9999</v>
      </c>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row>
    <row r="83" spans="1:131">
      <c r="A83" s="27" t="s">
        <v>231</v>
      </c>
      <c r="B83" s="27" t="s">
        <v>68</v>
      </c>
      <c r="C83" s="38">
        <v>45</v>
      </c>
      <c r="D83" s="38">
        <v>76.974047420685338</v>
      </c>
      <c r="E83" s="38">
        <v>0</v>
      </c>
      <c r="F83" s="38">
        <v>235.52932235113522</v>
      </c>
      <c r="G83" s="38">
        <v>0</v>
      </c>
      <c r="H83" s="38">
        <v>0</v>
      </c>
      <c r="I83" s="38" t="s">
        <v>1479</v>
      </c>
      <c r="J83" s="38"/>
      <c r="K83" s="38"/>
      <c r="L83" s="38">
        <v>83.00733285651711</v>
      </c>
      <c r="M83" s="38">
        <v>4.3406100101054085E-2</v>
      </c>
      <c r="N83" s="38">
        <v>4.3092814335711514E-2</v>
      </c>
      <c r="O83" s="38">
        <v>0</v>
      </c>
      <c r="P83" s="38">
        <v>0</v>
      </c>
      <c r="Q83" s="38">
        <v>0</v>
      </c>
      <c r="R83" s="38">
        <v>30.806228526919949</v>
      </c>
      <c r="S83" s="38">
        <v>71.188508524803197</v>
      </c>
      <c r="T83" s="38">
        <v>0</v>
      </c>
      <c r="U83" s="38">
        <v>55.045247581402045</v>
      </c>
      <c r="V83" s="38" t="s">
        <v>1648</v>
      </c>
      <c r="W83" s="38" t="s">
        <v>1648</v>
      </c>
      <c r="X83" s="38" t="s">
        <v>1648</v>
      </c>
      <c r="Y83" s="38" t="s">
        <v>1648</v>
      </c>
      <c r="Z83" s="38">
        <v>0</v>
      </c>
      <c r="AA83" s="38">
        <v>0</v>
      </c>
      <c r="AB83" s="38">
        <v>0</v>
      </c>
      <c r="AC83" s="38">
        <v>0</v>
      </c>
      <c r="AD83" s="38">
        <v>0</v>
      </c>
      <c r="AE83" s="38">
        <v>0</v>
      </c>
      <c r="AF83" s="38">
        <v>0</v>
      </c>
      <c r="AG83" s="38">
        <v>0</v>
      </c>
      <c r="AH83" s="38">
        <v>30.806228526919949</v>
      </c>
      <c r="AI83" s="38">
        <v>71.188508524803197</v>
      </c>
      <c r="AJ83" s="38">
        <v>0</v>
      </c>
      <c r="AK83" s="38">
        <v>55.045247581402045</v>
      </c>
      <c r="AL83" s="38">
        <v>157.03998463312519</v>
      </c>
      <c r="AM83" s="38">
        <v>43.722202442926282</v>
      </c>
      <c r="AN83" s="38">
        <v>15.337479709127154</v>
      </c>
      <c r="AO83" s="38">
        <v>0</v>
      </c>
      <c r="AP83" s="38">
        <v>0</v>
      </c>
      <c r="AQ83" s="38">
        <v>59.059682152053433</v>
      </c>
      <c r="AR83" s="38">
        <v>30.806228526919949</v>
      </c>
      <c r="AS83" s="49">
        <v>1.9171344554704017</v>
      </c>
      <c r="AT83" s="38">
        <v>43.722202442926282</v>
      </c>
      <c r="AU83" s="38">
        <v>18.155007708308062</v>
      </c>
      <c r="AV83" s="38">
        <v>0</v>
      </c>
      <c r="AW83" s="38">
        <v>0</v>
      </c>
      <c r="AX83" s="38">
        <v>61.877210151234344</v>
      </c>
      <c r="AY83" s="38">
        <v>71.188508524803197</v>
      </c>
      <c r="AZ83" s="50">
        <v>0.86920222706555716</v>
      </c>
      <c r="BA83" s="38">
        <v>43.722202442926282</v>
      </c>
      <c r="BB83" s="38">
        <v>33.492487417435214</v>
      </c>
      <c r="BC83" s="38">
        <v>0</v>
      </c>
      <c r="BD83" s="38">
        <v>0</v>
      </c>
      <c r="BE83" s="38">
        <v>77.214689860361503</v>
      </c>
      <c r="BF83" s="38">
        <v>101.99473705172315</v>
      </c>
      <c r="BG83" s="38">
        <v>60.723736760129341</v>
      </c>
      <c r="BH83" s="50">
        <v>0.75704582503315543</v>
      </c>
      <c r="BI83" s="38">
        <v>27.30814420881055</v>
      </c>
      <c r="BJ83" s="38">
        <v>63.104967721273709</v>
      </c>
      <c r="BK83" s="38">
        <v>0</v>
      </c>
      <c r="BL83" s="38">
        <v>48.794793483046902</v>
      </c>
      <c r="BM83" s="38">
        <v>139.20790541313116</v>
      </c>
      <c r="BN83" s="38">
        <v>43.722202442926282</v>
      </c>
      <c r="BO83" s="38">
        <v>0</v>
      </c>
      <c r="BP83" s="38">
        <v>33.492487417435214</v>
      </c>
      <c r="BQ83" s="38">
        <v>0</v>
      </c>
      <c r="BR83" s="38">
        <v>0</v>
      </c>
      <c r="BS83" s="38">
        <v>0</v>
      </c>
      <c r="BT83" s="38">
        <v>0</v>
      </c>
      <c r="BU83" s="38">
        <v>0</v>
      </c>
      <c r="BV83" s="38">
        <v>0</v>
      </c>
      <c r="BW83" s="38">
        <v>0</v>
      </c>
      <c r="BX83" s="38">
        <v>157.03998463312519</v>
      </c>
      <c r="BY83" s="38"/>
      <c r="BZ83" s="38">
        <v>0</v>
      </c>
      <c r="CA83" s="38">
        <v>0</v>
      </c>
      <c r="CB83" s="38">
        <v>77.214689860361489</v>
      </c>
      <c r="CC83" s="38">
        <v>157.03998463312519</v>
      </c>
      <c r="CD83" s="50">
        <v>0.49168808848746048</v>
      </c>
      <c r="CE83" s="38">
        <v>109.51853024317627</v>
      </c>
      <c r="CF83" s="38">
        <v>0.78857469254170331</v>
      </c>
      <c r="CG83" s="38">
        <v>0</v>
      </c>
      <c r="CH83" s="38">
        <v>0.78857469254170331</v>
      </c>
      <c r="CI83" s="38">
        <v>3.942848310684563E-2</v>
      </c>
      <c r="CJ83" s="38">
        <v>0</v>
      </c>
      <c r="CK83" s="38">
        <v>3.942848310684563E-2</v>
      </c>
      <c r="CL83" s="38"/>
      <c r="CM83" s="38">
        <v>0</v>
      </c>
      <c r="CN83" s="38"/>
      <c r="CO83" s="38">
        <v>0</v>
      </c>
      <c r="CP83" s="38">
        <v>0</v>
      </c>
      <c r="CQ83" s="38">
        <v>0</v>
      </c>
      <c r="CR83" s="38">
        <v>0</v>
      </c>
      <c r="CS83" s="38">
        <v>0</v>
      </c>
      <c r="CT83" s="38">
        <v>0</v>
      </c>
      <c r="CU83" s="38">
        <v>0</v>
      </c>
      <c r="CV83" s="38">
        <v>9999</v>
      </c>
      <c r="CW83" s="49">
        <v>9999</v>
      </c>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row>
    <row r="84" spans="1:131">
      <c r="A84" s="27" t="s">
        <v>237</v>
      </c>
      <c r="B84" s="27" t="s">
        <v>74</v>
      </c>
      <c r="C84" s="38">
        <v>45</v>
      </c>
      <c r="D84" s="38">
        <v>4362.4664073114282</v>
      </c>
      <c r="E84" s="38">
        <v>0</v>
      </c>
      <c r="F84" s="38">
        <v>3567.2363679851774</v>
      </c>
      <c r="G84" s="38">
        <v>0</v>
      </c>
      <c r="H84" s="38">
        <v>0</v>
      </c>
      <c r="I84" s="38" t="s">
        <v>1479</v>
      </c>
      <c r="J84" s="38"/>
      <c r="K84" s="38"/>
      <c r="L84" s="38">
        <v>4704.3999020605224</v>
      </c>
      <c r="M84" s="38">
        <v>2.4600194469228249</v>
      </c>
      <c r="N84" s="38">
        <v>2.4422641297348586</v>
      </c>
      <c r="O84" s="38">
        <v>0</v>
      </c>
      <c r="P84" s="38">
        <v>0</v>
      </c>
      <c r="Q84" s="38">
        <v>0</v>
      </c>
      <c r="R84" s="38">
        <v>466.57926777311775</v>
      </c>
      <c r="S84" s="38">
        <v>1078.1937215176504</v>
      </c>
      <c r="T84" s="38">
        <v>0</v>
      </c>
      <c r="U84" s="38">
        <v>833.69411119175277</v>
      </c>
      <c r="V84" s="38" t="s">
        <v>1648</v>
      </c>
      <c r="W84" s="38" t="s">
        <v>1648</v>
      </c>
      <c r="X84" s="38" t="s">
        <v>1648</v>
      </c>
      <c r="Y84" s="38" t="s">
        <v>1648</v>
      </c>
      <c r="Z84" s="38">
        <v>0</v>
      </c>
      <c r="AA84" s="38">
        <v>0</v>
      </c>
      <c r="AB84" s="38">
        <v>0</v>
      </c>
      <c r="AC84" s="38">
        <v>0</v>
      </c>
      <c r="AD84" s="38">
        <v>0</v>
      </c>
      <c r="AE84" s="38">
        <v>0</v>
      </c>
      <c r="AF84" s="38">
        <v>0</v>
      </c>
      <c r="AG84" s="38">
        <v>0</v>
      </c>
      <c r="AH84" s="38">
        <v>466.57926777311775</v>
      </c>
      <c r="AI84" s="38">
        <v>1078.1937215176504</v>
      </c>
      <c r="AJ84" s="38">
        <v>0</v>
      </c>
      <c r="AK84" s="38">
        <v>833.69411119175277</v>
      </c>
      <c r="AL84" s="38">
        <v>2378.4671004825209</v>
      </c>
      <c r="AM84" s="38">
        <v>2477.9343922050111</v>
      </c>
      <c r="AN84" s="38">
        <v>869.24414456485067</v>
      </c>
      <c r="AO84" s="38">
        <v>0</v>
      </c>
      <c r="AP84" s="38">
        <v>0</v>
      </c>
      <c r="AQ84" s="38">
        <v>3347.1785367698617</v>
      </c>
      <c r="AR84" s="38">
        <v>466.57926777311775</v>
      </c>
      <c r="AS84" s="49">
        <v>7.1738689821029196</v>
      </c>
      <c r="AT84" s="38">
        <v>2477.9343922050111</v>
      </c>
      <c r="AU84" s="38">
        <v>1028.926162854862</v>
      </c>
      <c r="AV84" s="38">
        <v>0</v>
      </c>
      <c r="AW84" s="38">
        <v>0</v>
      </c>
      <c r="AX84" s="38">
        <v>3506.8605550598731</v>
      </c>
      <c r="AY84" s="38">
        <v>1078.1937215176504</v>
      </c>
      <c r="AZ84" s="49">
        <v>3.2525329030145578</v>
      </c>
      <c r="BA84" s="38">
        <v>2477.9343922050111</v>
      </c>
      <c r="BB84" s="38">
        <v>1898.1703074197126</v>
      </c>
      <c r="BC84" s="38">
        <v>0</v>
      </c>
      <c r="BD84" s="38">
        <v>0</v>
      </c>
      <c r="BE84" s="38">
        <v>4376.1046996247242</v>
      </c>
      <c r="BF84" s="38">
        <v>1544.7729892907682</v>
      </c>
      <c r="BG84" s="38">
        <v>-5.52750484030524</v>
      </c>
      <c r="BH84" s="49">
        <v>2.8328464635013257</v>
      </c>
      <c r="BI84" s="38">
        <v>7.297789283338509</v>
      </c>
      <c r="BJ84" s="38">
        <v>16.86408104631116</v>
      </c>
      <c r="BK84" s="38">
        <v>0</v>
      </c>
      <c r="BL84" s="38">
        <v>13.039850611613774</v>
      </c>
      <c r="BM84" s="38">
        <v>37.201720941263446</v>
      </c>
      <c r="BN84" s="38">
        <v>2477.9343922050111</v>
      </c>
      <c r="BO84" s="38">
        <v>0</v>
      </c>
      <c r="BP84" s="38">
        <v>1898.1703074197126</v>
      </c>
      <c r="BQ84" s="38">
        <v>0</v>
      </c>
      <c r="BR84" s="38">
        <v>0</v>
      </c>
      <c r="BS84" s="38">
        <v>0</v>
      </c>
      <c r="BT84" s="38">
        <v>0</v>
      </c>
      <c r="BU84" s="38">
        <v>0</v>
      </c>
      <c r="BV84" s="38">
        <v>0</v>
      </c>
      <c r="BW84" s="38">
        <v>0</v>
      </c>
      <c r="BX84" s="38">
        <v>2378.4671004825209</v>
      </c>
      <c r="BY84" s="38"/>
      <c r="BZ84" s="38">
        <v>0</v>
      </c>
      <c r="CA84" s="38">
        <v>0</v>
      </c>
      <c r="CB84" s="38">
        <v>4376.1046996247242</v>
      </c>
      <c r="CC84" s="38">
        <v>2378.4671004825209</v>
      </c>
      <c r="CD84" s="49">
        <v>1.8398844780055783</v>
      </c>
      <c r="CE84" s="38">
        <v>7.5123457713085333</v>
      </c>
      <c r="CF84" s="38">
        <v>44.692084165300656</v>
      </c>
      <c r="CG84" s="38">
        <v>0</v>
      </c>
      <c r="CH84" s="38">
        <v>44.692084165300656</v>
      </c>
      <c r="CI84" s="38">
        <v>2.2345899534787477</v>
      </c>
      <c r="CJ84" s="38">
        <v>0</v>
      </c>
      <c r="CK84" s="38">
        <v>2.2345899534787477</v>
      </c>
      <c r="CL84" s="38"/>
      <c r="CM84" s="38">
        <v>0</v>
      </c>
      <c r="CN84" s="38"/>
      <c r="CO84" s="38">
        <v>0</v>
      </c>
      <c r="CP84" s="38">
        <v>0</v>
      </c>
      <c r="CQ84" s="38">
        <v>0</v>
      </c>
      <c r="CR84" s="38">
        <v>0</v>
      </c>
      <c r="CS84" s="38">
        <v>0</v>
      </c>
      <c r="CT84" s="38">
        <v>0</v>
      </c>
      <c r="CU84" s="38">
        <v>0</v>
      </c>
      <c r="CV84" s="38">
        <v>9999</v>
      </c>
      <c r="CW84" s="49">
        <v>9999</v>
      </c>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row>
    <row r="85" spans="1:131">
      <c r="A85" s="27" t="s">
        <v>238</v>
      </c>
      <c r="B85" s="27" t="s">
        <v>75</v>
      </c>
      <c r="C85" s="38">
        <v>45</v>
      </c>
      <c r="D85" s="38">
        <v>2581.7614686726752</v>
      </c>
      <c r="E85" s="38">
        <v>0</v>
      </c>
      <c r="F85" s="38">
        <v>3567.2363679851774</v>
      </c>
      <c r="G85" s="38">
        <v>0</v>
      </c>
      <c r="H85" s="38">
        <v>0</v>
      </c>
      <c r="I85" s="38" t="s">
        <v>1479</v>
      </c>
      <c r="J85" s="38"/>
      <c r="K85" s="38"/>
      <c r="L85" s="38">
        <v>2784.1219315778467</v>
      </c>
      <c r="M85" s="38">
        <v>1.4558698743459266</v>
      </c>
      <c r="N85" s="38">
        <v>1.4453620584683933</v>
      </c>
      <c r="O85" s="38">
        <v>0</v>
      </c>
      <c r="P85" s="38">
        <v>0</v>
      </c>
      <c r="Q85" s="38">
        <v>0</v>
      </c>
      <c r="R85" s="38">
        <v>466.57926777311775</v>
      </c>
      <c r="S85" s="38">
        <v>1078.1937215176504</v>
      </c>
      <c r="T85" s="38">
        <v>0</v>
      </c>
      <c r="U85" s="38">
        <v>833.69411119175277</v>
      </c>
      <c r="V85" s="38" t="s">
        <v>1648</v>
      </c>
      <c r="W85" s="38" t="s">
        <v>1648</v>
      </c>
      <c r="X85" s="38" t="s">
        <v>1648</v>
      </c>
      <c r="Y85" s="38" t="s">
        <v>1648</v>
      </c>
      <c r="Z85" s="38">
        <v>0</v>
      </c>
      <c r="AA85" s="38">
        <v>0</v>
      </c>
      <c r="AB85" s="38">
        <v>0</v>
      </c>
      <c r="AC85" s="38">
        <v>0</v>
      </c>
      <c r="AD85" s="38">
        <v>0</v>
      </c>
      <c r="AE85" s="38">
        <v>0</v>
      </c>
      <c r="AF85" s="38">
        <v>0</v>
      </c>
      <c r="AG85" s="38">
        <v>0</v>
      </c>
      <c r="AH85" s="38">
        <v>466.57926777311775</v>
      </c>
      <c r="AI85" s="38">
        <v>1078.1937215176504</v>
      </c>
      <c r="AJ85" s="38">
        <v>0</v>
      </c>
      <c r="AK85" s="38">
        <v>833.69411119175277</v>
      </c>
      <c r="AL85" s="38">
        <v>2378.4671004825209</v>
      </c>
      <c r="AM85" s="38">
        <v>1466.4721601000151</v>
      </c>
      <c r="AN85" s="38">
        <v>514.42941441237417</v>
      </c>
      <c r="AO85" s="38">
        <v>0</v>
      </c>
      <c r="AP85" s="38">
        <v>0</v>
      </c>
      <c r="AQ85" s="38">
        <v>1980.9015745123893</v>
      </c>
      <c r="AR85" s="38">
        <v>466.57926777311775</v>
      </c>
      <c r="AS85" s="49">
        <v>4.245584215447046</v>
      </c>
      <c r="AT85" s="38">
        <v>1466.4721601000151</v>
      </c>
      <c r="AU85" s="38">
        <v>608.93120389781154</v>
      </c>
      <c r="AV85" s="38">
        <v>0</v>
      </c>
      <c r="AW85" s="38">
        <v>0</v>
      </c>
      <c r="AX85" s="38">
        <v>2075.4033639978265</v>
      </c>
      <c r="AY85" s="38">
        <v>1078.1937215176504</v>
      </c>
      <c r="AZ85" s="49">
        <v>1.9248891201819631</v>
      </c>
      <c r="BA85" s="38">
        <v>1466.4721601000151</v>
      </c>
      <c r="BB85" s="38">
        <v>1123.3606183101856</v>
      </c>
      <c r="BC85" s="38">
        <v>0</v>
      </c>
      <c r="BD85" s="38">
        <v>0</v>
      </c>
      <c r="BE85" s="38">
        <v>2589.8327784102007</v>
      </c>
      <c r="BF85" s="38">
        <v>1544.7729892907682</v>
      </c>
      <c r="BG85" s="38">
        <v>11.137536583864854</v>
      </c>
      <c r="BH85" s="49">
        <v>1.6765135048090383</v>
      </c>
      <c r="BI85" s="38">
        <v>12.33125561075523</v>
      </c>
      <c r="BJ85" s="38">
        <v>28.495656143064522</v>
      </c>
      <c r="BK85" s="38">
        <v>0</v>
      </c>
      <c r="BL85" s="38">
        <v>22.03375909811313</v>
      </c>
      <c r="BM85" s="38">
        <v>62.860670851932888</v>
      </c>
      <c r="BN85" s="38">
        <v>1466.4721601000151</v>
      </c>
      <c r="BO85" s="38">
        <v>0</v>
      </c>
      <c r="BP85" s="38">
        <v>1123.3606183101856</v>
      </c>
      <c r="BQ85" s="38">
        <v>0</v>
      </c>
      <c r="BR85" s="38">
        <v>0</v>
      </c>
      <c r="BS85" s="38">
        <v>0</v>
      </c>
      <c r="BT85" s="38">
        <v>0</v>
      </c>
      <c r="BU85" s="38">
        <v>0</v>
      </c>
      <c r="BV85" s="38">
        <v>0</v>
      </c>
      <c r="BW85" s="38">
        <v>0</v>
      </c>
      <c r="BX85" s="38">
        <v>2378.4671004825209</v>
      </c>
      <c r="BY85" s="38"/>
      <c r="BZ85" s="38">
        <v>0</v>
      </c>
      <c r="CA85" s="38">
        <v>0</v>
      </c>
      <c r="CB85" s="38">
        <v>2589.8327784102007</v>
      </c>
      <c r="CC85" s="38">
        <v>2378.4671004825209</v>
      </c>
      <c r="CD85" s="49">
        <v>1.0888663450021234</v>
      </c>
      <c r="CE85" s="38">
        <v>33.171295681977981</v>
      </c>
      <c r="CF85" s="38">
        <v>26.449327073159179</v>
      </c>
      <c r="CG85" s="38">
        <v>0</v>
      </c>
      <c r="CH85" s="38">
        <v>26.449327073159179</v>
      </c>
      <c r="CI85" s="38">
        <v>1.3224579174994768</v>
      </c>
      <c r="CJ85" s="38">
        <v>0</v>
      </c>
      <c r="CK85" s="38">
        <v>1.3224579174994768</v>
      </c>
      <c r="CL85" s="38"/>
      <c r="CM85" s="38">
        <v>0</v>
      </c>
      <c r="CN85" s="38"/>
      <c r="CO85" s="38">
        <v>0</v>
      </c>
      <c r="CP85" s="38">
        <v>0</v>
      </c>
      <c r="CQ85" s="38">
        <v>0</v>
      </c>
      <c r="CR85" s="38">
        <v>0</v>
      </c>
      <c r="CS85" s="38">
        <v>0</v>
      </c>
      <c r="CT85" s="38">
        <v>0</v>
      </c>
      <c r="CU85" s="38">
        <v>0</v>
      </c>
      <c r="CV85" s="38">
        <v>9999</v>
      </c>
      <c r="CW85" s="49">
        <v>9999</v>
      </c>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row>
    <row r="86" spans="1:131">
      <c r="A86" s="27" t="s">
        <v>235</v>
      </c>
      <c r="B86" s="27" t="s">
        <v>72</v>
      </c>
      <c r="C86" s="38">
        <v>45</v>
      </c>
      <c r="D86" s="38">
        <v>4007.8072645659718</v>
      </c>
      <c r="E86" s="38">
        <v>0</v>
      </c>
      <c r="F86" s="38">
        <v>2730.3075374938753</v>
      </c>
      <c r="G86" s="38">
        <v>0</v>
      </c>
      <c r="H86" s="38">
        <v>0</v>
      </c>
      <c r="I86" s="38" t="s">
        <v>1479</v>
      </c>
      <c r="J86" s="38"/>
      <c r="K86" s="38"/>
      <c r="L86" s="38">
        <v>4321.9423011033477</v>
      </c>
      <c r="M86" s="38">
        <v>2.2600251531626352</v>
      </c>
      <c r="N86" s="38">
        <v>2.2437133051008735</v>
      </c>
      <c r="O86" s="38">
        <v>0</v>
      </c>
      <c r="P86" s="38">
        <v>0</v>
      </c>
      <c r="Q86" s="38">
        <v>0</v>
      </c>
      <c r="R86" s="38">
        <v>357.11255443351382</v>
      </c>
      <c r="S86" s="38">
        <v>825.23279678293693</v>
      </c>
      <c r="T86" s="38">
        <v>0</v>
      </c>
      <c r="U86" s="38">
        <v>638.09657699715342</v>
      </c>
      <c r="V86" s="38" t="s">
        <v>1648</v>
      </c>
      <c r="W86" s="38" t="s">
        <v>1648</v>
      </c>
      <c r="X86" s="38" t="s">
        <v>1648</v>
      </c>
      <c r="Y86" s="38" t="s">
        <v>1648</v>
      </c>
      <c r="Z86" s="38">
        <v>0</v>
      </c>
      <c r="AA86" s="38">
        <v>0</v>
      </c>
      <c r="AB86" s="38">
        <v>0</v>
      </c>
      <c r="AC86" s="38">
        <v>0</v>
      </c>
      <c r="AD86" s="38">
        <v>0</v>
      </c>
      <c r="AE86" s="38">
        <v>0</v>
      </c>
      <c r="AF86" s="38">
        <v>0</v>
      </c>
      <c r="AG86" s="38">
        <v>0</v>
      </c>
      <c r="AH86" s="38">
        <v>357.11255443351382</v>
      </c>
      <c r="AI86" s="38">
        <v>825.23279678293693</v>
      </c>
      <c r="AJ86" s="38">
        <v>0</v>
      </c>
      <c r="AK86" s="38">
        <v>638.09657699715342</v>
      </c>
      <c r="AL86" s="38">
        <v>1820.4419282136041</v>
      </c>
      <c r="AM86" s="38">
        <v>2276.4836518976413</v>
      </c>
      <c r="AN86" s="38">
        <v>798.57646386221063</v>
      </c>
      <c r="AO86" s="38">
        <v>0</v>
      </c>
      <c r="AP86" s="38">
        <v>0</v>
      </c>
      <c r="AQ86" s="38">
        <v>3075.0601157598521</v>
      </c>
      <c r="AR86" s="38">
        <v>357.11255443351382</v>
      </c>
      <c r="AS86" s="49">
        <v>8.6108989381171632</v>
      </c>
      <c r="AT86" s="38">
        <v>2276.4836518976413</v>
      </c>
      <c r="AU86" s="38">
        <v>945.27667726687457</v>
      </c>
      <c r="AV86" s="38">
        <v>0</v>
      </c>
      <c r="AW86" s="38">
        <v>0</v>
      </c>
      <c r="AX86" s="38">
        <v>3221.760329164516</v>
      </c>
      <c r="AY86" s="38">
        <v>825.23279678293693</v>
      </c>
      <c r="AZ86" s="49">
        <v>3.9040623951497455</v>
      </c>
      <c r="BA86" s="38">
        <v>2276.4836518976413</v>
      </c>
      <c r="BB86" s="38">
        <v>1743.8531411290851</v>
      </c>
      <c r="BC86" s="38">
        <v>0</v>
      </c>
      <c r="BD86" s="38">
        <v>0</v>
      </c>
      <c r="BE86" s="38">
        <v>4020.3367930267268</v>
      </c>
      <c r="BF86" s="38">
        <v>1182.3453512164508</v>
      </c>
      <c r="BG86" s="38">
        <v>-9.5597588136204283</v>
      </c>
      <c r="BH86" s="49">
        <v>3.4003066776474582</v>
      </c>
      <c r="BI86" s="38">
        <v>6.0798976452872706</v>
      </c>
      <c r="BJ86" s="38">
        <v>14.049718711047216</v>
      </c>
      <c r="BK86" s="38">
        <v>0</v>
      </c>
      <c r="BL86" s="38">
        <v>10.863695010960884</v>
      </c>
      <c r="BM86" s="38">
        <v>30.99331136729537</v>
      </c>
      <c r="BN86" s="38">
        <v>2276.4836518976413</v>
      </c>
      <c r="BO86" s="38">
        <v>0</v>
      </c>
      <c r="BP86" s="38">
        <v>1743.8531411290851</v>
      </c>
      <c r="BQ86" s="38">
        <v>0</v>
      </c>
      <c r="BR86" s="38">
        <v>0</v>
      </c>
      <c r="BS86" s="38">
        <v>0</v>
      </c>
      <c r="BT86" s="38">
        <v>0</v>
      </c>
      <c r="BU86" s="38">
        <v>0</v>
      </c>
      <c r="BV86" s="38">
        <v>0</v>
      </c>
      <c r="BW86" s="38">
        <v>0</v>
      </c>
      <c r="BX86" s="38">
        <v>1820.4419282136041</v>
      </c>
      <c r="BY86" s="38"/>
      <c r="BZ86" s="38">
        <v>0</v>
      </c>
      <c r="CA86" s="38">
        <v>0</v>
      </c>
      <c r="CB86" s="38">
        <v>4020.3367930267268</v>
      </c>
      <c r="CC86" s="38">
        <v>1820.4419282136041</v>
      </c>
      <c r="CD86" s="49">
        <v>2.2084400115810752</v>
      </c>
      <c r="CE86" s="38">
        <v>1.303936197340456</v>
      </c>
      <c r="CF86" s="38">
        <v>41.058713778537786</v>
      </c>
      <c r="CG86" s="38">
        <v>0</v>
      </c>
      <c r="CH86" s="38">
        <v>41.058713778537786</v>
      </c>
      <c r="CI86" s="38">
        <v>2.0529225930240904</v>
      </c>
      <c r="CJ86" s="38">
        <v>0</v>
      </c>
      <c r="CK86" s="38">
        <v>2.0529225930240904</v>
      </c>
      <c r="CL86" s="38"/>
      <c r="CM86" s="38">
        <v>0</v>
      </c>
      <c r="CN86" s="38"/>
      <c r="CO86" s="38">
        <v>0</v>
      </c>
      <c r="CP86" s="38">
        <v>0</v>
      </c>
      <c r="CQ86" s="38">
        <v>0</v>
      </c>
      <c r="CR86" s="38">
        <v>0</v>
      </c>
      <c r="CS86" s="38">
        <v>0</v>
      </c>
      <c r="CT86" s="38">
        <v>0</v>
      </c>
      <c r="CU86" s="38">
        <v>0</v>
      </c>
      <c r="CV86" s="38">
        <v>9999</v>
      </c>
      <c r="CW86" s="49">
        <v>9999</v>
      </c>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row>
    <row r="87" spans="1:131">
      <c r="A87" s="27" t="s">
        <v>236</v>
      </c>
      <c r="B87" s="27" t="s">
        <v>73</v>
      </c>
      <c r="C87" s="38">
        <v>45</v>
      </c>
      <c r="D87" s="38">
        <v>2227.1023259272174</v>
      </c>
      <c r="E87" s="38">
        <v>0</v>
      </c>
      <c r="F87" s="38">
        <v>2730.3075374938753</v>
      </c>
      <c r="G87" s="38">
        <v>0</v>
      </c>
      <c r="H87" s="38">
        <v>0</v>
      </c>
      <c r="I87" s="38" t="s">
        <v>1479</v>
      </c>
      <c r="J87" s="38"/>
      <c r="K87" s="38"/>
      <c r="L87" s="38">
        <v>2401.6643306206706</v>
      </c>
      <c r="M87" s="38">
        <v>1.2558755805857362</v>
      </c>
      <c r="N87" s="38">
        <v>1.2468112338344073</v>
      </c>
      <c r="O87" s="38">
        <v>0</v>
      </c>
      <c r="P87" s="38">
        <v>0</v>
      </c>
      <c r="Q87" s="38">
        <v>0</v>
      </c>
      <c r="R87" s="38">
        <v>357.11255443351382</v>
      </c>
      <c r="S87" s="38">
        <v>825.23279678293693</v>
      </c>
      <c r="T87" s="38">
        <v>0</v>
      </c>
      <c r="U87" s="38">
        <v>638.09657699715342</v>
      </c>
      <c r="V87" s="38" t="s">
        <v>1648</v>
      </c>
      <c r="W87" s="38" t="s">
        <v>1648</v>
      </c>
      <c r="X87" s="38" t="s">
        <v>1648</v>
      </c>
      <c r="Y87" s="38" t="s">
        <v>1648</v>
      </c>
      <c r="Z87" s="38">
        <v>0</v>
      </c>
      <c r="AA87" s="38">
        <v>0</v>
      </c>
      <c r="AB87" s="38">
        <v>0</v>
      </c>
      <c r="AC87" s="38">
        <v>0</v>
      </c>
      <c r="AD87" s="38">
        <v>0</v>
      </c>
      <c r="AE87" s="38">
        <v>0</v>
      </c>
      <c r="AF87" s="38">
        <v>0</v>
      </c>
      <c r="AG87" s="38">
        <v>0</v>
      </c>
      <c r="AH87" s="38">
        <v>357.11255443351382</v>
      </c>
      <c r="AI87" s="38">
        <v>825.23279678293693</v>
      </c>
      <c r="AJ87" s="38">
        <v>0</v>
      </c>
      <c r="AK87" s="38">
        <v>638.09657699715342</v>
      </c>
      <c r="AL87" s="38">
        <v>1820.4419282136041</v>
      </c>
      <c r="AM87" s="38">
        <v>1265.0214197926455</v>
      </c>
      <c r="AN87" s="38">
        <v>443.76173370973396</v>
      </c>
      <c r="AO87" s="38">
        <v>0</v>
      </c>
      <c r="AP87" s="38">
        <v>0</v>
      </c>
      <c r="AQ87" s="38">
        <v>1708.7831535023795</v>
      </c>
      <c r="AR87" s="38">
        <v>357.11255443351382</v>
      </c>
      <c r="AS87" s="49">
        <v>4.7849988254067828</v>
      </c>
      <c r="AT87" s="38">
        <v>1265.0214197926455</v>
      </c>
      <c r="AU87" s="38">
        <v>525.28171830982365</v>
      </c>
      <c r="AV87" s="38">
        <v>0</v>
      </c>
      <c r="AW87" s="38">
        <v>0</v>
      </c>
      <c r="AX87" s="38">
        <v>1790.3031381024691</v>
      </c>
      <c r="AY87" s="38">
        <v>825.23279678293693</v>
      </c>
      <c r="AZ87" s="49">
        <v>2.1694522383038262</v>
      </c>
      <c r="BA87" s="38">
        <v>1265.0214197926455</v>
      </c>
      <c r="BB87" s="38">
        <v>969.04345201955766</v>
      </c>
      <c r="BC87" s="38">
        <v>0</v>
      </c>
      <c r="BD87" s="38">
        <v>0</v>
      </c>
      <c r="BE87" s="38">
        <v>2234.0648718122029</v>
      </c>
      <c r="BF87" s="38">
        <v>1182.3453512164508</v>
      </c>
      <c r="BG87" s="38">
        <v>6.5351043820815784</v>
      </c>
      <c r="BH87" s="49">
        <v>1.8895197325499653</v>
      </c>
      <c r="BI87" s="38">
        <v>10.941148804402172</v>
      </c>
      <c r="BJ87" s="38">
        <v>25.283330747634306</v>
      </c>
      <c r="BK87" s="38">
        <v>0</v>
      </c>
      <c r="BL87" s="38">
        <v>19.54988564202192</v>
      </c>
      <c r="BM87" s="38">
        <v>55.77436519405839</v>
      </c>
      <c r="BN87" s="38">
        <v>1265.0214197926455</v>
      </c>
      <c r="BO87" s="38">
        <v>0</v>
      </c>
      <c r="BP87" s="38">
        <v>969.04345201955766</v>
      </c>
      <c r="BQ87" s="38">
        <v>0</v>
      </c>
      <c r="BR87" s="38">
        <v>0</v>
      </c>
      <c r="BS87" s="38">
        <v>0</v>
      </c>
      <c r="BT87" s="38">
        <v>0</v>
      </c>
      <c r="BU87" s="38">
        <v>0</v>
      </c>
      <c r="BV87" s="38">
        <v>0</v>
      </c>
      <c r="BW87" s="38">
        <v>0</v>
      </c>
      <c r="BX87" s="38">
        <v>1820.4419282136041</v>
      </c>
      <c r="BY87" s="38"/>
      <c r="BZ87" s="38">
        <v>0</v>
      </c>
      <c r="CA87" s="38">
        <v>0</v>
      </c>
      <c r="CB87" s="38">
        <v>2234.0648718122029</v>
      </c>
      <c r="CC87" s="38">
        <v>1820.4419282136041</v>
      </c>
      <c r="CD87" s="49">
        <v>1.2272101829716073</v>
      </c>
      <c r="CE87" s="38">
        <v>26.084990024103494</v>
      </c>
      <c r="CF87" s="38">
        <v>22.815956686396252</v>
      </c>
      <c r="CG87" s="38">
        <v>0</v>
      </c>
      <c r="CH87" s="38">
        <v>22.815956686396252</v>
      </c>
      <c r="CI87" s="38">
        <v>1.1407905570448185</v>
      </c>
      <c r="CJ87" s="38">
        <v>0</v>
      </c>
      <c r="CK87" s="38">
        <v>1.1407905570448185</v>
      </c>
      <c r="CL87" s="38"/>
      <c r="CM87" s="38">
        <v>0</v>
      </c>
      <c r="CN87" s="38"/>
      <c r="CO87" s="38">
        <v>0</v>
      </c>
      <c r="CP87" s="38">
        <v>0</v>
      </c>
      <c r="CQ87" s="38">
        <v>0</v>
      </c>
      <c r="CR87" s="38">
        <v>0</v>
      </c>
      <c r="CS87" s="38">
        <v>0</v>
      </c>
      <c r="CT87" s="38">
        <v>0</v>
      </c>
      <c r="CU87" s="38">
        <v>0</v>
      </c>
      <c r="CV87" s="38">
        <v>9999</v>
      </c>
      <c r="CW87" s="49">
        <v>9999</v>
      </c>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row>
    <row r="88" spans="1:131">
      <c r="A88" s="27" t="s">
        <v>221</v>
      </c>
      <c r="B88" s="27" t="s">
        <v>69</v>
      </c>
      <c r="C88" s="38">
        <v>45</v>
      </c>
      <c r="D88" s="38">
        <v>598.19707837157569</v>
      </c>
      <c r="E88" s="38">
        <v>0</v>
      </c>
      <c r="F88" s="38">
        <v>444.29060237385954</v>
      </c>
      <c r="G88" s="38">
        <v>0</v>
      </c>
      <c r="H88" s="38">
        <v>0</v>
      </c>
      <c r="I88" s="38" t="s">
        <v>1479</v>
      </c>
      <c r="J88" s="38"/>
      <c r="K88" s="38"/>
      <c r="L88" s="38">
        <v>645.08422854274454</v>
      </c>
      <c r="M88" s="38">
        <v>0.33732671119716895</v>
      </c>
      <c r="N88" s="38">
        <v>0.33489203826774511</v>
      </c>
      <c r="O88" s="38">
        <v>0</v>
      </c>
      <c r="P88" s="38">
        <v>0</v>
      </c>
      <c r="Q88" s="38">
        <v>0</v>
      </c>
      <c r="R88" s="38">
        <v>58.111311544840746</v>
      </c>
      <c r="S88" s="38">
        <v>134.28640229953521</v>
      </c>
      <c r="T88" s="38">
        <v>0</v>
      </c>
      <c r="U88" s="38">
        <v>103.83457126115013</v>
      </c>
      <c r="V88" s="38" t="s">
        <v>1648</v>
      </c>
      <c r="W88" s="38" t="s">
        <v>1648</v>
      </c>
      <c r="X88" s="38" t="s">
        <v>1648</v>
      </c>
      <c r="Y88" s="38" t="s">
        <v>1648</v>
      </c>
      <c r="Z88" s="38">
        <v>0</v>
      </c>
      <c r="AA88" s="38">
        <v>0</v>
      </c>
      <c r="AB88" s="38">
        <v>0</v>
      </c>
      <c r="AC88" s="38">
        <v>0</v>
      </c>
      <c r="AD88" s="38">
        <v>0</v>
      </c>
      <c r="AE88" s="38">
        <v>0</v>
      </c>
      <c r="AF88" s="38">
        <v>0</v>
      </c>
      <c r="AG88" s="38">
        <v>0</v>
      </c>
      <c r="AH88" s="38">
        <v>58.111311544840746</v>
      </c>
      <c r="AI88" s="38">
        <v>134.28640229953521</v>
      </c>
      <c r="AJ88" s="38">
        <v>0</v>
      </c>
      <c r="AK88" s="38">
        <v>103.83457126115013</v>
      </c>
      <c r="AL88" s="38">
        <v>296.2322851055261</v>
      </c>
      <c r="AM88" s="38">
        <v>339.78327290479137</v>
      </c>
      <c r="AN88" s="38">
        <v>119.19388234114894</v>
      </c>
      <c r="AO88" s="38">
        <v>0</v>
      </c>
      <c r="AP88" s="38">
        <v>0</v>
      </c>
      <c r="AQ88" s="38">
        <v>458.97715524594031</v>
      </c>
      <c r="AR88" s="38">
        <v>58.111311544840746</v>
      </c>
      <c r="AS88" s="49">
        <v>7.8982412037246359</v>
      </c>
      <c r="AT88" s="38">
        <v>339.78327290479137</v>
      </c>
      <c r="AU88" s="38">
        <v>141.09005480209194</v>
      </c>
      <c r="AV88" s="38">
        <v>0</v>
      </c>
      <c r="AW88" s="38">
        <v>0</v>
      </c>
      <c r="AX88" s="38">
        <v>480.87332770688329</v>
      </c>
      <c r="AY88" s="38">
        <v>134.28640229953521</v>
      </c>
      <c r="AZ88" s="49">
        <v>3.5809532422669399</v>
      </c>
      <c r="BA88" s="38">
        <v>339.78327290479137</v>
      </c>
      <c r="BB88" s="38">
        <v>260.28393714324091</v>
      </c>
      <c r="BC88" s="38">
        <v>0</v>
      </c>
      <c r="BD88" s="38">
        <v>0</v>
      </c>
      <c r="BE88" s="38">
        <v>600.06721004803217</v>
      </c>
      <c r="BF88" s="38">
        <v>192.39771384437597</v>
      </c>
      <c r="BG88" s="38">
        <v>-7.7434649810224387</v>
      </c>
      <c r="BH88" s="49">
        <v>3.1188895026757248</v>
      </c>
      <c r="BI88" s="38">
        <v>6.628486371494521</v>
      </c>
      <c r="BJ88" s="38">
        <v>15.317423817437932</v>
      </c>
      <c r="BK88" s="38">
        <v>0</v>
      </c>
      <c r="BL88" s="38">
        <v>11.843925428587511</v>
      </c>
      <c r="BM88" s="38">
        <v>33.789835617519969</v>
      </c>
      <c r="BN88" s="38">
        <v>339.78327290479137</v>
      </c>
      <c r="BO88" s="38">
        <v>0</v>
      </c>
      <c r="BP88" s="38">
        <v>260.28393714324091</v>
      </c>
      <c r="BQ88" s="38">
        <v>0</v>
      </c>
      <c r="BR88" s="38">
        <v>0</v>
      </c>
      <c r="BS88" s="38">
        <v>0</v>
      </c>
      <c r="BT88" s="38">
        <v>0</v>
      </c>
      <c r="BU88" s="38">
        <v>0</v>
      </c>
      <c r="BV88" s="38">
        <v>0</v>
      </c>
      <c r="BW88" s="38">
        <v>0</v>
      </c>
      <c r="BX88" s="38">
        <v>296.2322851055261</v>
      </c>
      <c r="BY88" s="38"/>
      <c r="BZ88" s="38">
        <v>0</v>
      </c>
      <c r="CA88" s="38">
        <v>0</v>
      </c>
      <c r="CB88" s="38">
        <v>600.06721004803228</v>
      </c>
      <c r="CC88" s="38">
        <v>296.2322851055261</v>
      </c>
      <c r="CD88" s="49">
        <v>2.0256644539411761</v>
      </c>
      <c r="CE88" s="38">
        <v>4.1004604475650588</v>
      </c>
      <c r="CF88" s="38">
        <v>6.1283392645070141</v>
      </c>
      <c r="CG88" s="38">
        <v>0</v>
      </c>
      <c r="CH88" s="38">
        <v>6.1283392645070141</v>
      </c>
      <c r="CI88" s="38">
        <v>0.30641500855780368</v>
      </c>
      <c r="CJ88" s="38">
        <v>0</v>
      </c>
      <c r="CK88" s="38">
        <v>0.30641500855780368</v>
      </c>
      <c r="CL88" s="38"/>
      <c r="CM88" s="38">
        <v>0</v>
      </c>
      <c r="CN88" s="38"/>
      <c r="CO88" s="38">
        <v>0</v>
      </c>
      <c r="CP88" s="38">
        <v>0</v>
      </c>
      <c r="CQ88" s="38">
        <v>0</v>
      </c>
      <c r="CR88" s="38">
        <v>0</v>
      </c>
      <c r="CS88" s="38">
        <v>0</v>
      </c>
      <c r="CT88" s="38">
        <v>0</v>
      </c>
      <c r="CU88" s="38">
        <v>0</v>
      </c>
      <c r="CV88" s="38">
        <v>9999</v>
      </c>
      <c r="CW88" s="49">
        <v>9999</v>
      </c>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row>
    <row r="89" spans="1:131">
      <c r="A89" s="27" t="s">
        <v>222</v>
      </c>
      <c r="B89" s="27" t="s">
        <v>70</v>
      </c>
      <c r="C89" s="38">
        <v>45</v>
      </c>
      <c r="D89" s="38">
        <v>211.22672567616448</v>
      </c>
      <c r="E89" s="38">
        <v>0</v>
      </c>
      <c r="F89" s="38">
        <v>315.42921929554086</v>
      </c>
      <c r="G89" s="38">
        <v>0</v>
      </c>
      <c r="H89" s="38">
        <v>0</v>
      </c>
      <c r="I89" s="38" t="s">
        <v>1479</v>
      </c>
      <c r="J89" s="38"/>
      <c r="K89" s="38"/>
      <c r="L89" s="38">
        <v>227.78283998200996</v>
      </c>
      <c r="M89" s="38">
        <v>0.11911194364782247</v>
      </c>
      <c r="N89" s="38">
        <v>0.11825224705355869</v>
      </c>
      <c r="O89" s="38">
        <v>0</v>
      </c>
      <c r="P89" s="38">
        <v>0</v>
      </c>
      <c r="Q89" s="38">
        <v>0</v>
      </c>
      <c r="R89" s="38">
        <v>41.256793492572733</v>
      </c>
      <c r="S89" s="38">
        <v>95.338174638468317</v>
      </c>
      <c r="T89" s="38">
        <v>0</v>
      </c>
      <c r="U89" s="38">
        <v>73.718547216156082</v>
      </c>
      <c r="V89" s="38" t="s">
        <v>1648</v>
      </c>
      <c r="W89" s="38" t="s">
        <v>1648</v>
      </c>
      <c r="X89" s="38" t="s">
        <v>1648</v>
      </c>
      <c r="Y89" s="38" t="s">
        <v>1648</v>
      </c>
      <c r="Z89" s="38">
        <v>0</v>
      </c>
      <c r="AA89" s="38">
        <v>0</v>
      </c>
      <c r="AB89" s="38">
        <v>0</v>
      </c>
      <c r="AC89" s="38">
        <v>0</v>
      </c>
      <c r="AD89" s="38">
        <v>0</v>
      </c>
      <c r="AE89" s="38">
        <v>0</v>
      </c>
      <c r="AF89" s="38">
        <v>0</v>
      </c>
      <c r="AG89" s="38">
        <v>0</v>
      </c>
      <c r="AH89" s="38">
        <v>41.256793492572733</v>
      </c>
      <c r="AI89" s="38">
        <v>95.338174638468317</v>
      </c>
      <c r="AJ89" s="38">
        <v>0</v>
      </c>
      <c r="AK89" s="38">
        <v>73.718547216156082</v>
      </c>
      <c r="AL89" s="38">
        <v>210.31351534719713</v>
      </c>
      <c r="AM89" s="38">
        <v>119.97936929178418</v>
      </c>
      <c r="AN89" s="38">
        <v>42.088024829690013</v>
      </c>
      <c r="AO89" s="38">
        <v>0</v>
      </c>
      <c r="AP89" s="38">
        <v>0</v>
      </c>
      <c r="AQ89" s="38">
        <v>162.06739412147419</v>
      </c>
      <c r="AR89" s="38">
        <v>41.256793492572733</v>
      </c>
      <c r="AS89" s="49">
        <v>3.9282595762234993</v>
      </c>
      <c r="AT89" s="38">
        <v>119.97936929178418</v>
      </c>
      <c r="AU89" s="38">
        <v>49.81968548299178</v>
      </c>
      <c r="AV89" s="38">
        <v>0</v>
      </c>
      <c r="AW89" s="38">
        <v>0</v>
      </c>
      <c r="AX89" s="38">
        <v>169.79905477477595</v>
      </c>
      <c r="AY89" s="38">
        <v>95.338174638468317</v>
      </c>
      <c r="AZ89" s="49">
        <v>1.7810185208461413</v>
      </c>
      <c r="BA89" s="38">
        <v>119.97936929178418</v>
      </c>
      <c r="BB89" s="38">
        <v>91.907710312681786</v>
      </c>
      <c r="BC89" s="38">
        <v>0</v>
      </c>
      <c r="BD89" s="38">
        <v>0</v>
      </c>
      <c r="BE89" s="38">
        <v>211.88707960446595</v>
      </c>
      <c r="BF89" s="38">
        <v>136.59496813104104</v>
      </c>
      <c r="BG89" s="38">
        <v>14.43553275532641</v>
      </c>
      <c r="BH89" s="49">
        <v>1.5512070649717797</v>
      </c>
      <c r="BI89" s="38">
        <v>13.327373907402531</v>
      </c>
      <c r="BJ89" s="38">
        <v>30.797534017878778</v>
      </c>
      <c r="BK89" s="38">
        <v>0</v>
      </c>
      <c r="BL89" s="38">
        <v>23.813645208202871</v>
      </c>
      <c r="BM89" s="38">
        <v>67.938553133484177</v>
      </c>
      <c r="BN89" s="38">
        <v>119.97936929178418</v>
      </c>
      <c r="BO89" s="38">
        <v>0</v>
      </c>
      <c r="BP89" s="38">
        <v>91.907710312681786</v>
      </c>
      <c r="BQ89" s="38">
        <v>0</v>
      </c>
      <c r="BR89" s="38">
        <v>0</v>
      </c>
      <c r="BS89" s="38">
        <v>0</v>
      </c>
      <c r="BT89" s="38">
        <v>0</v>
      </c>
      <c r="BU89" s="38">
        <v>0</v>
      </c>
      <c r="BV89" s="38">
        <v>0</v>
      </c>
      <c r="BW89" s="38">
        <v>0</v>
      </c>
      <c r="BX89" s="38">
        <v>210.31351534719713</v>
      </c>
      <c r="BY89" s="38"/>
      <c r="BZ89" s="38">
        <v>0</v>
      </c>
      <c r="CA89" s="38">
        <v>0</v>
      </c>
      <c r="CB89" s="38">
        <v>211.88707960446598</v>
      </c>
      <c r="CC89" s="38">
        <v>210.31351534719713</v>
      </c>
      <c r="CD89" s="49">
        <v>1.0074819930363064</v>
      </c>
      <c r="CE89" s="38">
        <v>38.249177963529277</v>
      </c>
      <c r="CF89" s="38">
        <v>2.1639507839094114</v>
      </c>
      <c r="CG89" s="38">
        <v>0</v>
      </c>
      <c r="CH89" s="38">
        <v>2.1639507839094114</v>
      </c>
      <c r="CI89" s="38">
        <v>0.10819684899145474</v>
      </c>
      <c r="CJ89" s="38">
        <v>0</v>
      </c>
      <c r="CK89" s="38">
        <v>0.10819684899145474</v>
      </c>
      <c r="CL89" s="38"/>
      <c r="CM89" s="38">
        <v>0</v>
      </c>
      <c r="CN89" s="38"/>
      <c r="CO89" s="38">
        <v>0</v>
      </c>
      <c r="CP89" s="38">
        <v>0</v>
      </c>
      <c r="CQ89" s="38">
        <v>0</v>
      </c>
      <c r="CR89" s="38">
        <v>0</v>
      </c>
      <c r="CS89" s="38">
        <v>0</v>
      </c>
      <c r="CT89" s="38">
        <v>0</v>
      </c>
      <c r="CU89" s="38">
        <v>0</v>
      </c>
      <c r="CV89" s="38">
        <v>9999</v>
      </c>
      <c r="CW89" s="49">
        <v>9999</v>
      </c>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row>
    <row r="90" spans="1:131">
      <c r="A90" s="27" t="s">
        <v>223</v>
      </c>
      <c r="B90" s="27" t="s">
        <v>71</v>
      </c>
      <c r="C90" s="38">
        <v>45</v>
      </c>
      <c r="D90" s="38">
        <v>275.07081083698421</v>
      </c>
      <c r="E90" s="38">
        <v>0</v>
      </c>
      <c r="F90" s="38">
        <v>337.57430889025602</v>
      </c>
      <c r="G90" s="38">
        <v>0</v>
      </c>
      <c r="H90" s="38">
        <v>0</v>
      </c>
      <c r="I90" s="38" t="s">
        <v>1479</v>
      </c>
      <c r="J90" s="38"/>
      <c r="K90" s="38"/>
      <c r="L90" s="38">
        <v>296.63107397054569</v>
      </c>
      <c r="M90" s="38">
        <v>0.15511398387061642</v>
      </c>
      <c r="N90" s="38">
        <v>0.15399444069490825</v>
      </c>
      <c r="O90" s="38">
        <v>0</v>
      </c>
      <c r="P90" s="38">
        <v>0</v>
      </c>
      <c r="Q90" s="38">
        <v>0</v>
      </c>
      <c r="R90" s="38">
        <v>44.153276546121596</v>
      </c>
      <c r="S90" s="38">
        <v>102.03150642263422</v>
      </c>
      <c r="T90" s="38">
        <v>0</v>
      </c>
      <c r="U90" s="38">
        <v>78.894046925853047</v>
      </c>
      <c r="V90" s="38" t="s">
        <v>1648</v>
      </c>
      <c r="W90" s="38" t="s">
        <v>1648</v>
      </c>
      <c r="X90" s="38" t="s">
        <v>1648</v>
      </c>
      <c r="Y90" s="38" t="s">
        <v>1648</v>
      </c>
      <c r="Z90" s="38">
        <v>0</v>
      </c>
      <c r="AA90" s="38">
        <v>0</v>
      </c>
      <c r="AB90" s="38">
        <v>0</v>
      </c>
      <c r="AC90" s="38">
        <v>0</v>
      </c>
      <c r="AD90" s="38">
        <v>0</v>
      </c>
      <c r="AE90" s="38">
        <v>0</v>
      </c>
      <c r="AF90" s="38">
        <v>0</v>
      </c>
      <c r="AG90" s="38">
        <v>0</v>
      </c>
      <c r="AH90" s="38">
        <v>44.153276546121596</v>
      </c>
      <c r="AI90" s="38">
        <v>102.03150642263422</v>
      </c>
      <c r="AJ90" s="38">
        <v>0</v>
      </c>
      <c r="AK90" s="38">
        <v>78.894046925853047</v>
      </c>
      <c r="AL90" s="38">
        <v>225.07882989460887</v>
      </c>
      <c r="AM90" s="38">
        <v>156.24359223083488</v>
      </c>
      <c r="AN90" s="38">
        <v>54.809291198212989</v>
      </c>
      <c r="AO90" s="38">
        <v>0</v>
      </c>
      <c r="AP90" s="38">
        <v>0</v>
      </c>
      <c r="AQ90" s="38">
        <v>211.05288342904788</v>
      </c>
      <c r="AR90" s="38">
        <v>44.153276546121596</v>
      </c>
      <c r="AS90" s="49">
        <v>4.7800050174891648</v>
      </c>
      <c r="AT90" s="38">
        <v>156.24359223083488</v>
      </c>
      <c r="AU90" s="38">
        <v>64.877875834991841</v>
      </c>
      <c r="AV90" s="38">
        <v>0</v>
      </c>
      <c r="AW90" s="38">
        <v>0</v>
      </c>
      <c r="AX90" s="38">
        <v>221.12146806582672</v>
      </c>
      <c r="AY90" s="38">
        <v>102.03150642263422</v>
      </c>
      <c r="AZ90" s="49">
        <v>2.1671881149132393</v>
      </c>
      <c r="BA90" s="38">
        <v>156.24359223083488</v>
      </c>
      <c r="BB90" s="38">
        <v>119.68716703320483</v>
      </c>
      <c r="BC90" s="38">
        <v>0</v>
      </c>
      <c r="BD90" s="38">
        <v>0</v>
      </c>
      <c r="BE90" s="38">
        <v>275.93075926403969</v>
      </c>
      <c r="BF90" s="38">
        <v>146.18478296875583</v>
      </c>
      <c r="BG90" s="38">
        <v>6.5729491316449646</v>
      </c>
      <c r="BH90" s="49">
        <v>1.8875477574366586</v>
      </c>
      <c r="BI90" s="38">
        <v>10.952579335401063</v>
      </c>
      <c r="BJ90" s="38">
        <v>25.309744966198796</v>
      </c>
      <c r="BK90" s="38">
        <v>0</v>
      </c>
      <c r="BL90" s="38">
        <v>19.570309966546787</v>
      </c>
      <c r="BM90" s="38">
        <v>55.832634268146649</v>
      </c>
      <c r="BN90" s="38">
        <v>156.24359223083488</v>
      </c>
      <c r="BO90" s="38">
        <v>0</v>
      </c>
      <c r="BP90" s="38">
        <v>119.68716703320483</v>
      </c>
      <c r="BQ90" s="38">
        <v>0</v>
      </c>
      <c r="BR90" s="38">
        <v>0</v>
      </c>
      <c r="BS90" s="38">
        <v>0</v>
      </c>
      <c r="BT90" s="38">
        <v>0</v>
      </c>
      <c r="BU90" s="38">
        <v>0</v>
      </c>
      <c r="BV90" s="38">
        <v>0</v>
      </c>
      <c r="BW90" s="38">
        <v>0</v>
      </c>
      <c r="BX90" s="38">
        <v>225.07882989460887</v>
      </c>
      <c r="BY90" s="38"/>
      <c r="BZ90" s="38">
        <v>0</v>
      </c>
      <c r="CA90" s="38">
        <v>0</v>
      </c>
      <c r="CB90" s="38">
        <v>275.93075926403969</v>
      </c>
      <c r="CC90" s="38">
        <v>225.07882989460887</v>
      </c>
      <c r="CD90" s="49">
        <v>1.2259294194538055</v>
      </c>
      <c r="CE90" s="38">
        <v>26.143259098191749</v>
      </c>
      <c r="CF90" s="38">
        <v>2.818013179136535</v>
      </c>
      <c r="CG90" s="38">
        <v>0</v>
      </c>
      <c r="CH90" s="38">
        <v>2.818013179136535</v>
      </c>
      <c r="CI90" s="38">
        <v>0.14089976013600922</v>
      </c>
      <c r="CJ90" s="38">
        <v>0</v>
      </c>
      <c r="CK90" s="38">
        <v>0.14089976013600922</v>
      </c>
      <c r="CL90" s="38"/>
      <c r="CM90" s="38">
        <v>0</v>
      </c>
      <c r="CN90" s="38"/>
      <c r="CO90" s="38">
        <v>0</v>
      </c>
      <c r="CP90" s="38">
        <v>0</v>
      </c>
      <c r="CQ90" s="38">
        <v>0</v>
      </c>
      <c r="CR90" s="38">
        <v>0</v>
      </c>
      <c r="CS90" s="38">
        <v>0</v>
      </c>
      <c r="CT90" s="38">
        <v>0</v>
      </c>
      <c r="CU90" s="38">
        <v>0</v>
      </c>
      <c r="CV90" s="38">
        <v>9999</v>
      </c>
      <c r="CW90" s="49">
        <v>9999</v>
      </c>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row>
    <row r="91" spans="1:131">
      <c r="A91" s="27" t="s">
        <v>1207</v>
      </c>
      <c r="B91" s="27" t="s">
        <v>1080</v>
      </c>
      <c r="C91" s="38">
        <v>45</v>
      </c>
      <c r="D91" s="38">
        <v>178.09349239717494</v>
      </c>
      <c r="E91" s="38">
        <v>0</v>
      </c>
      <c r="F91" s="38">
        <v>196.91489394951594</v>
      </c>
      <c r="G91" s="38">
        <v>0</v>
      </c>
      <c r="H91" s="38">
        <v>0</v>
      </c>
      <c r="I91" s="38" t="s">
        <v>1479</v>
      </c>
      <c r="J91" s="38"/>
      <c r="K91" s="38"/>
      <c r="L91" s="38">
        <v>192.05259822441437</v>
      </c>
      <c r="M91" s="38">
        <v>0.10042792626051654</v>
      </c>
      <c r="N91" s="38">
        <v>9.9703082525026715E-2</v>
      </c>
      <c r="O91" s="38">
        <v>0</v>
      </c>
      <c r="P91" s="38">
        <v>0</v>
      </c>
      <c r="Q91" s="38">
        <v>0</v>
      </c>
      <c r="R91" s="38">
        <v>25.75562636026816</v>
      </c>
      <c r="S91" s="38">
        <v>59.517335109924034</v>
      </c>
      <c r="T91" s="38">
        <v>0</v>
      </c>
      <c r="U91" s="38">
        <v>46.020720399972689</v>
      </c>
      <c r="V91" s="38" t="s">
        <v>1648</v>
      </c>
      <c r="W91" s="38" t="s">
        <v>1648</v>
      </c>
      <c r="X91" s="38" t="s">
        <v>1648</v>
      </c>
      <c r="Y91" s="38" t="s">
        <v>1648</v>
      </c>
      <c r="Z91" s="38">
        <v>0</v>
      </c>
      <c r="AA91" s="38">
        <v>0</v>
      </c>
      <c r="AB91" s="38">
        <v>0</v>
      </c>
      <c r="AC91" s="38">
        <v>0</v>
      </c>
      <c r="AD91" s="38">
        <v>0</v>
      </c>
      <c r="AE91" s="38">
        <v>0</v>
      </c>
      <c r="AF91" s="38">
        <v>0</v>
      </c>
      <c r="AG91" s="38">
        <v>0</v>
      </c>
      <c r="AH91" s="38">
        <v>25.75562636026816</v>
      </c>
      <c r="AI91" s="38">
        <v>59.517335109924034</v>
      </c>
      <c r="AJ91" s="38">
        <v>0</v>
      </c>
      <c r="AK91" s="38">
        <v>46.020720399972689</v>
      </c>
      <c r="AL91" s="38">
        <v>131.2936818701649</v>
      </c>
      <c r="AM91" s="38">
        <v>101.15928665931794</v>
      </c>
      <c r="AN91" s="38">
        <v>35.486055592748023</v>
      </c>
      <c r="AO91" s="38">
        <v>0</v>
      </c>
      <c r="AP91" s="38">
        <v>0</v>
      </c>
      <c r="AQ91" s="38">
        <v>136.64534225206597</v>
      </c>
      <c r="AR91" s="38">
        <v>25.75562636026816</v>
      </c>
      <c r="AS91" s="49">
        <v>5.3054559939905594</v>
      </c>
      <c r="AT91" s="38">
        <v>101.15928665931794</v>
      </c>
      <c r="AU91" s="38">
        <v>42.004920302545095</v>
      </c>
      <c r="AV91" s="38">
        <v>0</v>
      </c>
      <c r="AW91" s="38">
        <v>0</v>
      </c>
      <c r="AX91" s="38">
        <v>143.16420696186304</v>
      </c>
      <c r="AY91" s="38">
        <v>59.517335109924034</v>
      </c>
      <c r="AZ91" s="49">
        <v>2.4054203148956441</v>
      </c>
      <c r="BA91" s="38">
        <v>101.15928665931794</v>
      </c>
      <c r="BB91" s="38">
        <v>77.490975895293118</v>
      </c>
      <c r="BC91" s="38">
        <v>0</v>
      </c>
      <c r="BD91" s="38">
        <v>0</v>
      </c>
      <c r="BE91" s="38">
        <v>178.65026255461106</v>
      </c>
      <c r="BF91" s="38">
        <v>85.2729614701922</v>
      </c>
      <c r="BG91" s="38">
        <v>2.981538000147832</v>
      </c>
      <c r="BH91" s="49">
        <v>2.0950399689948567</v>
      </c>
      <c r="BI91" s="38">
        <v>9.8678387375119954</v>
      </c>
      <c r="BJ91" s="38">
        <v>22.803074432590744</v>
      </c>
      <c r="BK91" s="38">
        <v>0</v>
      </c>
      <c r="BL91" s="38">
        <v>17.632071576858007</v>
      </c>
      <c r="BM91" s="38">
        <v>50.302984746960753</v>
      </c>
      <c r="BN91" s="38">
        <v>101.15928665931794</v>
      </c>
      <c r="BO91" s="38">
        <v>0</v>
      </c>
      <c r="BP91" s="38">
        <v>77.490975895293118</v>
      </c>
      <c r="BQ91" s="38">
        <v>0</v>
      </c>
      <c r="BR91" s="38">
        <v>0</v>
      </c>
      <c r="BS91" s="38">
        <v>0</v>
      </c>
      <c r="BT91" s="38">
        <v>0</v>
      </c>
      <c r="BU91" s="38">
        <v>0</v>
      </c>
      <c r="BV91" s="38">
        <v>0</v>
      </c>
      <c r="BW91" s="38">
        <v>0</v>
      </c>
      <c r="BX91" s="38">
        <v>131.2936818701649</v>
      </c>
      <c r="BY91" s="38"/>
      <c r="BZ91" s="38">
        <v>0</v>
      </c>
      <c r="CA91" s="38">
        <v>0</v>
      </c>
      <c r="CB91" s="38">
        <v>178.65026255461106</v>
      </c>
      <c r="CC91" s="38">
        <v>131.2936818701649</v>
      </c>
      <c r="CD91" s="49">
        <v>1.3606919998730529</v>
      </c>
      <c r="CE91" s="38">
        <v>20.613609577005843</v>
      </c>
      <c r="CF91" s="38">
        <v>1.8245113218905495</v>
      </c>
      <c r="CG91" s="38">
        <v>0</v>
      </c>
      <c r="CH91" s="38">
        <v>1.8245113218905495</v>
      </c>
      <c r="CI91" s="38">
        <v>9.1224984156596814E-2</v>
      </c>
      <c r="CJ91" s="38">
        <v>0</v>
      </c>
      <c r="CK91" s="38">
        <v>9.1224984156596814E-2</v>
      </c>
      <c r="CL91" s="38"/>
      <c r="CM91" s="38">
        <v>0</v>
      </c>
      <c r="CN91" s="38"/>
      <c r="CO91" s="38">
        <v>0</v>
      </c>
      <c r="CP91" s="38">
        <v>0</v>
      </c>
      <c r="CQ91" s="38">
        <v>0</v>
      </c>
      <c r="CR91" s="38">
        <v>0</v>
      </c>
      <c r="CS91" s="38">
        <v>0</v>
      </c>
      <c r="CT91" s="38">
        <v>0</v>
      </c>
      <c r="CU91" s="38">
        <v>0</v>
      </c>
      <c r="CV91" s="38">
        <v>9999</v>
      </c>
      <c r="CW91" s="49">
        <v>9999</v>
      </c>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row>
    <row r="92" spans="1:131">
      <c r="A92" s="27" t="s">
        <v>217</v>
      </c>
      <c r="B92" s="27" t="s">
        <v>65</v>
      </c>
      <c r="C92" s="38">
        <v>45</v>
      </c>
      <c r="D92" s="38">
        <v>242.55500610578198</v>
      </c>
      <c r="E92" s="38">
        <v>0</v>
      </c>
      <c r="F92" s="38">
        <v>262.65009234084522</v>
      </c>
      <c r="G92" s="38">
        <v>0</v>
      </c>
      <c r="H92" s="38">
        <v>0</v>
      </c>
      <c r="I92" s="38" t="s">
        <v>1479</v>
      </c>
      <c r="J92" s="38"/>
      <c r="K92" s="38"/>
      <c r="L92" s="38">
        <v>261.56665528837181</v>
      </c>
      <c r="M92" s="38">
        <v>0.13677813792873331</v>
      </c>
      <c r="N92" s="38">
        <v>0.13579093466644129</v>
      </c>
      <c r="O92" s="38">
        <v>0</v>
      </c>
      <c r="P92" s="38">
        <v>0</v>
      </c>
      <c r="Q92" s="38">
        <v>0</v>
      </c>
      <c r="R92" s="38">
        <v>34.353509306183021</v>
      </c>
      <c r="S92" s="38">
        <v>79.385734867319329</v>
      </c>
      <c r="T92" s="38">
        <v>0</v>
      </c>
      <c r="U92" s="38">
        <v>61.383607000006521</v>
      </c>
      <c r="V92" s="38" t="s">
        <v>1648</v>
      </c>
      <c r="W92" s="38" t="s">
        <v>1648</v>
      </c>
      <c r="X92" s="38" t="s">
        <v>1648</v>
      </c>
      <c r="Y92" s="38" t="s">
        <v>1648</v>
      </c>
      <c r="Z92" s="38">
        <v>0</v>
      </c>
      <c r="AA92" s="38">
        <v>0</v>
      </c>
      <c r="AB92" s="38">
        <v>0</v>
      </c>
      <c r="AC92" s="38">
        <v>0</v>
      </c>
      <c r="AD92" s="38">
        <v>0</v>
      </c>
      <c r="AE92" s="38">
        <v>0</v>
      </c>
      <c r="AF92" s="38">
        <v>0</v>
      </c>
      <c r="AG92" s="38">
        <v>0</v>
      </c>
      <c r="AH92" s="38">
        <v>34.353509306183021</v>
      </c>
      <c r="AI92" s="38">
        <v>79.385734867319329</v>
      </c>
      <c r="AJ92" s="38">
        <v>0</v>
      </c>
      <c r="AK92" s="38">
        <v>61.383607000006521</v>
      </c>
      <c r="AL92" s="38">
        <v>175.12285117350888</v>
      </c>
      <c r="AM92" s="38">
        <v>137.77421658163078</v>
      </c>
      <c r="AN92" s="38">
        <v>48.330347814020683</v>
      </c>
      <c r="AO92" s="38">
        <v>0</v>
      </c>
      <c r="AP92" s="38">
        <v>0</v>
      </c>
      <c r="AQ92" s="38">
        <v>186.10456439565147</v>
      </c>
      <c r="AR92" s="38">
        <v>34.353509306183021</v>
      </c>
      <c r="AS92" s="49">
        <v>5.4173377961754827</v>
      </c>
      <c r="AT92" s="38">
        <v>137.77421658163078</v>
      </c>
      <c r="AU92" s="38">
        <v>57.208736620958803</v>
      </c>
      <c r="AV92" s="38">
        <v>0</v>
      </c>
      <c r="AW92" s="38">
        <v>0</v>
      </c>
      <c r="AX92" s="38">
        <v>194.98295320258958</v>
      </c>
      <c r="AY92" s="38">
        <v>79.385734867319329</v>
      </c>
      <c r="AZ92" s="49">
        <v>2.4561459754510389</v>
      </c>
      <c r="BA92" s="38">
        <v>137.77421658163078</v>
      </c>
      <c r="BB92" s="38">
        <v>105.53908443497949</v>
      </c>
      <c r="BC92" s="38">
        <v>0</v>
      </c>
      <c r="BD92" s="38">
        <v>0</v>
      </c>
      <c r="BE92" s="38">
        <v>243.31330101661027</v>
      </c>
      <c r="BF92" s="38">
        <v>113.73924417350236</v>
      </c>
      <c r="BG92" s="38">
        <v>2.3068005586172595</v>
      </c>
      <c r="BH92" s="49">
        <v>2.1392203085634236</v>
      </c>
      <c r="BI92" s="38">
        <v>9.6640427729327687</v>
      </c>
      <c r="BJ92" s="38">
        <v>22.332132955639391</v>
      </c>
      <c r="BK92" s="38">
        <v>0</v>
      </c>
      <c r="BL92" s="38">
        <v>17.267924459123321</v>
      </c>
      <c r="BM92" s="38">
        <v>49.264100187695483</v>
      </c>
      <c r="BN92" s="38">
        <v>137.77421658163078</v>
      </c>
      <c r="BO92" s="38">
        <v>0</v>
      </c>
      <c r="BP92" s="38">
        <v>105.53908443497949</v>
      </c>
      <c r="BQ92" s="38">
        <v>0</v>
      </c>
      <c r="BR92" s="38">
        <v>0</v>
      </c>
      <c r="BS92" s="38">
        <v>0</v>
      </c>
      <c r="BT92" s="38">
        <v>0</v>
      </c>
      <c r="BU92" s="38">
        <v>0</v>
      </c>
      <c r="BV92" s="38">
        <v>0</v>
      </c>
      <c r="BW92" s="38">
        <v>0</v>
      </c>
      <c r="BX92" s="38">
        <v>175.12285117350888</v>
      </c>
      <c r="BY92" s="38"/>
      <c r="BZ92" s="38">
        <v>0</v>
      </c>
      <c r="CA92" s="38">
        <v>0</v>
      </c>
      <c r="CB92" s="38">
        <v>243.31330101661027</v>
      </c>
      <c r="CC92" s="38">
        <v>175.12285117350888</v>
      </c>
      <c r="CD92" s="49">
        <v>1.3893863615522077</v>
      </c>
      <c r="CE92" s="38">
        <v>19.57472501774058</v>
      </c>
      <c r="CF92" s="38">
        <v>2.484899076684342</v>
      </c>
      <c r="CG92" s="38">
        <v>0</v>
      </c>
      <c r="CH92" s="38">
        <v>2.484899076684342</v>
      </c>
      <c r="CI92" s="38">
        <v>0.1242441612619766</v>
      </c>
      <c r="CJ92" s="38">
        <v>0</v>
      </c>
      <c r="CK92" s="38">
        <v>0.1242441612619766</v>
      </c>
      <c r="CL92" s="38"/>
      <c r="CM92" s="38">
        <v>0</v>
      </c>
      <c r="CN92" s="38"/>
      <c r="CO92" s="38">
        <v>0</v>
      </c>
      <c r="CP92" s="38">
        <v>0</v>
      </c>
      <c r="CQ92" s="38">
        <v>0</v>
      </c>
      <c r="CR92" s="38">
        <v>0</v>
      </c>
      <c r="CS92" s="38">
        <v>0</v>
      </c>
      <c r="CT92" s="38">
        <v>0</v>
      </c>
      <c r="CU92" s="38">
        <v>0</v>
      </c>
      <c r="CV92" s="38">
        <v>9999</v>
      </c>
      <c r="CW92" s="49">
        <v>9999</v>
      </c>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row>
    <row r="93" spans="1:131">
      <c r="A93" s="27" t="s">
        <v>218</v>
      </c>
      <c r="B93" s="27" t="s">
        <v>66</v>
      </c>
      <c r="C93" s="38">
        <v>45</v>
      </c>
      <c r="D93" s="38">
        <v>257.50228679239945</v>
      </c>
      <c r="E93" s="38">
        <v>0</v>
      </c>
      <c r="F93" s="38">
        <v>297.93884832438431</v>
      </c>
      <c r="G93" s="38">
        <v>0</v>
      </c>
      <c r="H93" s="38">
        <v>0</v>
      </c>
      <c r="I93" s="38" t="s">
        <v>1479</v>
      </c>
      <c r="J93" s="38"/>
      <c r="K93" s="38"/>
      <c r="L93" s="38">
        <v>277.68551540849614</v>
      </c>
      <c r="M93" s="38">
        <v>0.14520699393231559</v>
      </c>
      <c r="N93" s="38">
        <v>0.14415895496725603</v>
      </c>
      <c r="O93" s="38">
        <v>0</v>
      </c>
      <c r="P93" s="38">
        <v>0</v>
      </c>
      <c r="Q93" s="38">
        <v>0</v>
      </c>
      <c r="R93" s="38">
        <v>38.969127737075944</v>
      </c>
      <c r="S93" s="38">
        <v>90.051727029512477</v>
      </c>
      <c r="T93" s="38">
        <v>0</v>
      </c>
      <c r="U93" s="38">
        <v>69.630895662679592</v>
      </c>
      <c r="V93" s="38" t="s">
        <v>1648</v>
      </c>
      <c r="W93" s="38" t="s">
        <v>1648</v>
      </c>
      <c r="X93" s="38" t="s">
        <v>1648</v>
      </c>
      <c r="Y93" s="38" t="s">
        <v>1648</v>
      </c>
      <c r="Z93" s="38">
        <v>0</v>
      </c>
      <c r="AA93" s="38">
        <v>0</v>
      </c>
      <c r="AB93" s="38">
        <v>0</v>
      </c>
      <c r="AC93" s="38">
        <v>0</v>
      </c>
      <c r="AD93" s="38">
        <v>0</v>
      </c>
      <c r="AE93" s="38">
        <v>0</v>
      </c>
      <c r="AF93" s="38">
        <v>0</v>
      </c>
      <c r="AG93" s="38">
        <v>0</v>
      </c>
      <c r="AH93" s="38">
        <v>38.969127737075944</v>
      </c>
      <c r="AI93" s="38">
        <v>90.051727029512477</v>
      </c>
      <c r="AJ93" s="38">
        <v>0</v>
      </c>
      <c r="AK93" s="38">
        <v>69.630895662679592</v>
      </c>
      <c r="AL93" s="38">
        <v>198.65175042926802</v>
      </c>
      <c r="AM93" s="38">
        <v>146.2644552276488</v>
      </c>
      <c r="AN93" s="38">
        <v>51.308671312909681</v>
      </c>
      <c r="AO93" s="38">
        <v>0</v>
      </c>
      <c r="AP93" s="38">
        <v>0</v>
      </c>
      <c r="AQ93" s="38">
        <v>197.57312654055846</v>
      </c>
      <c r="AR93" s="38">
        <v>38.969127737075944</v>
      </c>
      <c r="AS93" s="49">
        <v>5.069990990652423</v>
      </c>
      <c r="AT93" s="38">
        <v>146.2644552276488</v>
      </c>
      <c r="AU93" s="38">
        <v>60.734184550189795</v>
      </c>
      <c r="AV93" s="38">
        <v>0</v>
      </c>
      <c r="AW93" s="38">
        <v>0</v>
      </c>
      <c r="AX93" s="38">
        <v>206.9986397778386</v>
      </c>
      <c r="AY93" s="38">
        <v>90.051727029512477</v>
      </c>
      <c r="AZ93" s="49">
        <v>2.2986637414516142</v>
      </c>
      <c r="BA93" s="38">
        <v>146.2644552276488</v>
      </c>
      <c r="BB93" s="38">
        <v>112.04285586309948</v>
      </c>
      <c r="BC93" s="38">
        <v>0</v>
      </c>
      <c r="BD93" s="38">
        <v>0</v>
      </c>
      <c r="BE93" s="38">
        <v>258.30731109074827</v>
      </c>
      <c r="BF93" s="38">
        <v>129.02085476658843</v>
      </c>
      <c r="BG93" s="38">
        <v>4.4988694298962173</v>
      </c>
      <c r="BH93" s="49">
        <v>2.002058594000574</v>
      </c>
      <c r="BI93" s="38">
        <v>10.326129627091939</v>
      </c>
      <c r="BJ93" s="38">
        <v>23.862114972759176</v>
      </c>
      <c r="BK93" s="38">
        <v>0</v>
      </c>
      <c r="BL93" s="38">
        <v>18.450955831358186</v>
      </c>
      <c r="BM93" s="38">
        <v>52.639200431209304</v>
      </c>
      <c r="BN93" s="38">
        <v>146.2644552276488</v>
      </c>
      <c r="BO93" s="38">
        <v>0</v>
      </c>
      <c r="BP93" s="38">
        <v>112.04285586309948</v>
      </c>
      <c r="BQ93" s="38">
        <v>0</v>
      </c>
      <c r="BR93" s="38">
        <v>0</v>
      </c>
      <c r="BS93" s="38">
        <v>0</v>
      </c>
      <c r="BT93" s="38">
        <v>0</v>
      </c>
      <c r="BU93" s="38">
        <v>0</v>
      </c>
      <c r="BV93" s="38">
        <v>0</v>
      </c>
      <c r="BW93" s="38">
        <v>0</v>
      </c>
      <c r="BX93" s="38">
        <v>198.65175042926802</v>
      </c>
      <c r="BY93" s="38"/>
      <c r="BZ93" s="38">
        <v>0</v>
      </c>
      <c r="CA93" s="38">
        <v>0</v>
      </c>
      <c r="CB93" s="38">
        <v>258.30731109074827</v>
      </c>
      <c r="CC93" s="38">
        <v>198.65175042926802</v>
      </c>
      <c r="CD93" s="49">
        <v>1.3003022149695138</v>
      </c>
      <c r="CE93" s="38">
        <v>22.949825261254404</v>
      </c>
      <c r="CF93" s="38">
        <v>2.6380292246595975</v>
      </c>
      <c r="CG93" s="38">
        <v>0</v>
      </c>
      <c r="CH93" s="38">
        <v>2.6380292246595975</v>
      </c>
      <c r="CI93" s="38">
        <v>0.13190061981903567</v>
      </c>
      <c r="CJ93" s="38">
        <v>0</v>
      </c>
      <c r="CK93" s="38">
        <v>0.13190061981903567</v>
      </c>
      <c r="CL93" s="38"/>
      <c r="CM93" s="38">
        <v>0</v>
      </c>
      <c r="CN93" s="38"/>
      <c r="CO93" s="38">
        <v>0</v>
      </c>
      <c r="CP93" s="38">
        <v>0</v>
      </c>
      <c r="CQ93" s="38">
        <v>0</v>
      </c>
      <c r="CR93" s="38">
        <v>0</v>
      </c>
      <c r="CS93" s="38">
        <v>0</v>
      </c>
      <c r="CT93" s="38">
        <v>0</v>
      </c>
      <c r="CU93" s="38">
        <v>0</v>
      </c>
      <c r="CV93" s="38">
        <v>9999</v>
      </c>
      <c r="CW93" s="49">
        <v>9999</v>
      </c>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row>
    <row r="94" spans="1:131">
      <c r="A94" s="27" t="s">
        <v>1208</v>
      </c>
      <c r="B94" s="27" t="s">
        <v>1081</v>
      </c>
      <c r="C94" s="38">
        <v>45</v>
      </c>
      <c r="D94" s="38">
        <v>46.717076442582112</v>
      </c>
      <c r="E94" s="38">
        <v>0</v>
      </c>
      <c r="F94" s="38">
        <v>169.97517278288436</v>
      </c>
      <c r="G94" s="38">
        <v>0</v>
      </c>
      <c r="H94" s="38">
        <v>0</v>
      </c>
      <c r="I94" s="38" t="s">
        <v>1479</v>
      </c>
      <c r="J94" s="38"/>
      <c r="K94" s="38"/>
      <c r="L94" s="38">
        <v>50.378797065966225</v>
      </c>
      <c r="M94" s="38">
        <v>2.6344023270762556E-2</v>
      </c>
      <c r="N94" s="38">
        <v>2.6153883924602245E-2</v>
      </c>
      <c r="O94" s="38">
        <v>0</v>
      </c>
      <c r="P94" s="38">
        <v>0</v>
      </c>
      <c r="Q94" s="38">
        <v>0</v>
      </c>
      <c r="R94" s="38">
        <v>22.232025993119414</v>
      </c>
      <c r="S94" s="38">
        <v>51.374830598033775</v>
      </c>
      <c r="T94" s="38">
        <v>0</v>
      </c>
      <c r="U94" s="38">
        <v>39.724673663250847</v>
      </c>
      <c r="V94" s="38" t="s">
        <v>1648</v>
      </c>
      <c r="W94" s="38" t="s">
        <v>1648</v>
      </c>
      <c r="X94" s="38" t="s">
        <v>1648</v>
      </c>
      <c r="Y94" s="38" t="s">
        <v>1648</v>
      </c>
      <c r="Z94" s="38">
        <v>0</v>
      </c>
      <c r="AA94" s="38">
        <v>0</v>
      </c>
      <c r="AB94" s="38">
        <v>0</v>
      </c>
      <c r="AC94" s="38">
        <v>0</v>
      </c>
      <c r="AD94" s="38">
        <v>0</v>
      </c>
      <c r="AE94" s="38">
        <v>0</v>
      </c>
      <c r="AF94" s="38">
        <v>0</v>
      </c>
      <c r="AG94" s="38">
        <v>0</v>
      </c>
      <c r="AH94" s="38">
        <v>22.232025993119414</v>
      </c>
      <c r="AI94" s="38">
        <v>51.374830598033775</v>
      </c>
      <c r="AJ94" s="38">
        <v>0</v>
      </c>
      <c r="AK94" s="38">
        <v>39.724673663250847</v>
      </c>
      <c r="AL94" s="38">
        <v>113.33153025440404</v>
      </c>
      <c r="AM94" s="38">
        <v>26.535872053095837</v>
      </c>
      <c r="AN94" s="38">
        <v>9.3086207107162373</v>
      </c>
      <c r="AO94" s="38">
        <v>0</v>
      </c>
      <c r="AP94" s="38">
        <v>0</v>
      </c>
      <c r="AQ94" s="38">
        <v>35.84449276381207</v>
      </c>
      <c r="AR94" s="38">
        <v>22.232025993119414</v>
      </c>
      <c r="AS94" s="49">
        <v>1.6122908805029994</v>
      </c>
      <c r="AT94" s="38">
        <v>26.535872053095837</v>
      </c>
      <c r="AU94" s="38">
        <v>11.018634349436207</v>
      </c>
      <c r="AV94" s="38">
        <v>0</v>
      </c>
      <c r="AW94" s="38">
        <v>0</v>
      </c>
      <c r="AX94" s="38">
        <v>37.554506402532041</v>
      </c>
      <c r="AY94" s="38">
        <v>51.374830598033775</v>
      </c>
      <c r="AZ94" s="50">
        <v>0.730990369513147</v>
      </c>
      <c r="BA94" s="38">
        <v>26.535872053095837</v>
      </c>
      <c r="BB94" s="38">
        <v>20.327255060152446</v>
      </c>
      <c r="BC94" s="38">
        <v>0</v>
      </c>
      <c r="BD94" s="38">
        <v>0</v>
      </c>
      <c r="BE94" s="38">
        <v>46.863127113248282</v>
      </c>
      <c r="BF94" s="38">
        <v>73.606856591153189</v>
      </c>
      <c r="BG94" s="38">
        <v>77.81857777051583</v>
      </c>
      <c r="BH94" s="50">
        <v>0.63666795844234925</v>
      </c>
      <c r="BI94" s="38">
        <v>32.471426099818977</v>
      </c>
      <c r="BJ94" s="38">
        <v>75.03652684065176</v>
      </c>
      <c r="BK94" s="38">
        <v>0</v>
      </c>
      <c r="BL94" s="38">
        <v>58.020659277516643</v>
      </c>
      <c r="BM94" s="38">
        <v>165.52861221798739</v>
      </c>
      <c r="BN94" s="38">
        <v>26.535872053095837</v>
      </c>
      <c r="BO94" s="38">
        <v>0</v>
      </c>
      <c r="BP94" s="38">
        <v>20.327255060152446</v>
      </c>
      <c r="BQ94" s="38">
        <v>0</v>
      </c>
      <c r="BR94" s="38">
        <v>0</v>
      </c>
      <c r="BS94" s="38">
        <v>0</v>
      </c>
      <c r="BT94" s="38">
        <v>0</v>
      </c>
      <c r="BU94" s="38">
        <v>0</v>
      </c>
      <c r="BV94" s="38">
        <v>0</v>
      </c>
      <c r="BW94" s="38">
        <v>0</v>
      </c>
      <c r="BX94" s="38">
        <v>113.33153025440404</v>
      </c>
      <c r="BY94" s="38"/>
      <c r="BZ94" s="38">
        <v>0</v>
      </c>
      <c r="CA94" s="38">
        <v>0</v>
      </c>
      <c r="CB94" s="38">
        <v>46.863127113248275</v>
      </c>
      <c r="CC94" s="38">
        <v>113.33153025440404</v>
      </c>
      <c r="CD94" s="50">
        <v>0.41350475907323403</v>
      </c>
      <c r="CE94" s="38">
        <v>135.83923704803246</v>
      </c>
      <c r="CF94" s="38">
        <v>0.47860162517914356</v>
      </c>
      <c r="CG94" s="38">
        <v>0</v>
      </c>
      <c r="CH94" s="38">
        <v>0.47860162517914356</v>
      </c>
      <c r="CI94" s="38">
        <v>2.3929928606333955E-2</v>
      </c>
      <c r="CJ94" s="38">
        <v>0</v>
      </c>
      <c r="CK94" s="38">
        <v>2.3929928606333955E-2</v>
      </c>
      <c r="CL94" s="38"/>
      <c r="CM94" s="38">
        <v>0</v>
      </c>
      <c r="CN94" s="38"/>
      <c r="CO94" s="38">
        <v>0</v>
      </c>
      <c r="CP94" s="38">
        <v>0</v>
      </c>
      <c r="CQ94" s="38">
        <v>0</v>
      </c>
      <c r="CR94" s="38">
        <v>0</v>
      </c>
      <c r="CS94" s="38">
        <v>0</v>
      </c>
      <c r="CT94" s="38">
        <v>0</v>
      </c>
      <c r="CU94" s="38">
        <v>0</v>
      </c>
      <c r="CV94" s="38">
        <v>9999</v>
      </c>
      <c r="CW94" s="49">
        <v>9999</v>
      </c>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row>
    <row r="95" spans="1:131">
      <c r="A95" s="27" t="s">
        <v>219</v>
      </c>
      <c r="B95" s="27" t="s">
        <v>67</v>
      </c>
      <c r="C95" s="38">
        <v>45</v>
      </c>
      <c r="D95" s="38">
        <v>64.461513708607058</v>
      </c>
      <c r="E95" s="38">
        <v>0</v>
      </c>
      <c r="F95" s="38">
        <v>198.23826361528401</v>
      </c>
      <c r="G95" s="38">
        <v>0</v>
      </c>
      <c r="H95" s="38">
        <v>0</v>
      </c>
      <c r="I95" s="38" t="s">
        <v>1479</v>
      </c>
      <c r="J95" s="38"/>
      <c r="K95" s="38"/>
      <c r="L95" s="38">
        <v>69.514057063957438</v>
      </c>
      <c r="M95" s="38">
        <v>3.6350211668216788E-2</v>
      </c>
      <c r="N95" s="38">
        <v>3.6087852141414578E-2</v>
      </c>
      <c r="O95" s="38">
        <v>0</v>
      </c>
      <c r="P95" s="38">
        <v>0</v>
      </c>
      <c r="Q95" s="38">
        <v>0</v>
      </c>
      <c r="R95" s="38">
        <v>25.92871745543323</v>
      </c>
      <c r="S95" s="38">
        <v>59.917322303843548</v>
      </c>
      <c r="T95" s="38">
        <v>0</v>
      </c>
      <c r="U95" s="38">
        <v>46.330003380820912</v>
      </c>
      <c r="V95" s="38" t="s">
        <v>1648</v>
      </c>
      <c r="W95" s="38" t="s">
        <v>1648</v>
      </c>
      <c r="X95" s="38" t="s">
        <v>1648</v>
      </c>
      <c r="Y95" s="38" t="s">
        <v>1648</v>
      </c>
      <c r="Z95" s="38">
        <v>0</v>
      </c>
      <c r="AA95" s="38">
        <v>0</v>
      </c>
      <c r="AB95" s="38">
        <v>0</v>
      </c>
      <c r="AC95" s="38">
        <v>0</v>
      </c>
      <c r="AD95" s="38">
        <v>0</v>
      </c>
      <c r="AE95" s="38">
        <v>0</v>
      </c>
      <c r="AF95" s="38">
        <v>0</v>
      </c>
      <c r="AG95" s="38">
        <v>0</v>
      </c>
      <c r="AH95" s="38">
        <v>25.92871745543323</v>
      </c>
      <c r="AI95" s="38">
        <v>59.917322303843548</v>
      </c>
      <c r="AJ95" s="38">
        <v>0</v>
      </c>
      <c r="AK95" s="38">
        <v>46.330003380820912</v>
      </c>
      <c r="AL95" s="38">
        <v>132.1760431400977</v>
      </c>
      <c r="AM95" s="38">
        <v>36.614929922312918</v>
      </c>
      <c r="AN95" s="38">
        <v>12.844292221272678</v>
      </c>
      <c r="AO95" s="38">
        <v>0</v>
      </c>
      <c r="AP95" s="38">
        <v>0</v>
      </c>
      <c r="AQ95" s="38">
        <v>49.459222143585592</v>
      </c>
      <c r="AR95" s="38">
        <v>25.92871745543323</v>
      </c>
      <c r="AS95" s="49">
        <v>1.9075074665222851</v>
      </c>
      <c r="AT95" s="38">
        <v>36.614929922312918</v>
      </c>
      <c r="AU95" s="38">
        <v>15.203816318413717</v>
      </c>
      <c r="AV95" s="38">
        <v>0</v>
      </c>
      <c r="AW95" s="38">
        <v>0</v>
      </c>
      <c r="AX95" s="38">
        <v>51.818746240726632</v>
      </c>
      <c r="AY95" s="38">
        <v>59.917322303843548</v>
      </c>
      <c r="AZ95" s="50">
        <v>0.86483748352356837</v>
      </c>
      <c r="BA95" s="38">
        <v>36.614929922312918</v>
      </c>
      <c r="BB95" s="38">
        <v>28.048108539686396</v>
      </c>
      <c r="BC95" s="38">
        <v>0</v>
      </c>
      <c r="BD95" s="38">
        <v>0</v>
      </c>
      <c r="BE95" s="38">
        <v>64.663038461999307</v>
      </c>
      <c r="BF95" s="38">
        <v>85.846039759276778</v>
      </c>
      <c r="BG95" s="38">
        <v>61.180042197770788</v>
      </c>
      <c r="BH95" s="50">
        <v>0.75324428061355764</v>
      </c>
      <c r="BI95" s="38">
        <v>27.445965531717921</v>
      </c>
      <c r="BJ95" s="38">
        <v>63.423451836007764</v>
      </c>
      <c r="BK95" s="38">
        <v>0</v>
      </c>
      <c r="BL95" s="38">
        <v>49.04105565807437</v>
      </c>
      <c r="BM95" s="38">
        <v>139.91047302580006</v>
      </c>
      <c r="BN95" s="38">
        <v>36.614929922312918</v>
      </c>
      <c r="BO95" s="38">
        <v>0</v>
      </c>
      <c r="BP95" s="38">
        <v>28.048108539686396</v>
      </c>
      <c r="BQ95" s="38">
        <v>0</v>
      </c>
      <c r="BR95" s="38">
        <v>0</v>
      </c>
      <c r="BS95" s="38">
        <v>0</v>
      </c>
      <c r="BT95" s="38">
        <v>0</v>
      </c>
      <c r="BU95" s="38">
        <v>0</v>
      </c>
      <c r="BV95" s="38">
        <v>0</v>
      </c>
      <c r="BW95" s="38">
        <v>0</v>
      </c>
      <c r="BX95" s="38">
        <v>132.1760431400977</v>
      </c>
      <c r="BY95" s="38"/>
      <c r="BZ95" s="38">
        <v>0</v>
      </c>
      <c r="CA95" s="38">
        <v>0</v>
      </c>
      <c r="CB95" s="38">
        <v>64.663038461999307</v>
      </c>
      <c r="CC95" s="38">
        <v>132.1760431400977</v>
      </c>
      <c r="CD95" s="50">
        <v>0.48921905154522471</v>
      </c>
      <c r="CE95" s="38">
        <v>110.22109785584517</v>
      </c>
      <c r="CF95" s="38">
        <v>0.66038775479379674</v>
      </c>
      <c r="CG95" s="38">
        <v>0</v>
      </c>
      <c r="CH95" s="38">
        <v>0.66038775479379674</v>
      </c>
      <c r="CI95" s="38">
        <v>3.3019177105379785E-2</v>
      </c>
      <c r="CJ95" s="38">
        <v>0</v>
      </c>
      <c r="CK95" s="38">
        <v>3.3019177105379785E-2</v>
      </c>
      <c r="CL95" s="38"/>
      <c r="CM95" s="38">
        <v>0</v>
      </c>
      <c r="CN95" s="38"/>
      <c r="CO95" s="38">
        <v>0</v>
      </c>
      <c r="CP95" s="38">
        <v>0</v>
      </c>
      <c r="CQ95" s="38">
        <v>0</v>
      </c>
      <c r="CR95" s="38">
        <v>0</v>
      </c>
      <c r="CS95" s="38">
        <v>0</v>
      </c>
      <c r="CT95" s="38">
        <v>0</v>
      </c>
      <c r="CU95" s="38">
        <v>0</v>
      </c>
      <c r="CV95" s="38">
        <v>9999</v>
      </c>
      <c r="CW95" s="49">
        <v>9999</v>
      </c>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row>
    <row r="96" spans="1:131">
      <c r="A96" s="27" t="s">
        <v>220</v>
      </c>
      <c r="B96" s="27" t="s">
        <v>68</v>
      </c>
      <c r="C96" s="38">
        <v>45</v>
      </c>
      <c r="D96" s="38">
        <v>79.408794395224533</v>
      </c>
      <c r="E96" s="38">
        <v>0</v>
      </c>
      <c r="F96" s="38">
        <v>235.52932235113522</v>
      </c>
      <c r="G96" s="38">
        <v>0</v>
      </c>
      <c r="H96" s="38">
        <v>0</v>
      </c>
      <c r="I96" s="38" t="s">
        <v>1479</v>
      </c>
      <c r="J96" s="38"/>
      <c r="K96" s="38"/>
      <c r="L96" s="38">
        <v>85.632917184081805</v>
      </c>
      <c r="M96" s="38">
        <v>4.477906767179906E-2</v>
      </c>
      <c r="N96" s="38">
        <v>4.4455872442229344E-2</v>
      </c>
      <c r="O96" s="38">
        <v>0</v>
      </c>
      <c r="P96" s="38">
        <v>0</v>
      </c>
      <c r="Q96" s="38">
        <v>0</v>
      </c>
      <c r="R96" s="38">
        <v>30.806228526919949</v>
      </c>
      <c r="S96" s="38">
        <v>71.188508524803197</v>
      </c>
      <c r="T96" s="38">
        <v>0</v>
      </c>
      <c r="U96" s="38">
        <v>55.045247581402045</v>
      </c>
      <c r="V96" s="38" t="s">
        <v>1648</v>
      </c>
      <c r="W96" s="38" t="s">
        <v>1648</v>
      </c>
      <c r="X96" s="38" t="s">
        <v>1648</v>
      </c>
      <c r="Y96" s="38" t="s">
        <v>1648</v>
      </c>
      <c r="Z96" s="38">
        <v>0</v>
      </c>
      <c r="AA96" s="38">
        <v>0</v>
      </c>
      <c r="AB96" s="38">
        <v>0</v>
      </c>
      <c r="AC96" s="38">
        <v>0</v>
      </c>
      <c r="AD96" s="38">
        <v>0</v>
      </c>
      <c r="AE96" s="38">
        <v>0</v>
      </c>
      <c r="AF96" s="38">
        <v>0</v>
      </c>
      <c r="AG96" s="38">
        <v>0</v>
      </c>
      <c r="AH96" s="38">
        <v>30.806228526919949</v>
      </c>
      <c r="AI96" s="38">
        <v>71.188508524803197</v>
      </c>
      <c r="AJ96" s="38">
        <v>0</v>
      </c>
      <c r="AK96" s="38">
        <v>55.045247581402045</v>
      </c>
      <c r="AL96" s="38">
        <v>157.03998463312519</v>
      </c>
      <c r="AM96" s="38">
        <v>45.10516856833101</v>
      </c>
      <c r="AN96" s="38">
        <v>15.82261572016168</v>
      </c>
      <c r="AO96" s="38">
        <v>0</v>
      </c>
      <c r="AP96" s="38">
        <v>0</v>
      </c>
      <c r="AQ96" s="38">
        <v>60.927784288492688</v>
      </c>
      <c r="AR96" s="38">
        <v>30.806228526919949</v>
      </c>
      <c r="AS96" s="49">
        <v>1.9777748592383222</v>
      </c>
      <c r="AT96" s="38">
        <v>45.10516856833101</v>
      </c>
      <c r="AU96" s="38">
        <v>18.729264247644721</v>
      </c>
      <c r="AV96" s="38">
        <v>0</v>
      </c>
      <c r="AW96" s="38">
        <v>0</v>
      </c>
      <c r="AX96" s="38">
        <v>63.834432815975731</v>
      </c>
      <c r="AY96" s="38">
        <v>71.188508524803197</v>
      </c>
      <c r="AZ96" s="50">
        <v>0.89669574681052366</v>
      </c>
      <c r="BA96" s="38">
        <v>45.10516856833101</v>
      </c>
      <c r="BB96" s="38">
        <v>34.5518799678064</v>
      </c>
      <c r="BC96" s="38">
        <v>0</v>
      </c>
      <c r="BD96" s="38">
        <v>0</v>
      </c>
      <c r="BE96" s="38">
        <v>79.65704853613741</v>
      </c>
      <c r="BF96" s="38">
        <v>101.99473705172315</v>
      </c>
      <c r="BG96" s="38">
        <v>57.951587246879917</v>
      </c>
      <c r="BH96" s="50">
        <v>0.78099175348373173</v>
      </c>
      <c r="BI96" s="38">
        <v>26.470851286797867</v>
      </c>
      <c r="BJ96" s="38">
        <v>61.170111130036943</v>
      </c>
      <c r="BK96" s="38">
        <v>0</v>
      </c>
      <c r="BL96" s="38">
        <v>47.298700050185786</v>
      </c>
      <c r="BM96" s="38">
        <v>134.93966246702061</v>
      </c>
      <c r="BN96" s="38">
        <v>45.10516856833101</v>
      </c>
      <c r="BO96" s="38">
        <v>0</v>
      </c>
      <c r="BP96" s="38">
        <v>34.5518799678064</v>
      </c>
      <c r="BQ96" s="38">
        <v>0</v>
      </c>
      <c r="BR96" s="38">
        <v>0</v>
      </c>
      <c r="BS96" s="38">
        <v>0</v>
      </c>
      <c r="BT96" s="38">
        <v>0</v>
      </c>
      <c r="BU96" s="38">
        <v>0</v>
      </c>
      <c r="BV96" s="38">
        <v>0</v>
      </c>
      <c r="BW96" s="38">
        <v>0</v>
      </c>
      <c r="BX96" s="38">
        <v>157.03998463312519</v>
      </c>
      <c r="BY96" s="38"/>
      <c r="BZ96" s="38">
        <v>0</v>
      </c>
      <c r="CA96" s="38">
        <v>0</v>
      </c>
      <c r="CB96" s="38">
        <v>79.65704853613741</v>
      </c>
      <c r="CC96" s="38">
        <v>157.03998463312519</v>
      </c>
      <c r="CD96" s="50">
        <v>0.50724055228501963</v>
      </c>
      <c r="CE96" s="38">
        <v>105.2502872970657</v>
      </c>
      <c r="CF96" s="38">
        <v>0.81351790276905278</v>
      </c>
      <c r="CG96" s="38">
        <v>0</v>
      </c>
      <c r="CH96" s="38">
        <v>0.81351790276905278</v>
      </c>
      <c r="CI96" s="38">
        <v>4.0675635662438855E-2</v>
      </c>
      <c r="CJ96" s="38">
        <v>0</v>
      </c>
      <c r="CK96" s="38">
        <v>4.0675635662438855E-2</v>
      </c>
      <c r="CL96" s="38"/>
      <c r="CM96" s="38">
        <v>0</v>
      </c>
      <c r="CN96" s="38"/>
      <c r="CO96" s="38">
        <v>0</v>
      </c>
      <c r="CP96" s="38">
        <v>0</v>
      </c>
      <c r="CQ96" s="38">
        <v>0</v>
      </c>
      <c r="CR96" s="38">
        <v>0</v>
      </c>
      <c r="CS96" s="38">
        <v>0</v>
      </c>
      <c r="CT96" s="38">
        <v>0</v>
      </c>
      <c r="CU96" s="38">
        <v>0</v>
      </c>
      <c r="CV96" s="38">
        <v>9999</v>
      </c>
      <c r="CW96" s="49">
        <v>9999</v>
      </c>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row>
    <row r="97" spans="1:131">
      <c r="A97" s="27" t="s">
        <v>226</v>
      </c>
      <c r="B97" s="27" t="s">
        <v>74</v>
      </c>
      <c r="C97" s="38">
        <v>45</v>
      </c>
      <c r="D97" s="38">
        <v>3912.7654882130341</v>
      </c>
      <c r="E97" s="38">
        <v>0</v>
      </c>
      <c r="F97" s="38">
        <v>3567.2363679851778</v>
      </c>
      <c r="G97" s="38">
        <v>0</v>
      </c>
      <c r="H97" s="38">
        <v>0</v>
      </c>
      <c r="I97" s="38" t="s">
        <v>1479</v>
      </c>
      <c r="J97" s="38"/>
      <c r="K97" s="38"/>
      <c r="L97" s="38">
        <v>4219.451076731496</v>
      </c>
      <c r="M97" s="38">
        <v>2.2064305586675435</v>
      </c>
      <c r="N97" s="38">
        <v>2.1905055323546954</v>
      </c>
      <c r="O97" s="38">
        <v>0</v>
      </c>
      <c r="P97" s="38">
        <v>0</v>
      </c>
      <c r="Q97" s="38">
        <v>0</v>
      </c>
      <c r="R97" s="38">
        <v>466.57926777311775</v>
      </c>
      <c r="S97" s="38">
        <v>1078.1937215176506</v>
      </c>
      <c r="T97" s="38">
        <v>0</v>
      </c>
      <c r="U97" s="38">
        <v>833.69411119175277</v>
      </c>
      <c r="V97" s="38" t="s">
        <v>1648</v>
      </c>
      <c r="W97" s="38" t="s">
        <v>1648</v>
      </c>
      <c r="X97" s="38" t="s">
        <v>1648</v>
      </c>
      <c r="Y97" s="38" t="s">
        <v>1648</v>
      </c>
      <c r="Z97" s="38">
        <v>0</v>
      </c>
      <c r="AA97" s="38">
        <v>0</v>
      </c>
      <c r="AB97" s="38">
        <v>0</v>
      </c>
      <c r="AC97" s="38">
        <v>0</v>
      </c>
      <c r="AD97" s="38">
        <v>0</v>
      </c>
      <c r="AE97" s="38">
        <v>0</v>
      </c>
      <c r="AF97" s="38">
        <v>0</v>
      </c>
      <c r="AG97" s="38">
        <v>0</v>
      </c>
      <c r="AH97" s="38">
        <v>466.57926777311775</v>
      </c>
      <c r="AI97" s="38">
        <v>1078.1937215176506</v>
      </c>
      <c r="AJ97" s="38">
        <v>0</v>
      </c>
      <c r="AK97" s="38">
        <v>833.69411119175277</v>
      </c>
      <c r="AL97" s="38">
        <v>2378.4671004825209</v>
      </c>
      <c r="AM97" s="38">
        <v>2222.4987579563422</v>
      </c>
      <c r="AN97" s="38">
        <v>779.63889509483329</v>
      </c>
      <c r="AO97" s="38">
        <v>0</v>
      </c>
      <c r="AP97" s="38">
        <v>0</v>
      </c>
      <c r="AQ97" s="38">
        <v>3002.1376530511752</v>
      </c>
      <c r="AR97" s="38">
        <v>466.57926777311775</v>
      </c>
      <c r="AS97" s="49">
        <v>6.4343571616024242</v>
      </c>
      <c r="AT97" s="38">
        <v>2222.4987579563422</v>
      </c>
      <c r="AU97" s="38">
        <v>922.86023639988196</v>
      </c>
      <c r="AV97" s="38">
        <v>0</v>
      </c>
      <c r="AW97" s="38">
        <v>0</v>
      </c>
      <c r="AX97" s="38">
        <v>3145.3589943562242</v>
      </c>
      <c r="AY97" s="38">
        <v>1078.1937215176506</v>
      </c>
      <c r="AZ97" s="49">
        <v>2.9172484791776196</v>
      </c>
      <c r="BA97" s="38">
        <v>2222.4987579563422</v>
      </c>
      <c r="BB97" s="38">
        <v>1702.4991314947151</v>
      </c>
      <c r="BC97" s="38">
        <v>0</v>
      </c>
      <c r="BD97" s="38">
        <v>0</v>
      </c>
      <c r="BE97" s="38">
        <v>3924.9978894510577</v>
      </c>
      <c r="BF97" s="38">
        <v>1544.7729892907682</v>
      </c>
      <c r="BG97" s="38">
        <v>-2.7505392063791416</v>
      </c>
      <c r="BH97" s="49">
        <v>2.5408250381521054</v>
      </c>
      <c r="BI97" s="38">
        <v>8.1365368540758904</v>
      </c>
      <c r="BJ97" s="38">
        <v>18.802299109499888</v>
      </c>
      <c r="BK97" s="38">
        <v>0</v>
      </c>
      <c r="BL97" s="38">
        <v>14.538543242852095</v>
      </c>
      <c r="BM97" s="38">
        <v>41.477379206427869</v>
      </c>
      <c r="BN97" s="38">
        <v>2222.4987579563422</v>
      </c>
      <c r="BO97" s="38">
        <v>0</v>
      </c>
      <c r="BP97" s="38">
        <v>1702.4991314947151</v>
      </c>
      <c r="BQ97" s="38">
        <v>0</v>
      </c>
      <c r="BR97" s="38">
        <v>0</v>
      </c>
      <c r="BS97" s="38">
        <v>0</v>
      </c>
      <c r="BT97" s="38">
        <v>0</v>
      </c>
      <c r="BU97" s="38">
        <v>0</v>
      </c>
      <c r="BV97" s="38">
        <v>0</v>
      </c>
      <c r="BW97" s="38">
        <v>0</v>
      </c>
      <c r="BX97" s="38">
        <v>2378.4671004825209</v>
      </c>
      <c r="BY97" s="38"/>
      <c r="BZ97" s="38">
        <v>0</v>
      </c>
      <c r="CA97" s="38">
        <v>0</v>
      </c>
      <c r="CB97" s="38">
        <v>3924.9978894510573</v>
      </c>
      <c r="CC97" s="38">
        <v>2378.4671004825209</v>
      </c>
      <c r="CD97" s="49">
        <v>1.6502216442913131</v>
      </c>
      <c r="CE97" s="38">
        <v>11.788004036472961</v>
      </c>
      <c r="CF97" s="38">
        <v>40.085040935838961</v>
      </c>
      <c r="CG97" s="38">
        <v>0</v>
      </c>
      <c r="CH97" s="38">
        <v>40.085040935838961</v>
      </c>
      <c r="CI97" s="38">
        <v>2.0042392614474607</v>
      </c>
      <c r="CJ97" s="38">
        <v>0</v>
      </c>
      <c r="CK97" s="38">
        <v>2.0042392614474607</v>
      </c>
      <c r="CL97" s="38"/>
      <c r="CM97" s="38">
        <v>0</v>
      </c>
      <c r="CN97" s="38"/>
      <c r="CO97" s="38">
        <v>0</v>
      </c>
      <c r="CP97" s="38">
        <v>0</v>
      </c>
      <c r="CQ97" s="38">
        <v>0</v>
      </c>
      <c r="CR97" s="38">
        <v>0</v>
      </c>
      <c r="CS97" s="38">
        <v>0</v>
      </c>
      <c r="CT97" s="38">
        <v>0</v>
      </c>
      <c r="CU97" s="38">
        <v>0</v>
      </c>
      <c r="CV97" s="38">
        <v>9999</v>
      </c>
      <c r="CW97" s="49">
        <v>9999</v>
      </c>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row>
    <row r="98" spans="1:131">
      <c r="A98" s="27" t="s">
        <v>227</v>
      </c>
      <c r="B98" s="27" t="s">
        <v>75</v>
      </c>
      <c r="C98" s="38">
        <v>45</v>
      </c>
      <c r="D98" s="38">
        <v>2298.216537980767</v>
      </c>
      <c r="E98" s="38">
        <v>0</v>
      </c>
      <c r="F98" s="38">
        <v>3567.2363679851778</v>
      </c>
      <c r="G98" s="38">
        <v>0</v>
      </c>
      <c r="H98" s="38">
        <v>0</v>
      </c>
      <c r="I98" s="38" t="s">
        <v>1479</v>
      </c>
      <c r="J98" s="38"/>
      <c r="K98" s="38"/>
      <c r="L98" s="38">
        <v>2478.352529676858</v>
      </c>
      <c r="M98" s="38">
        <v>1.2959772864260666</v>
      </c>
      <c r="N98" s="38">
        <v>1.2866235035453344</v>
      </c>
      <c r="O98" s="38">
        <v>0</v>
      </c>
      <c r="P98" s="38">
        <v>0</v>
      </c>
      <c r="Q98" s="38">
        <v>0</v>
      </c>
      <c r="R98" s="38">
        <v>466.57926777311775</v>
      </c>
      <c r="S98" s="38">
        <v>1078.1937215176506</v>
      </c>
      <c r="T98" s="38">
        <v>0</v>
      </c>
      <c r="U98" s="38">
        <v>833.69411119175277</v>
      </c>
      <c r="V98" s="38" t="s">
        <v>1648</v>
      </c>
      <c r="W98" s="38" t="s">
        <v>1648</v>
      </c>
      <c r="X98" s="38" t="s">
        <v>1648</v>
      </c>
      <c r="Y98" s="38" t="s">
        <v>1648</v>
      </c>
      <c r="Z98" s="38">
        <v>0</v>
      </c>
      <c r="AA98" s="38">
        <v>0</v>
      </c>
      <c r="AB98" s="38">
        <v>0</v>
      </c>
      <c r="AC98" s="38">
        <v>0</v>
      </c>
      <c r="AD98" s="38">
        <v>0</v>
      </c>
      <c r="AE98" s="38">
        <v>0</v>
      </c>
      <c r="AF98" s="38">
        <v>0</v>
      </c>
      <c r="AG98" s="38">
        <v>0</v>
      </c>
      <c r="AH98" s="38">
        <v>466.57926777311775</v>
      </c>
      <c r="AI98" s="38">
        <v>1078.1937215176506</v>
      </c>
      <c r="AJ98" s="38">
        <v>0</v>
      </c>
      <c r="AK98" s="38">
        <v>833.69411119175277</v>
      </c>
      <c r="AL98" s="38">
        <v>2378.4671004825209</v>
      </c>
      <c r="AM98" s="38">
        <v>1305.4151639202153</v>
      </c>
      <c r="AN98" s="38">
        <v>457.93161071309345</v>
      </c>
      <c r="AO98" s="38">
        <v>0</v>
      </c>
      <c r="AP98" s="38">
        <v>0</v>
      </c>
      <c r="AQ98" s="38">
        <v>1763.3467746333088</v>
      </c>
      <c r="AR98" s="38">
        <v>466.57926777311775</v>
      </c>
      <c r="AS98" s="49">
        <v>3.7793080328009059</v>
      </c>
      <c r="AT98" s="38">
        <v>1305.4151639202153</v>
      </c>
      <c r="AU98" s="38">
        <v>542.05463218489012</v>
      </c>
      <c r="AV98" s="38">
        <v>0</v>
      </c>
      <c r="AW98" s="38">
        <v>0</v>
      </c>
      <c r="AX98" s="38">
        <v>1847.4697961051054</v>
      </c>
      <c r="AY98" s="38">
        <v>1078.1937215176506</v>
      </c>
      <c r="AZ98" s="49">
        <v>1.7134859526956181</v>
      </c>
      <c r="BA98" s="38">
        <v>1305.4151639202153</v>
      </c>
      <c r="BB98" s="38">
        <v>999.98624289798363</v>
      </c>
      <c r="BC98" s="38">
        <v>0</v>
      </c>
      <c r="BD98" s="38">
        <v>0</v>
      </c>
      <c r="BE98" s="38">
        <v>2305.4014068181987</v>
      </c>
      <c r="BF98" s="38">
        <v>1544.7729892907682</v>
      </c>
      <c r="BG98" s="38">
        <v>16.174600616905227</v>
      </c>
      <c r="BH98" s="49">
        <v>1.4923884757181365</v>
      </c>
      <c r="BI98" s="38">
        <v>13.852637499586219</v>
      </c>
      <c r="BJ98" s="38">
        <v>32.011338287273908</v>
      </c>
      <c r="BK98" s="38">
        <v>0</v>
      </c>
      <c r="BL98" s="38">
        <v>24.752197762663794</v>
      </c>
      <c r="BM98" s="38">
        <v>70.616173549523921</v>
      </c>
      <c r="BN98" s="38">
        <v>1305.4151639202153</v>
      </c>
      <c r="BO98" s="38">
        <v>0</v>
      </c>
      <c r="BP98" s="38">
        <v>999.98624289798363</v>
      </c>
      <c r="BQ98" s="38">
        <v>0</v>
      </c>
      <c r="BR98" s="38">
        <v>0</v>
      </c>
      <c r="BS98" s="38">
        <v>0</v>
      </c>
      <c r="BT98" s="38">
        <v>0</v>
      </c>
      <c r="BU98" s="38">
        <v>0</v>
      </c>
      <c r="BV98" s="38">
        <v>0</v>
      </c>
      <c r="BW98" s="38">
        <v>0</v>
      </c>
      <c r="BX98" s="38">
        <v>2378.4671004825209</v>
      </c>
      <c r="BY98" s="38"/>
      <c r="BZ98" s="38">
        <v>0</v>
      </c>
      <c r="CA98" s="38">
        <v>0</v>
      </c>
      <c r="CB98" s="38">
        <v>2305.4014068181987</v>
      </c>
      <c r="CC98" s="38">
        <v>2378.4671004825209</v>
      </c>
      <c r="CD98" s="50">
        <v>0.96928034293621324</v>
      </c>
      <c r="CE98" s="38">
        <v>40.926798379569014</v>
      </c>
      <c r="CF98" s="38">
        <v>23.544499224883111</v>
      </c>
      <c r="CG98" s="38">
        <v>0</v>
      </c>
      <c r="CH98" s="38">
        <v>23.544499224883111</v>
      </c>
      <c r="CI98" s="38">
        <v>1.1772174515965077</v>
      </c>
      <c r="CJ98" s="38">
        <v>0</v>
      </c>
      <c r="CK98" s="38">
        <v>1.1772174515965077</v>
      </c>
      <c r="CL98" s="38"/>
      <c r="CM98" s="38">
        <v>0</v>
      </c>
      <c r="CN98" s="38"/>
      <c r="CO98" s="38">
        <v>0</v>
      </c>
      <c r="CP98" s="38">
        <v>0</v>
      </c>
      <c r="CQ98" s="38">
        <v>0</v>
      </c>
      <c r="CR98" s="38">
        <v>0</v>
      </c>
      <c r="CS98" s="38">
        <v>0</v>
      </c>
      <c r="CT98" s="38">
        <v>0</v>
      </c>
      <c r="CU98" s="38">
        <v>0</v>
      </c>
      <c r="CV98" s="38">
        <v>9999</v>
      </c>
      <c r="CW98" s="49">
        <v>9999</v>
      </c>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row>
    <row r="99" spans="1:131">
      <c r="A99" s="27" t="s">
        <v>224</v>
      </c>
      <c r="B99" s="27" t="s">
        <v>72</v>
      </c>
      <c r="C99" s="38">
        <v>45</v>
      </c>
      <c r="D99" s="38">
        <v>3597.6461680668308</v>
      </c>
      <c r="E99" s="38">
        <v>0</v>
      </c>
      <c r="F99" s="38">
        <v>2730.3075374938753</v>
      </c>
      <c r="G99" s="38">
        <v>0</v>
      </c>
      <c r="H99" s="38">
        <v>0</v>
      </c>
      <c r="I99" s="38" t="s">
        <v>1479</v>
      </c>
      <c r="J99" s="38"/>
      <c r="K99" s="38"/>
      <c r="L99" s="38">
        <v>3879.632460283558</v>
      </c>
      <c r="M99" s="38">
        <v>2.0287329941976973</v>
      </c>
      <c r="N99" s="38">
        <v>2.0140905092178611</v>
      </c>
      <c r="O99" s="38">
        <v>0</v>
      </c>
      <c r="P99" s="38">
        <v>0</v>
      </c>
      <c r="Q99" s="38">
        <v>0</v>
      </c>
      <c r="R99" s="38">
        <v>357.11255443351382</v>
      </c>
      <c r="S99" s="38">
        <v>825.23279678293693</v>
      </c>
      <c r="T99" s="38">
        <v>0</v>
      </c>
      <c r="U99" s="38">
        <v>638.09657699715342</v>
      </c>
      <c r="V99" s="38" t="s">
        <v>1648</v>
      </c>
      <c r="W99" s="38" t="s">
        <v>1648</v>
      </c>
      <c r="X99" s="38" t="s">
        <v>1648</v>
      </c>
      <c r="Y99" s="38" t="s">
        <v>1648</v>
      </c>
      <c r="Z99" s="38">
        <v>0</v>
      </c>
      <c r="AA99" s="38">
        <v>0</v>
      </c>
      <c r="AB99" s="38">
        <v>0</v>
      </c>
      <c r="AC99" s="38">
        <v>0</v>
      </c>
      <c r="AD99" s="38">
        <v>0</v>
      </c>
      <c r="AE99" s="38">
        <v>0</v>
      </c>
      <c r="AF99" s="38">
        <v>0</v>
      </c>
      <c r="AG99" s="38">
        <v>0</v>
      </c>
      <c r="AH99" s="38">
        <v>357.11255443351382</v>
      </c>
      <c r="AI99" s="38">
        <v>825.23279678293693</v>
      </c>
      <c r="AJ99" s="38">
        <v>0</v>
      </c>
      <c r="AK99" s="38">
        <v>638.09657699715342</v>
      </c>
      <c r="AL99" s="38">
        <v>1820.4419282136041</v>
      </c>
      <c r="AM99" s="38">
        <v>2043.5071215439975</v>
      </c>
      <c r="AN99" s="38">
        <v>716.8497299067036</v>
      </c>
      <c r="AO99" s="38">
        <v>0</v>
      </c>
      <c r="AP99" s="38">
        <v>0</v>
      </c>
      <c r="AQ99" s="38">
        <v>2760.356851450701</v>
      </c>
      <c r="AR99" s="38">
        <v>357.11255443351382</v>
      </c>
      <c r="AS99" s="49">
        <v>7.7296550266328321</v>
      </c>
      <c r="AT99" s="38">
        <v>2043.5071215439975</v>
      </c>
      <c r="AU99" s="38">
        <v>848.53656656575936</v>
      </c>
      <c r="AV99" s="38">
        <v>0</v>
      </c>
      <c r="AW99" s="38">
        <v>0</v>
      </c>
      <c r="AX99" s="38">
        <v>2892.0436881097567</v>
      </c>
      <c r="AY99" s="38">
        <v>825.23279678293693</v>
      </c>
      <c r="AZ99" s="49">
        <v>3.5045186029736266</v>
      </c>
      <c r="BA99" s="38">
        <v>2043.5071215439975</v>
      </c>
      <c r="BB99" s="38">
        <v>1565.3862964724631</v>
      </c>
      <c r="BC99" s="38">
        <v>0</v>
      </c>
      <c r="BD99" s="38">
        <v>0</v>
      </c>
      <c r="BE99" s="38">
        <v>3608.8934180164601</v>
      </c>
      <c r="BF99" s="38">
        <v>1182.3453512164508</v>
      </c>
      <c r="BG99" s="38">
        <v>-7.2648178630327864</v>
      </c>
      <c r="BH99" s="49">
        <v>3.052317509688236</v>
      </c>
      <c r="BI99" s="38">
        <v>6.7730557181762361</v>
      </c>
      <c r="BJ99" s="38">
        <v>15.651501588745871</v>
      </c>
      <c r="BK99" s="38">
        <v>0</v>
      </c>
      <c r="BL99" s="38">
        <v>12.102245121107567</v>
      </c>
      <c r="BM99" s="38">
        <v>34.526802428029669</v>
      </c>
      <c r="BN99" s="38">
        <v>2043.5071215439975</v>
      </c>
      <c r="BO99" s="38">
        <v>0</v>
      </c>
      <c r="BP99" s="38">
        <v>1565.3862964724631</v>
      </c>
      <c r="BQ99" s="38">
        <v>0</v>
      </c>
      <c r="BR99" s="38">
        <v>0</v>
      </c>
      <c r="BS99" s="38">
        <v>0</v>
      </c>
      <c r="BT99" s="38">
        <v>0</v>
      </c>
      <c r="BU99" s="38">
        <v>0</v>
      </c>
      <c r="BV99" s="38">
        <v>0</v>
      </c>
      <c r="BW99" s="38">
        <v>0</v>
      </c>
      <c r="BX99" s="38">
        <v>1820.4419282136041</v>
      </c>
      <c r="BY99" s="38"/>
      <c r="BZ99" s="38">
        <v>0</v>
      </c>
      <c r="CA99" s="38">
        <v>0</v>
      </c>
      <c r="CB99" s="38">
        <v>3608.8934180164606</v>
      </c>
      <c r="CC99" s="38">
        <v>1820.4419282136041</v>
      </c>
      <c r="CD99" s="49">
        <v>1.982427103048467</v>
      </c>
      <c r="CE99" s="38">
        <v>4.8374272580747633</v>
      </c>
      <c r="CF99" s="38">
        <v>36.856743485918614</v>
      </c>
      <c r="CG99" s="38">
        <v>0</v>
      </c>
      <c r="CH99" s="38">
        <v>36.856743485918614</v>
      </c>
      <c r="CI99" s="38">
        <v>1.8428254186346897</v>
      </c>
      <c r="CJ99" s="38">
        <v>0</v>
      </c>
      <c r="CK99" s="38">
        <v>1.8428254186346897</v>
      </c>
      <c r="CL99" s="38"/>
      <c r="CM99" s="38">
        <v>0</v>
      </c>
      <c r="CN99" s="38"/>
      <c r="CO99" s="38">
        <v>0</v>
      </c>
      <c r="CP99" s="38">
        <v>0</v>
      </c>
      <c r="CQ99" s="38">
        <v>0</v>
      </c>
      <c r="CR99" s="38">
        <v>0</v>
      </c>
      <c r="CS99" s="38">
        <v>0</v>
      </c>
      <c r="CT99" s="38">
        <v>0</v>
      </c>
      <c r="CU99" s="38">
        <v>0</v>
      </c>
      <c r="CV99" s="38">
        <v>9999</v>
      </c>
      <c r="CW99" s="49">
        <v>9999</v>
      </c>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row>
    <row r="100" spans="1:131">
      <c r="A100" s="27" t="s">
        <v>225</v>
      </c>
      <c r="B100" s="27" t="s">
        <v>73</v>
      </c>
      <c r="C100" s="38">
        <v>45</v>
      </c>
      <c r="D100" s="38">
        <v>1983.0972178345644</v>
      </c>
      <c r="E100" s="38">
        <v>0</v>
      </c>
      <c r="F100" s="38">
        <v>2730.3075374938753</v>
      </c>
      <c r="G100" s="38">
        <v>0</v>
      </c>
      <c r="H100" s="38">
        <v>0</v>
      </c>
      <c r="I100" s="38" t="s">
        <v>1479</v>
      </c>
      <c r="J100" s="38"/>
      <c r="K100" s="38"/>
      <c r="L100" s="38">
        <v>2138.5339132289205</v>
      </c>
      <c r="M100" s="38">
        <v>1.1182797219562208</v>
      </c>
      <c r="N100" s="38">
        <v>1.1102084804085006</v>
      </c>
      <c r="O100" s="38">
        <v>0</v>
      </c>
      <c r="P100" s="38">
        <v>0</v>
      </c>
      <c r="Q100" s="38">
        <v>0</v>
      </c>
      <c r="R100" s="38">
        <v>357.11255443351382</v>
      </c>
      <c r="S100" s="38">
        <v>825.23279678293693</v>
      </c>
      <c r="T100" s="38">
        <v>0</v>
      </c>
      <c r="U100" s="38">
        <v>638.09657699715342</v>
      </c>
      <c r="V100" s="38" t="s">
        <v>1648</v>
      </c>
      <c r="W100" s="38" t="s">
        <v>1648</v>
      </c>
      <c r="X100" s="38" t="s">
        <v>1648</v>
      </c>
      <c r="Y100" s="38" t="s">
        <v>1648</v>
      </c>
      <c r="Z100" s="38">
        <v>0</v>
      </c>
      <c r="AA100" s="38">
        <v>0</v>
      </c>
      <c r="AB100" s="38">
        <v>0</v>
      </c>
      <c r="AC100" s="38">
        <v>0</v>
      </c>
      <c r="AD100" s="38">
        <v>0</v>
      </c>
      <c r="AE100" s="38">
        <v>0</v>
      </c>
      <c r="AF100" s="38">
        <v>0</v>
      </c>
      <c r="AG100" s="38">
        <v>0</v>
      </c>
      <c r="AH100" s="38">
        <v>357.11255443351382</v>
      </c>
      <c r="AI100" s="38">
        <v>825.23279678293693</v>
      </c>
      <c r="AJ100" s="38">
        <v>0</v>
      </c>
      <c r="AK100" s="38">
        <v>638.09657699715342</v>
      </c>
      <c r="AL100" s="38">
        <v>1820.4419282136041</v>
      </c>
      <c r="AM100" s="38">
        <v>1126.4235275078747</v>
      </c>
      <c r="AN100" s="38">
        <v>395.14244552496393</v>
      </c>
      <c r="AO100" s="38">
        <v>0</v>
      </c>
      <c r="AP100" s="38">
        <v>0</v>
      </c>
      <c r="AQ100" s="38">
        <v>1521.5659730328387</v>
      </c>
      <c r="AR100" s="38">
        <v>357.11255443351382</v>
      </c>
      <c r="AS100" s="49">
        <v>4.2607462385255328</v>
      </c>
      <c r="AT100" s="38">
        <v>1126.4235275078747</v>
      </c>
      <c r="AU100" s="38">
        <v>467.7309623507677</v>
      </c>
      <c r="AV100" s="38">
        <v>0</v>
      </c>
      <c r="AW100" s="38">
        <v>0</v>
      </c>
      <c r="AX100" s="38">
        <v>1594.1544898586424</v>
      </c>
      <c r="AY100" s="38">
        <v>825.23279678293693</v>
      </c>
      <c r="AZ100" s="49">
        <v>1.9317633715882925</v>
      </c>
      <c r="BA100" s="38">
        <v>1126.4235275078747</v>
      </c>
      <c r="BB100" s="38">
        <v>862.87340787573157</v>
      </c>
      <c r="BC100" s="38">
        <v>0</v>
      </c>
      <c r="BD100" s="38">
        <v>0</v>
      </c>
      <c r="BE100" s="38">
        <v>1989.2969353836063</v>
      </c>
      <c r="BF100" s="38">
        <v>1182.3453512164508</v>
      </c>
      <c r="BG100" s="38">
        <v>10.992252508357724</v>
      </c>
      <c r="BH100" s="49">
        <v>1.6825007459427375</v>
      </c>
      <c r="BI100" s="38">
        <v>12.287374381578424</v>
      </c>
      <c r="BJ100" s="38">
        <v>28.394253296734203</v>
      </c>
      <c r="BK100" s="38">
        <v>0</v>
      </c>
      <c r="BL100" s="38">
        <v>21.955351151418103</v>
      </c>
      <c r="BM100" s="38">
        <v>62.636978829730722</v>
      </c>
      <c r="BN100" s="38">
        <v>1126.4235275078747</v>
      </c>
      <c r="BO100" s="38">
        <v>0</v>
      </c>
      <c r="BP100" s="38">
        <v>862.87340787573157</v>
      </c>
      <c r="BQ100" s="38">
        <v>0</v>
      </c>
      <c r="BR100" s="38">
        <v>0</v>
      </c>
      <c r="BS100" s="38">
        <v>0</v>
      </c>
      <c r="BT100" s="38">
        <v>0</v>
      </c>
      <c r="BU100" s="38">
        <v>0</v>
      </c>
      <c r="BV100" s="38">
        <v>0</v>
      </c>
      <c r="BW100" s="38">
        <v>0</v>
      </c>
      <c r="BX100" s="38">
        <v>1820.4419282136041</v>
      </c>
      <c r="BY100" s="38"/>
      <c r="BZ100" s="38">
        <v>0</v>
      </c>
      <c r="CA100" s="38">
        <v>0</v>
      </c>
      <c r="CB100" s="38">
        <v>1989.2969353836063</v>
      </c>
      <c r="CC100" s="38">
        <v>1820.4419282136041</v>
      </c>
      <c r="CD100" s="49">
        <v>1.0927549539224792</v>
      </c>
      <c r="CE100" s="38">
        <v>32.947603659775822</v>
      </c>
      <c r="CF100" s="38">
        <v>20.316201774962785</v>
      </c>
      <c r="CG100" s="38">
        <v>0</v>
      </c>
      <c r="CH100" s="38">
        <v>20.316201774962785</v>
      </c>
      <c r="CI100" s="38">
        <v>1.0158036087837372</v>
      </c>
      <c r="CJ100" s="38">
        <v>0</v>
      </c>
      <c r="CK100" s="38">
        <v>1.0158036087837372</v>
      </c>
      <c r="CL100" s="38"/>
      <c r="CM100" s="38">
        <v>0</v>
      </c>
      <c r="CN100" s="38"/>
      <c r="CO100" s="38">
        <v>0</v>
      </c>
      <c r="CP100" s="38">
        <v>0</v>
      </c>
      <c r="CQ100" s="38">
        <v>0</v>
      </c>
      <c r="CR100" s="38">
        <v>0</v>
      </c>
      <c r="CS100" s="38">
        <v>0</v>
      </c>
      <c r="CT100" s="38">
        <v>0</v>
      </c>
      <c r="CU100" s="38">
        <v>0</v>
      </c>
      <c r="CV100" s="38">
        <v>9999</v>
      </c>
      <c r="CW100" s="49">
        <v>9999</v>
      </c>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row>
    <row r="101" spans="1:131">
      <c r="A101" s="27" t="s">
        <v>243</v>
      </c>
      <c r="B101" s="27" t="s">
        <v>69</v>
      </c>
      <c r="C101" s="38">
        <v>45</v>
      </c>
      <c r="D101" s="38">
        <v>270.93400411494554</v>
      </c>
      <c r="E101" s="38">
        <v>0</v>
      </c>
      <c r="F101" s="38">
        <v>444.29060237385954</v>
      </c>
      <c r="G101" s="38">
        <v>0</v>
      </c>
      <c r="H101" s="38">
        <v>0</v>
      </c>
      <c r="I101" s="38" t="s">
        <v>1479</v>
      </c>
      <c r="J101" s="38"/>
      <c r="K101" s="38"/>
      <c r="L101" s="38">
        <v>292.170021134612</v>
      </c>
      <c r="M101" s="38">
        <v>0.15278121519477739</v>
      </c>
      <c r="N101" s="38">
        <v>0.15167850889725629</v>
      </c>
      <c r="O101" s="38">
        <v>0</v>
      </c>
      <c r="P101" s="38">
        <v>0</v>
      </c>
      <c r="Q101" s="38">
        <v>0</v>
      </c>
      <c r="R101" s="38">
        <v>58.111311544840746</v>
      </c>
      <c r="S101" s="38">
        <v>134.28640229953521</v>
      </c>
      <c r="T101" s="38">
        <v>0</v>
      </c>
      <c r="U101" s="38">
        <v>103.83457126115013</v>
      </c>
      <c r="V101" s="38" t="s">
        <v>1648</v>
      </c>
      <c r="W101" s="38" t="s">
        <v>1648</v>
      </c>
      <c r="X101" s="38" t="s">
        <v>1648</v>
      </c>
      <c r="Y101" s="38" t="s">
        <v>1648</v>
      </c>
      <c r="Z101" s="38">
        <v>0</v>
      </c>
      <c r="AA101" s="38">
        <v>0</v>
      </c>
      <c r="AB101" s="38">
        <v>0</v>
      </c>
      <c r="AC101" s="38">
        <v>0</v>
      </c>
      <c r="AD101" s="38">
        <v>0</v>
      </c>
      <c r="AE101" s="38">
        <v>0</v>
      </c>
      <c r="AF101" s="38">
        <v>0</v>
      </c>
      <c r="AG101" s="38">
        <v>0</v>
      </c>
      <c r="AH101" s="38">
        <v>58.111311544840746</v>
      </c>
      <c r="AI101" s="38">
        <v>134.28640229953521</v>
      </c>
      <c r="AJ101" s="38">
        <v>0</v>
      </c>
      <c r="AK101" s="38">
        <v>103.83457126115013</v>
      </c>
      <c r="AL101" s="38">
        <v>296.2322851055261</v>
      </c>
      <c r="AM101" s="38">
        <v>153.89383530588418</v>
      </c>
      <c r="AN101" s="38">
        <v>53.985010920821757</v>
      </c>
      <c r="AO101" s="38">
        <v>0</v>
      </c>
      <c r="AP101" s="38">
        <v>0</v>
      </c>
      <c r="AQ101" s="38">
        <v>207.87884622670595</v>
      </c>
      <c r="AR101" s="38">
        <v>58.111311544840746</v>
      </c>
      <c r="AS101" s="49">
        <v>3.5772527017618465</v>
      </c>
      <c r="AT101" s="38">
        <v>153.89383530588418</v>
      </c>
      <c r="AU101" s="38">
        <v>63.902173498385729</v>
      </c>
      <c r="AV101" s="38">
        <v>0</v>
      </c>
      <c r="AW101" s="38">
        <v>0</v>
      </c>
      <c r="AX101" s="38">
        <v>217.79600880426992</v>
      </c>
      <c r="AY101" s="38">
        <v>134.28640229953521</v>
      </c>
      <c r="AZ101" s="49">
        <v>1.6218768622489468</v>
      </c>
      <c r="BA101" s="38">
        <v>153.89383530588418</v>
      </c>
      <c r="BB101" s="38">
        <v>117.88718441920749</v>
      </c>
      <c r="BC101" s="38">
        <v>0</v>
      </c>
      <c r="BD101" s="38">
        <v>0</v>
      </c>
      <c r="BE101" s="38">
        <v>271.78101972509165</v>
      </c>
      <c r="BF101" s="38">
        <v>192.39771384437597</v>
      </c>
      <c r="BG101" s="38">
        <v>18.76515308355571</v>
      </c>
      <c r="BH101" s="49">
        <v>1.4126000475500773</v>
      </c>
      <c r="BI101" s="38">
        <v>14.635081315860196</v>
      </c>
      <c r="BJ101" s="38">
        <v>33.819446937650412</v>
      </c>
      <c r="BK101" s="38">
        <v>0</v>
      </c>
      <c r="BL101" s="38">
        <v>26.150285605442136</v>
      </c>
      <c r="BM101" s="38">
        <v>74.604813858952753</v>
      </c>
      <c r="BN101" s="38">
        <v>153.89383530588418</v>
      </c>
      <c r="BO101" s="38">
        <v>0</v>
      </c>
      <c r="BP101" s="38">
        <v>117.88718441920749</v>
      </c>
      <c r="BQ101" s="38">
        <v>0</v>
      </c>
      <c r="BR101" s="38">
        <v>0</v>
      </c>
      <c r="BS101" s="38">
        <v>0</v>
      </c>
      <c r="BT101" s="38">
        <v>0</v>
      </c>
      <c r="BU101" s="38">
        <v>0</v>
      </c>
      <c r="BV101" s="38">
        <v>0</v>
      </c>
      <c r="BW101" s="38">
        <v>0</v>
      </c>
      <c r="BX101" s="38">
        <v>296.2322851055261</v>
      </c>
      <c r="BY101" s="38"/>
      <c r="BZ101" s="38">
        <v>0</v>
      </c>
      <c r="CA101" s="38">
        <v>0</v>
      </c>
      <c r="CB101" s="38">
        <v>271.78101972509165</v>
      </c>
      <c r="CC101" s="38">
        <v>296.2322851055261</v>
      </c>
      <c r="CD101" s="50">
        <v>0.91745914739939893</v>
      </c>
      <c r="CE101" s="38">
        <v>44.915438688997845</v>
      </c>
      <c r="CF101" s="38">
        <v>2.7756329068467416</v>
      </c>
      <c r="CG101" s="38">
        <v>0</v>
      </c>
      <c r="CH101" s="38">
        <v>2.7756329068467416</v>
      </c>
      <c r="CI101" s="38">
        <v>0.13878076003894071</v>
      </c>
      <c r="CJ101" s="38">
        <v>0</v>
      </c>
      <c r="CK101" s="38">
        <v>0.13878076003894071</v>
      </c>
      <c r="CL101" s="38"/>
      <c r="CM101" s="38">
        <v>0</v>
      </c>
      <c r="CN101" s="38"/>
      <c r="CO101" s="38">
        <v>0</v>
      </c>
      <c r="CP101" s="38">
        <v>0</v>
      </c>
      <c r="CQ101" s="38">
        <v>0</v>
      </c>
      <c r="CR101" s="38">
        <v>0</v>
      </c>
      <c r="CS101" s="38">
        <v>0</v>
      </c>
      <c r="CT101" s="38">
        <v>0</v>
      </c>
      <c r="CU101" s="38">
        <v>0</v>
      </c>
      <c r="CV101" s="38">
        <v>9999</v>
      </c>
      <c r="CW101" s="49">
        <v>9999</v>
      </c>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row>
    <row r="102" spans="1:131">
      <c r="A102" s="27" t="s">
        <v>244</v>
      </c>
      <c r="B102" s="27" t="s">
        <v>70</v>
      </c>
      <c r="C102" s="38">
        <v>45</v>
      </c>
      <c r="D102" s="38">
        <v>56.755374240869628</v>
      </c>
      <c r="E102" s="38">
        <v>0</v>
      </c>
      <c r="F102" s="38">
        <v>315.42921929554086</v>
      </c>
      <c r="G102" s="38">
        <v>0</v>
      </c>
      <c r="H102" s="38">
        <v>0</v>
      </c>
      <c r="I102" s="38" t="s">
        <v>1479</v>
      </c>
      <c r="J102" s="38"/>
      <c r="K102" s="38"/>
      <c r="L102" s="38">
        <v>61.203904418075837</v>
      </c>
      <c r="M102" s="38">
        <v>3.2004676096971697E-2</v>
      </c>
      <c r="N102" s="38">
        <v>3.1773680697195217E-2</v>
      </c>
      <c r="O102" s="38">
        <v>0</v>
      </c>
      <c r="P102" s="38">
        <v>0</v>
      </c>
      <c r="Q102" s="38">
        <v>0</v>
      </c>
      <c r="R102" s="38">
        <v>41.256793492572733</v>
      </c>
      <c r="S102" s="38">
        <v>95.338174638468317</v>
      </c>
      <c r="T102" s="38">
        <v>0</v>
      </c>
      <c r="U102" s="38">
        <v>73.718547216156082</v>
      </c>
      <c r="V102" s="38" t="s">
        <v>1648</v>
      </c>
      <c r="W102" s="38" t="s">
        <v>1648</v>
      </c>
      <c r="X102" s="38" t="s">
        <v>1648</v>
      </c>
      <c r="Y102" s="38" t="s">
        <v>1648</v>
      </c>
      <c r="Z102" s="38">
        <v>0</v>
      </c>
      <c r="AA102" s="38">
        <v>0</v>
      </c>
      <c r="AB102" s="38">
        <v>0</v>
      </c>
      <c r="AC102" s="38">
        <v>0</v>
      </c>
      <c r="AD102" s="38">
        <v>0</v>
      </c>
      <c r="AE102" s="38">
        <v>0</v>
      </c>
      <c r="AF102" s="38">
        <v>0</v>
      </c>
      <c r="AG102" s="38">
        <v>0</v>
      </c>
      <c r="AH102" s="38">
        <v>41.256793492572733</v>
      </c>
      <c r="AI102" s="38">
        <v>95.338174638468317</v>
      </c>
      <c r="AJ102" s="38">
        <v>0</v>
      </c>
      <c r="AK102" s="38">
        <v>73.718547216156082</v>
      </c>
      <c r="AL102" s="38">
        <v>210.31351534719713</v>
      </c>
      <c r="AM102" s="38">
        <v>32.237748246774643</v>
      </c>
      <c r="AN102" s="38">
        <v>11.308803810793631</v>
      </c>
      <c r="AO102" s="38">
        <v>0</v>
      </c>
      <c r="AP102" s="38">
        <v>0</v>
      </c>
      <c r="AQ102" s="38">
        <v>43.546552057568277</v>
      </c>
      <c r="AR102" s="38">
        <v>41.256793492572733</v>
      </c>
      <c r="AS102" s="49">
        <v>1.0555001581838337</v>
      </c>
      <c r="AT102" s="38">
        <v>32.237748246774643</v>
      </c>
      <c r="AU102" s="38">
        <v>13.386255385526185</v>
      </c>
      <c r="AV102" s="38">
        <v>0</v>
      </c>
      <c r="AW102" s="38">
        <v>0</v>
      </c>
      <c r="AX102" s="38">
        <v>45.624003632300827</v>
      </c>
      <c r="AY102" s="38">
        <v>95.338174638468317</v>
      </c>
      <c r="AZ102" s="50">
        <v>0.47854916255016955</v>
      </c>
      <c r="BA102" s="38">
        <v>32.237748246774643</v>
      </c>
      <c r="BB102" s="38">
        <v>24.695059196319818</v>
      </c>
      <c r="BC102" s="38">
        <v>0</v>
      </c>
      <c r="BD102" s="38">
        <v>0</v>
      </c>
      <c r="BE102" s="38">
        <v>56.932807443094461</v>
      </c>
      <c r="BF102" s="38">
        <v>136.59496813104104</v>
      </c>
      <c r="BG102" s="38">
        <v>134.53048852548713</v>
      </c>
      <c r="BH102" s="50">
        <v>0.4168001810174774</v>
      </c>
      <c r="BI102" s="38">
        <v>49.600546027153698</v>
      </c>
      <c r="BJ102" s="38">
        <v>114.61931766828835</v>
      </c>
      <c r="BK102" s="38">
        <v>0</v>
      </c>
      <c r="BL102" s="38">
        <v>88.627348000472011</v>
      </c>
      <c r="BM102" s="38">
        <v>252.84721169591404</v>
      </c>
      <c r="BN102" s="38">
        <v>32.237748246774643</v>
      </c>
      <c r="BO102" s="38">
        <v>0</v>
      </c>
      <c r="BP102" s="38">
        <v>24.695059196319818</v>
      </c>
      <c r="BQ102" s="38">
        <v>0</v>
      </c>
      <c r="BR102" s="38">
        <v>0</v>
      </c>
      <c r="BS102" s="38">
        <v>0</v>
      </c>
      <c r="BT102" s="38">
        <v>0</v>
      </c>
      <c r="BU102" s="38">
        <v>0</v>
      </c>
      <c r="BV102" s="38">
        <v>0</v>
      </c>
      <c r="BW102" s="38">
        <v>0</v>
      </c>
      <c r="BX102" s="38">
        <v>210.31351534719713</v>
      </c>
      <c r="BY102" s="38"/>
      <c r="BZ102" s="38">
        <v>0</v>
      </c>
      <c r="CA102" s="38">
        <v>0</v>
      </c>
      <c r="CB102" s="38">
        <v>56.932807443094461</v>
      </c>
      <c r="CC102" s="38">
        <v>210.31351534719713</v>
      </c>
      <c r="CD102" s="50">
        <v>0.2707044639956051</v>
      </c>
      <c r="CE102" s="38">
        <v>223.15783652595914</v>
      </c>
      <c r="CF102" s="38">
        <v>0.58144080104660956</v>
      </c>
      <c r="CG102" s="38">
        <v>0</v>
      </c>
      <c r="CH102" s="38">
        <v>0.58144080104660956</v>
      </c>
      <c r="CI102" s="38">
        <v>2.9071854598586022E-2</v>
      </c>
      <c r="CJ102" s="38">
        <v>0</v>
      </c>
      <c r="CK102" s="38">
        <v>2.9071854598586022E-2</v>
      </c>
      <c r="CL102" s="38"/>
      <c r="CM102" s="38">
        <v>0</v>
      </c>
      <c r="CN102" s="38"/>
      <c r="CO102" s="38">
        <v>0</v>
      </c>
      <c r="CP102" s="38">
        <v>0</v>
      </c>
      <c r="CQ102" s="38">
        <v>0</v>
      </c>
      <c r="CR102" s="38">
        <v>0</v>
      </c>
      <c r="CS102" s="38">
        <v>0</v>
      </c>
      <c r="CT102" s="38">
        <v>0</v>
      </c>
      <c r="CU102" s="38">
        <v>0</v>
      </c>
      <c r="CV102" s="38">
        <v>9999</v>
      </c>
      <c r="CW102" s="49">
        <v>9999</v>
      </c>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row>
    <row r="103" spans="1:131">
      <c r="A103" s="27" t="s">
        <v>245</v>
      </c>
      <c r="B103" s="27" t="s">
        <v>71</v>
      </c>
      <c r="C103" s="38">
        <v>45</v>
      </c>
      <c r="D103" s="38">
        <v>73.360580339801686</v>
      </c>
      <c r="E103" s="38">
        <v>0</v>
      </c>
      <c r="F103" s="38">
        <v>337.57430889025602</v>
      </c>
      <c r="G103" s="38">
        <v>0</v>
      </c>
      <c r="H103" s="38">
        <v>0</v>
      </c>
      <c r="I103" s="38" t="s">
        <v>1479</v>
      </c>
      <c r="J103" s="38"/>
      <c r="K103" s="38"/>
      <c r="L103" s="38">
        <v>79.110639428020434</v>
      </c>
      <c r="M103" s="38">
        <v>4.1368445604760183E-2</v>
      </c>
      <c r="N103" s="38">
        <v>4.1069866715798792E-2</v>
      </c>
      <c r="O103" s="38">
        <v>0</v>
      </c>
      <c r="P103" s="38">
        <v>0</v>
      </c>
      <c r="Q103" s="38">
        <v>0</v>
      </c>
      <c r="R103" s="38">
        <v>44.153276546121596</v>
      </c>
      <c r="S103" s="38">
        <v>102.03150642263422</v>
      </c>
      <c r="T103" s="38">
        <v>0</v>
      </c>
      <c r="U103" s="38">
        <v>78.894046925853047</v>
      </c>
      <c r="V103" s="38" t="s">
        <v>1648</v>
      </c>
      <c r="W103" s="38" t="s">
        <v>1648</v>
      </c>
      <c r="X103" s="38" t="s">
        <v>1648</v>
      </c>
      <c r="Y103" s="38" t="s">
        <v>1648</v>
      </c>
      <c r="Z103" s="38">
        <v>0</v>
      </c>
      <c r="AA103" s="38">
        <v>0</v>
      </c>
      <c r="AB103" s="38">
        <v>0</v>
      </c>
      <c r="AC103" s="38">
        <v>0</v>
      </c>
      <c r="AD103" s="38">
        <v>0</v>
      </c>
      <c r="AE103" s="38">
        <v>0</v>
      </c>
      <c r="AF103" s="38">
        <v>0</v>
      </c>
      <c r="AG103" s="38">
        <v>0</v>
      </c>
      <c r="AH103" s="38">
        <v>44.153276546121596</v>
      </c>
      <c r="AI103" s="38">
        <v>102.03150642263422</v>
      </c>
      <c r="AJ103" s="38">
        <v>0</v>
      </c>
      <c r="AK103" s="38">
        <v>78.894046925853047</v>
      </c>
      <c r="AL103" s="38">
        <v>225.07882989460887</v>
      </c>
      <c r="AM103" s="38">
        <v>41.669708848977791</v>
      </c>
      <c r="AN103" s="38">
        <v>14.617477579971105</v>
      </c>
      <c r="AO103" s="38">
        <v>0</v>
      </c>
      <c r="AP103" s="38">
        <v>0</v>
      </c>
      <c r="AQ103" s="38">
        <v>56.2871864289489</v>
      </c>
      <c r="AR103" s="38">
        <v>44.153276546121596</v>
      </c>
      <c r="AS103" s="49">
        <v>1.2748133509446908</v>
      </c>
      <c r="AT103" s="38">
        <v>41.669708848977791</v>
      </c>
      <c r="AU103" s="38">
        <v>17.302739639972984</v>
      </c>
      <c r="AV103" s="38">
        <v>0</v>
      </c>
      <c r="AW103" s="38">
        <v>0</v>
      </c>
      <c r="AX103" s="38">
        <v>58.972448488950775</v>
      </c>
      <c r="AY103" s="38">
        <v>102.03150642263422</v>
      </c>
      <c r="AZ103" s="50">
        <v>0.57798272863555977</v>
      </c>
      <c r="BA103" s="38">
        <v>41.669708848977791</v>
      </c>
      <c r="BB103" s="38">
        <v>31.920217219944089</v>
      </c>
      <c r="BC103" s="38">
        <v>0</v>
      </c>
      <c r="BD103" s="38">
        <v>0</v>
      </c>
      <c r="BE103" s="38">
        <v>73.589926068921883</v>
      </c>
      <c r="BF103" s="38">
        <v>146.18478296875583</v>
      </c>
      <c r="BG103" s="38">
        <v>106.27883694440574</v>
      </c>
      <c r="BH103" s="50">
        <v>0.50340346357835553</v>
      </c>
      <c r="BI103" s="38">
        <v>41.067489714372023</v>
      </c>
      <c r="BJ103" s="38">
        <v>94.900722399988624</v>
      </c>
      <c r="BK103" s="38">
        <v>0</v>
      </c>
      <c r="BL103" s="38">
        <v>73.380295056205796</v>
      </c>
      <c r="BM103" s="38">
        <v>209.34850717056645</v>
      </c>
      <c r="BN103" s="38">
        <v>41.669708848977791</v>
      </c>
      <c r="BO103" s="38">
        <v>0</v>
      </c>
      <c r="BP103" s="38">
        <v>31.920217219944089</v>
      </c>
      <c r="BQ103" s="38">
        <v>0</v>
      </c>
      <c r="BR103" s="38">
        <v>0</v>
      </c>
      <c r="BS103" s="38">
        <v>0</v>
      </c>
      <c r="BT103" s="38">
        <v>0</v>
      </c>
      <c r="BU103" s="38">
        <v>0</v>
      </c>
      <c r="BV103" s="38">
        <v>0</v>
      </c>
      <c r="BW103" s="38">
        <v>0</v>
      </c>
      <c r="BX103" s="38">
        <v>225.07882989460887</v>
      </c>
      <c r="BY103" s="38"/>
      <c r="BZ103" s="38">
        <v>0</v>
      </c>
      <c r="CA103" s="38">
        <v>0</v>
      </c>
      <c r="CB103" s="38">
        <v>73.589926068921883</v>
      </c>
      <c r="CC103" s="38">
        <v>225.07882989460887</v>
      </c>
      <c r="CD103" s="50">
        <v>0.32695178886161663</v>
      </c>
      <c r="CE103" s="38">
        <v>179.65913200061152</v>
      </c>
      <c r="CF103" s="38">
        <v>0.75155586882383207</v>
      </c>
      <c r="CG103" s="38">
        <v>0</v>
      </c>
      <c r="CH103" s="38">
        <v>0.75155586882383207</v>
      </c>
      <c r="CI103" s="38">
        <v>3.7577553728309704E-2</v>
      </c>
      <c r="CJ103" s="38">
        <v>0</v>
      </c>
      <c r="CK103" s="38">
        <v>3.7577553728309704E-2</v>
      </c>
      <c r="CL103" s="38"/>
      <c r="CM103" s="38">
        <v>0</v>
      </c>
      <c r="CN103" s="38"/>
      <c r="CO103" s="38">
        <v>0</v>
      </c>
      <c r="CP103" s="38">
        <v>0</v>
      </c>
      <c r="CQ103" s="38">
        <v>0</v>
      </c>
      <c r="CR103" s="38">
        <v>0</v>
      </c>
      <c r="CS103" s="38">
        <v>0</v>
      </c>
      <c r="CT103" s="38">
        <v>0</v>
      </c>
      <c r="CU103" s="38">
        <v>0</v>
      </c>
      <c r="CV103" s="38">
        <v>9999</v>
      </c>
      <c r="CW103" s="49">
        <v>9999</v>
      </c>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row>
    <row r="104" spans="1:131">
      <c r="A104" s="27" t="s">
        <v>1209</v>
      </c>
      <c r="B104" s="27" t="s">
        <v>1080</v>
      </c>
      <c r="C104" s="38">
        <v>45</v>
      </c>
      <c r="D104" s="38">
        <v>87.0509308436541</v>
      </c>
      <c r="E104" s="38">
        <v>0</v>
      </c>
      <c r="F104" s="38">
        <v>196.91489394951594</v>
      </c>
      <c r="G104" s="38">
        <v>0</v>
      </c>
      <c r="H104" s="38">
        <v>0</v>
      </c>
      <c r="I104" s="38" t="s">
        <v>1479</v>
      </c>
      <c r="J104" s="38"/>
      <c r="K104" s="38"/>
      <c r="L104" s="38">
        <v>93.874050204446334</v>
      </c>
      <c r="M104" s="38">
        <v>4.9088511578958161E-2</v>
      </c>
      <c r="N104" s="38">
        <v>4.8734212715809008E-2</v>
      </c>
      <c r="O104" s="38">
        <v>0</v>
      </c>
      <c r="P104" s="38">
        <v>0</v>
      </c>
      <c r="Q104" s="38">
        <v>0</v>
      </c>
      <c r="R104" s="38">
        <v>25.75562636026816</v>
      </c>
      <c r="S104" s="38">
        <v>59.517335109924034</v>
      </c>
      <c r="T104" s="38">
        <v>0</v>
      </c>
      <c r="U104" s="38">
        <v>46.020720399972689</v>
      </c>
      <c r="V104" s="38" t="s">
        <v>1648</v>
      </c>
      <c r="W104" s="38" t="s">
        <v>1648</v>
      </c>
      <c r="X104" s="38" t="s">
        <v>1648</v>
      </c>
      <c r="Y104" s="38" t="s">
        <v>1648</v>
      </c>
      <c r="Z104" s="38">
        <v>0</v>
      </c>
      <c r="AA104" s="38">
        <v>0</v>
      </c>
      <c r="AB104" s="38">
        <v>0</v>
      </c>
      <c r="AC104" s="38">
        <v>0</v>
      </c>
      <c r="AD104" s="38">
        <v>0</v>
      </c>
      <c r="AE104" s="38">
        <v>0</v>
      </c>
      <c r="AF104" s="38">
        <v>0</v>
      </c>
      <c r="AG104" s="38">
        <v>0</v>
      </c>
      <c r="AH104" s="38">
        <v>25.75562636026816</v>
      </c>
      <c r="AI104" s="38">
        <v>59.517335109924034</v>
      </c>
      <c r="AJ104" s="38">
        <v>0</v>
      </c>
      <c r="AK104" s="38">
        <v>46.020720399972689</v>
      </c>
      <c r="AL104" s="38">
        <v>131.2936818701649</v>
      </c>
      <c r="AM104" s="38">
        <v>49.445995744386629</v>
      </c>
      <c r="AN104" s="38">
        <v>17.345351195815923</v>
      </c>
      <c r="AO104" s="38">
        <v>0</v>
      </c>
      <c r="AP104" s="38">
        <v>0</v>
      </c>
      <c r="AQ104" s="38">
        <v>66.791346940202544</v>
      </c>
      <c r="AR104" s="38">
        <v>25.75562636026816</v>
      </c>
      <c r="AS104" s="49">
        <v>2.5932720876568554</v>
      </c>
      <c r="AT104" s="38">
        <v>49.445995744386629</v>
      </c>
      <c r="AU104" s="38">
        <v>20.531729504160467</v>
      </c>
      <c r="AV104" s="38">
        <v>0</v>
      </c>
      <c r="AW104" s="38">
        <v>0</v>
      </c>
      <c r="AX104" s="38">
        <v>69.977725248547102</v>
      </c>
      <c r="AY104" s="38">
        <v>59.517335109924034</v>
      </c>
      <c r="AZ104" s="49">
        <v>1.17575367108261</v>
      </c>
      <c r="BA104" s="38">
        <v>49.445995744386629</v>
      </c>
      <c r="BB104" s="38">
        <v>37.877080699976389</v>
      </c>
      <c r="BC104" s="38">
        <v>0</v>
      </c>
      <c r="BD104" s="38">
        <v>0</v>
      </c>
      <c r="BE104" s="38">
        <v>87.323076444363025</v>
      </c>
      <c r="BF104" s="38">
        <v>85.2729614701922</v>
      </c>
      <c r="BG104" s="38">
        <v>37.150542219539773</v>
      </c>
      <c r="BH104" s="49">
        <v>1.0240417940086137</v>
      </c>
      <c r="BI104" s="38">
        <v>20.18815704948608</v>
      </c>
      <c r="BJ104" s="38">
        <v>46.6517603400086</v>
      </c>
      <c r="BK104" s="38">
        <v>0</v>
      </c>
      <c r="BL104" s="38">
        <v>36.072643622380276</v>
      </c>
      <c r="BM104" s="38">
        <v>102.91256101187497</v>
      </c>
      <c r="BN104" s="38">
        <v>49.445995744386629</v>
      </c>
      <c r="BO104" s="38">
        <v>0</v>
      </c>
      <c r="BP104" s="38">
        <v>37.877080699976389</v>
      </c>
      <c r="BQ104" s="38">
        <v>0</v>
      </c>
      <c r="BR104" s="38">
        <v>0</v>
      </c>
      <c r="BS104" s="38">
        <v>0</v>
      </c>
      <c r="BT104" s="38">
        <v>0</v>
      </c>
      <c r="BU104" s="38">
        <v>0</v>
      </c>
      <c r="BV104" s="38">
        <v>0</v>
      </c>
      <c r="BW104" s="38">
        <v>0</v>
      </c>
      <c r="BX104" s="38">
        <v>131.2936818701649</v>
      </c>
      <c r="BY104" s="38"/>
      <c r="BZ104" s="38">
        <v>0</v>
      </c>
      <c r="CA104" s="38">
        <v>0</v>
      </c>
      <c r="CB104" s="38">
        <v>87.323076444363011</v>
      </c>
      <c r="CC104" s="38">
        <v>131.2936818701649</v>
      </c>
      <c r="CD104" s="50">
        <v>0.66509732380508602</v>
      </c>
      <c r="CE104" s="38">
        <v>73.223185841920085</v>
      </c>
      <c r="CF104" s="38">
        <v>0.89180916589110426</v>
      </c>
      <c r="CG104" s="38">
        <v>0</v>
      </c>
      <c r="CH104" s="38">
        <v>0.89180916589110426</v>
      </c>
      <c r="CI104" s="38">
        <v>4.4590173847112009E-2</v>
      </c>
      <c r="CJ104" s="38">
        <v>0</v>
      </c>
      <c r="CK104" s="38">
        <v>4.4590173847112009E-2</v>
      </c>
      <c r="CL104" s="38"/>
      <c r="CM104" s="38">
        <v>0</v>
      </c>
      <c r="CN104" s="38"/>
      <c r="CO104" s="38">
        <v>0</v>
      </c>
      <c r="CP104" s="38">
        <v>0</v>
      </c>
      <c r="CQ104" s="38">
        <v>0</v>
      </c>
      <c r="CR104" s="38">
        <v>0</v>
      </c>
      <c r="CS104" s="38">
        <v>0</v>
      </c>
      <c r="CT104" s="38">
        <v>0</v>
      </c>
      <c r="CU104" s="38">
        <v>0</v>
      </c>
      <c r="CV104" s="38">
        <v>9999</v>
      </c>
      <c r="CW104" s="49">
        <v>9999</v>
      </c>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row>
    <row r="105" spans="1:131">
      <c r="A105" s="27" t="s">
        <v>239</v>
      </c>
      <c r="B105" s="27" t="s">
        <v>65</v>
      </c>
      <c r="C105" s="38">
        <v>45</v>
      </c>
      <c r="D105" s="38">
        <v>118.86206391348233</v>
      </c>
      <c r="E105" s="38">
        <v>0</v>
      </c>
      <c r="F105" s="38">
        <v>262.65009234084522</v>
      </c>
      <c r="G105" s="38">
        <v>0</v>
      </c>
      <c r="H105" s="38">
        <v>0</v>
      </c>
      <c r="I105" s="38" t="s">
        <v>1479</v>
      </c>
      <c r="J105" s="38"/>
      <c r="K105" s="38"/>
      <c r="L105" s="38">
        <v>128.17856451481882</v>
      </c>
      <c r="M105" s="38">
        <v>6.7026989190905231E-2</v>
      </c>
      <c r="N105" s="38">
        <v>6.6543218440748134E-2</v>
      </c>
      <c r="O105" s="38">
        <v>0</v>
      </c>
      <c r="P105" s="38">
        <v>0</v>
      </c>
      <c r="Q105" s="38">
        <v>0</v>
      </c>
      <c r="R105" s="38">
        <v>34.353509306183021</v>
      </c>
      <c r="S105" s="38">
        <v>79.385734867319329</v>
      </c>
      <c r="T105" s="38">
        <v>0</v>
      </c>
      <c r="U105" s="38">
        <v>61.383607000006521</v>
      </c>
      <c r="V105" s="38" t="s">
        <v>1648</v>
      </c>
      <c r="W105" s="38" t="s">
        <v>1648</v>
      </c>
      <c r="X105" s="38" t="s">
        <v>1648</v>
      </c>
      <c r="Y105" s="38" t="s">
        <v>1648</v>
      </c>
      <c r="Z105" s="38">
        <v>0</v>
      </c>
      <c r="AA105" s="38">
        <v>0</v>
      </c>
      <c r="AB105" s="38">
        <v>0</v>
      </c>
      <c r="AC105" s="38">
        <v>0</v>
      </c>
      <c r="AD105" s="38">
        <v>0</v>
      </c>
      <c r="AE105" s="38">
        <v>0</v>
      </c>
      <c r="AF105" s="38">
        <v>0</v>
      </c>
      <c r="AG105" s="38">
        <v>0</v>
      </c>
      <c r="AH105" s="38">
        <v>34.353509306183021</v>
      </c>
      <c r="AI105" s="38">
        <v>79.385734867319329</v>
      </c>
      <c r="AJ105" s="38">
        <v>0</v>
      </c>
      <c r="AK105" s="38">
        <v>61.383607000006521</v>
      </c>
      <c r="AL105" s="38">
        <v>175.12285117350888</v>
      </c>
      <c r="AM105" s="38">
        <v>67.51510925243025</v>
      </c>
      <c r="AN105" s="38">
        <v>23.683885082650612</v>
      </c>
      <c r="AO105" s="38">
        <v>0</v>
      </c>
      <c r="AP105" s="38">
        <v>0</v>
      </c>
      <c r="AQ105" s="38">
        <v>91.198994335080869</v>
      </c>
      <c r="AR105" s="38">
        <v>34.353509306183021</v>
      </c>
      <c r="AS105" s="49">
        <v>2.6547213422142777</v>
      </c>
      <c r="AT105" s="38">
        <v>67.51510925243025</v>
      </c>
      <c r="AU105" s="38">
        <v>28.034665694281404</v>
      </c>
      <c r="AV105" s="38">
        <v>0</v>
      </c>
      <c r="AW105" s="38">
        <v>0</v>
      </c>
      <c r="AX105" s="38">
        <v>95.549774946711651</v>
      </c>
      <c r="AY105" s="38">
        <v>79.385734867319329</v>
      </c>
      <c r="AZ105" s="49">
        <v>1.2036139125802381</v>
      </c>
      <c r="BA105" s="38">
        <v>67.51510925243025</v>
      </c>
      <c r="BB105" s="38">
        <v>51.71855077693202</v>
      </c>
      <c r="BC105" s="38">
        <v>0</v>
      </c>
      <c r="BD105" s="38">
        <v>0</v>
      </c>
      <c r="BE105" s="38">
        <v>119.23366002936226</v>
      </c>
      <c r="BF105" s="38">
        <v>113.73924417350236</v>
      </c>
      <c r="BG105" s="38">
        <v>35.60338808590167</v>
      </c>
      <c r="BH105" s="49">
        <v>1.0483071247376894</v>
      </c>
      <c r="BI105" s="38">
        <v>19.720858586987426</v>
      </c>
      <c r="BJ105" s="38">
        <v>45.571904668869145</v>
      </c>
      <c r="BK105" s="38">
        <v>0</v>
      </c>
      <c r="BL105" s="38">
        <v>35.237664438214026</v>
      </c>
      <c r="BM105" s="38">
        <v>100.5304276940706</v>
      </c>
      <c r="BN105" s="38">
        <v>67.51510925243025</v>
      </c>
      <c r="BO105" s="38">
        <v>0</v>
      </c>
      <c r="BP105" s="38">
        <v>51.71855077693202</v>
      </c>
      <c r="BQ105" s="38">
        <v>0</v>
      </c>
      <c r="BR105" s="38">
        <v>0</v>
      </c>
      <c r="BS105" s="38">
        <v>0</v>
      </c>
      <c r="BT105" s="38">
        <v>0</v>
      </c>
      <c r="BU105" s="38">
        <v>0</v>
      </c>
      <c r="BV105" s="38">
        <v>0</v>
      </c>
      <c r="BW105" s="38">
        <v>0</v>
      </c>
      <c r="BX105" s="38">
        <v>175.12285117350888</v>
      </c>
      <c r="BY105" s="38"/>
      <c r="BZ105" s="38">
        <v>0</v>
      </c>
      <c r="CA105" s="38">
        <v>0</v>
      </c>
      <c r="CB105" s="38">
        <v>119.23366002936227</v>
      </c>
      <c r="CC105" s="38">
        <v>175.12285117350888</v>
      </c>
      <c r="CD105" s="50">
        <v>0.68085723382397134</v>
      </c>
      <c r="CE105" s="38">
        <v>70.841052524115682</v>
      </c>
      <c r="CF105" s="38">
        <v>1.2177041307595051</v>
      </c>
      <c r="CG105" s="38">
        <v>0</v>
      </c>
      <c r="CH105" s="38">
        <v>1.2177041307595051</v>
      </c>
      <c r="CI105" s="38">
        <v>6.0884818144538937E-2</v>
      </c>
      <c r="CJ105" s="38">
        <v>0</v>
      </c>
      <c r="CK105" s="38">
        <v>6.0884818144538937E-2</v>
      </c>
      <c r="CL105" s="38"/>
      <c r="CM105" s="38">
        <v>0</v>
      </c>
      <c r="CN105" s="38"/>
      <c r="CO105" s="38">
        <v>0</v>
      </c>
      <c r="CP105" s="38">
        <v>0</v>
      </c>
      <c r="CQ105" s="38">
        <v>0</v>
      </c>
      <c r="CR105" s="38">
        <v>0</v>
      </c>
      <c r="CS105" s="38">
        <v>0</v>
      </c>
      <c r="CT105" s="38">
        <v>0</v>
      </c>
      <c r="CU105" s="38">
        <v>0</v>
      </c>
      <c r="CV105" s="38">
        <v>9999</v>
      </c>
      <c r="CW105" s="49">
        <v>9999</v>
      </c>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row>
    <row r="106" spans="1:131">
      <c r="A106" s="27" t="s">
        <v>240</v>
      </c>
      <c r="B106" s="27" t="s">
        <v>66</v>
      </c>
      <c r="C106" s="38">
        <v>45</v>
      </c>
      <c r="D106" s="38">
        <v>126.24131955404496</v>
      </c>
      <c r="E106" s="38">
        <v>0</v>
      </c>
      <c r="F106" s="38">
        <v>297.93884832438431</v>
      </c>
      <c r="G106" s="38">
        <v>0</v>
      </c>
      <c r="H106" s="38">
        <v>0</v>
      </c>
      <c r="I106" s="38" t="s">
        <v>1479</v>
      </c>
      <c r="J106" s="38"/>
      <c r="K106" s="38"/>
      <c r="L106" s="38">
        <v>136.13621192605405</v>
      </c>
      <c r="M106" s="38">
        <v>7.1188193125719418E-2</v>
      </c>
      <c r="N106" s="38">
        <v>7.0674388671626009E-2</v>
      </c>
      <c r="O106" s="38">
        <v>0</v>
      </c>
      <c r="P106" s="38">
        <v>0</v>
      </c>
      <c r="Q106" s="38">
        <v>0</v>
      </c>
      <c r="R106" s="38">
        <v>38.969127737075944</v>
      </c>
      <c r="S106" s="38">
        <v>90.051727029512477</v>
      </c>
      <c r="T106" s="38">
        <v>0</v>
      </c>
      <c r="U106" s="38">
        <v>69.630895662679592</v>
      </c>
      <c r="V106" s="38" t="s">
        <v>1648</v>
      </c>
      <c r="W106" s="38" t="s">
        <v>1648</v>
      </c>
      <c r="X106" s="38" t="s">
        <v>1648</v>
      </c>
      <c r="Y106" s="38" t="s">
        <v>1648</v>
      </c>
      <c r="Z106" s="38">
        <v>0</v>
      </c>
      <c r="AA106" s="38">
        <v>0</v>
      </c>
      <c r="AB106" s="38">
        <v>0</v>
      </c>
      <c r="AC106" s="38">
        <v>0</v>
      </c>
      <c r="AD106" s="38">
        <v>0</v>
      </c>
      <c r="AE106" s="38">
        <v>0</v>
      </c>
      <c r="AF106" s="38">
        <v>0</v>
      </c>
      <c r="AG106" s="38">
        <v>0</v>
      </c>
      <c r="AH106" s="38">
        <v>38.969127737075944</v>
      </c>
      <c r="AI106" s="38">
        <v>90.051727029512477</v>
      </c>
      <c r="AJ106" s="38">
        <v>0</v>
      </c>
      <c r="AK106" s="38">
        <v>69.630895662679592</v>
      </c>
      <c r="AL106" s="38">
        <v>198.65175042926802</v>
      </c>
      <c r="AM106" s="38">
        <v>71.706616907360726</v>
      </c>
      <c r="AN106" s="38">
        <v>25.154240188664911</v>
      </c>
      <c r="AO106" s="38">
        <v>0</v>
      </c>
      <c r="AP106" s="38">
        <v>0</v>
      </c>
      <c r="AQ106" s="38">
        <v>96.86085709602564</v>
      </c>
      <c r="AR106" s="38">
        <v>38.969127737075944</v>
      </c>
      <c r="AS106" s="49">
        <v>2.4855792962455876</v>
      </c>
      <c r="AT106" s="38">
        <v>71.706616907360726</v>
      </c>
      <c r="AU106" s="38">
        <v>29.775128194633023</v>
      </c>
      <c r="AV106" s="38">
        <v>0</v>
      </c>
      <c r="AW106" s="38">
        <v>0</v>
      </c>
      <c r="AX106" s="38">
        <v>101.48174510199375</v>
      </c>
      <c r="AY106" s="38">
        <v>90.051727029512477</v>
      </c>
      <c r="AZ106" s="49">
        <v>1.1269272500319214</v>
      </c>
      <c r="BA106" s="38">
        <v>71.706616907360726</v>
      </c>
      <c r="BB106" s="38">
        <v>54.929368383297934</v>
      </c>
      <c r="BC106" s="38">
        <v>0</v>
      </c>
      <c r="BD106" s="38">
        <v>0</v>
      </c>
      <c r="BE106" s="38">
        <v>126.63598529065867</v>
      </c>
      <c r="BF106" s="38">
        <v>129.02085476658843</v>
      </c>
      <c r="BG106" s="38">
        <v>40.046517935239464</v>
      </c>
      <c r="BH106" s="50">
        <v>0.98151562799483671</v>
      </c>
      <c r="BI106" s="38">
        <v>21.062850119786493</v>
      </c>
      <c r="BJ106" s="38">
        <v>48.673042985407875</v>
      </c>
      <c r="BK106" s="38">
        <v>0</v>
      </c>
      <c r="BL106" s="38">
        <v>37.635564463870146</v>
      </c>
      <c r="BM106" s="38">
        <v>107.37145756906452</v>
      </c>
      <c r="BN106" s="38">
        <v>71.706616907360726</v>
      </c>
      <c r="BO106" s="38">
        <v>0</v>
      </c>
      <c r="BP106" s="38">
        <v>54.929368383297934</v>
      </c>
      <c r="BQ106" s="38">
        <v>0</v>
      </c>
      <c r="BR106" s="38">
        <v>0</v>
      </c>
      <c r="BS106" s="38">
        <v>0</v>
      </c>
      <c r="BT106" s="38">
        <v>0</v>
      </c>
      <c r="BU106" s="38">
        <v>0</v>
      </c>
      <c r="BV106" s="38">
        <v>0</v>
      </c>
      <c r="BW106" s="38">
        <v>0</v>
      </c>
      <c r="BX106" s="38">
        <v>198.65175042926802</v>
      </c>
      <c r="BY106" s="38"/>
      <c r="BZ106" s="38">
        <v>0</v>
      </c>
      <c r="CA106" s="38">
        <v>0</v>
      </c>
      <c r="CB106" s="38">
        <v>126.63598529065867</v>
      </c>
      <c r="CC106" s="38">
        <v>198.65175042926802</v>
      </c>
      <c r="CD106" s="50">
        <v>0.63747731906217808</v>
      </c>
      <c r="CE106" s="38">
        <v>77.682082399109603</v>
      </c>
      <c r="CF106" s="38">
        <v>1.2933022634150506</v>
      </c>
      <c r="CG106" s="38">
        <v>0</v>
      </c>
      <c r="CH106" s="38">
        <v>1.2933022634150506</v>
      </c>
      <c r="CI106" s="38">
        <v>6.4664700664875674E-2</v>
      </c>
      <c r="CJ106" s="38">
        <v>0</v>
      </c>
      <c r="CK106" s="38">
        <v>6.4664700664875674E-2</v>
      </c>
      <c r="CL106" s="38"/>
      <c r="CM106" s="38">
        <v>0</v>
      </c>
      <c r="CN106" s="38"/>
      <c r="CO106" s="38">
        <v>0</v>
      </c>
      <c r="CP106" s="38">
        <v>0</v>
      </c>
      <c r="CQ106" s="38">
        <v>0</v>
      </c>
      <c r="CR106" s="38">
        <v>0</v>
      </c>
      <c r="CS106" s="38">
        <v>0</v>
      </c>
      <c r="CT106" s="38">
        <v>0</v>
      </c>
      <c r="CU106" s="38">
        <v>0</v>
      </c>
      <c r="CV106" s="38">
        <v>9999</v>
      </c>
      <c r="CW106" s="49">
        <v>9999</v>
      </c>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row>
    <row r="107" spans="1:131">
      <c r="A107" s="27" t="s">
        <v>1210</v>
      </c>
      <c r="B107" s="27" t="s">
        <v>1081</v>
      </c>
      <c r="C107" s="38">
        <v>45</v>
      </c>
      <c r="D107" s="38">
        <v>23.08242747071132</v>
      </c>
      <c r="E107" s="38">
        <v>0</v>
      </c>
      <c r="F107" s="38">
        <v>169.97517278288436</v>
      </c>
      <c r="G107" s="38">
        <v>0</v>
      </c>
      <c r="H107" s="38">
        <v>0</v>
      </c>
      <c r="I107" s="38" t="s">
        <v>1479</v>
      </c>
      <c r="J107" s="38"/>
      <c r="K107" s="38"/>
      <c r="L107" s="38">
        <v>24.891646007987582</v>
      </c>
      <c r="M107" s="38">
        <v>1.3016311223615993E-2</v>
      </c>
      <c r="N107" s="38">
        <v>1.292236532628511E-2</v>
      </c>
      <c r="O107" s="38">
        <v>0</v>
      </c>
      <c r="P107" s="38">
        <v>0</v>
      </c>
      <c r="Q107" s="38">
        <v>0</v>
      </c>
      <c r="R107" s="38">
        <v>22.232025993119414</v>
      </c>
      <c r="S107" s="38">
        <v>51.374830598033775</v>
      </c>
      <c r="T107" s="38">
        <v>0</v>
      </c>
      <c r="U107" s="38">
        <v>39.724673663250847</v>
      </c>
      <c r="V107" s="38" t="s">
        <v>1648</v>
      </c>
      <c r="W107" s="38" t="s">
        <v>1648</v>
      </c>
      <c r="X107" s="38" t="s">
        <v>1648</v>
      </c>
      <c r="Y107" s="38" t="s">
        <v>1648</v>
      </c>
      <c r="Z107" s="38">
        <v>0</v>
      </c>
      <c r="AA107" s="38">
        <v>0</v>
      </c>
      <c r="AB107" s="38">
        <v>0</v>
      </c>
      <c r="AC107" s="38">
        <v>0</v>
      </c>
      <c r="AD107" s="38">
        <v>0</v>
      </c>
      <c r="AE107" s="38">
        <v>0</v>
      </c>
      <c r="AF107" s="38">
        <v>0</v>
      </c>
      <c r="AG107" s="38">
        <v>0</v>
      </c>
      <c r="AH107" s="38">
        <v>22.232025993119414</v>
      </c>
      <c r="AI107" s="38">
        <v>51.374830598033775</v>
      </c>
      <c r="AJ107" s="38">
        <v>0</v>
      </c>
      <c r="AK107" s="38">
        <v>39.724673663250847</v>
      </c>
      <c r="AL107" s="38">
        <v>113.33153025440404</v>
      </c>
      <c r="AM107" s="38">
        <v>13.11110173579617</v>
      </c>
      <c r="AN107" s="38">
        <v>4.5992938507517813</v>
      </c>
      <c r="AO107" s="38">
        <v>0</v>
      </c>
      <c r="AP107" s="38">
        <v>0</v>
      </c>
      <c r="AQ107" s="38">
        <v>17.710395586547953</v>
      </c>
      <c r="AR107" s="38">
        <v>22.232025993119414</v>
      </c>
      <c r="AS107" s="50">
        <v>0.79661635840247491</v>
      </c>
      <c r="AT107" s="38">
        <v>13.11110173579617</v>
      </c>
      <c r="AU107" s="38">
        <v>5.4441940199263925</v>
      </c>
      <c r="AV107" s="38">
        <v>0</v>
      </c>
      <c r="AW107" s="38">
        <v>0</v>
      </c>
      <c r="AX107" s="38">
        <v>18.555295755722561</v>
      </c>
      <c r="AY107" s="38">
        <v>51.374830598033775</v>
      </c>
      <c r="AZ107" s="50">
        <v>0.36117483093818148</v>
      </c>
      <c r="BA107" s="38">
        <v>13.11110173579617</v>
      </c>
      <c r="BB107" s="38">
        <v>10.043487870678174</v>
      </c>
      <c r="BC107" s="38">
        <v>0</v>
      </c>
      <c r="BD107" s="38">
        <v>0</v>
      </c>
      <c r="BE107" s="38">
        <v>23.154589606474342</v>
      </c>
      <c r="BF107" s="38">
        <v>73.606856591153189</v>
      </c>
      <c r="BG107" s="38">
        <v>187.89853936279317</v>
      </c>
      <c r="BH107" s="50">
        <v>0.3145710967537404</v>
      </c>
      <c r="BI107" s="38">
        <v>65.719695089684237</v>
      </c>
      <c r="BJ107" s="38">
        <v>151.86821944306388</v>
      </c>
      <c r="BK107" s="38">
        <v>0</v>
      </c>
      <c r="BL107" s="38">
        <v>117.42939853947806</v>
      </c>
      <c r="BM107" s="38">
        <v>335.01731307222616</v>
      </c>
      <c r="BN107" s="38">
        <v>13.11110173579617</v>
      </c>
      <c r="BO107" s="38">
        <v>0</v>
      </c>
      <c r="BP107" s="38">
        <v>10.043487870678174</v>
      </c>
      <c r="BQ107" s="38">
        <v>0</v>
      </c>
      <c r="BR107" s="38">
        <v>0</v>
      </c>
      <c r="BS107" s="38">
        <v>0</v>
      </c>
      <c r="BT107" s="38">
        <v>0</v>
      </c>
      <c r="BU107" s="38">
        <v>0</v>
      </c>
      <c r="BV107" s="38">
        <v>0</v>
      </c>
      <c r="BW107" s="38">
        <v>0</v>
      </c>
      <c r="BX107" s="38">
        <v>113.33153025440404</v>
      </c>
      <c r="BY107" s="38"/>
      <c r="BZ107" s="38">
        <v>0</v>
      </c>
      <c r="CA107" s="38">
        <v>0</v>
      </c>
      <c r="CB107" s="38">
        <v>23.154589606474346</v>
      </c>
      <c r="CC107" s="38">
        <v>113.33153025440404</v>
      </c>
      <c r="CD107" s="50">
        <v>0.20430845285947741</v>
      </c>
      <c r="CE107" s="38">
        <v>305.32793790227129</v>
      </c>
      <c r="CF107" s="38">
        <v>0.23647214555773571</v>
      </c>
      <c r="CG107" s="38">
        <v>0</v>
      </c>
      <c r="CH107" s="38">
        <v>0.23647214555773571</v>
      </c>
      <c r="CI107" s="38">
        <v>1.1823531853794098E-2</v>
      </c>
      <c r="CJ107" s="38">
        <v>0</v>
      </c>
      <c r="CK107" s="38">
        <v>1.1823531853794098E-2</v>
      </c>
      <c r="CL107" s="38"/>
      <c r="CM107" s="38">
        <v>0</v>
      </c>
      <c r="CN107" s="38"/>
      <c r="CO107" s="38">
        <v>0</v>
      </c>
      <c r="CP107" s="38">
        <v>0</v>
      </c>
      <c r="CQ107" s="38">
        <v>0</v>
      </c>
      <c r="CR107" s="38">
        <v>0</v>
      </c>
      <c r="CS107" s="38">
        <v>0</v>
      </c>
      <c r="CT107" s="38">
        <v>0</v>
      </c>
      <c r="CU107" s="38">
        <v>0</v>
      </c>
      <c r="CV107" s="38">
        <v>9999</v>
      </c>
      <c r="CW107" s="49">
        <v>9999</v>
      </c>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row>
    <row r="108" spans="1:131">
      <c r="A108" s="27" t="s">
        <v>241</v>
      </c>
      <c r="B108" s="27" t="s">
        <v>67</v>
      </c>
      <c r="C108" s="38">
        <v>45</v>
      </c>
      <c r="D108" s="38">
        <v>31.811133069828223</v>
      </c>
      <c r="E108" s="38">
        <v>0</v>
      </c>
      <c r="F108" s="38">
        <v>198.23826361528401</v>
      </c>
      <c r="G108" s="38">
        <v>0</v>
      </c>
      <c r="H108" s="38">
        <v>0</v>
      </c>
      <c r="I108" s="38" t="s">
        <v>1479</v>
      </c>
      <c r="J108" s="38"/>
      <c r="K108" s="38"/>
      <c r="L108" s="38">
        <v>34.304514310372483</v>
      </c>
      <c r="M108" s="38">
        <v>1.7938477611947067E-2</v>
      </c>
      <c r="N108" s="38">
        <v>1.7809005724939118E-2</v>
      </c>
      <c r="O108" s="38">
        <v>0</v>
      </c>
      <c r="P108" s="38">
        <v>0</v>
      </c>
      <c r="Q108" s="38">
        <v>0</v>
      </c>
      <c r="R108" s="38">
        <v>25.92871745543323</v>
      </c>
      <c r="S108" s="38">
        <v>59.917322303843548</v>
      </c>
      <c r="T108" s="38">
        <v>0</v>
      </c>
      <c r="U108" s="38">
        <v>46.330003380820912</v>
      </c>
      <c r="V108" s="38" t="s">
        <v>1648</v>
      </c>
      <c r="W108" s="38" t="s">
        <v>1648</v>
      </c>
      <c r="X108" s="38" t="s">
        <v>1648</v>
      </c>
      <c r="Y108" s="38" t="s">
        <v>1648</v>
      </c>
      <c r="Z108" s="38">
        <v>0</v>
      </c>
      <c r="AA108" s="38">
        <v>0</v>
      </c>
      <c r="AB108" s="38">
        <v>0</v>
      </c>
      <c r="AC108" s="38">
        <v>0</v>
      </c>
      <c r="AD108" s="38">
        <v>0</v>
      </c>
      <c r="AE108" s="38">
        <v>0</v>
      </c>
      <c r="AF108" s="38">
        <v>0</v>
      </c>
      <c r="AG108" s="38">
        <v>0</v>
      </c>
      <c r="AH108" s="38">
        <v>25.92871745543323</v>
      </c>
      <c r="AI108" s="38">
        <v>59.917322303843548</v>
      </c>
      <c r="AJ108" s="38">
        <v>0</v>
      </c>
      <c r="AK108" s="38">
        <v>46.330003380820912</v>
      </c>
      <c r="AL108" s="38">
        <v>132.1760431400977</v>
      </c>
      <c r="AM108" s="38">
        <v>18.069113508043618</v>
      </c>
      <c r="AN108" s="38">
        <v>6.3385338868346892</v>
      </c>
      <c r="AO108" s="38">
        <v>0</v>
      </c>
      <c r="AP108" s="38">
        <v>0</v>
      </c>
      <c r="AQ108" s="38">
        <v>24.407647394878307</v>
      </c>
      <c r="AR108" s="38">
        <v>25.92871745543323</v>
      </c>
      <c r="AS108" s="50">
        <v>0.941336471301777</v>
      </c>
      <c r="AT108" s="38">
        <v>18.069113508043618</v>
      </c>
      <c r="AU108" s="38">
        <v>7.5029361901209324</v>
      </c>
      <c r="AV108" s="38">
        <v>0</v>
      </c>
      <c r="AW108" s="38">
        <v>0</v>
      </c>
      <c r="AX108" s="38">
        <v>25.572049698164548</v>
      </c>
      <c r="AY108" s="38">
        <v>59.917322303843548</v>
      </c>
      <c r="AZ108" s="50">
        <v>0.42678892705664462</v>
      </c>
      <c r="BA108" s="38">
        <v>18.069113508043618</v>
      </c>
      <c r="BB108" s="38">
        <v>13.841470076955622</v>
      </c>
      <c r="BC108" s="38">
        <v>0</v>
      </c>
      <c r="BD108" s="38">
        <v>0</v>
      </c>
      <c r="BE108" s="38">
        <v>31.910583584999237</v>
      </c>
      <c r="BF108" s="38">
        <v>85.846039759276778</v>
      </c>
      <c r="BG108" s="38">
        <v>154.44679440579975</v>
      </c>
      <c r="BH108" s="50">
        <v>0.37171876156990558</v>
      </c>
      <c r="BI108" s="38">
        <v>55.616015923897585</v>
      </c>
      <c r="BJ108" s="38">
        <v>128.52015365185704</v>
      </c>
      <c r="BK108" s="38">
        <v>0</v>
      </c>
      <c r="BL108" s="38">
        <v>99.375922091435058</v>
      </c>
      <c r="BM108" s="38">
        <v>283.51209166718968</v>
      </c>
      <c r="BN108" s="38">
        <v>18.069113508043618</v>
      </c>
      <c r="BO108" s="38">
        <v>0</v>
      </c>
      <c r="BP108" s="38">
        <v>13.841470076955622</v>
      </c>
      <c r="BQ108" s="38">
        <v>0</v>
      </c>
      <c r="BR108" s="38">
        <v>0</v>
      </c>
      <c r="BS108" s="38">
        <v>0</v>
      </c>
      <c r="BT108" s="38">
        <v>0</v>
      </c>
      <c r="BU108" s="38">
        <v>0</v>
      </c>
      <c r="BV108" s="38">
        <v>0</v>
      </c>
      <c r="BW108" s="38">
        <v>0</v>
      </c>
      <c r="BX108" s="38">
        <v>132.1760431400977</v>
      </c>
      <c r="BY108" s="38"/>
      <c r="BZ108" s="38">
        <v>0</v>
      </c>
      <c r="CA108" s="38">
        <v>0</v>
      </c>
      <c r="CB108" s="38">
        <v>31.910583584999237</v>
      </c>
      <c r="CC108" s="38">
        <v>132.1760431400977</v>
      </c>
      <c r="CD108" s="50">
        <v>0.24142486661653328</v>
      </c>
      <c r="CE108" s="38">
        <v>253.82271649723478</v>
      </c>
      <c r="CF108" s="38">
        <v>0.32589496486840236</v>
      </c>
      <c r="CG108" s="38">
        <v>0</v>
      </c>
      <c r="CH108" s="38">
        <v>0.32589496486840236</v>
      </c>
      <c r="CI108" s="38">
        <v>1.6294644297426931E-2</v>
      </c>
      <c r="CJ108" s="38">
        <v>0</v>
      </c>
      <c r="CK108" s="38">
        <v>1.6294644297426931E-2</v>
      </c>
      <c r="CL108" s="38"/>
      <c r="CM108" s="38">
        <v>0</v>
      </c>
      <c r="CN108" s="38"/>
      <c r="CO108" s="38">
        <v>0</v>
      </c>
      <c r="CP108" s="38">
        <v>0</v>
      </c>
      <c r="CQ108" s="38">
        <v>0</v>
      </c>
      <c r="CR108" s="38">
        <v>0</v>
      </c>
      <c r="CS108" s="38">
        <v>0</v>
      </c>
      <c r="CT108" s="38">
        <v>0</v>
      </c>
      <c r="CU108" s="38">
        <v>0</v>
      </c>
      <c r="CV108" s="38">
        <v>9999</v>
      </c>
      <c r="CW108" s="49">
        <v>9999</v>
      </c>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row>
    <row r="109" spans="1:131">
      <c r="A109" s="27" t="s">
        <v>242</v>
      </c>
      <c r="B109" s="27" t="s">
        <v>68</v>
      </c>
      <c r="C109" s="38">
        <v>45</v>
      </c>
      <c r="D109" s="38">
        <v>39.190388710390856</v>
      </c>
      <c r="E109" s="38">
        <v>0</v>
      </c>
      <c r="F109" s="38">
        <v>235.52932235113522</v>
      </c>
      <c r="G109" s="38">
        <v>0</v>
      </c>
      <c r="H109" s="38">
        <v>0</v>
      </c>
      <c r="I109" s="38" t="s">
        <v>1479</v>
      </c>
      <c r="J109" s="38"/>
      <c r="K109" s="38"/>
      <c r="L109" s="38">
        <v>42.262161721607704</v>
      </c>
      <c r="M109" s="38">
        <v>2.2099681546761254E-2</v>
      </c>
      <c r="N109" s="38">
        <v>2.1940175955816998E-2</v>
      </c>
      <c r="O109" s="38">
        <v>0</v>
      </c>
      <c r="P109" s="38">
        <v>0</v>
      </c>
      <c r="Q109" s="38">
        <v>0</v>
      </c>
      <c r="R109" s="38">
        <v>30.806228526919949</v>
      </c>
      <c r="S109" s="38">
        <v>71.188508524803197</v>
      </c>
      <c r="T109" s="38">
        <v>0</v>
      </c>
      <c r="U109" s="38">
        <v>55.045247581402045</v>
      </c>
      <c r="V109" s="38" t="s">
        <v>1648</v>
      </c>
      <c r="W109" s="38" t="s">
        <v>1648</v>
      </c>
      <c r="X109" s="38" t="s">
        <v>1648</v>
      </c>
      <c r="Y109" s="38" t="s">
        <v>1648</v>
      </c>
      <c r="Z109" s="38">
        <v>0</v>
      </c>
      <c r="AA109" s="38">
        <v>0</v>
      </c>
      <c r="AB109" s="38">
        <v>0</v>
      </c>
      <c r="AC109" s="38">
        <v>0</v>
      </c>
      <c r="AD109" s="38">
        <v>0</v>
      </c>
      <c r="AE109" s="38">
        <v>0</v>
      </c>
      <c r="AF109" s="38">
        <v>0</v>
      </c>
      <c r="AG109" s="38">
        <v>0</v>
      </c>
      <c r="AH109" s="38">
        <v>30.806228526919949</v>
      </c>
      <c r="AI109" s="38">
        <v>71.188508524803197</v>
      </c>
      <c r="AJ109" s="38">
        <v>0</v>
      </c>
      <c r="AK109" s="38">
        <v>55.045247581402045</v>
      </c>
      <c r="AL109" s="38">
        <v>157.03998463312519</v>
      </c>
      <c r="AM109" s="38">
        <v>22.260621162974108</v>
      </c>
      <c r="AN109" s="38">
        <v>7.8088889928489866</v>
      </c>
      <c r="AO109" s="38">
        <v>0</v>
      </c>
      <c r="AP109" s="38">
        <v>0</v>
      </c>
      <c r="AQ109" s="38">
        <v>30.069510155823096</v>
      </c>
      <c r="AR109" s="38">
        <v>30.806228526919949</v>
      </c>
      <c r="AS109" s="50">
        <v>0.9760854084928613</v>
      </c>
      <c r="AT109" s="38">
        <v>22.260621162974108</v>
      </c>
      <c r="AU109" s="38">
        <v>9.2433986904725565</v>
      </c>
      <c r="AV109" s="38">
        <v>0</v>
      </c>
      <c r="AW109" s="38">
        <v>0</v>
      </c>
      <c r="AX109" s="38">
        <v>31.504019853446664</v>
      </c>
      <c r="AY109" s="38">
        <v>71.188508524803197</v>
      </c>
      <c r="AZ109" s="50">
        <v>0.44254361421928329</v>
      </c>
      <c r="BA109" s="38">
        <v>22.260621162974108</v>
      </c>
      <c r="BB109" s="38">
        <v>17.052287683321545</v>
      </c>
      <c r="BC109" s="38">
        <v>0</v>
      </c>
      <c r="BD109" s="38">
        <v>0</v>
      </c>
      <c r="BE109" s="38">
        <v>39.312908846295649</v>
      </c>
      <c r="BF109" s="38">
        <v>101.99473705172315</v>
      </c>
      <c r="BG109" s="38">
        <v>147.89149080683035</v>
      </c>
      <c r="BH109" s="50">
        <v>0.38544056274550176</v>
      </c>
      <c r="BI109" s="38">
        <v>53.636068854366123</v>
      </c>
      <c r="BJ109" s="38">
        <v>123.94479712241913</v>
      </c>
      <c r="BK109" s="38">
        <v>0</v>
      </c>
      <c r="BL109" s="38">
        <v>95.838109062969295</v>
      </c>
      <c r="BM109" s="38">
        <v>273.41897503975457</v>
      </c>
      <c r="BN109" s="38">
        <v>22.260621162974108</v>
      </c>
      <c r="BO109" s="38">
        <v>0</v>
      </c>
      <c r="BP109" s="38">
        <v>17.052287683321545</v>
      </c>
      <c r="BQ109" s="38">
        <v>0</v>
      </c>
      <c r="BR109" s="38">
        <v>0</v>
      </c>
      <c r="BS109" s="38">
        <v>0</v>
      </c>
      <c r="BT109" s="38">
        <v>0</v>
      </c>
      <c r="BU109" s="38">
        <v>0</v>
      </c>
      <c r="BV109" s="38">
        <v>0</v>
      </c>
      <c r="BW109" s="38">
        <v>0</v>
      </c>
      <c r="BX109" s="38">
        <v>157.03998463312519</v>
      </c>
      <c r="BY109" s="38"/>
      <c r="BZ109" s="38">
        <v>0</v>
      </c>
      <c r="CA109" s="38">
        <v>0</v>
      </c>
      <c r="CB109" s="38">
        <v>39.312908846295656</v>
      </c>
      <c r="CC109" s="38">
        <v>157.03998463312519</v>
      </c>
      <c r="CD109" s="50">
        <v>0.25033693767952137</v>
      </c>
      <c r="CE109" s="38">
        <v>243.72959986979964</v>
      </c>
      <c r="CF109" s="38">
        <v>0.40149309752394924</v>
      </c>
      <c r="CG109" s="38">
        <v>0</v>
      </c>
      <c r="CH109" s="38">
        <v>0.40149309752394924</v>
      </c>
      <c r="CI109" s="38">
        <v>2.0074526817763665E-2</v>
      </c>
      <c r="CJ109" s="38">
        <v>0</v>
      </c>
      <c r="CK109" s="38">
        <v>2.0074526817763665E-2</v>
      </c>
      <c r="CL109" s="38"/>
      <c r="CM109" s="38">
        <v>0</v>
      </c>
      <c r="CN109" s="38"/>
      <c r="CO109" s="38">
        <v>0</v>
      </c>
      <c r="CP109" s="38">
        <v>0</v>
      </c>
      <c r="CQ109" s="38">
        <v>0</v>
      </c>
      <c r="CR109" s="38">
        <v>0</v>
      </c>
      <c r="CS109" s="38">
        <v>0</v>
      </c>
      <c r="CT109" s="38">
        <v>0</v>
      </c>
      <c r="CU109" s="38">
        <v>0</v>
      </c>
      <c r="CV109" s="38">
        <v>9999</v>
      </c>
      <c r="CW109" s="49">
        <v>9999</v>
      </c>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row>
    <row r="110" spans="1:131">
      <c r="A110" s="27" t="s">
        <v>248</v>
      </c>
      <c r="B110" s="27" t="s">
        <v>74</v>
      </c>
      <c r="C110" s="38">
        <v>45</v>
      </c>
      <c r="D110" s="38">
        <v>2125.5702799692135</v>
      </c>
      <c r="E110" s="38">
        <v>0</v>
      </c>
      <c r="F110" s="38">
        <v>3567.2363679851778</v>
      </c>
      <c r="G110" s="38">
        <v>0</v>
      </c>
      <c r="H110" s="38">
        <v>0</v>
      </c>
      <c r="I110" s="38" t="s">
        <v>1479</v>
      </c>
      <c r="J110" s="38"/>
      <c r="K110" s="38"/>
      <c r="L110" s="38">
        <v>2292.1741242868616</v>
      </c>
      <c r="M110" s="38">
        <v>1.1986210864023679</v>
      </c>
      <c r="N110" s="38">
        <v>1.1899699769146443</v>
      </c>
      <c r="O110" s="38">
        <v>0</v>
      </c>
      <c r="P110" s="38">
        <v>0</v>
      </c>
      <c r="Q110" s="38">
        <v>0</v>
      </c>
      <c r="R110" s="38">
        <v>466.57926777311775</v>
      </c>
      <c r="S110" s="38">
        <v>1078.1937215176506</v>
      </c>
      <c r="T110" s="38">
        <v>0</v>
      </c>
      <c r="U110" s="38">
        <v>833.69411119175277</v>
      </c>
      <c r="V110" s="38" t="s">
        <v>1648</v>
      </c>
      <c r="W110" s="38" t="s">
        <v>1648</v>
      </c>
      <c r="X110" s="38" t="s">
        <v>1648</v>
      </c>
      <c r="Y110" s="38" t="s">
        <v>1648</v>
      </c>
      <c r="Z110" s="38">
        <v>0</v>
      </c>
      <c r="AA110" s="38">
        <v>0</v>
      </c>
      <c r="AB110" s="38">
        <v>0</v>
      </c>
      <c r="AC110" s="38">
        <v>0</v>
      </c>
      <c r="AD110" s="38">
        <v>0</v>
      </c>
      <c r="AE110" s="38">
        <v>0</v>
      </c>
      <c r="AF110" s="38">
        <v>0</v>
      </c>
      <c r="AG110" s="38">
        <v>0</v>
      </c>
      <c r="AH110" s="38">
        <v>466.57926777311775</v>
      </c>
      <c r="AI110" s="38">
        <v>1078.1937215176506</v>
      </c>
      <c r="AJ110" s="38">
        <v>0</v>
      </c>
      <c r="AK110" s="38">
        <v>833.69411119175277</v>
      </c>
      <c r="AL110" s="38">
        <v>2378.4671004825209</v>
      </c>
      <c r="AM110" s="38">
        <v>1207.3499731613056</v>
      </c>
      <c r="AN110" s="38">
        <v>423.53094493236512</v>
      </c>
      <c r="AO110" s="38">
        <v>0</v>
      </c>
      <c r="AP110" s="38">
        <v>0</v>
      </c>
      <c r="AQ110" s="38">
        <v>1630.8809180936707</v>
      </c>
      <c r="AR110" s="38">
        <v>466.57926777311775</v>
      </c>
      <c r="AS110" s="49">
        <v>3.4953994545825271</v>
      </c>
      <c r="AT110" s="38">
        <v>1207.3499731613056</v>
      </c>
      <c r="AU110" s="38">
        <v>501.33449013649397</v>
      </c>
      <c r="AV110" s="38">
        <v>0</v>
      </c>
      <c r="AW110" s="38">
        <v>0</v>
      </c>
      <c r="AX110" s="38">
        <v>1708.6844632977995</v>
      </c>
      <c r="AY110" s="38">
        <v>1078.1937215176506</v>
      </c>
      <c r="AZ110" s="49">
        <v>1.5847657329080704</v>
      </c>
      <c r="BA110" s="38">
        <v>1207.3499731613056</v>
      </c>
      <c r="BB110" s="38">
        <v>924.86543506885914</v>
      </c>
      <c r="BC110" s="38">
        <v>0</v>
      </c>
      <c r="BD110" s="38">
        <v>0</v>
      </c>
      <c r="BE110" s="38">
        <v>2132.2154082301645</v>
      </c>
      <c r="BF110" s="38">
        <v>1544.7729892907682</v>
      </c>
      <c r="BG110" s="38">
        <v>19.899833262352534</v>
      </c>
      <c r="BH110" s="49">
        <v>1.3802775055052594</v>
      </c>
      <c r="BI110" s="38">
        <v>14.977797203987395</v>
      </c>
      <c r="BJ110" s="38">
        <v>34.611411228320044</v>
      </c>
      <c r="BK110" s="38">
        <v>0</v>
      </c>
      <c r="BL110" s="38">
        <v>26.762657902023548</v>
      </c>
      <c r="BM110" s="38">
        <v>76.351866334330992</v>
      </c>
      <c r="BN110" s="38">
        <v>1207.3499731613056</v>
      </c>
      <c r="BO110" s="38">
        <v>0</v>
      </c>
      <c r="BP110" s="38">
        <v>924.86543506885914</v>
      </c>
      <c r="BQ110" s="38">
        <v>0</v>
      </c>
      <c r="BR110" s="38">
        <v>0</v>
      </c>
      <c r="BS110" s="38">
        <v>0</v>
      </c>
      <c r="BT110" s="38">
        <v>0</v>
      </c>
      <c r="BU110" s="38">
        <v>0</v>
      </c>
      <c r="BV110" s="38">
        <v>0</v>
      </c>
      <c r="BW110" s="38">
        <v>0</v>
      </c>
      <c r="BX110" s="38">
        <v>2378.4671004825209</v>
      </c>
      <c r="BY110" s="38"/>
      <c r="BZ110" s="38">
        <v>0</v>
      </c>
      <c r="CA110" s="38">
        <v>0</v>
      </c>
      <c r="CB110" s="38">
        <v>2132.2154082301649</v>
      </c>
      <c r="CC110" s="38">
        <v>2378.4671004825209</v>
      </c>
      <c r="CD110" s="50">
        <v>0.89646621885062072</v>
      </c>
      <c r="CE110" s="38">
        <v>46.662491164376071</v>
      </c>
      <c r="CF110" s="38">
        <v>21.775793090906951</v>
      </c>
      <c r="CG110" s="38">
        <v>0</v>
      </c>
      <c r="CH110" s="38">
        <v>21.775793090906951</v>
      </c>
      <c r="CI110" s="38">
        <v>1.0887827090362592</v>
      </c>
      <c r="CJ110" s="38">
        <v>0</v>
      </c>
      <c r="CK110" s="38">
        <v>1.0887827090362592</v>
      </c>
      <c r="CL110" s="38"/>
      <c r="CM110" s="38">
        <v>0</v>
      </c>
      <c r="CN110" s="38"/>
      <c r="CO110" s="38">
        <v>0</v>
      </c>
      <c r="CP110" s="38">
        <v>0</v>
      </c>
      <c r="CQ110" s="38">
        <v>0</v>
      </c>
      <c r="CR110" s="38">
        <v>0</v>
      </c>
      <c r="CS110" s="38">
        <v>0</v>
      </c>
      <c r="CT110" s="38">
        <v>0</v>
      </c>
      <c r="CU110" s="38">
        <v>0</v>
      </c>
      <c r="CV110" s="38">
        <v>9999</v>
      </c>
      <c r="CW110" s="49">
        <v>9999</v>
      </c>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row>
    <row r="111" spans="1:131">
      <c r="A111" s="27" t="s">
        <v>249</v>
      </c>
      <c r="B111" s="27" t="s">
        <v>75</v>
      </c>
      <c r="C111" s="38">
        <v>45</v>
      </c>
      <c r="D111" s="38">
        <v>1365.8084233833233</v>
      </c>
      <c r="E111" s="38">
        <v>0</v>
      </c>
      <c r="F111" s="38">
        <v>3567.2363679851778</v>
      </c>
      <c r="G111" s="38">
        <v>0</v>
      </c>
      <c r="H111" s="38">
        <v>0</v>
      </c>
      <c r="I111" s="38" t="s">
        <v>1479</v>
      </c>
      <c r="J111" s="38"/>
      <c r="K111" s="38"/>
      <c r="L111" s="38">
        <v>1472.8615451179683</v>
      </c>
      <c r="M111" s="38">
        <v>0.77018708422896076</v>
      </c>
      <c r="N111" s="38">
        <v>0.76462821924044788</v>
      </c>
      <c r="O111" s="38">
        <v>0</v>
      </c>
      <c r="P111" s="38">
        <v>0</v>
      </c>
      <c r="Q111" s="38">
        <v>0</v>
      </c>
      <c r="R111" s="38">
        <v>466.57926777311775</v>
      </c>
      <c r="S111" s="38">
        <v>1078.1937215176506</v>
      </c>
      <c r="T111" s="38">
        <v>0</v>
      </c>
      <c r="U111" s="38">
        <v>833.69411119175277</v>
      </c>
      <c r="V111" s="38" t="s">
        <v>1648</v>
      </c>
      <c r="W111" s="38" t="s">
        <v>1648</v>
      </c>
      <c r="X111" s="38" t="s">
        <v>1648</v>
      </c>
      <c r="Y111" s="38" t="s">
        <v>1648</v>
      </c>
      <c r="Z111" s="38">
        <v>0</v>
      </c>
      <c r="AA111" s="38">
        <v>0</v>
      </c>
      <c r="AB111" s="38">
        <v>0</v>
      </c>
      <c r="AC111" s="38">
        <v>0</v>
      </c>
      <c r="AD111" s="38">
        <v>0</v>
      </c>
      <c r="AE111" s="38">
        <v>0</v>
      </c>
      <c r="AF111" s="38">
        <v>0</v>
      </c>
      <c r="AG111" s="38">
        <v>0</v>
      </c>
      <c r="AH111" s="38">
        <v>466.57926777311775</v>
      </c>
      <c r="AI111" s="38">
        <v>1078.1937215176506</v>
      </c>
      <c r="AJ111" s="38">
        <v>0</v>
      </c>
      <c r="AK111" s="38">
        <v>833.69411119175277</v>
      </c>
      <c r="AL111" s="38">
        <v>2378.4671004825209</v>
      </c>
      <c r="AM111" s="38">
        <v>775.79592585347211</v>
      </c>
      <c r="AN111" s="38">
        <v>272.14443935511787</v>
      </c>
      <c r="AO111" s="38">
        <v>0</v>
      </c>
      <c r="AP111" s="38">
        <v>0</v>
      </c>
      <c r="AQ111" s="38">
        <v>1047.94036520859</v>
      </c>
      <c r="AR111" s="38">
        <v>466.57926777311775</v>
      </c>
      <c r="AS111" s="49">
        <v>2.2460071366012113</v>
      </c>
      <c r="AT111" s="38">
        <v>775.79592585347211</v>
      </c>
      <c r="AU111" s="38">
        <v>322.13795799352476</v>
      </c>
      <c r="AV111" s="38">
        <v>0</v>
      </c>
      <c r="AW111" s="38">
        <v>0</v>
      </c>
      <c r="AX111" s="38">
        <v>1097.9338838469969</v>
      </c>
      <c r="AY111" s="38">
        <v>1078.1937215176506</v>
      </c>
      <c r="AZ111" s="49">
        <v>1.0183085487657637</v>
      </c>
      <c r="BA111" s="38">
        <v>775.79592585347211</v>
      </c>
      <c r="BB111" s="38">
        <v>594.28239734864269</v>
      </c>
      <c r="BC111" s="38">
        <v>0</v>
      </c>
      <c r="BD111" s="38">
        <v>0</v>
      </c>
      <c r="BE111" s="38">
        <v>1370.0783232021147</v>
      </c>
      <c r="BF111" s="38">
        <v>1544.7729892907682</v>
      </c>
      <c r="BG111" s="38">
        <v>47.484953122592664</v>
      </c>
      <c r="BH111" s="50">
        <v>0.88691240246966074</v>
      </c>
      <c r="BI111" s="38">
        <v>23.309535987000206</v>
      </c>
      <c r="BJ111" s="38">
        <v>53.864792305547361</v>
      </c>
      <c r="BK111" s="38">
        <v>0</v>
      </c>
      <c r="BL111" s="38">
        <v>41.649992250457117</v>
      </c>
      <c r="BM111" s="38">
        <v>118.82432054300469</v>
      </c>
      <c r="BN111" s="38">
        <v>775.79592585347211</v>
      </c>
      <c r="BO111" s="38">
        <v>0</v>
      </c>
      <c r="BP111" s="38">
        <v>594.28239734864269</v>
      </c>
      <c r="BQ111" s="38">
        <v>0</v>
      </c>
      <c r="BR111" s="38">
        <v>0</v>
      </c>
      <c r="BS111" s="38">
        <v>0</v>
      </c>
      <c r="BT111" s="38">
        <v>0</v>
      </c>
      <c r="BU111" s="38">
        <v>0</v>
      </c>
      <c r="BV111" s="38">
        <v>0</v>
      </c>
      <c r="BW111" s="38">
        <v>0</v>
      </c>
      <c r="BX111" s="38">
        <v>2378.4671004825209</v>
      </c>
      <c r="BY111" s="38"/>
      <c r="BZ111" s="38">
        <v>0</v>
      </c>
      <c r="CA111" s="38">
        <v>0</v>
      </c>
      <c r="CB111" s="38">
        <v>1370.0783232021149</v>
      </c>
      <c r="CC111" s="38">
        <v>2378.4671004825209</v>
      </c>
      <c r="CD111" s="50">
        <v>0.57603417046389516</v>
      </c>
      <c r="CE111" s="38">
        <v>89.134945373049774</v>
      </c>
      <c r="CF111" s="38">
        <v>13.992273936876764</v>
      </c>
      <c r="CG111" s="38">
        <v>0</v>
      </c>
      <c r="CH111" s="38">
        <v>13.992273936876764</v>
      </c>
      <c r="CI111" s="38">
        <v>0.69960923393103491</v>
      </c>
      <c r="CJ111" s="38">
        <v>0</v>
      </c>
      <c r="CK111" s="38">
        <v>0.69960923393103491</v>
      </c>
      <c r="CL111" s="38"/>
      <c r="CM111" s="38">
        <v>0</v>
      </c>
      <c r="CN111" s="38"/>
      <c r="CO111" s="38">
        <v>0</v>
      </c>
      <c r="CP111" s="38">
        <v>0</v>
      </c>
      <c r="CQ111" s="38">
        <v>0</v>
      </c>
      <c r="CR111" s="38">
        <v>0</v>
      </c>
      <c r="CS111" s="38">
        <v>0</v>
      </c>
      <c r="CT111" s="38">
        <v>0</v>
      </c>
      <c r="CU111" s="38">
        <v>0</v>
      </c>
      <c r="CV111" s="38">
        <v>9999</v>
      </c>
      <c r="CW111" s="49">
        <v>9999</v>
      </c>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row>
    <row r="112" spans="1:131">
      <c r="A112" s="27" t="s">
        <v>246</v>
      </c>
      <c r="B112" s="27" t="s">
        <v>72</v>
      </c>
      <c r="C112" s="38">
        <v>45</v>
      </c>
      <c r="D112" s="38">
        <v>1971.0088610812727</v>
      </c>
      <c r="E112" s="38">
        <v>0</v>
      </c>
      <c r="F112" s="38">
        <v>2730.3075374938753</v>
      </c>
      <c r="G112" s="38">
        <v>0</v>
      </c>
      <c r="H112" s="38">
        <v>0</v>
      </c>
      <c r="I112" s="38" t="s">
        <v>1479</v>
      </c>
      <c r="J112" s="38"/>
      <c r="K112" s="38"/>
      <c r="L112" s="38">
        <v>2125.4980617136061</v>
      </c>
      <c r="M112" s="38">
        <v>1.1114630293062562</v>
      </c>
      <c r="N112" s="38">
        <v>1.1034409875891813</v>
      </c>
      <c r="O112" s="38">
        <v>0</v>
      </c>
      <c r="P112" s="38">
        <v>0</v>
      </c>
      <c r="Q112" s="38">
        <v>0</v>
      </c>
      <c r="R112" s="38">
        <v>357.11255443351382</v>
      </c>
      <c r="S112" s="38">
        <v>825.23279678293693</v>
      </c>
      <c r="T112" s="38">
        <v>0</v>
      </c>
      <c r="U112" s="38">
        <v>638.09657699715342</v>
      </c>
      <c r="V112" s="38" t="s">
        <v>1648</v>
      </c>
      <c r="W112" s="38" t="s">
        <v>1648</v>
      </c>
      <c r="X112" s="38" t="s">
        <v>1648</v>
      </c>
      <c r="Y112" s="38" t="s">
        <v>1648</v>
      </c>
      <c r="Z112" s="38">
        <v>0</v>
      </c>
      <c r="AA112" s="38">
        <v>0</v>
      </c>
      <c r="AB112" s="38">
        <v>0</v>
      </c>
      <c r="AC112" s="38">
        <v>0</v>
      </c>
      <c r="AD112" s="38">
        <v>0</v>
      </c>
      <c r="AE112" s="38">
        <v>0</v>
      </c>
      <c r="AF112" s="38">
        <v>0</v>
      </c>
      <c r="AG112" s="38">
        <v>0</v>
      </c>
      <c r="AH112" s="38">
        <v>357.11255443351382</v>
      </c>
      <c r="AI112" s="38">
        <v>825.23279678293693</v>
      </c>
      <c r="AJ112" s="38">
        <v>0</v>
      </c>
      <c r="AK112" s="38">
        <v>638.09657699715342</v>
      </c>
      <c r="AL112" s="38">
        <v>1820.4419282136041</v>
      </c>
      <c r="AM112" s="38">
        <v>1119.5571926991927</v>
      </c>
      <c r="AN112" s="38">
        <v>392.73377750459855</v>
      </c>
      <c r="AO112" s="38">
        <v>0</v>
      </c>
      <c r="AP112" s="38">
        <v>0</v>
      </c>
      <c r="AQ112" s="38">
        <v>1512.2909702037912</v>
      </c>
      <c r="AR112" s="38">
        <v>357.11255443351382</v>
      </c>
      <c r="AS112" s="49">
        <v>4.2347740269247387</v>
      </c>
      <c r="AT112" s="38">
        <v>1119.5571926991927</v>
      </c>
      <c r="AU112" s="38">
        <v>464.87981683626271</v>
      </c>
      <c r="AV112" s="38">
        <v>0</v>
      </c>
      <c r="AW112" s="38">
        <v>0</v>
      </c>
      <c r="AX112" s="38">
        <v>1584.4370095354554</v>
      </c>
      <c r="AY112" s="38">
        <v>825.23279678293693</v>
      </c>
      <c r="AZ112" s="49">
        <v>1.9199879303296934</v>
      </c>
      <c r="BA112" s="38">
        <v>1119.5571926991927</v>
      </c>
      <c r="BB112" s="38">
        <v>857.61359434086125</v>
      </c>
      <c r="BC112" s="38">
        <v>0</v>
      </c>
      <c r="BD112" s="38">
        <v>0</v>
      </c>
      <c r="BE112" s="38">
        <v>1977.1707870400539</v>
      </c>
      <c r="BF112" s="38">
        <v>1182.3453512164508</v>
      </c>
      <c r="BG112" s="38">
        <v>11.2417562210961</v>
      </c>
      <c r="BH112" s="49">
        <v>1.6722447337453905</v>
      </c>
      <c r="BI112" s="38">
        <v>12.362733842420367</v>
      </c>
      <c r="BJ112" s="38">
        <v>28.568397548630642</v>
      </c>
      <c r="BK112" s="38">
        <v>0</v>
      </c>
      <c r="BL112" s="38">
        <v>22.090005095701507</v>
      </c>
      <c r="BM112" s="38">
        <v>63.021136486752511</v>
      </c>
      <c r="BN112" s="38">
        <v>1119.5571926991927</v>
      </c>
      <c r="BO112" s="38">
        <v>0</v>
      </c>
      <c r="BP112" s="38">
        <v>857.61359434086125</v>
      </c>
      <c r="BQ112" s="38">
        <v>0</v>
      </c>
      <c r="BR112" s="38">
        <v>0</v>
      </c>
      <c r="BS112" s="38">
        <v>0</v>
      </c>
      <c r="BT112" s="38">
        <v>0</v>
      </c>
      <c r="BU112" s="38">
        <v>0</v>
      </c>
      <c r="BV112" s="38">
        <v>0</v>
      </c>
      <c r="BW112" s="38">
        <v>0</v>
      </c>
      <c r="BX112" s="38">
        <v>1820.4419282136041</v>
      </c>
      <c r="BY112" s="38"/>
      <c r="BZ112" s="38">
        <v>0</v>
      </c>
      <c r="CA112" s="38">
        <v>0</v>
      </c>
      <c r="CB112" s="38">
        <v>1977.1707870400539</v>
      </c>
      <c r="CC112" s="38">
        <v>1820.4419282136041</v>
      </c>
      <c r="CD112" s="49">
        <v>1.0860938524857244</v>
      </c>
      <c r="CE112" s="38">
        <v>33.331761316797603</v>
      </c>
      <c r="CF112" s="38">
        <v>20.192360395569544</v>
      </c>
      <c r="CG112" s="38">
        <v>0</v>
      </c>
      <c r="CH112" s="38">
        <v>20.192360395569544</v>
      </c>
      <c r="CI112" s="38">
        <v>1.0096115793139628</v>
      </c>
      <c r="CJ112" s="38">
        <v>0</v>
      </c>
      <c r="CK112" s="38">
        <v>1.0096115793139628</v>
      </c>
      <c r="CL112" s="38"/>
      <c r="CM112" s="38">
        <v>0</v>
      </c>
      <c r="CN112" s="38"/>
      <c r="CO112" s="38">
        <v>0</v>
      </c>
      <c r="CP112" s="38">
        <v>0</v>
      </c>
      <c r="CQ112" s="38">
        <v>0</v>
      </c>
      <c r="CR112" s="38">
        <v>0</v>
      </c>
      <c r="CS112" s="38">
        <v>0</v>
      </c>
      <c r="CT112" s="38">
        <v>0</v>
      </c>
      <c r="CU112" s="38">
        <v>0</v>
      </c>
      <c r="CV112" s="38">
        <v>9999</v>
      </c>
      <c r="CW112" s="49">
        <v>9999</v>
      </c>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row>
    <row r="113" spans="1:131">
      <c r="A113" s="27" t="s">
        <v>247</v>
      </c>
      <c r="B113" s="27" t="s">
        <v>73</v>
      </c>
      <c r="C113" s="38">
        <v>45</v>
      </c>
      <c r="D113" s="38">
        <v>1211.2470044953825</v>
      </c>
      <c r="E113" s="38">
        <v>0</v>
      </c>
      <c r="F113" s="38">
        <v>2730.3075374938753</v>
      </c>
      <c r="G113" s="38">
        <v>0</v>
      </c>
      <c r="H113" s="38">
        <v>0</v>
      </c>
      <c r="I113" s="38" t="s">
        <v>1479</v>
      </c>
      <c r="J113" s="38"/>
      <c r="K113" s="38"/>
      <c r="L113" s="38">
        <v>1306.1854825447131</v>
      </c>
      <c r="M113" s="38">
        <v>0.68302902713284885</v>
      </c>
      <c r="N113" s="38">
        <v>0.67809922991498484</v>
      </c>
      <c r="O113" s="38">
        <v>0</v>
      </c>
      <c r="P113" s="38">
        <v>0</v>
      </c>
      <c r="Q113" s="38">
        <v>0</v>
      </c>
      <c r="R113" s="38">
        <v>357.11255443351382</v>
      </c>
      <c r="S113" s="38">
        <v>825.23279678293693</v>
      </c>
      <c r="T113" s="38">
        <v>0</v>
      </c>
      <c r="U113" s="38">
        <v>638.09657699715342</v>
      </c>
      <c r="V113" s="38" t="s">
        <v>1648</v>
      </c>
      <c r="W113" s="38" t="s">
        <v>1648</v>
      </c>
      <c r="X113" s="38" t="s">
        <v>1648</v>
      </c>
      <c r="Y113" s="38" t="s">
        <v>1648</v>
      </c>
      <c r="Z113" s="38">
        <v>0</v>
      </c>
      <c r="AA113" s="38">
        <v>0</v>
      </c>
      <c r="AB113" s="38">
        <v>0</v>
      </c>
      <c r="AC113" s="38">
        <v>0</v>
      </c>
      <c r="AD113" s="38">
        <v>0</v>
      </c>
      <c r="AE113" s="38">
        <v>0</v>
      </c>
      <c r="AF113" s="38">
        <v>0</v>
      </c>
      <c r="AG113" s="38">
        <v>0</v>
      </c>
      <c r="AH113" s="38">
        <v>357.11255443351382</v>
      </c>
      <c r="AI113" s="38">
        <v>825.23279678293693</v>
      </c>
      <c r="AJ113" s="38">
        <v>0</v>
      </c>
      <c r="AK113" s="38">
        <v>638.09657699715342</v>
      </c>
      <c r="AL113" s="38">
        <v>1820.4419282136041</v>
      </c>
      <c r="AM113" s="38">
        <v>688.00314539135991</v>
      </c>
      <c r="AN113" s="38">
        <v>241.34727192735127</v>
      </c>
      <c r="AO113" s="38">
        <v>0</v>
      </c>
      <c r="AP113" s="38">
        <v>0</v>
      </c>
      <c r="AQ113" s="38">
        <v>929.35041731871115</v>
      </c>
      <c r="AR113" s="38">
        <v>357.11255443351382</v>
      </c>
      <c r="AS113" s="49">
        <v>2.6024019760182777</v>
      </c>
      <c r="AT113" s="38">
        <v>688.00314539135991</v>
      </c>
      <c r="AU113" s="38">
        <v>285.68328469329344</v>
      </c>
      <c r="AV113" s="38">
        <v>0</v>
      </c>
      <c r="AW113" s="38">
        <v>0</v>
      </c>
      <c r="AX113" s="38">
        <v>973.68643008465335</v>
      </c>
      <c r="AY113" s="38">
        <v>825.23279678293693</v>
      </c>
      <c r="AZ113" s="49">
        <v>1.1798930360989575</v>
      </c>
      <c r="BA113" s="38">
        <v>688.00314539135991</v>
      </c>
      <c r="BB113" s="38">
        <v>527.03055662064469</v>
      </c>
      <c r="BC113" s="38">
        <v>0</v>
      </c>
      <c r="BD113" s="38">
        <v>0</v>
      </c>
      <c r="BE113" s="38">
        <v>1215.0337020120046</v>
      </c>
      <c r="BF113" s="38">
        <v>1182.3453512164508</v>
      </c>
      <c r="BG113" s="38">
        <v>36.916050780678212</v>
      </c>
      <c r="BH113" s="49">
        <v>1.0276470413335008</v>
      </c>
      <c r="BI113" s="38">
        <v>20.117331857304716</v>
      </c>
      <c r="BJ113" s="38">
        <v>46.488094093328385</v>
      </c>
      <c r="BK113" s="38">
        <v>0</v>
      </c>
      <c r="BL113" s="38">
        <v>35.946091609198369</v>
      </c>
      <c r="BM113" s="38">
        <v>102.55151755983145</v>
      </c>
      <c r="BN113" s="38">
        <v>688.00314539135991</v>
      </c>
      <c r="BO113" s="38">
        <v>0</v>
      </c>
      <c r="BP113" s="38">
        <v>527.03055662064469</v>
      </c>
      <c r="BQ113" s="38">
        <v>0</v>
      </c>
      <c r="BR113" s="38">
        <v>0</v>
      </c>
      <c r="BS113" s="38">
        <v>0</v>
      </c>
      <c r="BT113" s="38">
        <v>0</v>
      </c>
      <c r="BU113" s="38">
        <v>0</v>
      </c>
      <c r="BV113" s="38">
        <v>0</v>
      </c>
      <c r="BW113" s="38">
        <v>0</v>
      </c>
      <c r="BX113" s="38">
        <v>1820.4419282136041</v>
      </c>
      <c r="BY113" s="38"/>
      <c r="BZ113" s="38">
        <v>0</v>
      </c>
      <c r="CA113" s="38">
        <v>0</v>
      </c>
      <c r="CB113" s="38">
        <v>1215.0337020120046</v>
      </c>
      <c r="CC113" s="38">
        <v>1820.4419282136041</v>
      </c>
      <c r="CD113" s="50">
        <v>0.66743886920046647</v>
      </c>
      <c r="CE113" s="38">
        <v>72.862142389876567</v>
      </c>
      <c r="CF113" s="38">
        <v>12.408841241539333</v>
      </c>
      <c r="CG113" s="38">
        <v>0</v>
      </c>
      <c r="CH113" s="38">
        <v>12.408841241539333</v>
      </c>
      <c r="CI113" s="38">
        <v>0.62043810420873857</v>
      </c>
      <c r="CJ113" s="38">
        <v>0</v>
      </c>
      <c r="CK113" s="38">
        <v>0.62043810420873857</v>
      </c>
      <c r="CL113" s="38"/>
      <c r="CM113" s="38">
        <v>0</v>
      </c>
      <c r="CN113" s="38"/>
      <c r="CO113" s="38">
        <v>0</v>
      </c>
      <c r="CP113" s="38">
        <v>0</v>
      </c>
      <c r="CQ113" s="38">
        <v>0</v>
      </c>
      <c r="CR113" s="38">
        <v>0</v>
      </c>
      <c r="CS113" s="38">
        <v>0</v>
      </c>
      <c r="CT113" s="38">
        <v>0</v>
      </c>
      <c r="CU113" s="38">
        <v>0</v>
      </c>
      <c r="CV113" s="38">
        <v>9999</v>
      </c>
      <c r="CW113" s="49">
        <v>9999</v>
      </c>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row>
    <row r="114" spans="1:131">
      <c r="A114" s="27"/>
      <c r="B114" s="27"/>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row>
    <row r="115" spans="1:131">
      <c r="A115" s="27"/>
      <c r="B115" s="27"/>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row>
    <row r="116" spans="1:131" ht="13.5" thickBot="1">
      <c r="A116" s="36" t="s">
        <v>1649</v>
      </c>
      <c r="B116" s="37"/>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row>
    <row r="117" spans="1:131" ht="26.25" thickBot="1">
      <c r="A117" s="531" t="s">
        <v>1553</v>
      </c>
      <c r="B117" s="532"/>
      <c r="C117" s="533" t="s">
        <v>1554</v>
      </c>
      <c r="D117" s="534"/>
      <c r="E117" s="534"/>
      <c r="F117" s="534"/>
      <c r="G117" s="534"/>
      <c r="H117" s="534"/>
      <c r="I117" s="534"/>
      <c r="J117" s="534"/>
      <c r="K117" s="535"/>
      <c r="L117" s="533" t="s">
        <v>1555</v>
      </c>
      <c r="M117" s="534"/>
      <c r="N117" s="534"/>
      <c r="O117" s="534"/>
      <c r="P117" s="534"/>
      <c r="Q117" s="535"/>
      <c r="R117" s="533" t="s">
        <v>1556</v>
      </c>
      <c r="S117" s="534"/>
      <c r="T117" s="534"/>
      <c r="U117" s="535"/>
      <c r="V117" s="533" t="s">
        <v>1557</v>
      </c>
      <c r="W117" s="534"/>
      <c r="X117" s="534"/>
      <c r="Y117" s="535"/>
      <c r="Z117" s="533" t="s">
        <v>1558</v>
      </c>
      <c r="AA117" s="534"/>
      <c r="AB117" s="534"/>
      <c r="AC117" s="535"/>
      <c r="AD117" s="533" t="s">
        <v>1559</v>
      </c>
      <c r="AE117" s="534"/>
      <c r="AF117" s="534"/>
      <c r="AG117" s="535"/>
      <c r="AH117" s="533" t="s">
        <v>1560</v>
      </c>
      <c r="AI117" s="534"/>
      <c r="AJ117" s="534"/>
      <c r="AK117" s="534"/>
      <c r="AL117" s="535"/>
      <c r="AM117" s="533" t="s">
        <v>1561</v>
      </c>
      <c r="AN117" s="534"/>
      <c r="AO117" s="534"/>
      <c r="AP117" s="534"/>
      <c r="AQ117" s="534"/>
      <c r="AR117" s="534"/>
      <c r="AS117" s="535"/>
      <c r="AT117" s="533" t="s">
        <v>1562</v>
      </c>
      <c r="AU117" s="534"/>
      <c r="AV117" s="534"/>
      <c r="AW117" s="534"/>
      <c r="AX117" s="534"/>
      <c r="AY117" s="534"/>
      <c r="AZ117" s="535"/>
      <c r="BA117" s="533" t="s">
        <v>1563</v>
      </c>
      <c r="BB117" s="534"/>
      <c r="BC117" s="534"/>
      <c r="BD117" s="534"/>
      <c r="BE117" s="534"/>
      <c r="BF117" s="535"/>
      <c r="BG117" s="533" t="s">
        <v>1564</v>
      </c>
      <c r="BH117" s="535"/>
      <c r="BI117" s="533" t="s">
        <v>1565</v>
      </c>
      <c r="BJ117" s="534"/>
      <c r="BK117" s="534"/>
      <c r="BL117" s="534"/>
      <c r="BM117" s="535"/>
      <c r="BN117" s="533" t="s">
        <v>1566</v>
      </c>
      <c r="BO117" s="534"/>
      <c r="BP117" s="534"/>
      <c r="BQ117" s="534"/>
      <c r="BR117" s="534"/>
      <c r="BS117" s="534"/>
      <c r="BT117" s="534"/>
      <c r="BU117" s="534"/>
      <c r="BV117" s="534"/>
      <c r="BW117" s="534"/>
      <c r="BX117" s="534"/>
      <c r="BY117" s="534"/>
      <c r="BZ117" s="534"/>
      <c r="CA117" s="534"/>
      <c r="CB117" s="534"/>
      <c r="CC117" s="535"/>
      <c r="CD117" s="533" t="s">
        <v>1567</v>
      </c>
      <c r="CE117" s="535"/>
      <c r="CF117" s="533" t="s">
        <v>1568</v>
      </c>
      <c r="CG117" s="534"/>
      <c r="CH117" s="534"/>
      <c r="CI117" s="534"/>
      <c r="CJ117" s="534"/>
      <c r="CK117" s="535"/>
      <c r="CL117" s="536"/>
      <c r="CM117" s="533" t="s">
        <v>4</v>
      </c>
      <c r="CN117" s="534"/>
      <c r="CO117" s="534"/>
      <c r="CP117" s="535"/>
      <c r="CQ117" s="533" t="s">
        <v>1569</v>
      </c>
      <c r="CR117" s="534"/>
      <c r="CS117" s="534"/>
      <c r="CT117" s="534"/>
      <c r="CU117" s="535"/>
      <c r="CV117" s="533" t="s">
        <v>1570</v>
      </c>
      <c r="CW117" s="535"/>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row>
    <row r="118" spans="1:131" ht="204">
      <c r="A118" s="45" t="s">
        <v>31</v>
      </c>
      <c r="B118" s="46" t="s">
        <v>32</v>
      </c>
      <c r="C118" s="47" t="s">
        <v>302</v>
      </c>
      <c r="D118" s="47" t="s">
        <v>1571</v>
      </c>
      <c r="E118" s="47" t="s">
        <v>1572</v>
      </c>
      <c r="F118" s="47" t="s">
        <v>1573</v>
      </c>
      <c r="G118" s="47" t="s">
        <v>1574</v>
      </c>
      <c r="H118" s="47" t="s">
        <v>1575</v>
      </c>
      <c r="I118" s="47" t="s">
        <v>1576</v>
      </c>
      <c r="J118" s="47" t="s">
        <v>1577</v>
      </c>
      <c r="K118" s="47" t="s">
        <v>1578</v>
      </c>
      <c r="L118" s="47" t="s">
        <v>1579</v>
      </c>
      <c r="M118" s="47" t="s">
        <v>1580</v>
      </c>
      <c r="N118" s="47" t="s">
        <v>1581</v>
      </c>
      <c r="O118" s="47" t="s">
        <v>1582</v>
      </c>
      <c r="P118" s="47" t="s">
        <v>1583</v>
      </c>
      <c r="Q118" s="47" t="s">
        <v>1584</v>
      </c>
      <c r="R118" s="47" t="s">
        <v>1585</v>
      </c>
      <c r="S118" s="47" t="s">
        <v>1586</v>
      </c>
      <c r="T118" s="47" t="s">
        <v>1342</v>
      </c>
      <c r="U118" s="47" t="s">
        <v>1493</v>
      </c>
      <c r="V118" s="47" t="s">
        <v>1585</v>
      </c>
      <c r="W118" s="47" t="s">
        <v>1586</v>
      </c>
      <c r="X118" s="47" t="s">
        <v>1342</v>
      </c>
      <c r="Y118" s="47" t="s">
        <v>1493</v>
      </c>
      <c r="Z118" s="47" t="s">
        <v>1585</v>
      </c>
      <c r="AA118" s="47" t="s">
        <v>1586</v>
      </c>
      <c r="AB118" s="47" t="s">
        <v>1342</v>
      </c>
      <c r="AC118" s="47" t="s">
        <v>1493</v>
      </c>
      <c r="AD118" s="47" t="s">
        <v>1585</v>
      </c>
      <c r="AE118" s="47" t="s">
        <v>1586</v>
      </c>
      <c r="AF118" s="47" t="s">
        <v>1342</v>
      </c>
      <c r="AG118" s="47" t="s">
        <v>1493</v>
      </c>
      <c r="AH118" s="47" t="s">
        <v>1585</v>
      </c>
      <c r="AI118" s="47" t="s">
        <v>1586</v>
      </c>
      <c r="AJ118" s="47" t="s">
        <v>1342</v>
      </c>
      <c r="AK118" s="47" t="s">
        <v>1493</v>
      </c>
      <c r="AL118" s="47" t="s">
        <v>1587</v>
      </c>
      <c r="AM118" s="47" t="s">
        <v>1588</v>
      </c>
      <c r="AN118" s="47" t="s">
        <v>1589</v>
      </c>
      <c r="AO118" s="47" t="s">
        <v>1590</v>
      </c>
      <c r="AP118" s="47" t="s">
        <v>1591</v>
      </c>
      <c r="AQ118" s="47" t="s">
        <v>1592</v>
      </c>
      <c r="AR118" s="47" t="s">
        <v>1593</v>
      </c>
      <c r="AS118" s="47" t="s">
        <v>1594</v>
      </c>
      <c r="AT118" s="47" t="s">
        <v>1595</v>
      </c>
      <c r="AU118" s="47" t="s">
        <v>1596</v>
      </c>
      <c r="AV118" s="47" t="s">
        <v>1597</v>
      </c>
      <c r="AW118" s="47" t="s">
        <v>1598</v>
      </c>
      <c r="AX118" s="47" t="s">
        <v>1599</v>
      </c>
      <c r="AY118" s="47" t="s">
        <v>1600</v>
      </c>
      <c r="AZ118" s="47" t="s">
        <v>1601</v>
      </c>
      <c r="BA118" s="47" t="s">
        <v>1602</v>
      </c>
      <c r="BB118" s="47" t="s">
        <v>1603</v>
      </c>
      <c r="BC118" s="47" t="s">
        <v>1604</v>
      </c>
      <c r="BD118" s="47" t="s">
        <v>1605</v>
      </c>
      <c r="BE118" s="47" t="s">
        <v>1606</v>
      </c>
      <c r="BF118" s="47" t="s">
        <v>1607</v>
      </c>
      <c r="BG118" s="47" t="s">
        <v>1608</v>
      </c>
      <c r="BH118" s="47" t="s">
        <v>1609</v>
      </c>
      <c r="BI118" s="47" t="s">
        <v>1610</v>
      </c>
      <c r="BJ118" s="47" t="s">
        <v>1611</v>
      </c>
      <c r="BK118" s="47" t="s">
        <v>1612</v>
      </c>
      <c r="BL118" s="47" t="s">
        <v>1613</v>
      </c>
      <c r="BM118" s="47" t="s">
        <v>1614</v>
      </c>
      <c r="BN118" s="47" t="s">
        <v>1615</v>
      </c>
      <c r="BO118" s="47" t="s">
        <v>1616</v>
      </c>
      <c r="BP118" s="47" t="s">
        <v>1617</v>
      </c>
      <c r="BQ118" s="47" t="s">
        <v>1618</v>
      </c>
      <c r="BR118" s="47" t="s">
        <v>1619</v>
      </c>
      <c r="BS118" s="47" t="s">
        <v>1620</v>
      </c>
      <c r="BT118" s="47" t="s">
        <v>1621</v>
      </c>
      <c r="BU118" s="47" t="s">
        <v>1622</v>
      </c>
      <c r="BV118" s="47" t="s">
        <v>1623</v>
      </c>
      <c r="BW118" s="47" t="s">
        <v>1624</v>
      </c>
      <c r="BX118" s="47" t="s">
        <v>1625</v>
      </c>
      <c r="BY118" s="47" t="s">
        <v>1626</v>
      </c>
      <c r="BZ118" s="47" t="s">
        <v>1627</v>
      </c>
      <c r="CA118" s="47" t="s">
        <v>1628</v>
      </c>
      <c r="CB118" s="47" t="s">
        <v>1629</v>
      </c>
      <c r="CC118" s="47" t="s">
        <v>1630</v>
      </c>
      <c r="CD118" s="47" t="s">
        <v>42</v>
      </c>
      <c r="CE118" s="47" t="s">
        <v>41</v>
      </c>
      <c r="CF118" s="47" t="s">
        <v>1631</v>
      </c>
      <c r="CG118" s="47" t="s">
        <v>1632</v>
      </c>
      <c r="CH118" s="47" t="s">
        <v>1633</v>
      </c>
      <c r="CI118" s="47" t="s">
        <v>1634</v>
      </c>
      <c r="CJ118" s="47" t="s">
        <v>1635</v>
      </c>
      <c r="CK118" s="47" t="s">
        <v>1636</v>
      </c>
      <c r="CL118" s="47"/>
      <c r="CM118" s="47" t="s">
        <v>1637</v>
      </c>
      <c r="CN118" s="47" t="s">
        <v>1638</v>
      </c>
      <c r="CO118" s="47" t="s">
        <v>1639</v>
      </c>
      <c r="CP118" s="47" t="s">
        <v>1640</v>
      </c>
      <c r="CQ118" s="47" t="s">
        <v>1641</v>
      </c>
      <c r="CR118" s="47" t="s">
        <v>1642</v>
      </c>
      <c r="CS118" s="47" t="s">
        <v>1643</v>
      </c>
      <c r="CT118" s="47" t="s">
        <v>1644</v>
      </c>
      <c r="CU118" s="47" t="s">
        <v>1645</v>
      </c>
      <c r="CV118" s="47" t="s">
        <v>1646</v>
      </c>
      <c r="CW118" s="47" t="s">
        <v>1647</v>
      </c>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row>
    <row r="119" spans="1:131">
      <c r="A119" s="27" t="s">
        <v>232</v>
      </c>
      <c r="B119" s="27"/>
      <c r="C119" s="38">
        <v>45</v>
      </c>
      <c r="D119" s="38">
        <v>665.44896170039999</v>
      </c>
      <c r="E119" s="38">
        <v>0</v>
      </c>
      <c r="F119" s="38">
        <v>444.2906023738596</v>
      </c>
      <c r="G119" s="38">
        <v>0</v>
      </c>
      <c r="H119" s="38">
        <v>0</v>
      </c>
      <c r="I119" s="38"/>
      <c r="J119" s="38"/>
      <c r="K119" s="38"/>
      <c r="L119" s="38">
        <v>717.60736655826236</v>
      </c>
      <c r="M119" s="38">
        <v>0.3752504280546366</v>
      </c>
      <c r="N119" s="38">
        <v>0.37254203874358283</v>
      </c>
      <c r="O119" s="38">
        <v>0</v>
      </c>
      <c r="P119" s="38">
        <v>0</v>
      </c>
      <c r="Q119" s="38">
        <v>0</v>
      </c>
      <c r="R119" s="38">
        <v>58.111311544840746</v>
      </c>
      <c r="S119" s="38">
        <v>134.28640229953521</v>
      </c>
      <c r="T119" s="38">
        <v>0</v>
      </c>
      <c r="U119" s="38">
        <v>103.83457126115015</v>
      </c>
      <c r="V119" s="38">
        <v>26.657436142431575</v>
      </c>
      <c r="W119" s="38">
        <v>62.200684332340344</v>
      </c>
      <c r="X119" s="38">
        <v>0</v>
      </c>
      <c r="Y119" s="38">
        <v>0</v>
      </c>
      <c r="Z119" s="38">
        <v>0</v>
      </c>
      <c r="AA119" s="38">
        <v>0</v>
      </c>
      <c r="AB119" s="38">
        <v>0</v>
      </c>
      <c r="AC119" s="38">
        <v>0</v>
      </c>
      <c r="AD119" s="38">
        <v>0</v>
      </c>
      <c r="AE119" s="38">
        <v>0</v>
      </c>
      <c r="AF119" s="38">
        <v>0</v>
      </c>
      <c r="AG119" s="38">
        <v>0</v>
      </c>
      <c r="AH119" s="38">
        <v>84.768747687272324</v>
      </c>
      <c r="AI119" s="38">
        <v>196.48708663187557</v>
      </c>
      <c r="AJ119" s="38">
        <v>0</v>
      </c>
      <c r="AK119" s="38">
        <v>103.83457126115015</v>
      </c>
      <c r="AL119" s="38">
        <v>385.09040558029801</v>
      </c>
      <c r="AM119" s="38">
        <v>377.98316697429163</v>
      </c>
      <c r="AN119" s="38">
        <v>132.59417023713456</v>
      </c>
      <c r="AO119" s="38">
        <v>0</v>
      </c>
      <c r="AP119" s="38">
        <v>0</v>
      </c>
      <c r="AQ119" s="38">
        <v>510.5773372114262</v>
      </c>
      <c r="AR119" s="38">
        <v>84.768747687272324</v>
      </c>
      <c r="AS119" s="49">
        <v>6.0231789561766433</v>
      </c>
      <c r="AT119" s="38">
        <v>377.98316697429163</v>
      </c>
      <c r="AU119" s="38">
        <v>156.95200439609144</v>
      </c>
      <c r="AV119" s="38">
        <v>0</v>
      </c>
      <c r="AW119" s="38">
        <v>0</v>
      </c>
      <c r="AX119" s="38">
        <v>534.93517137038305</v>
      </c>
      <c r="AY119" s="38">
        <v>196.48708663187557</v>
      </c>
      <c r="AZ119" s="49">
        <v>2.7224953076565286</v>
      </c>
      <c r="BA119" s="38">
        <v>377.98316697429163</v>
      </c>
      <c r="BB119" s="38">
        <v>289.54617463322597</v>
      </c>
      <c r="BC119" s="38">
        <v>0</v>
      </c>
      <c r="BD119" s="38">
        <v>0</v>
      </c>
      <c r="BE119" s="38">
        <v>667.52934160751761</v>
      </c>
      <c r="BF119" s="38">
        <v>281.25583431914788</v>
      </c>
      <c r="BG119" s="38">
        <v>-0.85007175170955207</v>
      </c>
      <c r="BH119" s="49">
        <v>2.3733884248959463</v>
      </c>
      <c r="BI119" s="38">
        <v>8.6919855044283327</v>
      </c>
      <c r="BJ119" s="38">
        <v>20.147317913817016</v>
      </c>
      <c r="BK119" s="38">
        <v>0</v>
      </c>
      <c r="BL119" s="38">
        <v>10.646949646938795</v>
      </c>
      <c r="BM119" s="38">
        <v>39.486253065184137</v>
      </c>
      <c r="BN119" s="38">
        <v>377.98316697429163</v>
      </c>
      <c r="BO119" s="38">
        <v>0</v>
      </c>
      <c r="BP119" s="38">
        <v>289.54617463322597</v>
      </c>
      <c r="BQ119" s="38">
        <v>0</v>
      </c>
      <c r="BR119" s="38">
        <v>0</v>
      </c>
      <c r="BS119" s="38">
        <v>0</v>
      </c>
      <c r="BT119" s="38">
        <v>0</v>
      </c>
      <c r="BU119" s="38">
        <v>0</v>
      </c>
      <c r="BV119" s="38">
        <v>0</v>
      </c>
      <c r="BW119" s="38">
        <v>0</v>
      </c>
      <c r="BX119" s="38">
        <v>296.2322851055261</v>
      </c>
      <c r="BY119" s="38">
        <v>88.858120474771923</v>
      </c>
      <c r="BZ119" s="38">
        <v>0</v>
      </c>
      <c r="CA119" s="38">
        <v>0</v>
      </c>
      <c r="CB119" s="38">
        <v>667.52934160751761</v>
      </c>
      <c r="CC119" s="38">
        <v>385.09040558029801</v>
      </c>
      <c r="CD119" s="49">
        <v>1.7334354009719055</v>
      </c>
      <c r="CE119" s="38">
        <v>9.7968778952292404</v>
      </c>
      <c r="CF119" s="38">
        <v>6.8173134706967451</v>
      </c>
      <c r="CG119" s="38">
        <v>0</v>
      </c>
      <c r="CH119" s="38">
        <v>6.8173134706967451</v>
      </c>
      <c r="CI119" s="38">
        <v>0.34086349911517466</v>
      </c>
      <c r="CJ119" s="38">
        <v>0</v>
      </c>
      <c r="CK119" s="38">
        <v>0.34086349911517466</v>
      </c>
      <c r="CL119" s="38"/>
      <c r="CM119" s="38">
        <v>0</v>
      </c>
      <c r="CN119" s="38"/>
      <c r="CO119" s="38">
        <v>0</v>
      </c>
      <c r="CP119" s="38">
        <v>0</v>
      </c>
      <c r="CQ119" s="38">
        <v>0</v>
      </c>
      <c r="CR119" s="38">
        <v>0</v>
      </c>
      <c r="CS119" s="38">
        <v>0</v>
      </c>
      <c r="CT119" s="38">
        <v>0</v>
      </c>
      <c r="CU119" s="38">
        <v>0</v>
      </c>
      <c r="CV119" s="38">
        <v>9999</v>
      </c>
      <c r="CW119" s="49">
        <v>9999</v>
      </c>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row>
    <row r="120" spans="1:131">
      <c r="A120" s="27" t="s">
        <v>235</v>
      </c>
      <c r="B120" s="27"/>
      <c r="C120" s="38">
        <v>45</v>
      </c>
      <c r="D120" s="38">
        <v>4007.8072645659718</v>
      </c>
      <c r="E120" s="38">
        <v>0</v>
      </c>
      <c r="F120" s="38">
        <v>2730.3075374938753</v>
      </c>
      <c r="G120" s="38">
        <v>0</v>
      </c>
      <c r="H120" s="38">
        <v>0</v>
      </c>
      <c r="I120" s="38"/>
      <c r="J120" s="38"/>
      <c r="K120" s="38"/>
      <c r="L120" s="38">
        <v>4321.9423011033477</v>
      </c>
      <c r="M120" s="38">
        <v>2.2600251531626352</v>
      </c>
      <c r="N120" s="38">
        <v>2.2437133051008735</v>
      </c>
      <c r="O120" s="38">
        <v>0</v>
      </c>
      <c r="P120" s="38">
        <v>0</v>
      </c>
      <c r="Q120" s="38">
        <v>0</v>
      </c>
      <c r="R120" s="38">
        <v>357.11255443351382</v>
      </c>
      <c r="S120" s="38">
        <v>825.23279678293693</v>
      </c>
      <c r="T120" s="38">
        <v>0</v>
      </c>
      <c r="U120" s="38">
        <v>638.09657699715342</v>
      </c>
      <c r="V120" s="38">
        <v>163.81845224963251</v>
      </c>
      <c r="W120" s="38">
        <v>382.24305524914251</v>
      </c>
      <c r="X120" s="38">
        <v>0</v>
      </c>
      <c r="Y120" s="38">
        <v>0</v>
      </c>
      <c r="Z120" s="38">
        <v>0</v>
      </c>
      <c r="AA120" s="38">
        <v>0</v>
      </c>
      <c r="AB120" s="38">
        <v>0</v>
      </c>
      <c r="AC120" s="38">
        <v>0</v>
      </c>
      <c r="AD120" s="38">
        <v>0</v>
      </c>
      <c r="AE120" s="38">
        <v>0</v>
      </c>
      <c r="AF120" s="38">
        <v>0</v>
      </c>
      <c r="AG120" s="38">
        <v>0</v>
      </c>
      <c r="AH120" s="38">
        <v>520.93100668314628</v>
      </c>
      <c r="AI120" s="38">
        <v>1207.4758520320795</v>
      </c>
      <c r="AJ120" s="38">
        <v>0</v>
      </c>
      <c r="AK120" s="38">
        <v>638.09657699715342</v>
      </c>
      <c r="AL120" s="38">
        <v>2366.5034357123791</v>
      </c>
      <c r="AM120" s="38">
        <v>2276.4836518976413</v>
      </c>
      <c r="AN120" s="38">
        <v>798.57646386221063</v>
      </c>
      <c r="AO120" s="38">
        <v>0</v>
      </c>
      <c r="AP120" s="38">
        <v>0</v>
      </c>
      <c r="AQ120" s="38">
        <v>3075.0601157598521</v>
      </c>
      <c r="AR120" s="38">
        <v>520.93100668314628</v>
      </c>
      <c r="AS120" s="49">
        <v>5.9030084143757682</v>
      </c>
      <c r="AT120" s="38">
        <v>2276.4836518976413</v>
      </c>
      <c r="AU120" s="38">
        <v>945.27667726687457</v>
      </c>
      <c r="AV120" s="38">
        <v>0</v>
      </c>
      <c r="AW120" s="38">
        <v>0</v>
      </c>
      <c r="AX120" s="38">
        <v>3221.760329164516</v>
      </c>
      <c r="AY120" s="38">
        <v>1207.4758520320795</v>
      </c>
      <c r="AZ120" s="49">
        <v>2.6681778552693758</v>
      </c>
      <c r="BA120" s="38">
        <v>2276.4836518976413</v>
      </c>
      <c r="BB120" s="38">
        <v>1743.8531411290851</v>
      </c>
      <c r="BC120" s="38">
        <v>0</v>
      </c>
      <c r="BD120" s="38">
        <v>0</v>
      </c>
      <c r="BE120" s="38">
        <v>4020.3367930267268</v>
      </c>
      <c r="BF120" s="38">
        <v>1728.4068587152258</v>
      </c>
      <c r="BG120" s="38">
        <v>-0.26297539784183366</v>
      </c>
      <c r="BH120" s="49">
        <v>2.3260361255538862</v>
      </c>
      <c r="BI120" s="38">
        <v>8.8689326700208468</v>
      </c>
      <c r="BJ120" s="38">
        <v>20.557467102092232</v>
      </c>
      <c r="BK120" s="38">
        <v>0</v>
      </c>
      <c r="BL120" s="38">
        <v>10.863695010960884</v>
      </c>
      <c r="BM120" s="38">
        <v>40.290094783073954</v>
      </c>
      <c r="BN120" s="38">
        <v>2276.4836518976413</v>
      </c>
      <c r="BO120" s="38">
        <v>0</v>
      </c>
      <c r="BP120" s="38">
        <v>1743.8531411290851</v>
      </c>
      <c r="BQ120" s="38">
        <v>0</v>
      </c>
      <c r="BR120" s="38">
        <v>0</v>
      </c>
      <c r="BS120" s="38">
        <v>0</v>
      </c>
      <c r="BT120" s="38">
        <v>0</v>
      </c>
      <c r="BU120" s="38">
        <v>0</v>
      </c>
      <c r="BV120" s="38">
        <v>0</v>
      </c>
      <c r="BW120" s="38">
        <v>0</v>
      </c>
      <c r="BX120" s="38">
        <v>1820.4419282136041</v>
      </c>
      <c r="BY120" s="38">
        <v>546.06150749877509</v>
      </c>
      <c r="BZ120" s="38">
        <v>0</v>
      </c>
      <c r="CA120" s="38">
        <v>0</v>
      </c>
      <c r="CB120" s="38">
        <v>4020.3367930267268</v>
      </c>
      <c r="CC120" s="38">
        <v>2366.5034357123791</v>
      </c>
      <c r="CD120" s="49">
        <v>1.6988510273666688</v>
      </c>
      <c r="CE120" s="38">
        <v>10.600719613119042</v>
      </c>
      <c r="CF120" s="38">
        <v>41.058713778537786</v>
      </c>
      <c r="CG120" s="38">
        <v>0</v>
      </c>
      <c r="CH120" s="38">
        <v>41.058713778537786</v>
      </c>
      <c r="CI120" s="38">
        <v>2.0529225930240904</v>
      </c>
      <c r="CJ120" s="38">
        <v>0</v>
      </c>
      <c r="CK120" s="38">
        <v>2.0529225930240904</v>
      </c>
      <c r="CL120" s="38"/>
      <c r="CM120" s="38">
        <v>0</v>
      </c>
      <c r="CN120" s="38"/>
      <c r="CO120" s="38">
        <v>0</v>
      </c>
      <c r="CP120" s="38">
        <v>0</v>
      </c>
      <c r="CQ120" s="38">
        <v>0</v>
      </c>
      <c r="CR120" s="38">
        <v>0</v>
      </c>
      <c r="CS120" s="38">
        <v>0</v>
      </c>
      <c r="CT120" s="38">
        <v>0</v>
      </c>
      <c r="CU120" s="38">
        <v>0</v>
      </c>
      <c r="CV120" s="38">
        <v>9999</v>
      </c>
      <c r="CW120" s="49">
        <v>9999</v>
      </c>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row>
    <row r="121" spans="1:131">
      <c r="A121" s="27" t="s">
        <v>221</v>
      </c>
      <c r="B121" s="27"/>
      <c r="C121" s="38">
        <v>45</v>
      </c>
      <c r="D121" s="38">
        <v>598.19707837157569</v>
      </c>
      <c r="E121" s="38">
        <v>0</v>
      </c>
      <c r="F121" s="38">
        <v>444.29060237385954</v>
      </c>
      <c r="G121" s="38">
        <v>0</v>
      </c>
      <c r="H121" s="38">
        <v>0</v>
      </c>
      <c r="I121" s="38"/>
      <c r="J121" s="38"/>
      <c r="K121" s="38"/>
      <c r="L121" s="38">
        <v>645.08422854274454</v>
      </c>
      <c r="M121" s="38">
        <v>0.33732671119716895</v>
      </c>
      <c r="N121" s="38">
        <v>0.33489203826774511</v>
      </c>
      <c r="O121" s="38">
        <v>0</v>
      </c>
      <c r="P121" s="38">
        <v>0</v>
      </c>
      <c r="Q121" s="38">
        <v>0</v>
      </c>
      <c r="R121" s="38">
        <v>58.111311544840746</v>
      </c>
      <c r="S121" s="38">
        <v>134.28640229953521</v>
      </c>
      <c r="T121" s="38">
        <v>0</v>
      </c>
      <c r="U121" s="38">
        <v>103.83457126115013</v>
      </c>
      <c r="V121" s="38">
        <v>26.657436142431575</v>
      </c>
      <c r="W121" s="38">
        <v>62.200684332340337</v>
      </c>
      <c r="X121" s="38">
        <v>0</v>
      </c>
      <c r="Y121" s="38">
        <v>0</v>
      </c>
      <c r="Z121" s="38">
        <v>0</v>
      </c>
      <c r="AA121" s="38">
        <v>0</v>
      </c>
      <c r="AB121" s="38">
        <v>0</v>
      </c>
      <c r="AC121" s="38">
        <v>0</v>
      </c>
      <c r="AD121" s="38">
        <v>0</v>
      </c>
      <c r="AE121" s="38">
        <v>0</v>
      </c>
      <c r="AF121" s="38">
        <v>0</v>
      </c>
      <c r="AG121" s="38">
        <v>0</v>
      </c>
      <c r="AH121" s="38">
        <v>84.768747687272324</v>
      </c>
      <c r="AI121" s="38">
        <v>196.48708663187554</v>
      </c>
      <c r="AJ121" s="38">
        <v>0</v>
      </c>
      <c r="AK121" s="38">
        <v>103.83457126115013</v>
      </c>
      <c r="AL121" s="38">
        <v>385.09040558029801</v>
      </c>
      <c r="AM121" s="38">
        <v>339.78327290479137</v>
      </c>
      <c r="AN121" s="38">
        <v>119.19388234114894</v>
      </c>
      <c r="AO121" s="38">
        <v>0</v>
      </c>
      <c r="AP121" s="38">
        <v>0</v>
      </c>
      <c r="AQ121" s="38">
        <v>458.97715524594031</v>
      </c>
      <c r="AR121" s="38">
        <v>84.768747687272324</v>
      </c>
      <c r="AS121" s="49">
        <v>5.4144619068715327</v>
      </c>
      <c r="AT121" s="38">
        <v>339.78327290479137</v>
      </c>
      <c r="AU121" s="38">
        <v>141.09005480209194</v>
      </c>
      <c r="AV121" s="38">
        <v>0</v>
      </c>
      <c r="AW121" s="38">
        <v>0</v>
      </c>
      <c r="AX121" s="38">
        <v>480.87332770688329</v>
      </c>
      <c r="AY121" s="38">
        <v>196.48708663187554</v>
      </c>
      <c r="AZ121" s="49">
        <v>2.4473533398549185</v>
      </c>
      <c r="BA121" s="38">
        <v>339.78327290479137</v>
      </c>
      <c r="BB121" s="38">
        <v>260.28393714324091</v>
      </c>
      <c r="BC121" s="38">
        <v>0</v>
      </c>
      <c r="BD121" s="38">
        <v>0</v>
      </c>
      <c r="BE121" s="38">
        <v>600.06721004803217</v>
      </c>
      <c r="BF121" s="38">
        <v>281.25583431914788</v>
      </c>
      <c r="BG121" s="38">
        <v>2.3921665321151466</v>
      </c>
      <c r="BH121" s="49">
        <v>2.1335280439627118</v>
      </c>
      <c r="BI121" s="38">
        <v>9.6691758254357971</v>
      </c>
      <c r="BJ121" s="38">
        <v>22.412365876634244</v>
      </c>
      <c r="BK121" s="38">
        <v>0</v>
      </c>
      <c r="BL121" s="38">
        <v>11.843925428587511</v>
      </c>
      <c r="BM121" s="38">
        <v>43.925467130657552</v>
      </c>
      <c r="BN121" s="38">
        <v>339.78327290479137</v>
      </c>
      <c r="BO121" s="38">
        <v>0</v>
      </c>
      <c r="BP121" s="38">
        <v>260.28393714324091</v>
      </c>
      <c r="BQ121" s="38">
        <v>0</v>
      </c>
      <c r="BR121" s="38">
        <v>0</v>
      </c>
      <c r="BS121" s="38">
        <v>0</v>
      </c>
      <c r="BT121" s="38">
        <v>0</v>
      </c>
      <c r="BU121" s="38">
        <v>0</v>
      </c>
      <c r="BV121" s="38">
        <v>0</v>
      </c>
      <c r="BW121" s="38">
        <v>0</v>
      </c>
      <c r="BX121" s="38">
        <v>296.2322851055261</v>
      </c>
      <c r="BY121" s="38">
        <v>88.858120474771908</v>
      </c>
      <c r="BZ121" s="38">
        <v>0</v>
      </c>
      <c r="CA121" s="38">
        <v>0</v>
      </c>
      <c r="CB121" s="38">
        <v>600.06721004803228</v>
      </c>
      <c r="CC121" s="38">
        <v>385.09040558029801</v>
      </c>
      <c r="CD121" s="49">
        <v>1.5582502221622032</v>
      </c>
      <c r="CE121" s="38">
        <v>14.236091960702645</v>
      </c>
      <c r="CF121" s="38">
        <v>6.1283392645070141</v>
      </c>
      <c r="CG121" s="38">
        <v>0</v>
      </c>
      <c r="CH121" s="38">
        <v>6.1283392645070141</v>
      </c>
      <c r="CI121" s="38">
        <v>0.30641500855780368</v>
      </c>
      <c r="CJ121" s="38">
        <v>0</v>
      </c>
      <c r="CK121" s="38">
        <v>0.30641500855780368</v>
      </c>
      <c r="CL121" s="38"/>
      <c r="CM121" s="38">
        <v>0</v>
      </c>
      <c r="CN121" s="38"/>
      <c r="CO121" s="38">
        <v>0</v>
      </c>
      <c r="CP121" s="38">
        <v>0</v>
      </c>
      <c r="CQ121" s="38">
        <v>0</v>
      </c>
      <c r="CR121" s="38">
        <v>0</v>
      </c>
      <c r="CS121" s="38">
        <v>0</v>
      </c>
      <c r="CT121" s="38">
        <v>0</v>
      </c>
      <c r="CU121" s="38">
        <v>0</v>
      </c>
      <c r="CV121" s="38">
        <v>9999</v>
      </c>
      <c r="CW121" s="49">
        <v>9999</v>
      </c>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row>
    <row r="122" spans="1:131">
      <c r="A122" s="27" t="s">
        <v>224</v>
      </c>
      <c r="B122" s="27"/>
      <c r="C122" s="38">
        <v>45</v>
      </c>
      <c r="D122" s="38">
        <v>3597.6461680668308</v>
      </c>
      <c r="E122" s="38">
        <v>0</v>
      </c>
      <c r="F122" s="38">
        <v>2730.3075374938753</v>
      </c>
      <c r="G122" s="38">
        <v>0</v>
      </c>
      <c r="H122" s="38">
        <v>0</v>
      </c>
      <c r="I122" s="38"/>
      <c r="J122" s="38"/>
      <c r="K122" s="38"/>
      <c r="L122" s="38">
        <v>3879.632460283558</v>
      </c>
      <c r="M122" s="38">
        <v>2.0287329941976973</v>
      </c>
      <c r="N122" s="38">
        <v>2.0140905092178611</v>
      </c>
      <c r="O122" s="38">
        <v>0</v>
      </c>
      <c r="P122" s="38">
        <v>0</v>
      </c>
      <c r="Q122" s="38">
        <v>0</v>
      </c>
      <c r="R122" s="38">
        <v>357.11255443351382</v>
      </c>
      <c r="S122" s="38">
        <v>825.23279678293693</v>
      </c>
      <c r="T122" s="38">
        <v>0</v>
      </c>
      <c r="U122" s="38">
        <v>638.09657699715342</v>
      </c>
      <c r="V122" s="38">
        <v>163.81845224963251</v>
      </c>
      <c r="W122" s="38">
        <v>382.24305524914251</v>
      </c>
      <c r="X122" s="38">
        <v>0</v>
      </c>
      <c r="Y122" s="38">
        <v>0</v>
      </c>
      <c r="Z122" s="38">
        <v>0</v>
      </c>
      <c r="AA122" s="38">
        <v>0</v>
      </c>
      <c r="AB122" s="38">
        <v>0</v>
      </c>
      <c r="AC122" s="38">
        <v>0</v>
      </c>
      <c r="AD122" s="38">
        <v>0</v>
      </c>
      <c r="AE122" s="38">
        <v>0</v>
      </c>
      <c r="AF122" s="38">
        <v>0</v>
      </c>
      <c r="AG122" s="38">
        <v>0</v>
      </c>
      <c r="AH122" s="38">
        <v>520.93100668314628</v>
      </c>
      <c r="AI122" s="38">
        <v>1207.4758520320795</v>
      </c>
      <c r="AJ122" s="38">
        <v>0</v>
      </c>
      <c r="AK122" s="38">
        <v>638.09657699715342</v>
      </c>
      <c r="AL122" s="38">
        <v>2366.5034357123791</v>
      </c>
      <c r="AM122" s="38">
        <v>2043.5071215439975</v>
      </c>
      <c r="AN122" s="38">
        <v>716.8497299067036</v>
      </c>
      <c r="AO122" s="38">
        <v>0</v>
      </c>
      <c r="AP122" s="38">
        <v>0</v>
      </c>
      <c r="AQ122" s="38">
        <v>2760.356851450701</v>
      </c>
      <c r="AR122" s="38">
        <v>520.93100668314628</v>
      </c>
      <c r="AS122" s="49">
        <v>5.2988914386692949</v>
      </c>
      <c r="AT122" s="38">
        <v>2043.5071215439975</v>
      </c>
      <c r="AU122" s="38">
        <v>848.53656656575936</v>
      </c>
      <c r="AV122" s="38">
        <v>0</v>
      </c>
      <c r="AW122" s="38">
        <v>0</v>
      </c>
      <c r="AX122" s="38">
        <v>2892.0436881097567</v>
      </c>
      <c r="AY122" s="38">
        <v>1207.4758520320795</v>
      </c>
      <c r="AZ122" s="49">
        <v>2.39511513480182</v>
      </c>
      <c r="BA122" s="38">
        <v>2043.5071215439975</v>
      </c>
      <c r="BB122" s="38">
        <v>1565.3862964724631</v>
      </c>
      <c r="BC122" s="38">
        <v>0</v>
      </c>
      <c r="BD122" s="38">
        <v>0</v>
      </c>
      <c r="BE122" s="38">
        <v>3608.8934180164601</v>
      </c>
      <c r="BF122" s="38">
        <v>1728.4068587152258</v>
      </c>
      <c r="BG122" s="38">
        <v>3.0918749217040449</v>
      </c>
      <c r="BH122" s="49">
        <v>2.0879883690689898</v>
      </c>
      <c r="BI122" s="38">
        <v>9.8800635535972869</v>
      </c>
      <c r="BJ122" s="38">
        <v>22.901186538061662</v>
      </c>
      <c r="BK122" s="38">
        <v>0</v>
      </c>
      <c r="BL122" s="38">
        <v>12.102245121107567</v>
      </c>
      <c r="BM122" s="38">
        <v>44.883495212766505</v>
      </c>
      <c r="BN122" s="38">
        <v>2043.5071215439975</v>
      </c>
      <c r="BO122" s="38">
        <v>0</v>
      </c>
      <c r="BP122" s="38">
        <v>1565.3862964724631</v>
      </c>
      <c r="BQ122" s="38">
        <v>0</v>
      </c>
      <c r="BR122" s="38">
        <v>0</v>
      </c>
      <c r="BS122" s="38">
        <v>0</v>
      </c>
      <c r="BT122" s="38">
        <v>0</v>
      </c>
      <c r="BU122" s="38">
        <v>0</v>
      </c>
      <c r="BV122" s="38">
        <v>0</v>
      </c>
      <c r="BW122" s="38">
        <v>0</v>
      </c>
      <c r="BX122" s="38">
        <v>1820.4419282136041</v>
      </c>
      <c r="BY122" s="38">
        <v>546.06150749877509</v>
      </c>
      <c r="BZ122" s="38">
        <v>0</v>
      </c>
      <c r="CA122" s="38">
        <v>0</v>
      </c>
      <c r="CB122" s="38">
        <v>3608.8934180164606</v>
      </c>
      <c r="CC122" s="38">
        <v>2366.5034357123791</v>
      </c>
      <c r="CD122" s="49">
        <v>1.5249897226242943</v>
      </c>
      <c r="CE122" s="38">
        <v>15.194120042811599</v>
      </c>
      <c r="CF122" s="38">
        <v>36.856743485918614</v>
      </c>
      <c r="CG122" s="38">
        <v>0</v>
      </c>
      <c r="CH122" s="38">
        <v>36.856743485918614</v>
      </c>
      <c r="CI122" s="38">
        <v>1.8428254186346897</v>
      </c>
      <c r="CJ122" s="38">
        <v>0</v>
      </c>
      <c r="CK122" s="38">
        <v>1.8428254186346897</v>
      </c>
      <c r="CL122" s="38"/>
      <c r="CM122" s="38">
        <v>0</v>
      </c>
      <c r="CN122" s="38"/>
      <c r="CO122" s="38">
        <v>0</v>
      </c>
      <c r="CP122" s="38">
        <v>0</v>
      </c>
      <c r="CQ122" s="38">
        <v>0</v>
      </c>
      <c r="CR122" s="38">
        <v>0</v>
      </c>
      <c r="CS122" s="38">
        <v>0</v>
      </c>
      <c r="CT122" s="38">
        <v>0</v>
      </c>
      <c r="CU122" s="38">
        <v>0</v>
      </c>
      <c r="CV122" s="38">
        <v>9999</v>
      </c>
      <c r="CW122" s="49">
        <v>9999</v>
      </c>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row>
    <row r="123" spans="1:131">
      <c r="A123" s="27" t="s">
        <v>237</v>
      </c>
      <c r="B123" s="27"/>
      <c r="C123" s="38">
        <v>45</v>
      </c>
      <c r="D123" s="38">
        <v>4362.4664073114282</v>
      </c>
      <c r="E123" s="38">
        <v>0</v>
      </c>
      <c r="F123" s="38">
        <v>3567.2363679851774</v>
      </c>
      <c r="G123" s="38">
        <v>0</v>
      </c>
      <c r="H123" s="38">
        <v>0</v>
      </c>
      <c r="I123" s="38"/>
      <c r="J123" s="38"/>
      <c r="K123" s="38"/>
      <c r="L123" s="38">
        <v>4704.3999020605224</v>
      </c>
      <c r="M123" s="38">
        <v>2.4600194469228249</v>
      </c>
      <c r="N123" s="38">
        <v>2.4422641297348586</v>
      </c>
      <c r="O123" s="38">
        <v>0</v>
      </c>
      <c r="P123" s="38">
        <v>0</v>
      </c>
      <c r="Q123" s="38">
        <v>0</v>
      </c>
      <c r="R123" s="38">
        <v>466.57926777311775</v>
      </c>
      <c r="S123" s="38">
        <v>1078.1937215176504</v>
      </c>
      <c r="T123" s="38">
        <v>0</v>
      </c>
      <c r="U123" s="38">
        <v>833.69411119175277</v>
      </c>
      <c r="V123" s="38">
        <v>214.03418207911065</v>
      </c>
      <c r="W123" s="38">
        <v>499.41309151792484</v>
      </c>
      <c r="X123" s="38">
        <v>0</v>
      </c>
      <c r="Y123" s="38">
        <v>0</v>
      </c>
      <c r="Z123" s="38">
        <v>0</v>
      </c>
      <c r="AA123" s="38">
        <v>0</v>
      </c>
      <c r="AB123" s="38">
        <v>0</v>
      </c>
      <c r="AC123" s="38">
        <v>0</v>
      </c>
      <c r="AD123" s="38">
        <v>0</v>
      </c>
      <c r="AE123" s="38">
        <v>0</v>
      </c>
      <c r="AF123" s="38">
        <v>0</v>
      </c>
      <c r="AG123" s="38">
        <v>0</v>
      </c>
      <c r="AH123" s="38">
        <v>680.61344985222843</v>
      </c>
      <c r="AI123" s="38">
        <v>1577.6068130355752</v>
      </c>
      <c r="AJ123" s="38">
        <v>0</v>
      </c>
      <c r="AK123" s="38">
        <v>833.69411119175277</v>
      </c>
      <c r="AL123" s="38">
        <v>3091.9143740795562</v>
      </c>
      <c r="AM123" s="38">
        <v>2477.9343922050111</v>
      </c>
      <c r="AN123" s="38">
        <v>869.24414456485067</v>
      </c>
      <c r="AO123" s="38">
        <v>0</v>
      </c>
      <c r="AP123" s="38">
        <v>0</v>
      </c>
      <c r="AQ123" s="38">
        <v>3347.1785367698617</v>
      </c>
      <c r="AR123" s="38">
        <v>680.61344985222843</v>
      </c>
      <c r="AS123" s="49">
        <v>4.9178847956892202</v>
      </c>
      <c r="AT123" s="38">
        <v>2477.9343922050111</v>
      </c>
      <c r="AU123" s="38">
        <v>1028.926162854862</v>
      </c>
      <c r="AV123" s="38">
        <v>0</v>
      </c>
      <c r="AW123" s="38">
        <v>0</v>
      </c>
      <c r="AX123" s="38">
        <v>3506.8605550598731</v>
      </c>
      <c r="AY123" s="38">
        <v>1577.6068130355752</v>
      </c>
      <c r="AZ123" s="49">
        <v>2.222898967019606</v>
      </c>
      <c r="BA123" s="38">
        <v>2477.9343922050111</v>
      </c>
      <c r="BB123" s="38">
        <v>1898.1703074197126</v>
      </c>
      <c r="BC123" s="38">
        <v>0</v>
      </c>
      <c r="BD123" s="38">
        <v>0</v>
      </c>
      <c r="BE123" s="38">
        <v>4376.1046996247242</v>
      </c>
      <c r="BF123" s="38">
        <v>2258.220262887804</v>
      </c>
      <c r="BG123" s="38">
        <v>5.6315590682422743</v>
      </c>
      <c r="BH123" s="49">
        <v>1.9378555633136412</v>
      </c>
      <c r="BI123" s="38">
        <v>10.645508455902762</v>
      </c>
      <c r="BJ123" s="38">
        <v>24.675425782294415</v>
      </c>
      <c r="BK123" s="38">
        <v>0</v>
      </c>
      <c r="BL123" s="38">
        <v>13.039850611613774</v>
      </c>
      <c r="BM123" s="38">
        <v>48.360784849810948</v>
      </c>
      <c r="BN123" s="38">
        <v>2477.9343922050111</v>
      </c>
      <c r="BO123" s="38">
        <v>0</v>
      </c>
      <c r="BP123" s="38">
        <v>1898.1703074197126</v>
      </c>
      <c r="BQ123" s="38">
        <v>0</v>
      </c>
      <c r="BR123" s="38">
        <v>0</v>
      </c>
      <c r="BS123" s="38">
        <v>0</v>
      </c>
      <c r="BT123" s="38">
        <v>0</v>
      </c>
      <c r="BU123" s="38">
        <v>0</v>
      </c>
      <c r="BV123" s="38">
        <v>0</v>
      </c>
      <c r="BW123" s="38">
        <v>0</v>
      </c>
      <c r="BX123" s="38">
        <v>2378.4671004825209</v>
      </c>
      <c r="BY123" s="38">
        <v>713.44727359703552</v>
      </c>
      <c r="BZ123" s="38">
        <v>0</v>
      </c>
      <c r="CA123" s="38">
        <v>0</v>
      </c>
      <c r="CB123" s="38">
        <v>4376.1046996247242</v>
      </c>
      <c r="CC123" s="38">
        <v>3091.9143740795562</v>
      </c>
      <c r="CD123" s="49">
        <v>1.4153382565542305</v>
      </c>
      <c r="CE123" s="38">
        <v>18.671409679856037</v>
      </c>
      <c r="CF123" s="38">
        <v>44.692084165300656</v>
      </c>
      <c r="CG123" s="38">
        <v>0</v>
      </c>
      <c r="CH123" s="38">
        <v>44.692084165300656</v>
      </c>
      <c r="CI123" s="38">
        <v>2.2345899534787477</v>
      </c>
      <c r="CJ123" s="38">
        <v>0</v>
      </c>
      <c r="CK123" s="38">
        <v>2.2345899534787477</v>
      </c>
      <c r="CL123" s="38"/>
      <c r="CM123" s="38">
        <v>0</v>
      </c>
      <c r="CN123" s="38"/>
      <c r="CO123" s="38">
        <v>0</v>
      </c>
      <c r="CP123" s="38">
        <v>0</v>
      </c>
      <c r="CQ123" s="38">
        <v>0</v>
      </c>
      <c r="CR123" s="38">
        <v>0</v>
      </c>
      <c r="CS123" s="38">
        <v>0</v>
      </c>
      <c r="CT123" s="38">
        <v>0</v>
      </c>
      <c r="CU123" s="38">
        <v>0</v>
      </c>
      <c r="CV123" s="38">
        <v>9999</v>
      </c>
      <c r="CW123" s="49">
        <v>9999</v>
      </c>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row>
    <row r="124" spans="1:131">
      <c r="A124" s="27" t="s">
        <v>226</v>
      </c>
      <c r="B124" s="27"/>
      <c r="C124" s="38">
        <v>45</v>
      </c>
      <c r="D124" s="38">
        <v>3912.7654882130341</v>
      </c>
      <c r="E124" s="38">
        <v>0</v>
      </c>
      <c r="F124" s="38">
        <v>3567.2363679851778</v>
      </c>
      <c r="G124" s="38">
        <v>0</v>
      </c>
      <c r="H124" s="38">
        <v>0</v>
      </c>
      <c r="I124" s="38"/>
      <c r="J124" s="38"/>
      <c r="K124" s="38"/>
      <c r="L124" s="38">
        <v>4219.451076731496</v>
      </c>
      <c r="M124" s="38">
        <v>2.2064305586675435</v>
      </c>
      <c r="N124" s="38">
        <v>2.1905055323546954</v>
      </c>
      <c r="O124" s="38">
        <v>0</v>
      </c>
      <c r="P124" s="38">
        <v>0</v>
      </c>
      <c r="Q124" s="38">
        <v>0</v>
      </c>
      <c r="R124" s="38">
        <v>466.57926777311775</v>
      </c>
      <c r="S124" s="38">
        <v>1078.1937215176506</v>
      </c>
      <c r="T124" s="38">
        <v>0</v>
      </c>
      <c r="U124" s="38">
        <v>833.69411119175277</v>
      </c>
      <c r="V124" s="38">
        <v>214.03418207911068</v>
      </c>
      <c r="W124" s="38">
        <v>499.4130915179249</v>
      </c>
      <c r="X124" s="38">
        <v>0</v>
      </c>
      <c r="Y124" s="38">
        <v>0</v>
      </c>
      <c r="Z124" s="38">
        <v>0</v>
      </c>
      <c r="AA124" s="38">
        <v>0</v>
      </c>
      <c r="AB124" s="38">
        <v>0</v>
      </c>
      <c r="AC124" s="38">
        <v>0</v>
      </c>
      <c r="AD124" s="38">
        <v>0</v>
      </c>
      <c r="AE124" s="38">
        <v>0</v>
      </c>
      <c r="AF124" s="38">
        <v>0</v>
      </c>
      <c r="AG124" s="38">
        <v>0</v>
      </c>
      <c r="AH124" s="38">
        <v>680.61344985222843</v>
      </c>
      <c r="AI124" s="38">
        <v>1577.6068130355754</v>
      </c>
      <c r="AJ124" s="38">
        <v>0</v>
      </c>
      <c r="AK124" s="38">
        <v>833.69411119175277</v>
      </c>
      <c r="AL124" s="38">
        <v>3091.9143740795566</v>
      </c>
      <c r="AM124" s="38">
        <v>2222.4987579563422</v>
      </c>
      <c r="AN124" s="38">
        <v>779.63889509483329</v>
      </c>
      <c r="AO124" s="38">
        <v>0</v>
      </c>
      <c r="AP124" s="38">
        <v>0</v>
      </c>
      <c r="AQ124" s="38">
        <v>3002.1376530511752</v>
      </c>
      <c r="AR124" s="38">
        <v>680.61344985222843</v>
      </c>
      <c r="AS124" s="49">
        <v>4.4109290724463133</v>
      </c>
      <c r="AT124" s="38">
        <v>2222.4987579563422</v>
      </c>
      <c r="AU124" s="38">
        <v>922.86023639988196</v>
      </c>
      <c r="AV124" s="38">
        <v>0</v>
      </c>
      <c r="AW124" s="38">
        <v>0</v>
      </c>
      <c r="AX124" s="38">
        <v>3145.3589943562242</v>
      </c>
      <c r="AY124" s="38">
        <v>1577.6068130355754</v>
      </c>
      <c r="AZ124" s="49">
        <v>1.993753429794104</v>
      </c>
      <c r="BA124" s="38">
        <v>2222.4987579563422</v>
      </c>
      <c r="BB124" s="38">
        <v>1702.4991314947151</v>
      </c>
      <c r="BC124" s="38">
        <v>0</v>
      </c>
      <c r="BD124" s="38">
        <v>0</v>
      </c>
      <c r="BE124" s="38">
        <v>3924.9978894510577</v>
      </c>
      <c r="BF124" s="38">
        <v>2258.220262887804</v>
      </c>
      <c r="BG124" s="38">
        <v>9.6910552578760143</v>
      </c>
      <c r="BH124" s="49">
        <v>1.7380934685404801</v>
      </c>
      <c r="BI124" s="38">
        <v>11.869015193352435</v>
      </c>
      <c r="BJ124" s="38">
        <v>27.511415234478495</v>
      </c>
      <c r="BK124" s="38">
        <v>0</v>
      </c>
      <c r="BL124" s="38">
        <v>14.538543242852095</v>
      </c>
      <c r="BM124" s="38">
        <v>53.918973670683023</v>
      </c>
      <c r="BN124" s="38">
        <v>2222.4987579563422</v>
      </c>
      <c r="BO124" s="38">
        <v>0</v>
      </c>
      <c r="BP124" s="38">
        <v>1702.4991314947151</v>
      </c>
      <c r="BQ124" s="38">
        <v>0</v>
      </c>
      <c r="BR124" s="38">
        <v>0</v>
      </c>
      <c r="BS124" s="38">
        <v>0</v>
      </c>
      <c r="BT124" s="38">
        <v>0</v>
      </c>
      <c r="BU124" s="38">
        <v>0</v>
      </c>
      <c r="BV124" s="38">
        <v>0</v>
      </c>
      <c r="BW124" s="38">
        <v>0</v>
      </c>
      <c r="BX124" s="38">
        <v>2378.4671004825209</v>
      </c>
      <c r="BY124" s="38">
        <v>713.44727359703563</v>
      </c>
      <c r="BZ124" s="38">
        <v>0</v>
      </c>
      <c r="CA124" s="38">
        <v>0</v>
      </c>
      <c r="CB124" s="38">
        <v>3924.9978894510573</v>
      </c>
      <c r="CC124" s="38">
        <v>3091.9143740795566</v>
      </c>
      <c r="CD124" s="49">
        <v>1.2694393875702021</v>
      </c>
      <c r="CE124" s="38">
        <v>24.229598500728116</v>
      </c>
      <c r="CF124" s="38">
        <v>40.085040935838961</v>
      </c>
      <c r="CG124" s="38">
        <v>0</v>
      </c>
      <c r="CH124" s="38">
        <v>40.085040935838961</v>
      </c>
      <c r="CI124" s="38">
        <v>2.0042392614474607</v>
      </c>
      <c r="CJ124" s="38">
        <v>0</v>
      </c>
      <c r="CK124" s="38">
        <v>2.0042392614474607</v>
      </c>
      <c r="CL124" s="38"/>
      <c r="CM124" s="38">
        <v>0</v>
      </c>
      <c r="CN124" s="38"/>
      <c r="CO124" s="38">
        <v>0</v>
      </c>
      <c r="CP124" s="38">
        <v>0</v>
      </c>
      <c r="CQ124" s="38">
        <v>0</v>
      </c>
      <c r="CR124" s="38">
        <v>0</v>
      </c>
      <c r="CS124" s="38">
        <v>0</v>
      </c>
      <c r="CT124" s="38">
        <v>0</v>
      </c>
      <c r="CU124" s="38">
        <v>0</v>
      </c>
      <c r="CV124" s="38">
        <v>9999</v>
      </c>
      <c r="CW124" s="49">
        <v>9999</v>
      </c>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row>
    <row r="125" spans="1:131">
      <c r="A125" s="27" t="s">
        <v>217</v>
      </c>
      <c r="B125" s="27"/>
      <c r="C125" s="38">
        <v>45</v>
      </c>
      <c r="D125" s="38">
        <v>242.55500610578198</v>
      </c>
      <c r="E125" s="38">
        <v>0</v>
      </c>
      <c r="F125" s="38">
        <v>262.65009234084522</v>
      </c>
      <c r="G125" s="38">
        <v>0</v>
      </c>
      <c r="H125" s="38">
        <v>0</v>
      </c>
      <c r="I125" s="38"/>
      <c r="J125" s="38"/>
      <c r="K125" s="38"/>
      <c r="L125" s="38">
        <v>261.56665528837181</v>
      </c>
      <c r="M125" s="38">
        <v>0.13677813792873331</v>
      </c>
      <c r="N125" s="38">
        <v>0.13579093466644129</v>
      </c>
      <c r="O125" s="38">
        <v>0</v>
      </c>
      <c r="P125" s="38">
        <v>0</v>
      </c>
      <c r="Q125" s="38">
        <v>0</v>
      </c>
      <c r="R125" s="38">
        <v>34.353509306183021</v>
      </c>
      <c r="S125" s="38">
        <v>79.385734867319329</v>
      </c>
      <c r="T125" s="38">
        <v>0</v>
      </c>
      <c r="U125" s="38">
        <v>61.383607000006521</v>
      </c>
      <c r="V125" s="38">
        <v>15.759005540450714</v>
      </c>
      <c r="W125" s="38">
        <v>36.771012927718331</v>
      </c>
      <c r="X125" s="38">
        <v>0</v>
      </c>
      <c r="Y125" s="38">
        <v>0</v>
      </c>
      <c r="Z125" s="38">
        <v>0</v>
      </c>
      <c r="AA125" s="38">
        <v>0</v>
      </c>
      <c r="AB125" s="38">
        <v>0</v>
      </c>
      <c r="AC125" s="38">
        <v>0</v>
      </c>
      <c r="AD125" s="38">
        <v>0</v>
      </c>
      <c r="AE125" s="38">
        <v>0</v>
      </c>
      <c r="AF125" s="38">
        <v>0</v>
      </c>
      <c r="AG125" s="38">
        <v>0</v>
      </c>
      <c r="AH125" s="38">
        <v>50.112514846633736</v>
      </c>
      <c r="AI125" s="38">
        <v>116.15674779503766</v>
      </c>
      <c r="AJ125" s="38">
        <v>0</v>
      </c>
      <c r="AK125" s="38">
        <v>61.383607000006521</v>
      </c>
      <c r="AL125" s="38">
        <v>227.65286964167791</v>
      </c>
      <c r="AM125" s="38">
        <v>137.77421658163078</v>
      </c>
      <c r="AN125" s="38">
        <v>48.330347814020683</v>
      </c>
      <c r="AO125" s="38">
        <v>0</v>
      </c>
      <c r="AP125" s="38">
        <v>0</v>
      </c>
      <c r="AQ125" s="38">
        <v>186.10456439565147</v>
      </c>
      <c r="AR125" s="38">
        <v>50.112514846633736</v>
      </c>
      <c r="AS125" s="49">
        <v>3.7137342830471192</v>
      </c>
      <c r="AT125" s="38">
        <v>137.77421658163078</v>
      </c>
      <c r="AU125" s="38">
        <v>57.208736620958803</v>
      </c>
      <c r="AV125" s="38">
        <v>0</v>
      </c>
      <c r="AW125" s="38">
        <v>0</v>
      </c>
      <c r="AX125" s="38">
        <v>194.98295320258958</v>
      </c>
      <c r="AY125" s="38">
        <v>116.15674779503766</v>
      </c>
      <c r="AZ125" s="49">
        <v>1.6786192528964681</v>
      </c>
      <c r="BA125" s="38">
        <v>137.77421658163078</v>
      </c>
      <c r="BB125" s="38">
        <v>105.53908443497949</v>
      </c>
      <c r="BC125" s="38">
        <v>0</v>
      </c>
      <c r="BD125" s="38">
        <v>0</v>
      </c>
      <c r="BE125" s="38">
        <v>243.31330101661027</v>
      </c>
      <c r="BF125" s="38">
        <v>166.26926264167139</v>
      </c>
      <c r="BG125" s="38">
        <v>17.084107319762779</v>
      </c>
      <c r="BH125" s="49">
        <v>1.4633690987189694</v>
      </c>
      <c r="BI125" s="38">
        <v>14.097234801276427</v>
      </c>
      <c r="BJ125" s="38">
        <v>32.676247688441258</v>
      </c>
      <c r="BK125" s="38">
        <v>0</v>
      </c>
      <c r="BL125" s="38">
        <v>17.267924459123321</v>
      </c>
      <c r="BM125" s="38">
        <v>64.041406948841001</v>
      </c>
      <c r="BN125" s="38">
        <v>137.77421658163078</v>
      </c>
      <c r="BO125" s="38">
        <v>0</v>
      </c>
      <c r="BP125" s="38">
        <v>105.53908443497949</v>
      </c>
      <c r="BQ125" s="38">
        <v>0</v>
      </c>
      <c r="BR125" s="38">
        <v>0</v>
      </c>
      <c r="BS125" s="38">
        <v>0</v>
      </c>
      <c r="BT125" s="38">
        <v>0</v>
      </c>
      <c r="BU125" s="38">
        <v>0</v>
      </c>
      <c r="BV125" s="38">
        <v>0</v>
      </c>
      <c r="BW125" s="38">
        <v>0</v>
      </c>
      <c r="BX125" s="38">
        <v>175.12285117350888</v>
      </c>
      <c r="BY125" s="38">
        <v>52.530018468169047</v>
      </c>
      <c r="BZ125" s="38">
        <v>0</v>
      </c>
      <c r="CA125" s="38">
        <v>0</v>
      </c>
      <c r="CB125" s="38">
        <v>243.31330101661027</v>
      </c>
      <c r="CC125" s="38">
        <v>227.65286964167791</v>
      </c>
      <c r="CD125" s="49">
        <v>1.0687908366785872</v>
      </c>
      <c r="CE125" s="38">
        <v>34.352031778886101</v>
      </c>
      <c r="CF125" s="38">
        <v>2.484899076684342</v>
      </c>
      <c r="CG125" s="38">
        <v>0</v>
      </c>
      <c r="CH125" s="38">
        <v>2.484899076684342</v>
      </c>
      <c r="CI125" s="38">
        <v>0.1242441612619766</v>
      </c>
      <c r="CJ125" s="38">
        <v>0</v>
      </c>
      <c r="CK125" s="38">
        <v>0.1242441612619766</v>
      </c>
      <c r="CL125" s="38"/>
      <c r="CM125" s="38">
        <v>0</v>
      </c>
      <c r="CN125" s="38"/>
      <c r="CO125" s="38">
        <v>0</v>
      </c>
      <c r="CP125" s="38">
        <v>0</v>
      </c>
      <c r="CQ125" s="38">
        <v>0</v>
      </c>
      <c r="CR125" s="38">
        <v>0</v>
      </c>
      <c r="CS125" s="38">
        <v>0</v>
      </c>
      <c r="CT125" s="38">
        <v>0</v>
      </c>
      <c r="CU125" s="38">
        <v>0</v>
      </c>
      <c r="CV125" s="38">
        <v>9999</v>
      </c>
      <c r="CW125" s="49">
        <v>9999</v>
      </c>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row>
    <row r="126" spans="1:131">
      <c r="A126" s="27" t="s">
        <v>1207</v>
      </c>
      <c r="B126" s="27"/>
      <c r="C126" s="38">
        <v>45</v>
      </c>
      <c r="D126" s="38">
        <v>178.09349239717494</v>
      </c>
      <c r="E126" s="38">
        <v>0</v>
      </c>
      <c r="F126" s="38">
        <v>196.91489394951594</v>
      </c>
      <c r="G126" s="38">
        <v>0</v>
      </c>
      <c r="H126" s="38">
        <v>0</v>
      </c>
      <c r="I126" s="38"/>
      <c r="J126" s="38"/>
      <c r="K126" s="38"/>
      <c r="L126" s="38">
        <v>192.05259822441437</v>
      </c>
      <c r="M126" s="38">
        <v>0.10042792626051654</v>
      </c>
      <c r="N126" s="38">
        <v>9.9703082525026715E-2</v>
      </c>
      <c r="O126" s="38">
        <v>0</v>
      </c>
      <c r="P126" s="38">
        <v>0</v>
      </c>
      <c r="Q126" s="38">
        <v>0</v>
      </c>
      <c r="R126" s="38">
        <v>25.75562636026816</v>
      </c>
      <c r="S126" s="38">
        <v>59.517335109924034</v>
      </c>
      <c r="T126" s="38">
        <v>0</v>
      </c>
      <c r="U126" s="38">
        <v>46.020720399972689</v>
      </c>
      <c r="V126" s="38">
        <v>11.814893636970957</v>
      </c>
      <c r="W126" s="38">
        <v>27.56808515293223</v>
      </c>
      <c r="X126" s="38">
        <v>0</v>
      </c>
      <c r="Y126" s="38">
        <v>0</v>
      </c>
      <c r="Z126" s="38">
        <v>0</v>
      </c>
      <c r="AA126" s="38">
        <v>0</v>
      </c>
      <c r="AB126" s="38">
        <v>0</v>
      </c>
      <c r="AC126" s="38">
        <v>0</v>
      </c>
      <c r="AD126" s="38">
        <v>0</v>
      </c>
      <c r="AE126" s="38">
        <v>0</v>
      </c>
      <c r="AF126" s="38">
        <v>0</v>
      </c>
      <c r="AG126" s="38">
        <v>0</v>
      </c>
      <c r="AH126" s="38">
        <v>37.570519997239117</v>
      </c>
      <c r="AI126" s="38">
        <v>87.08542026285626</v>
      </c>
      <c r="AJ126" s="38">
        <v>0</v>
      </c>
      <c r="AK126" s="38">
        <v>46.020720399972689</v>
      </c>
      <c r="AL126" s="38">
        <v>170.67666066006808</v>
      </c>
      <c r="AM126" s="38">
        <v>101.15928665931794</v>
      </c>
      <c r="AN126" s="38">
        <v>35.486055592748023</v>
      </c>
      <c r="AO126" s="38">
        <v>0</v>
      </c>
      <c r="AP126" s="38">
        <v>0</v>
      </c>
      <c r="AQ126" s="38">
        <v>136.64534225206597</v>
      </c>
      <c r="AR126" s="38">
        <v>37.570519997239117</v>
      </c>
      <c r="AS126" s="49">
        <v>3.6370362257990414</v>
      </c>
      <c r="AT126" s="38">
        <v>101.15928665931794</v>
      </c>
      <c r="AU126" s="38">
        <v>42.004920302545095</v>
      </c>
      <c r="AV126" s="38">
        <v>0</v>
      </c>
      <c r="AW126" s="38">
        <v>0</v>
      </c>
      <c r="AX126" s="38">
        <v>143.16420696186304</v>
      </c>
      <c r="AY126" s="38">
        <v>87.08542026285626</v>
      </c>
      <c r="AZ126" s="49">
        <v>1.6439514964702484</v>
      </c>
      <c r="BA126" s="38">
        <v>101.15928665931794</v>
      </c>
      <c r="BB126" s="38">
        <v>77.490975895293118</v>
      </c>
      <c r="BC126" s="38">
        <v>0</v>
      </c>
      <c r="BD126" s="38">
        <v>0</v>
      </c>
      <c r="BE126" s="38">
        <v>178.65026255461106</v>
      </c>
      <c r="BF126" s="38">
        <v>124.65594026009539</v>
      </c>
      <c r="BG126" s="38">
        <v>18.070469570499039</v>
      </c>
      <c r="BH126" s="49">
        <v>1.4331468053737044</v>
      </c>
      <c r="BI126" s="38">
        <v>14.394518208617358</v>
      </c>
      <c r="BJ126" s="38">
        <v>33.365326531836587</v>
      </c>
      <c r="BK126" s="38">
        <v>0</v>
      </c>
      <c r="BL126" s="38">
        <v>17.632071576858007</v>
      </c>
      <c r="BM126" s="38">
        <v>65.391916317311953</v>
      </c>
      <c r="BN126" s="38">
        <v>101.15928665931794</v>
      </c>
      <c r="BO126" s="38">
        <v>0</v>
      </c>
      <c r="BP126" s="38">
        <v>77.490975895293118</v>
      </c>
      <c r="BQ126" s="38">
        <v>0</v>
      </c>
      <c r="BR126" s="38">
        <v>0</v>
      </c>
      <c r="BS126" s="38">
        <v>0</v>
      </c>
      <c r="BT126" s="38">
        <v>0</v>
      </c>
      <c r="BU126" s="38">
        <v>0</v>
      </c>
      <c r="BV126" s="38">
        <v>0</v>
      </c>
      <c r="BW126" s="38">
        <v>0</v>
      </c>
      <c r="BX126" s="38">
        <v>131.2936818701649</v>
      </c>
      <c r="BY126" s="38">
        <v>39.382978789903191</v>
      </c>
      <c r="BZ126" s="38">
        <v>0</v>
      </c>
      <c r="CA126" s="38">
        <v>0</v>
      </c>
      <c r="CB126" s="38">
        <v>178.65026255461106</v>
      </c>
      <c r="CC126" s="38">
        <v>170.67666066006808</v>
      </c>
      <c r="CD126" s="49">
        <v>1.0467175878863941</v>
      </c>
      <c r="CE126" s="38">
        <v>35.702541147357046</v>
      </c>
      <c r="CF126" s="38">
        <v>1.8245113218905495</v>
      </c>
      <c r="CG126" s="38">
        <v>0</v>
      </c>
      <c r="CH126" s="38">
        <v>1.8245113218905495</v>
      </c>
      <c r="CI126" s="38">
        <v>9.1224984156596814E-2</v>
      </c>
      <c r="CJ126" s="38">
        <v>0</v>
      </c>
      <c r="CK126" s="38">
        <v>9.1224984156596814E-2</v>
      </c>
      <c r="CL126" s="38"/>
      <c r="CM126" s="38">
        <v>0</v>
      </c>
      <c r="CN126" s="38"/>
      <c r="CO126" s="38">
        <v>0</v>
      </c>
      <c r="CP126" s="38">
        <v>0</v>
      </c>
      <c r="CQ126" s="38">
        <v>0</v>
      </c>
      <c r="CR126" s="38">
        <v>0</v>
      </c>
      <c r="CS126" s="38">
        <v>0</v>
      </c>
      <c r="CT126" s="38">
        <v>0</v>
      </c>
      <c r="CU126" s="38">
        <v>0</v>
      </c>
      <c r="CV126" s="38">
        <v>9999</v>
      </c>
      <c r="CW126" s="49">
        <v>9999</v>
      </c>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row>
    <row r="127" spans="1:131">
      <c r="A127" s="27" t="s">
        <v>234</v>
      </c>
      <c r="B127" s="27"/>
      <c r="C127" s="38">
        <v>45</v>
      </c>
      <c r="D127" s="38">
        <v>301.65502525173406</v>
      </c>
      <c r="E127" s="38">
        <v>0</v>
      </c>
      <c r="F127" s="38">
        <v>337.57430889025602</v>
      </c>
      <c r="G127" s="38">
        <v>0</v>
      </c>
      <c r="H127" s="38">
        <v>0</v>
      </c>
      <c r="I127" s="38"/>
      <c r="J127" s="38"/>
      <c r="K127" s="38"/>
      <c r="L127" s="38">
        <v>325.2989796945879</v>
      </c>
      <c r="M127" s="38">
        <v>0.17010497253057383</v>
      </c>
      <c r="N127" s="38">
        <v>0.16887723112133066</v>
      </c>
      <c r="O127" s="38">
        <v>0</v>
      </c>
      <c r="P127" s="38">
        <v>0</v>
      </c>
      <c r="Q127" s="38">
        <v>0</v>
      </c>
      <c r="R127" s="38">
        <v>44.153276546121596</v>
      </c>
      <c r="S127" s="38">
        <v>102.03150642263422</v>
      </c>
      <c r="T127" s="38">
        <v>0</v>
      </c>
      <c r="U127" s="38">
        <v>78.894046925853047</v>
      </c>
      <c r="V127" s="38">
        <v>20.254458533415363</v>
      </c>
      <c r="W127" s="38">
        <v>47.260403244635846</v>
      </c>
      <c r="X127" s="38">
        <v>0</v>
      </c>
      <c r="Y127" s="38">
        <v>0</v>
      </c>
      <c r="Z127" s="38">
        <v>0</v>
      </c>
      <c r="AA127" s="38">
        <v>0</v>
      </c>
      <c r="AB127" s="38">
        <v>0</v>
      </c>
      <c r="AC127" s="38">
        <v>0</v>
      </c>
      <c r="AD127" s="38">
        <v>0</v>
      </c>
      <c r="AE127" s="38">
        <v>0</v>
      </c>
      <c r="AF127" s="38">
        <v>0</v>
      </c>
      <c r="AG127" s="38">
        <v>0</v>
      </c>
      <c r="AH127" s="38">
        <v>64.407735079536963</v>
      </c>
      <c r="AI127" s="38">
        <v>149.29190966727006</v>
      </c>
      <c r="AJ127" s="38">
        <v>0</v>
      </c>
      <c r="AK127" s="38">
        <v>78.894046925853047</v>
      </c>
      <c r="AL127" s="38">
        <v>292.5936916726601</v>
      </c>
      <c r="AM127" s="38">
        <v>171.34375187393431</v>
      </c>
      <c r="AN127" s="38">
        <v>60.106334329398805</v>
      </c>
      <c r="AO127" s="38">
        <v>0</v>
      </c>
      <c r="AP127" s="38">
        <v>0</v>
      </c>
      <c r="AQ127" s="38">
        <v>231.45008620333311</v>
      </c>
      <c r="AR127" s="38">
        <v>64.407735079536963</v>
      </c>
      <c r="AS127" s="49">
        <v>3.5935138212439228</v>
      </c>
      <c r="AT127" s="38">
        <v>171.34375187393431</v>
      </c>
      <c r="AU127" s="38">
        <v>71.147997178375917</v>
      </c>
      <c r="AV127" s="38">
        <v>0</v>
      </c>
      <c r="AW127" s="38">
        <v>0</v>
      </c>
      <c r="AX127" s="38">
        <v>242.49174905231024</v>
      </c>
      <c r="AY127" s="38">
        <v>149.29190966727006</v>
      </c>
      <c r="AZ127" s="49">
        <v>1.624279236515606</v>
      </c>
      <c r="BA127" s="38">
        <v>171.34375187393431</v>
      </c>
      <c r="BB127" s="38">
        <v>131.25433150777474</v>
      </c>
      <c r="BC127" s="38">
        <v>0</v>
      </c>
      <c r="BD127" s="38">
        <v>0</v>
      </c>
      <c r="BE127" s="38">
        <v>302.59808338170905</v>
      </c>
      <c r="BF127" s="38">
        <v>213.69964474680705</v>
      </c>
      <c r="BG127" s="38">
        <v>18.648907107595836</v>
      </c>
      <c r="BH127" s="49">
        <v>1.415997128774966</v>
      </c>
      <c r="BI127" s="38">
        <v>14.568855661042845</v>
      </c>
      <c r="BJ127" s="38">
        <v>33.769426616507886</v>
      </c>
      <c r="BK127" s="38">
        <v>0</v>
      </c>
      <c r="BL127" s="38">
        <v>17.845620262207756</v>
      </c>
      <c r="BM127" s="38">
        <v>66.183902539758506</v>
      </c>
      <c r="BN127" s="38">
        <v>171.34375187393431</v>
      </c>
      <c r="BO127" s="38">
        <v>0</v>
      </c>
      <c r="BP127" s="38">
        <v>131.25433150777474</v>
      </c>
      <c r="BQ127" s="38">
        <v>0</v>
      </c>
      <c r="BR127" s="38">
        <v>0</v>
      </c>
      <c r="BS127" s="38">
        <v>0</v>
      </c>
      <c r="BT127" s="38">
        <v>0</v>
      </c>
      <c r="BU127" s="38">
        <v>0</v>
      </c>
      <c r="BV127" s="38">
        <v>0</v>
      </c>
      <c r="BW127" s="38">
        <v>0</v>
      </c>
      <c r="BX127" s="38">
        <v>225.07882989460887</v>
      </c>
      <c r="BY127" s="38">
        <v>67.514861778051213</v>
      </c>
      <c r="BZ127" s="38">
        <v>0</v>
      </c>
      <c r="CA127" s="38">
        <v>0</v>
      </c>
      <c r="CB127" s="38">
        <v>302.59808338170905</v>
      </c>
      <c r="CC127" s="38">
        <v>292.5936916726601</v>
      </c>
      <c r="CD127" s="49">
        <v>1.0341920963909277</v>
      </c>
      <c r="CE127" s="38">
        <v>36.494527369803585</v>
      </c>
      <c r="CF127" s="38">
        <v>3.0903600208454214</v>
      </c>
      <c r="CG127" s="38">
        <v>0</v>
      </c>
      <c r="CH127" s="38">
        <v>3.0903600208454214</v>
      </c>
      <c r="CI127" s="38">
        <v>0.15451701535492929</v>
      </c>
      <c r="CJ127" s="38">
        <v>0</v>
      </c>
      <c r="CK127" s="38">
        <v>0.15451701535492929</v>
      </c>
      <c r="CL127" s="38"/>
      <c r="CM127" s="38">
        <v>0</v>
      </c>
      <c r="CN127" s="38"/>
      <c r="CO127" s="38">
        <v>0</v>
      </c>
      <c r="CP127" s="38">
        <v>0</v>
      </c>
      <c r="CQ127" s="38">
        <v>0</v>
      </c>
      <c r="CR127" s="38">
        <v>0</v>
      </c>
      <c r="CS127" s="38">
        <v>0</v>
      </c>
      <c r="CT127" s="38">
        <v>0</v>
      </c>
      <c r="CU127" s="38">
        <v>0</v>
      </c>
      <c r="CV127" s="38">
        <v>9999</v>
      </c>
      <c r="CW127" s="49">
        <v>9999</v>
      </c>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row>
    <row r="128" spans="1:131">
      <c r="A128" s="27" t="s">
        <v>228</v>
      </c>
      <c r="B128" s="27"/>
      <c r="C128" s="38">
        <v>45</v>
      </c>
      <c r="D128" s="38">
        <v>234.70130472703235</v>
      </c>
      <c r="E128" s="38">
        <v>0</v>
      </c>
      <c r="F128" s="38">
        <v>262.65009234084528</v>
      </c>
      <c r="G128" s="38">
        <v>0</v>
      </c>
      <c r="H128" s="38">
        <v>0</v>
      </c>
      <c r="I128" s="38"/>
      <c r="J128" s="38"/>
      <c r="K128" s="38"/>
      <c r="L128" s="38">
        <v>253.0973747146395</v>
      </c>
      <c r="M128" s="38">
        <v>0.13234939136241747</v>
      </c>
      <c r="N128" s="38">
        <v>0.13139415280679814</v>
      </c>
      <c r="O128" s="38">
        <v>0</v>
      </c>
      <c r="P128" s="38">
        <v>0</v>
      </c>
      <c r="Q128" s="38">
        <v>0</v>
      </c>
      <c r="R128" s="38">
        <v>34.353509306183028</v>
      </c>
      <c r="S128" s="38">
        <v>79.385734867319357</v>
      </c>
      <c r="T128" s="38">
        <v>0</v>
      </c>
      <c r="U128" s="38">
        <v>61.383607000006535</v>
      </c>
      <c r="V128" s="38">
        <v>15.759005540450717</v>
      </c>
      <c r="W128" s="38">
        <v>36.771012927718338</v>
      </c>
      <c r="X128" s="38">
        <v>0</v>
      </c>
      <c r="Y128" s="38">
        <v>0</v>
      </c>
      <c r="Z128" s="38">
        <v>0</v>
      </c>
      <c r="AA128" s="38">
        <v>0</v>
      </c>
      <c r="AB128" s="38">
        <v>0</v>
      </c>
      <c r="AC128" s="38">
        <v>0</v>
      </c>
      <c r="AD128" s="38">
        <v>0</v>
      </c>
      <c r="AE128" s="38">
        <v>0</v>
      </c>
      <c r="AF128" s="38">
        <v>0</v>
      </c>
      <c r="AG128" s="38">
        <v>0</v>
      </c>
      <c r="AH128" s="38">
        <v>50.112514846633744</v>
      </c>
      <c r="AI128" s="38">
        <v>116.15674779503769</v>
      </c>
      <c r="AJ128" s="38">
        <v>0</v>
      </c>
      <c r="AK128" s="38">
        <v>61.383607000006535</v>
      </c>
      <c r="AL128" s="38">
        <v>227.652869641678</v>
      </c>
      <c r="AM128" s="38">
        <v>133.3132179319002</v>
      </c>
      <c r="AN128" s="38">
        <v>46.765456924500626</v>
      </c>
      <c r="AO128" s="38">
        <v>0</v>
      </c>
      <c r="AP128" s="38">
        <v>0</v>
      </c>
      <c r="AQ128" s="38">
        <v>180.07867485640082</v>
      </c>
      <c r="AR128" s="38">
        <v>50.112514846633744</v>
      </c>
      <c r="AS128" s="49">
        <v>3.5934870841649134</v>
      </c>
      <c r="AT128" s="38">
        <v>133.3132179319002</v>
      </c>
      <c r="AU128" s="38">
        <v>55.356371910413095</v>
      </c>
      <c r="AV128" s="38">
        <v>0</v>
      </c>
      <c r="AW128" s="38">
        <v>0</v>
      </c>
      <c r="AX128" s="38">
        <v>188.66958984231329</v>
      </c>
      <c r="AY128" s="38">
        <v>116.15674779503769</v>
      </c>
      <c r="AZ128" s="49">
        <v>1.6242671512741287</v>
      </c>
      <c r="BA128" s="38">
        <v>133.3132179319002</v>
      </c>
      <c r="BB128" s="38">
        <v>102.12182883491371</v>
      </c>
      <c r="BC128" s="38">
        <v>0</v>
      </c>
      <c r="BD128" s="38">
        <v>0</v>
      </c>
      <c r="BE128" s="38">
        <v>235.43504676681391</v>
      </c>
      <c r="BF128" s="38">
        <v>166.26926264167145</v>
      </c>
      <c r="BG128" s="38">
        <v>18.649266765065647</v>
      </c>
      <c r="BH128" s="49">
        <v>1.4159865932298163</v>
      </c>
      <c r="BI128" s="38">
        <v>14.568964059552641</v>
      </c>
      <c r="BJ128" s="38">
        <v>33.769677875467906</v>
      </c>
      <c r="BK128" s="38">
        <v>0</v>
      </c>
      <c r="BL128" s="38">
        <v>17.845753041245995</v>
      </c>
      <c r="BM128" s="38">
        <v>66.184394976266546</v>
      </c>
      <c r="BN128" s="38">
        <v>133.3132179319002</v>
      </c>
      <c r="BO128" s="38">
        <v>0</v>
      </c>
      <c r="BP128" s="38">
        <v>102.12182883491371</v>
      </c>
      <c r="BQ128" s="38">
        <v>0</v>
      </c>
      <c r="BR128" s="38">
        <v>0</v>
      </c>
      <c r="BS128" s="38">
        <v>0</v>
      </c>
      <c r="BT128" s="38">
        <v>0</v>
      </c>
      <c r="BU128" s="38">
        <v>0</v>
      </c>
      <c r="BV128" s="38">
        <v>0</v>
      </c>
      <c r="BW128" s="38">
        <v>0</v>
      </c>
      <c r="BX128" s="38">
        <v>175.12285117350893</v>
      </c>
      <c r="BY128" s="38">
        <v>52.530018468169061</v>
      </c>
      <c r="BZ128" s="38">
        <v>0</v>
      </c>
      <c r="CA128" s="38">
        <v>0</v>
      </c>
      <c r="CB128" s="38">
        <v>235.43504676681391</v>
      </c>
      <c r="CC128" s="38">
        <v>227.652869641678</v>
      </c>
      <c r="CD128" s="49">
        <v>1.0341844016171855</v>
      </c>
      <c r="CE128" s="38">
        <v>36.495019806311646</v>
      </c>
      <c r="CF128" s="38">
        <v>2.4044403979791187</v>
      </c>
      <c r="CG128" s="38">
        <v>0</v>
      </c>
      <c r="CH128" s="38">
        <v>2.4044403979791187</v>
      </c>
      <c r="CI128" s="38">
        <v>0.12022125298945376</v>
      </c>
      <c r="CJ128" s="38">
        <v>0</v>
      </c>
      <c r="CK128" s="38">
        <v>0.12022125298945376</v>
      </c>
      <c r="CL128" s="38"/>
      <c r="CM128" s="38">
        <v>0</v>
      </c>
      <c r="CN128" s="38"/>
      <c r="CO128" s="38">
        <v>0</v>
      </c>
      <c r="CP128" s="38">
        <v>0</v>
      </c>
      <c r="CQ128" s="38">
        <v>0</v>
      </c>
      <c r="CR128" s="38">
        <v>0</v>
      </c>
      <c r="CS128" s="38">
        <v>0</v>
      </c>
      <c r="CT128" s="38">
        <v>0</v>
      </c>
      <c r="CU128" s="38">
        <v>0</v>
      </c>
      <c r="CV128" s="38">
        <v>9999</v>
      </c>
      <c r="CW128" s="49">
        <v>9999</v>
      </c>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row>
    <row r="129" spans="1:131">
      <c r="A129" s="27" t="s">
        <v>1205</v>
      </c>
      <c r="B129" s="27"/>
      <c r="C129" s="38">
        <v>45</v>
      </c>
      <c r="D129" s="38">
        <v>172.2234794592041</v>
      </c>
      <c r="E129" s="38">
        <v>0</v>
      </c>
      <c r="F129" s="38">
        <v>196.91489394951594</v>
      </c>
      <c r="G129" s="38">
        <v>0</v>
      </c>
      <c r="H129" s="38">
        <v>0</v>
      </c>
      <c r="I129" s="38"/>
      <c r="J129" s="38"/>
      <c r="K129" s="38"/>
      <c r="L129" s="38">
        <v>185.72248912736737</v>
      </c>
      <c r="M129" s="38">
        <v>9.7117792810114484E-2</v>
      </c>
      <c r="N129" s="38">
        <v>9.6416840133461565E-2</v>
      </c>
      <c r="O129" s="38">
        <v>0</v>
      </c>
      <c r="P129" s="38">
        <v>0</v>
      </c>
      <c r="Q129" s="38">
        <v>0</v>
      </c>
      <c r="R129" s="38">
        <v>25.75562636026816</v>
      </c>
      <c r="S129" s="38">
        <v>59.517335109924034</v>
      </c>
      <c r="T129" s="38">
        <v>0</v>
      </c>
      <c r="U129" s="38">
        <v>46.020720399972689</v>
      </c>
      <c r="V129" s="38">
        <v>11.814893636970957</v>
      </c>
      <c r="W129" s="38">
        <v>27.56808515293223</v>
      </c>
      <c r="X129" s="38">
        <v>0</v>
      </c>
      <c r="Y129" s="38">
        <v>0</v>
      </c>
      <c r="Z129" s="38">
        <v>0</v>
      </c>
      <c r="AA129" s="38">
        <v>0</v>
      </c>
      <c r="AB129" s="38">
        <v>0</v>
      </c>
      <c r="AC129" s="38">
        <v>0</v>
      </c>
      <c r="AD129" s="38">
        <v>0</v>
      </c>
      <c r="AE129" s="38">
        <v>0</v>
      </c>
      <c r="AF129" s="38">
        <v>0</v>
      </c>
      <c r="AG129" s="38">
        <v>0</v>
      </c>
      <c r="AH129" s="38">
        <v>37.570519997239117</v>
      </c>
      <c r="AI129" s="38">
        <v>87.08542026285626</v>
      </c>
      <c r="AJ129" s="38">
        <v>0</v>
      </c>
      <c r="AK129" s="38">
        <v>46.020720399972689</v>
      </c>
      <c r="AL129" s="38">
        <v>170.67666066006808</v>
      </c>
      <c r="AM129" s="38">
        <v>97.825047358974345</v>
      </c>
      <c r="AN129" s="38">
        <v>34.316424953002709</v>
      </c>
      <c r="AO129" s="38">
        <v>0</v>
      </c>
      <c r="AP129" s="38">
        <v>0</v>
      </c>
      <c r="AQ129" s="38">
        <v>132.14147231197705</v>
      </c>
      <c r="AR129" s="38">
        <v>37.570519997239117</v>
      </c>
      <c r="AS129" s="49">
        <v>3.5171584615194975</v>
      </c>
      <c r="AT129" s="38">
        <v>97.825047358974345</v>
      </c>
      <c r="AU129" s="38">
        <v>40.620425999493939</v>
      </c>
      <c r="AV129" s="38">
        <v>0</v>
      </c>
      <c r="AW129" s="38">
        <v>0</v>
      </c>
      <c r="AX129" s="38">
        <v>138.44547335846829</v>
      </c>
      <c r="AY129" s="38">
        <v>87.08542026285626</v>
      </c>
      <c r="AZ129" s="49">
        <v>1.5897663804180797</v>
      </c>
      <c r="BA129" s="38">
        <v>97.825047358974345</v>
      </c>
      <c r="BB129" s="38">
        <v>74.936850952496656</v>
      </c>
      <c r="BC129" s="38">
        <v>0</v>
      </c>
      <c r="BD129" s="38">
        <v>0</v>
      </c>
      <c r="BE129" s="38">
        <v>172.76189831147099</v>
      </c>
      <c r="BF129" s="38">
        <v>124.65594026009539</v>
      </c>
      <c r="BG129" s="38">
        <v>19.698301660654625</v>
      </c>
      <c r="BH129" s="49">
        <v>1.3859098728147428</v>
      </c>
      <c r="BI129" s="38">
        <v>14.885136609695801</v>
      </c>
      <c r="BJ129" s="38">
        <v>34.50254022091373</v>
      </c>
      <c r="BK129" s="38">
        <v>0</v>
      </c>
      <c r="BL129" s="38">
        <v>18.233037766859418</v>
      </c>
      <c r="BM129" s="38">
        <v>67.620714597468947</v>
      </c>
      <c r="BN129" s="38">
        <v>97.825047358974345</v>
      </c>
      <c r="BO129" s="38">
        <v>0</v>
      </c>
      <c r="BP129" s="38">
        <v>74.936850952496656</v>
      </c>
      <c r="BQ129" s="38">
        <v>0</v>
      </c>
      <c r="BR129" s="38">
        <v>0</v>
      </c>
      <c r="BS129" s="38">
        <v>0</v>
      </c>
      <c r="BT129" s="38">
        <v>0</v>
      </c>
      <c r="BU129" s="38">
        <v>0</v>
      </c>
      <c r="BV129" s="38">
        <v>0</v>
      </c>
      <c r="BW129" s="38">
        <v>0</v>
      </c>
      <c r="BX129" s="38">
        <v>131.2936818701649</v>
      </c>
      <c r="BY129" s="38">
        <v>39.382978789903191</v>
      </c>
      <c r="BZ129" s="38">
        <v>0</v>
      </c>
      <c r="CA129" s="38">
        <v>0</v>
      </c>
      <c r="CB129" s="38">
        <v>172.76189831147099</v>
      </c>
      <c r="CC129" s="38">
        <v>170.67666066006808</v>
      </c>
      <c r="CD129" s="49">
        <v>1.012217473926069</v>
      </c>
      <c r="CE129" s="38">
        <v>37.93133942751404</v>
      </c>
      <c r="CF129" s="38">
        <v>1.7643749018517556</v>
      </c>
      <c r="CG129" s="38">
        <v>0</v>
      </c>
      <c r="CH129" s="38">
        <v>1.7643749018517556</v>
      </c>
      <c r="CI129" s="38">
        <v>8.8218182335499495E-2</v>
      </c>
      <c r="CJ129" s="38">
        <v>0</v>
      </c>
      <c r="CK129" s="38">
        <v>8.8218182335499495E-2</v>
      </c>
      <c r="CL129" s="38"/>
      <c r="CM129" s="38">
        <v>0</v>
      </c>
      <c r="CN129" s="38"/>
      <c r="CO129" s="38">
        <v>0</v>
      </c>
      <c r="CP129" s="38">
        <v>0</v>
      </c>
      <c r="CQ129" s="38">
        <v>0</v>
      </c>
      <c r="CR129" s="38">
        <v>0</v>
      </c>
      <c r="CS129" s="38">
        <v>0</v>
      </c>
      <c r="CT129" s="38">
        <v>0</v>
      </c>
      <c r="CU129" s="38">
        <v>0</v>
      </c>
      <c r="CV129" s="38">
        <v>9999</v>
      </c>
      <c r="CW129" s="49">
        <v>9999</v>
      </c>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row>
    <row r="130" spans="1:131">
      <c r="A130" s="27" t="s">
        <v>218</v>
      </c>
      <c r="B130" s="27"/>
      <c r="C130" s="38">
        <v>45</v>
      </c>
      <c r="D130" s="38">
        <v>257.50228679239945</v>
      </c>
      <c r="E130" s="38">
        <v>0</v>
      </c>
      <c r="F130" s="38">
        <v>297.93884832438431</v>
      </c>
      <c r="G130" s="38">
        <v>0</v>
      </c>
      <c r="H130" s="38">
        <v>0</v>
      </c>
      <c r="I130" s="38"/>
      <c r="J130" s="38"/>
      <c r="K130" s="38"/>
      <c r="L130" s="38">
        <v>277.68551540849614</v>
      </c>
      <c r="M130" s="38">
        <v>0.14520699393231559</v>
      </c>
      <c r="N130" s="38">
        <v>0.14415895496725603</v>
      </c>
      <c r="O130" s="38">
        <v>0</v>
      </c>
      <c r="P130" s="38">
        <v>0</v>
      </c>
      <c r="Q130" s="38">
        <v>0</v>
      </c>
      <c r="R130" s="38">
        <v>38.969127737075944</v>
      </c>
      <c r="S130" s="38">
        <v>90.051727029512477</v>
      </c>
      <c r="T130" s="38">
        <v>0</v>
      </c>
      <c r="U130" s="38">
        <v>69.630895662679592</v>
      </c>
      <c r="V130" s="38">
        <v>17.87633089946306</v>
      </c>
      <c r="W130" s="38">
        <v>41.711438765413803</v>
      </c>
      <c r="X130" s="38">
        <v>0</v>
      </c>
      <c r="Y130" s="38">
        <v>0</v>
      </c>
      <c r="Z130" s="38">
        <v>0</v>
      </c>
      <c r="AA130" s="38">
        <v>0</v>
      </c>
      <c r="AB130" s="38">
        <v>0</v>
      </c>
      <c r="AC130" s="38">
        <v>0</v>
      </c>
      <c r="AD130" s="38">
        <v>0</v>
      </c>
      <c r="AE130" s="38">
        <v>0</v>
      </c>
      <c r="AF130" s="38">
        <v>0</v>
      </c>
      <c r="AG130" s="38">
        <v>0</v>
      </c>
      <c r="AH130" s="38">
        <v>56.845458636539007</v>
      </c>
      <c r="AI130" s="38">
        <v>131.76316579492629</v>
      </c>
      <c r="AJ130" s="38">
        <v>0</v>
      </c>
      <c r="AK130" s="38">
        <v>69.630895662679592</v>
      </c>
      <c r="AL130" s="38">
        <v>258.23952009414489</v>
      </c>
      <c r="AM130" s="38">
        <v>146.2644552276488</v>
      </c>
      <c r="AN130" s="38">
        <v>51.308671312909681</v>
      </c>
      <c r="AO130" s="38">
        <v>0</v>
      </c>
      <c r="AP130" s="38">
        <v>0</v>
      </c>
      <c r="AQ130" s="38">
        <v>197.57312654055846</v>
      </c>
      <c r="AR130" s="38">
        <v>56.845458636539007</v>
      </c>
      <c r="AS130" s="49">
        <v>3.4756184799881766</v>
      </c>
      <c r="AT130" s="38">
        <v>146.2644552276488</v>
      </c>
      <c r="AU130" s="38">
        <v>60.734184550189795</v>
      </c>
      <c r="AV130" s="38">
        <v>0</v>
      </c>
      <c r="AW130" s="38">
        <v>0</v>
      </c>
      <c r="AX130" s="38">
        <v>206.9986397778386</v>
      </c>
      <c r="AY130" s="38">
        <v>131.76316579492629</v>
      </c>
      <c r="AZ130" s="49">
        <v>1.5709901817326353</v>
      </c>
      <c r="BA130" s="38">
        <v>146.2644552276488</v>
      </c>
      <c r="BB130" s="38">
        <v>112.04285586309948</v>
      </c>
      <c r="BC130" s="38">
        <v>0</v>
      </c>
      <c r="BD130" s="38">
        <v>0</v>
      </c>
      <c r="BE130" s="38">
        <v>258.30731109074827</v>
      </c>
      <c r="BF130" s="38">
        <v>188.60862443146527</v>
      </c>
      <c r="BG130" s="38">
        <v>20.288574498490732</v>
      </c>
      <c r="BH130" s="49">
        <v>1.3695413551176681</v>
      </c>
      <c r="BI130" s="38">
        <v>15.063041147670296</v>
      </c>
      <c r="BJ130" s="38">
        <v>34.914908520775342</v>
      </c>
      <c r="BK130" s="38">
        <v>0</v>
      </c>
      <c r="BL130" s="38">
        <v>18.450955831358186</v>
      </c>
      <c r="BM130" s="38">
        <v>68.428905499803818</v>
      </c>
      <c r="BN130" s="38">
        <v>146.2644552276488</v>
      </c>
      <c r="BO130" s="38">
        <v>0</v>
      </c>
      <c r="BP130" s="38">
        <v>112.04285586309948</v>
      </c>
      <c r="BQ130" s="38">
        <v>0</v>
      </c>
      <c r="BR130" s="38">
        <v>0</v>
      </c>
      <c r="BS130" s="38">
        <v>0</v>
      </c>
      <c r="BT130" s="38">
        <v>0</v>
      </c>
      <c r="BU130" s="38">
        <v>0</v>
      </c>
      <c r="BV130" s="38">
        <v>0</v>
      </c>
      <c r="BW130" s="38">
        <v>0</v>
      </c>
      <c r="BX130" s="38">
        <v>198.65175042926802</v>
      </c>
      <c r="BY130" s="38">
        <v>59.587769664876866</v>
      </c>
      <c r="BZ130" s="38">
        <v>0</v>
      </c>
      <c r="CA130" s="38">
        <v>0</v>
      </c>
      <c r="CB130" s="38">
        <v>258.30731109074827</v>
      </c>
      <c r="CC130" s="38">
        <v>258.23952009414489</v>
      </c>
      <c r="CD130" s="49">
        <v>1.0002625120917923</v>
      </c>
      <c r="CE130" s="38">
        <v>38.739530329848918</v>
      </c>
      <c r="CF130" s="38">
        <v>2.6380292246595975</v>
      </c>
      <c r="CG130" s="38">
        <v>0</v>
      </c>
      <c r="CH130" s="38">
        <v>2.6380292246595975</v>
      </c>
      <c r="CI130" s="38">
        <v>0.13190061981903567</v>
      </c>
      <c r="CJ130" s="38">
        <v>0</v>
      </c>
      <c r="CK130" s="38">
        <v>0.13190061981903567</v>
      </c>
      <c r="CL130" s="38"/>
      <c r="CM130" s="38">
        <v>0</v>
      </c>
      <c r="CN130" s="38"/>
      <c r="CO130" s="38">
        <v>0</v>
      </c>
      <c r="CP130" s="38">
        <v>0</v>
      </c>
      <c r="CQ130" s="38">
        <v>0</v>
      </c>
      <c r="CR130" s="38">
        <v>0</v>
      </c>
      <c r="CS130" s="38">
        <v>0</v>
      </c>
      <c r="CT130" s="38">
        <v>0</v>
      </c>
      <c r="CU130" s="38">
        <v>0</v>
      </c>
      <c r="CV130" s="38">
        <v>9999</v>
      </c>
      <c r="CW130" s="49">
        <v>9999</v>
      </c>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row>
    <row r="131" spans="1:131">
      <c r="A131" s="27" t="s">
        <v>229</v>
      </c>
      <c r="B131" s="27"/>
      <c r="C131" s="38">
        <v>45</v>
      </c>
      <c r="D131" s="38">
        <v>249.19752687988947</v>
      </c>
      <c r="E131" s="38">
        <v>0</v>
      </c>
      <c r="F131" s="38">
        <v>297.93884832438431</v>
      </c>
      <c r="G131" s="38">
        <v>0</v>
      </c>
      <c r="H131" s="38">
        <v>0</v>
      </c>
      <c r="I131" s="38"/>
      <c r="J131" s="38"/>
      <c r="K131" s="38"/>
      <c r="L131" s="38">
        <v>268.72982198388451</v>
      </c>
      <c r="M131" s="38">
        <v>0.1405238929111686</v>
      </c>
      <c r="N131" s="38">
        <v>0.1395096544691731</v>
      </c>
      <c r="O131" s="38">
        <v>0</v>
      </c>
      <c r="P131" s="38">
        <v>0</v>
      </c>
      <c r="Q131" s="38">
        <v>0</v>
      </c>
      <c r="R131" s="38">
        <v>38.969127737075944</v>
      </c>
      <c r="S131" s="38">
        <v>90.051727029512477</v>
      </c>
      <c r="T131" s="38">
        <v>0</v>
      </c>
      <c r="U131" s="38">
        <v>69.630895662679592</v>
      </c>
      <c r="V131" s="38">
        <v>17.87633089946306</v>
      </c>
      <c r="W131" s="38">
        <v>41.711438765413803</v>
      </c>
      <c r="X131" s="38">
        <v>0</v>
      </c>
      <c r="Y131" s="38">
        <v>0</v>
      </c>
      <c r="Z131" s="38">
        <v>0</v>
      </c>
      <c r="AA131" s="38">
        <v>0</v>
      </c>
      <c r="AB131" s="38">
        <v>0</v>
      </c>
      <c r="AC131" s="38">
        <v>0</v>
      </c>
      <c r="AD131" s="38">
        <v>0</v>
      </c>
      <c r="AE131" s="38">
        <v>0</v>
      </c>
      <c r="AF131" s="38">
        <v>0</v>
      </c>
      <c r="AG131" s="38">
        <v>0</v>
      </c>
      <c r="AH131" s="38">
        <v>56.845458636539007</v>
      </c>
      <c r="AI131" s="38">
        <v>131.76316579492629</v>
      </c>
      <c r="AJ131" s="38">
        <v>0</v>
      </c>
      <c r="AK131" s="38">
        <v>69.630895662679592</v>
      </c>
      <c r="AL131" s="38">
        <v>258.23952009414489</v>
      </c>
      <c r="AM131" s="38">
        <v>141.54724980190053</v>
      </c>
      <c r="AN131" s="38">
        <v>49.653904662129875</v>
      </c>
      <c r="AO131" s="38">
        <v>0</v>
      </c>
      <c r="AP131" s="38">
        <v>0</v>
      </c>
      <c r="AQ131" s="38">
        <v>191.20115446403042</v>
      </c>
      <c r="AR131" s="38">
        <v>56.845458636539007</v>
      </c>
      <c r="AS131" s="49">
        <v>3.3635255841023426</v>
      </c>
      <c r="AT131" s="38">
        <v>141.54724980190053</v>
      </c>
      <c r="AU131" s="38">
        <v>58.775433707802001</v>
      </c>
      <c r="AV131" s="38">
        <v>0</v>
      </c>
      <c r="AW131" s="38">
        <v>0</v>
      </c>
      <c r="AX131" s="38">
        <v>200.32268350970253</v>
      </c>
      <c r="AY131" s="38">
        <v>131.76316579492629</v>
      </c>
      <c r="AZ131" s="49">
        <v>1.5203238500013043</v>
      </c>
      <c r="BA131" s="38">
        <v>141.54724980190053</v>
      </c>
      <c r="BB131" s="38">
        <v>108.42933836993188</v>
      </c>
      <c r="BC131" s="38">
        <v>0</v>
      </c>
      <c r="BD131" s="38">
        <v>0</v>
      </c>
      <c r="BE131" s="38">
        <v>249.97658817183242</v>
      </c>
      <c r="BF131" s="38">
        <v>188.60862443146527</v>
      </c>
      <c r="BG131" s="38">
        <v>21.954140277223352</v>
      </c>
      <c r="BH131" s="49">
        <v>1.3253719914736266</v>
      </c>
      <c r="BI131" s="38">
        <v>15.565032246257541</v>
      </c>
      <c r="BJ131" s="38">
        <v>36.078483200920722</v>
      </c>
      <c r="BK131" s="38">
        <v>0</v>
      </c>
      <c r="BL131" s="38">
        <v>19.065852617270554</v>
      </c>
      <c r="BM131" s="38">
        <v>70.709368064448824</v>
      </c>
      <c r="BN131" s="38">
        <v>141.54724980190053</v>
      </c>
      <c r="BO131" s="38">
        <v>0</v>
      </c>
      <c r="BP131" s="38">
        <v>108.42933836993188</v>
      </c>
      <c r="BQ131" s="38">
        <v>0</v>
      </c>
      <c r="BR131" s="38">
        <v>0</v>
      </c>
      <c r="BS131" s="38">
        <v>0</v>
      </c>
      <c r="BT131" s="38">
        <v>0</v>
      </c>
      <c r="BU131" s="38">
        <v>0</v>
      </c>
      <c r="BV131" s="38">
        <v>0</v>
      </c>
      <c r="BW131" s="38">
        <v>0</v>
      </c>
      <c r="BX131" s="38">
        <v>198.65175042926802</v>
      </c>
      <c r="BY131" s="38">
        <v>59.587769664876866</v>
      </c>
      <c r="BZ131" s="38">
        <v>0</v>
      </c>
      <c r="CA131" s="38">
        <v>0</v>
      </c>
      <c r="CB131" s="38">
        <v>249.97658817183242</v>
      </c>
      <c r="CC131" s="38">
        <v>258.23952009414489</v>
      </c>
      <c r="CD131" s="50">
        <v>0.96800283736857895</v>
      </c>
      <c r="CE131" s="38">
        <v>41.01999289449391</v>
      </c>
      <c r="CF131" s="38">
        <v>2.552949594393461</v>
      </c>
      <c r="CG131" s="38">
        <v>0</v>
      </c>
      <c r="CH131" s="38">
        <v>2.552949594393461</v>
      </c>
      <c r="CI131" s="38">
        <v>0.12764666544234518</v>
      </c>
      <c r="CJ131" s="38">
        <v>0</v>
      </c>
      <c r="CK131" s="38">
        <v>0.12764666544234518</v>
      </c>
      <c r="CL131" s="38"/>
      <c r="CM131" s="38">
        <v>0</v>
      </c>
      <c r="CN131" s="38"/>
      <c r="CO131" s="38">
        <v>0</v>
      </c>
      <c r="CP131" s="38">
        <v>0</v>
      </c>
      <c r="CQ131" s="38">
        <v>0</v>
      </c>
      <c r="CR131" s="38">
        <v>0</v>
      </c>
      <c r="CS131" s="38">
        <v>0</v>
      </c>
      <c r="CT131" s="38">
        <v>0</v>
      </c>
      <c r="CU131" s="38">
        <v>0</v>
      </c>
      <c r="CV131" s="38">
        <v>9999</v>
      </c>
      <c r="CW131" s="49">
        <v>9999</v>
      </c>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row>
    <row r="132" spans="1:131">
      <c r="A132" s="27" t="s">
        <v>236</v>
      </c>
      <c r="B132" s="27"/>
      <c r="C132" s="38">
        <v>45</v>
      </c>
      <c r="D132" s="38">
        <v>2227.1023259272174</v>
      </c>
      <c r="E132" s="38">
        <v>0</v>
      </c>
      <c r="F132" s="38">
        <v>2730.3075374938753</v>
      </c>
      <c r="G132" s="38">
        <v>0</v>
      </c>
      <c r="H132" s="38">
        <v>0</v>
      </c>
      <c r="I132" s="38"/>
      <c r="J132" s="38"/>
      <c r="K132" s="38"/>
      <c r="L132" s="38">
        <v>2401.6643306206706</v>
      </c>
      <c r="M132" s="38">
        <v>1.2558755805857362</v>
      </c>
      <c r="N132" s="38">
        <v>1.2468112338344073</v>
      </c>
      <c r="O132" s="38">
        <v>0</v>
      </c>
      <c r="P132" s="38">
        <v>0</v>
      </c>
      <c r="Q132" s="38">
        <v>0</v>
      </c>
      <c r="R132" s="38">
        <v>357.11255443351382</v>
      </c>
      <c r="S132" s="38">
        <v>825.23279678293693</v>
      </c>
      <c r="T132" s="38">
        <v>0</v>
      </c>
      <c r="U132" s="38">
        <v>638.09657699715342</v>
      </c>
      <c r="V132" s="38">
        <v>163.81845224963251</v>
      </c>
      <c r="W132" s="38">
        <v>382.24305524914251</v>
      </c>
      <c r="X132" s="38">
        <v>0</v>
      </c>
      <c r="Y132" s="38">
        <v>0</v>
      </c>
      <c r="Z132" s="38">
        <v>0</v>
      </c>
      <c r="AA132" s="38">
        <v>0</v>
      </c>
      <c r="AB132" s="38">
        <v>0</v>
      </c>
      <c r="AC132" s="38">
        <v>0</v>
      </c>
      <c r="AD132" s="38">
        <v>0</v>
      </c>
      <c r="AE132" s="38">
        <v>0</v>
      </c>
      <c r="AF132" s="38">
        <v>0</v>
      </c>
      <c r="AG132" s="38">
        <v>0</v>
      </c>
      <c r="AH132" s="38">
        <v>520.93100668314628</v>
      </c>
      <c r="AI132" s="38">
        <v>1207.4758520320795</v>
      </c>
      <c r="AJ132" s="38">
        <v>0</v>
      </c>
      <c r="AK132" s="38">
        <v>638.09657699715342</v>
      </c>
      <c r="AL132" s="38">
        <v>2366.5034357123791</v>
      </c>
      <c r="AM132" s="38">
        <v>1265.0214197926455</v>
      </c>
      <c r="AN132" s="38">
        <v>443.76173370973396</v>
      </c>
      <c r="AO132" s="38">
        <v>0</v>
      </c>
      <c r="AP132" s="38">
        <v>0</v>
      </c>
      <c r="AQ132" s="38">
        <v>1708.7831535023795</v>
      </c>
      <c r="AR132" s="38">
        <v>520.93100668314628</v>
      </c>
      <c r="AS132" s="49">
        <v>3.2802485004347965</v>
      </c>
      <c r="AT132" s="38">
        <v>1265.0214197926455</v>
      </c>
      <c r="AU132" s="38">
        <v>525.28171830982365</v>
      </c>
      <c r="AV132" s="38">
        <v>0</v>
      </c>
      <c r="AW132" s="38">
        <v>0</v>
      </c>
      <c r="AX132" s="38">
        <v>1790.3031381024691</v>
      </c>
      <c r="AY132" s="38">
        <v>1207.4758520320795</v>
      </c>
      <c r="AZ132" s="49">
        <v>1.4826823535141846</v>
      </c>
      <c r="BA132" s="38">
        <v>1265.0214197926455</v>
      </c>
      <c r="BB132" s="38">
        <v>969.04345201955766</v>
      </c>
      <c r="BC132" s="38">
        <v>0</v>
      </c>
      <c r="BD132" s="38">
        <v>0</v>
      </c>
      <c r="BE132" s="38">
        <v>2234.0648718122029</v>
      </c>
      <c r="BF132" s="38">
        <v>1728.4068587152258</v>
      </c>
      <c r="BG132" s="38">
        <v>23.265236481127097</v>
      </c>
      <c r="BH132" s="49">
        <v>1.2925572821857738</v>
      </c>
      <c r="BI132" s="38">
        <v>15.960188434115825</v>
      </c>
      <c r="BJ132" s="38">
        <v>36.994423216966176</v>
      </c>
      <c r="BK132" s="38">
        <v>0</v>
      </c>
      <c r="BL132" s="38">
        <v>19.54988564202192</v>
      </c>
      <c r="BM132" s="38">
        <v>72.50449729310391</v>
      </c>
      <c r="BN132" s="38">
        <v>1265.0214197926455</v>
      </c>
      <c r="BO132" s="38">
        <v>0</v>
      </c>
      <c r="BP132" s="38">
        <v>969.04345201955766</v>
      </c>
      <c r="BQ132" s="38">
        <v>0</v>
      </c>
      <c r="BR132" s="38">
        <v>0</v>
      </c>
      <c r="BS132" s="38">
        <v>0</v>
      </c>
      <c r="BT132" s="38">
        <v>0</v>
      </c>
      <c r="BU132" s="38">
        <v>0</v>
      </c>
      <c r="BV132" s="38">
        <v>0</v>
      </c>
      <c r="BW132" s="38">
        <v>0</v>
      </c>
      <c r="BX132" s="38">
        <v>1820.4419282136041</v>
      </c>
      <c r="BY132" s="38">
        <v>546.06150749877509</v>
      </c>
      <c r="BZ132" s="38">
        <v>0</v>
      </c>
      <c r="CA132" s="38">
        <v>0</v>
      </c>
      <c r="CB132" s="38">
        <v>2234.0648718122029</v>
      </c>
      <c r="CC132" s="38">
        <v>2366.5034357123791</v>
      </c>
      <c r="CD132" s="50">
        <v>0.94403618355182795</v>
      </c>
      <c r="CE132" s="38">
        <v>42.81512212314901</v>
      </c>
      <c r="CF132" s="38">
        <v>22.815956686396252</v>
      </c>
      <c r="CG132" s="38">
        <v>0</v>
      </c>
      <c r="CH132" s="38">
        <v>22.815956686396252</v>
      </c>
      <c r="CI132" s="38">
        <v>1.1407905570448185</v>
      </c>
      <c r="CJ132" s="38">
        <v>0</v>
      </c>
      <c r="CK132" s="38">
        <v>1.1407905570448185</v>
      </c>
      <c r="CL132" s="38"/>
      <c r="CM132" s="38">
        <v>0</v>
      </c>
      <c r="CN132" s="38"/>
      <c r="CO132" s="38">
        <v>0</v>
      </c>
      <c r="CP132" s="38">
        <v>0</v>
      </c>
      <c r="CQ132" s="38">
        <v>0</v>
      </c>
      <c r="CR132" s="38">
        <v>0</v>
      </c>
      <c r="CS132" s="38">
        <v>0</v>
      </c>
      <c r="CT132" s="38">
        <v>0</v>
      </c>
      <c r="CU132" s="38">
        <v>0</v>
      </c>
      <c r="CV132" s="38">
        <v>9999</v>
      </c>
      <c r="CW132" s="49">
        <v>9999</v>
      </c>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row>
    <row r="133" spans="1:131">
      <c r="A133" s="27" t="s">
        <v>223</v>
      </c>
      <c r="B133" s="27"/>
      <c r="C133" s="38">
        <v>45</v>
      </c>
      <c r="D133" s="38">
        <v>275.07081083698421</v>
      </c>
      <c r="E133" s="38">
        <v>0</v>
      </c>
      <c r="F133" s="38">
        <v>337.57430889025602</v>
      </c>
      <c r="G133" s="38">
        <v>0</v>
      </c>
      <c r="H133" s="38">
        <v>0</v>
      </c>
      <c r="I133" s="38"/>
      <c r="J133" s="38"/>
      <c r="K133" s="38"/>
      <c r="L133" s="38">
        <v>296.63107397054569</v>
      </c>
      <c r="M133" s="38">
        <v>0.15511398387061642</v>
      </c>
      <c r="N133" s="38">
        <v>0.15399444069490825</v>
      </c>
      <c r="O133" s="38">
        <v>0</v>
      </c>
      <c r="P133" s="38">
        <v>0</v>
      </c>
      <c r="Q133" s="38">
        <v>0</v>
      </c>
      <c r="R133" s="38">
        <v>44.153276546121596</v>
      </c>
      <c r="S133" s="38">
        <v>102.03150642263422</v>
      </c>
      <c r="T133" s="38">
        <v>0</v>
      </c>
      <c r="U133" s="38">
        <v>78.894046925853047</v>
      </c>
      <c r="V133" s="38">
        <v>20.254458533415363</v>
      </c>
      <c r="W133" s="38">
        <v>47.260403244635846</v>
      </c>
      <c r="X133" s="38">
        <v>0</v>
      </c>
      <c r="Y133" s="38">
        <v>0</v>
      </c>
      <c r="Z133" s="38">
        <v>0</v>
      </c>
      <c r="AA133" s="38">
        <v>0</v>
      </c>
      <c r="AB133" s="38">
        <v>0</v>
      </c>
      <c r="AC133" s="38">
        <v>0</v>
      </c>
      <c r="AD133" s="38">
        <v>0</v>
      </c>
      <c r="AE133" s="38">
        <v>0</v>
      </c>
      <c r="AF133" s="38">
        <v>0</v>
      </c>
      <c r="AG133" s="38">
        <v>0</v>
      </c>
      <c r="AH133" s="38">
        <v>64.407735079536963</v>
      </c>
      <c r="AI133" s="38">
        <v>149.29190966727006</v>
      </c>
      <c r="AJ133" s="38">
        <v>0</v>
      </c>
      <c r="AK133" s="38">
        <v>78.894046925853047</v>
      </c>
      <c r="AL133" s="38">
        <v>292.5936916726601</v>
      </c>
      <c r="AM133" s="38">
        <v>156.24359223083488</v>
      </c>
      <c r="AN133" s="38">
        <v>54.809291198212989</v>
      </c>
      <c r="AO133" s="38">
        <v>0</v>
      </c>
      <c r="AP133" s="38">
        <v>0</v>
      </c>
      <c r="AQ133" s="38">
        <v>211.05288342904788</v>
      </c>
      <c r="AR133" s="38">
        <v>64.407735079536963</v>
      </c>
      <c r="AS133" s="49">
        <v>3.2768251075498798</v>
      </c>
      <c r="AT133" s="38">
        <v>156.24359223083488</v>
      </c>
      <c r="AU133" s="38">
        <v>64.877875834991841</v>
      </c>
      <c r="AV133" s="38">
        <v>0</v>
      </c>
      <c r="AW133" s="38">
        <v>0</v>
      </c>
      <c r="AX133" s="38">
        <v>221.12146806582672</v>
      </c>
      <c r="AY133" s="38">
        <v>149.29190966727006</v>
      </c>
      <c r="AZ133" s="49">
        <v>1.481134969461136</v>
      </c>
      <c r="BA133" s="38">
        <v>156.24359223083488</v>
      </c>
      <c r="BB133" s="38">
        <v>119.68716703320483</v>
      </c>
      <c r="BC133" s="38">
        <v>0</v>
      </c>
      <c r="BD133" s="38">
        <v>0</v>
      </c>
      <c r="BE133" s="38">
        <v>275.93075926403969</v>
      </c>
      <c r="BF133" s="38">
        <v>213.69964474680705</v>
      </c>
      <c r="BG133" s="38">
        <v>23.320559678063109</v>
      </c>
      <c r="BH133" s="49">
        <v>1.2912083199341045</v>
      </c>
      <c r="BI133" s="38">
        <v>15.976862499326508</v>
      </c>
      <c r="BJ133" s="38">
        <v>37.033072348691491</v>
      </c>
      <c r="BK133" s="38">
        <v>0</v>
      </c>
      <c r="BL133" s="38">
        <v>19.570309966546787</v>
      </c>
      <c r="BM133" s="38">
        <v>72.580244814564793</v>
      </c>
      <c r="BN133" s="38">
        <v>156.24359223083488</v>
      </c>
      <c r="BO133" s="38">
        <v>0</v>
      </c>
      <c r="BP133" s="38">
        <v>119.68716703320483</v>
      </c>
      <c r="BQ133" s="38">
        <v>0</v>
      </c>
      <c r="BR133" s="38">
        <v>0</v>
      </c>
      <c r="BS133" s="38">
        <v>0</v>
      </c>
      <c r="BT133" s="38">
        <v>0</v>
      </c>
      <c r="BU133" s="38">
        <v>0</v>
      </c>
      <c r="BV133" s="38">
        <v>0</v>
      </c>
      <c r="BW133" s="38">
        <v>0</v>
      </c>
      <c r="BX133" s="38">
        <v>225.07882989460887</v>
      </c>
      <c r="BY133" s="38">
        <v>67.514861778051213</v>
      </c>
      <c r="BZ133" s="38">
        <v>0</v>
      </c>
      <c r="CA133" s="38">
        <v>0</v>
      </c>
      <c r="CB133" s="38">
        <v>275.93075926403969</v>
      </c>
      <c r="CC133" s="38">
        <v>292.5936916726601</v>
      </c>
      <c r="CD133" s="50">
        <v>0.94305095125816285</v>
      </c>
      <c r="CE133" s="38">
        <v>42.890869644609893</v>
      </c>
      <c r="CF133" s="38">
        <v>2.818013179136535</v>
      </c>
      <c r="CG133" s="38">
        <v>0</v>
      </c>
      <c r="CH133" s="38">
        <v>2.818013179136535</v>
      </c>
      <c r="CI133" s="38">
        <v>0.14089976013600922</v>
      </c>
      <c r="CJ133" s="38">
        <v>0</v>
      </c>
      <c r="CK133" s="38">
        <v>0.14089976013600922</v>
      </c>
      <c r="CL133" s="38"/>
      <c r="CM133" s="38">
        <v>0</v>
      </c>
      <c r="CN133" s="38"/>
      <c r="CO133" s="38">
        <v>0</v>
      </c>
      <c r="CP133" s="38">
        <v>0</v>
      </c>
      <c r="CQ133" s="38">
        <v>0</v>
      </c>
      <c r="CR133" s="38">
        <v>0</v>
      </c>
      <c r="CS133" s="38">
        <v>0</v>
      </c>
      <c r="CT133" s="38">
        <v>0</v>
      </c>
      <c r="CU133" s="38">
        <v>0</v>
      </c>
      <c r="CV133" s="38">
        <v>9999</v>
      </c>
      <c r="CW133" s="49">
        <v>9999</v>
      </c>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row>
    <row r="134" spans="1:131">
      <c r="A134" s="27" t="s">
        <v>233</v>
      </c>
      <c r="B134" s="27"/>
      <c r="C134" s="38">
        <v>45</v>
      </c>
      <c r="D134" s="38">
        <v>231.5149137611387</v>
      </c>
      <c r="E134" s="38">
        <v>0</v>
      </c>
      <c r="F134" s="38">
        <v>315.42921929554086</v>
      </c>
      <c r="G134" s="38">
        <v>0</v>
      </c>
      <c r="H134" s="38">
        <v>0</v>
      </c>
      <c r="I134" s="38"/>
      <c r="J134" s="38"/>
      <c r="K134" s="38"/>
      <c r="L134" s="38">
        <v>249.66123195769964</v>
      </c>
      <c r="M134" s="38">
        <v>0.13055256749955396</v>
      </c>
      <c r="N134" s="38">
        <v>0.12961029761280268</v>
      </c>
      <c r="O134" s="38">
        <v>0</v>
      </c>
      <c r="P134" s="38">
        <v>0</v>
      </c>
      <c r="Q134" s="38">
        <v>0</v>
      </c>
      <c r="R134" s="38">
        <v>41.256793492572733</v>
      </c>
      <c r="S134" s="38">
        <v>95.338174638468317</v>
      </c>
      <c r="T134" s="38">
        <v>0</v>
      </c>
      <c r="U134" s="38">
        <v>73.718547216156082</v>
      </c>
      <c r="V134" s="38">
        <v>18.925753157732451</v>
      </c>
      <c r="W134" s="38">
        <v>44.160090701375722</v>
      </c>
      <c r="X134" s="38">
        <v>0</v>
      </c>
      <c r="Y134" s="38">
        <v>0</v>
      </c>
      <c r="Z134" s="38">
        <v>0</v>
      </c>
      <c r="AA134" s="38">
        <v>0</v>
      </c>
      <c r="AB134" s="38">
        <v>0</v>
      </c>
      <c r="AC134" s="38">
        <v>0</v>
      </c>
      <c r="AD134" s="38">
        <v>0</v>
      </c>
      <c r="AE134" s="38">
        <v>0</v>
      </c>
      <c r="AF134" s="38">
        <v>0</v>
      </c>
      <c r="AG134" s="38">
        <v>0</v>
      </c>
      <c r="AH134" s="38">
        <v>60.182546650305184</v>
      </c>
      <c r="AI134" s="38">
        <v>139.49826533984404</v>
      </c>
      <c r="AJ134" s="38">
        <v>0</v>
      </c>
      <c r="AK134" s="38">
        <v>73.718547216156082</v>
      </c>
      <c r="AL134" s="38">
        <v>273.39935920630529</v>
      </c>
      <c r="AM134" s="38">
        <v>131.50330880614374</v>
      </c>
      <c r="AN134" s="38">
        <v>46.13055193480136</v>
      </c>
      <c r="AO134" s="38">
        <v>0</v>
      </c>
      <c r="AP134" s="38">
        <v>0</v>
      </c>
      <c r="AQ134" s="38">
        <v>177.6338607409451</v>
      </c>
      <c r="AR134" s="38">
        <v>60.182546650305184</v>
      </c>
      <c r="AS134" s="49">
        <v>2.951584315185245</v>
      </c>
      <c r="AT134" s="38">
        <v>131.50330880614374</v>
      </c>
      <c r="AU134" s="38">
        <v>54.604833509017602</v>
      </c>
      <c r="AV134" s="38">
        <v>0</v>
      </c>
      <c r="AW134" s="38">
        <v>0</v>
      </c>
      <c r="AX134" s="38">
        <v>186.10814231516133</v>
      </c>
      <c r="AY134" s="38">
        <v>139.49826533984404</v>
      </c>
      <c r="AZ134" s="49">
        <v>1.3341251366944733</v>
      </c>
      <c r="BA134" s="38">
        <v>131.50330880614374</v>
      </c>
      <c r="BB134" s="38">
        <v>100.73538544381896</v>
      </c>
      <c r="BC134" s="38">
        <v>0</v>
      </c>
      <c r="BD134" s="38">
        <v>0</v>
      </c>
      <c r="BE134" s="38">
        <v>232.23869424996269</v>
      </c>
      <c r="BF134" s="38">
        <v>199.68081199014921</v>
      </c>
      <c r="BG134" s="38">
        <v>29.161827069431883</v>
      </c>
      <c r="BH134" s="49">
        <v>1.1630496287315761</v>
      </c>
      <c r="BI134" s="38">
        <v>17.737383922362891</v>
      </c>
      <c r="BJ134" s="38">
        <v>41.113818317023899</v>
      </c>
      <c r="BK134" s="38">
        <v>0</v>
      </c>
      <c r="BL134" s="38">
        <v>21.726800325841076</v>
      </c>
      <c r="BM134" s="38">
        <v>80.578002565227862</v>
      </c>
      <c r="BN134" s="38">
        <v>131.50330880614374</v>
      </c>
      <c r="BO134" s="38">
        <v>0</v>
      </c>
      <c r="BP134" s="38">
        <v>100.73538544381896</v>
      </c>
      <c r="BQ134" s="38">
        <v>0</v>
      </c>
      <c r="BR134" s="38">
        <v>0</v>
      </c>
      <c r="BS134" s="38">
        <v>0</v>
      </c>
      <c r="BT134" s="38">
        <v>0</v>
      </c>
      <c r="BU134" s="38">
        <v>0</v>
      </c>
      <c r="BV134" s="38">
        <v>0</v>
      </c>
      <c r="BW134" s="38">
        <v>0</v>
      </c>
      <c r="BX134" s="38">
        <v>210.31351534719713</v>
      </c>
      <c r="BY134" s="38">
        <v>63.085843859108174</v>
      </c>
      <c r="BZ134" s="38">
        <v>0</v>
      </c>
      <c r="CA134" s="38">
        <v>0</v>
      </c>
      <c r="CB134" s="38">
        <v>232.23869424996269</v>
      </c>
      <c r="CC134" s="38">
        <v>273.39935920630529</v>
      </c>
      <c r="CD134" s="50">
        <v>0.84944856829279158</v>
      </c>
      <c r="CE134" s="38">
        <v>50.888627395272962</v>
      </c>
      <c r="CF134" s="38">
        <v>2.3717968335512962</v>
      </c>
      <c r="CG134" s="38">
        <v>0</v>
      </c>
      <c r="CH134" s="38">
        <v>2.3717968335512962</v>
      </c>
      <c r="CI134" s="38">
        <v>0.11858908517990734</v>
      </c>
      <c r="CJ134" s="38">
        <v>0</v>
      </c>
      <c r="CK134" s="38">
        <v>0.11858908517990734</v>
      </c>
      <c r="CL134" s="38"/>
      <c r="CM134" s="38">
        <v>0</v>
      </c>
      <c r="CN134" s="38"/>
      <c r="CO134" s="38">
        <v>0</v>
      </c>
      <c r="CP134" s="38">
        <v>0</v>
      </c>
      <c r="CQ134" s="38">
        <v>0</v>
      </c>
      <c r="CR134" s="38">
        <v>0</v>
      </c>
      <c r="CS134" s="38">
        <v>0</v>
      </c>
      <c r="CT134" s="38">
        <v>0</v>
      </c>
      <c r="CU134" s="38">
        <v>0</v>
      </c>
      <c r="CV134" s="38">
        <v>9999</v>
      </c>
      <c r="CW134" s="49">
        <v>9999</v>
      </c>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row>
    <row r="135" spans="1:131">
      <c r="A135" s="27" t="s">
        <v>225</v>
      </c>
      <c r="B135" s="27"/>
      <c r="C135" s="38">
        <v>45</v>
      </c>
      <c r="D135" s="38">
        <v>1983.0972178345644</v>
      </c>
      <c r="E135" s="38">
        <v>0</v>
      </c>
      <c r="F135" s="38">
        <v>2730.3075374938753</v>
      </c>
      <c r="G135" s="38">
        <v>0</v>
      </c>
      <c r="H135" s="38">
        <v>0</v>
      </c>
      <c r="I135" s="38"/>
      <c r="J135" s="38"/>
      <c r="K135" s="38"/>
      <c r="L135" s="38">
        <v>2138.5339132289205</v>
      </c>
      <c r="M135" s="38">
        <v>1.1182797219562208</v>
      </c>
      <c r="N135" s="38">
        <v>1.1102084804085006</v>
      </c>
      <c r="O135" s="38">
        <v>0</v>
      </c>
      <c r="P135" s="38">
        <v>0</v>
      </c>
      <c r="Q135" s="38">
        <v>0</v>
      </c>
      <c r="R135" s="38">
        <v>357.11255443351382</v>
      </c>
      <c r="S135" s="38">
        <v>825.23279678293693</v>
      </c>
      <c r="T135" s="38">
        <v>0</v>
      </c>
      <c r="U135" s="38">
        <v>638.09657699715342</v>
      </c>
      <c r="V135" s="38">
        <v>163.81845224963251</v>
      </c>
      <c r="W135" s="38">
        <v>382.24305524914251</v>
      </c>
      <c r="X135" s="38">
        <v>0</v>
      </c>
      <c r="Y135" s="38">
        <v>0</v>
      </c>
      <c r="Z135" s="38">
        <v>0</v>
      </c>
      <c r="AA135" s="38">
        <v>0</v>
      </c>
      <c r="AB135" s="38">
        <v>0</v>
      </c>
      <c r="AC135" s="38">
        <v>0</v>
      </c>
      <c r="AD135" s="38">
        <v>0</v>
      </c>
      <c r="AE135" s="38">
        <v>0</v>
      </c>
      <c r="AF135" s="38">
        <v>0</v>
      </c>
      <c r="AG135" s="38">
        <v>0</v>
      </c>
      <c r="AH135" s="38">
        <v>520.93100668314628</v>
      </c>
      <c r="AI135" s="38">
        <v>1207.4758520320795</v>
      </c>
      <c r="AJ135" s="38">
        <v>0</v>
      </c>
      <c r="AK135" s="38">
        <v>638.09657699715342</v>
      </c>
      <c r="AL135" s="38">
        <v>2366.5034357123791</v>
      </c>
      <c r="AM135" s="38">
        <v>1126.4235275078747</v>
      </c>
      <c r="AN135" s="38">
        <v>395.14244552496393</v>
      </c>
      <c r="AO135" s="38">
        <v>0</v>
      </c>
      <c r="AP135" s="38">
        <v>0</v>
      </c>
      <c r="AQ135" s="38">
        <v>1521.5659730328387</v>
      </c>
      <c r="AR135" s="38">
        <v>520.93100668314628</v>
      </c>
      <c r="AS135" s="49">
        <v>2.9208589112805945</v>
      </c>
      <c r="AT135" s="38">
        <v>1126.4235275078747</v>
      </c>
      <c r="AU135" s="38">
        <v>467.7309623507677</v>
      </c>
      <c r="AV135" s="38">
        <v>0</v>
      </c>
      <c r="AW135" s="38">
        <v>0</v>
      </c>
      <c r="AX135" s="38">
        <v>1594.1544898586424</v>
      </c>
      <c r="AY135" s="38">
        <v>1207.4758520320795</v>
      </c>
      <c r="AZ135" s="49">
        <v>1.3202371601683094</v>
      </c>
      <c r="BA135" s="38">
        <v>1126.4235275078747</v>
      </c>
      <c r="BB135" s="38">
        <v>862.87340787573157</v>
      </c>
      <c r="BC135" s="38">
        <v>0</v>
      </c>
      <c r="BD135" s="38">
        <v>0</v>
      </c>
      <c r="BE135" s="38">
        <v>1989.2969353836063</v>
      </c>
      <c r="BF135" s="38">
        <v>1728.4068587152258</v>
      </c>
      <c r="BG135" s="38">
        <v>29.780900778228975</v>
      </c>
      <c r="BH135" s="49">
        <v>1.1509425141151706</v>
      </c>
      <c r="BI135" s="38">
        <v>17.923968862539798</v>
      </c>
      <c r="BJ135" s="38">
        <v>41.546307085644081</v>
      </c>
      <c r="BK135" s="38">
        <v>0</v>
      </c>
      <c r="BL135" s="38">
        <v>21.955351151418103</v>
      </c>
      <c r="BM135" s="38">
        <v>81.425627099601968</v>
      </c>
      <c r="BN135" s="38">
        <v>1126.4235275078747</v>
      </c>
      <c r="BO135" s="38">
        <v>0</v>
      </c>
      <c r="BP135" s="38">
        <v>862.87340787573157</v>
      </c>
      <c r="BQ135" s="38">
        <v>0</v>
      </c>
      <c r="BR135" s="38">
        <v>0</v>
      </c>
      <c r="BS135" s="38">
        <v>0</v>
      </c>
      <c r="BT135" s="38">
        <v>0</v>
      </c>
      <c r="BU135" s="38">
        <v>0</v>
      </c>
      <c r="BV135" s="38">
        <v>0</v>
      </c>
      <c r="BW135" s="38">
        <v>0</v>
      </c>
      <c r="BX135" s="38">
        <v>1820.4419282136041</v>
      </c>
      <c r="BY135" s="38">
        <v>546.06150749877509</v>
      </c>
      <c r="BZ135" s="38">
        <v>0</v>
      </c>
      <c r="CA135" s="38">
        <v>0</v>
      </c>
      <c r="CB135" s="38">
        <v>1989.2969353836063</v>
      </c>
      <c r="CC135" s="38">
        <v>2366.5034357123791</v>
      </c>
      <c r="CD135" s="50">
        <v>0.84060597815476068</v>
      </c>
      <c r="CE135" s="38">
        <v>51.736251929647075</v>
      </c>
      <c r="CF135" s="38">
        <v>20.316201774962785</v>
      </c>
      <c r="CG135" s="38">
        <v>0</v>
      </c>
      <c r="CH135" s="38">
        <v>20.316201774962785</v>
      </c>
      <c r="CI135" s="38">
        <v>1.0158036087837372</v>
      </c>
      <c r="CJ135" s="38">
        <v>0</v>
      </c>
      <c r="CK135" s="38">
        <v>1.0158036087837372</v>
      </c>
      <c r="CL135" s="38"/>
      <c r="CM135" s="38">
        <v>0</v>
      </c>
      <c r="CN135" s="38"/>
      <c r="CO135" s="38">
        <v>0</v>
      </c>
      <c r="CP135" s="38">
        <v>0</v>
      </c>
      <c r="CQ135" s="38">
        <v>0</v>
      </c>
      <c r="CR135" s="38">
        <v>0</v>
      </c>
      <c r="CS135" s="38">
        <v>0</v>
      </c>
      <c r="CT135" s="38">
        <v>0</v>
      </c>
      <c r="CU135" s="38">
        <v>0</v>
      </c>
      <c r="CV135" s="38">
        <v>9999</v>
      </c>
      <c r="CW135" s="49">
        <v>9999</v>
      </c>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row>
    <row r="136" spans="1:131">
      <c r="A136" s="27" t="s">
        <v>238</v>
      </c>
      <c r="B136" s="27"/>
      <c r="C136" s="38">
        <v>45</v>
      </c>
      <c r="D136" s="38">
        <v>2581.7614686726752</v>
      </c>
      <c r="E136" s="38">
        <v>0</v>
      </c>
      <c r="F136" s="38">
        <v>3567.2363679851774</v>
      </c>
      <c r="G136" s="38">
        <v>0</v>
      </c>
      <c r="H136" s="38">
        <v>0</v>
      </c>
      <c r="I136" s="38"/>
      <c r="J136" s="38"/>
      <c r="K136" s="38"/>
      <c r="L136" s="38">
        <v>2784.1219315778467</v>
      </c>
      <c r="M136" s="38">
        <v>1.4558698743459266</v>
      </c>
      <c r="N136" s="38">
        <v>1.4453620584683933</v>
      </c>
      <c r="O136" s="38">
        <v>0</v>
      </c>
      <c r="P136" s="38">
        <v>0</v>
      </c>
      <c r="Q136" s="38">
        <v>0</v>
      </c>
      <c r="R136" s="38">
        <v>466.57926777311775</v>
      </c>
      <c r="S136" s="38">
        <v>1078.1937215176504</v>
      </c>
      <c r="T136" s="38">
        <v>0</v>
      </c>
      <c r="U136" s="38">
        <v>833.69411119175277</v>
      </c>
      <c r="V136" s="38">
        <v>214.03418207911065</v>
      </c>
      <c r="W136" s="38">
        <v>499.41309151792484</v>
      </c>
      <c r="X136" s="38">
        <v>0</v>
      </c>
      <c r="Y136" s="38">
        <v>0</v>
      </c>
      <c r="Z136" s="38">
        <v>0</v>
      </c>
      <c r="AA136" s="38">
        <v>0</v>
      </c>
      <c r="AB136" s="38">
        <v>0</v>
      </c>
      <c r="AC136" s="38">
        <v>0</v>
      </c>
      <c r="AD136" s="38">
        <v>0</v>
      </c>
      <c r="AE136" s="38">
        <v>0</v>
      </c>
      <c r="AF136" s="38">
        <v>0</v>
      </c>
      <c r="AG136" s="38">
        <v>0</v>
      </c>
      <c r="AH136" s="38">
        <v>680.61344985222843</v>
      </c>
      <c r="AI136" s="38">
        <v>1577.6068130355752</v>
      </c>
      <c r="AJ136" s="38">
        <v>0</v>
      </c>
      <c r="AK136" s="38">
        <v>833.69411119175277</v>
      </c>
      <c r="AL136" s="38">
        <v>3091.9143740795562</v>
      </c>
      <c r="AM136" s="38">
        <v>1466.4721601000151</v>
      </c>
      <c r="AN136" s="38">
        <v>514.42941441237417</v>
      </c>
      <c r="AO136" s="38">
        <v>0</v>
      </c>
      <c r="AP136" s="38">
        <v>0</v>
      </c>
      <c r="AQ136" s="38">
        <v>1980.9015745123893</v>
      </c>
      <c r="AR136" s="38">
        <v>680.61344985222843</v>
      </c>
      <c r="AS136" s="49">
        <v>2.9104649268134111</v>
      </c>
      <c r="AT136" s="38">
        <v>1466.4721601000151</v>
      </c>
      <c r="AU136" s="38">
        <v>608.93120389781154</v>
      </c>
      <c r="AV136" s="38">
        <v>0</v>
      </c>
      <c r="AW136" s="38">
        <v>0</v>
      </c>
      <c r="AX136" s="38">
        <v>2075.4033639978265</v>
      </c>
      <c r="AY136" s="38">
        <v>1577.6068130355752</v>
      </c>
      <c r="AZ136" s="49">
        <v>1.3155390474033317</v>
      </c>
      <c r="BA136" s="38">
        <v>1466.4721601000151</v>
      </c>
      <c r="BB136" s="38">
        <v>1123.3606183101856</v>
      </c>
      <c r="BC136" s="38">
        <v>0</v>
      </c>
      <c r="BD136" s="38">
        <v>0</v>
      </c>
      <c r="BE136" s="38">
        <v>2589.8327784102007</v>
      </c>
      <c r="BF136" s="38">
        <v>2258.220262887804</v>
      </c>
      <c r="BG136" s="38">
        <v>29.9932837273481</v>
      </c>
      <c r="BH136" s="49">
        <v>1.1468468426097336</v>
      </c>
      <c r="BI136" s="38">
        <v>17.987979753800204</v>
      </c>
      <c r="BJ136" s="38">
        <v>41.694679143502789</v>
      </c>
      <c r="BK136" s="38">
        <v>0</v>
      </c>
      <c r="BL136" s="38">
        <v>22.03375909811313</v>
      </c>
      <c r="BM136" s="38">
        <v>81.716417995416123</v>
      </c>
      <c r="BN136" s="38">
        <v>1466.4721601000151</v>
      </c>
      <c r="BO136" s="38">
        <v>0</v>
      </c>
      <c r="BP136" s="38">
        <v>1123.3606183101856</v>
      </c>
      <c r="BQ136" s="38">
        <v>0</v>
      </c>
      <c r="BR136" s="38">
        <v>0</v>
      </c>
      <c r="BS136" s="38">
        <v>0</v>
      </c>
      <c r="BT136" s="38">
        <v>0</v>
      </c>
      <c r="BU136" s="38">
        <v>0</v>
      </c>
      <c r="BV136" s="38">
        <v>0</v>
      </c>
      <c r="BW136" s="38">
        <v>0</v>
      </c>
      <c r="BX136" s="38">
        <v>2378.4671004825209</v>
      </c>
      <c r="BY136" s="38">
        <v>713.44727359703552</v>
      </c>
      <c r="BZ136" s="38">
        <v>0</v>
      </c>
      <c r="CA136" s="38">
        <v>0</v>
      </c>
      <c r="CB136" s="38">
        <v>2589.8327784102007</v>
      </c>
      <c r="CC136" s="38">
        <v>3091.9143740795562</v>
      </c>
      <c r="CD136" s="50">
        <v>0.83761465069069962</v>
      </c>
      <c r="CE136" s="38">
        <v>52.027042825461216</v>
      </c>
      <c r="CF136" s="38">
        <v>26.449327073159179</v>
      </c>
      <c r="CG136" s="38">
        <v>0</v>
      </c>
      <c r="CH136" s="38">
        <v>26.449327073159179</v>
      </c>
      <c r="CI136" s="38">
        <v>1.3224579174994768</v>
      </c>
      <c r="CJ136" s="38">
        <v>0</v>
      </c>
      <c r="CK136" s="38">
        <v>1.3224579174994768</v>
      </c>
      <c r="CL136" s="38"/>
      <c r="CM136" s="38">
        <v>0</v>
      </c>
      <c r="CN136" s="38"/>
      <c r="CO136" s="38">
        <v>0</v>
      </c>
      <c r="CP136" s="38">
        <v>0</v>
      </c>
      <c r="CQ136" s="38">
        <v>0</v>
      </c>
      <c r="CR136" s="38">
        <v>0</v>
      </c>
      <c r="CS136" s="38">
        <v>0</v>
      </c>
      <c r="CT136" s="38">
        <v>0</v>
      </c>
      <c r="CU136" s="38">
        <v>0</v>
      </c>
      <c r="CV136" s="38">
        <v>9999</v>
      </c>
      <c r="CW136" s="49">
        <v>9999</v>
      </c>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row>
    <row r="137" spans="1:131">
      <c r="A137" s="27" t="s">
        <v>246</v>
      </c>
      <c r="B137" s="27"/>
      <c r="C137" s="38">
        <v>45</v>
      </c>
      <c r="D137" s="38">
        <v>1971.0088610812727</v>
      </c>
      <c r="E137" s="38">
        <v>0</v>
      </c>
      <c r="F137" s="38">
        <v>2730.3075374938753</v>
      </c>
      <c r="G137" s="38">
        <v>0</v>
      </c>
      <c r="H137" s="38">
        <v>0</v>
      </c>
      <c r="I137" s="38"/>
      <c r="J137" s="38"/>
      <c r="K137" s="38"/>
      <c r="L137" s="38">
        <v>2125.4980617136061</v>
      </c>
      <c r="M137" s="38">
        <v>1.1114630293062562</v>
      </c>
      <c r="N137" s="38">
        <v>1.1034409875891813</v>
      </c>
      <c r="O137" s="38">
        <v>0</v>
      </c>
      <c r="P137" s="38">
        <v>0</v>
      </c>
      <c r="Q137" s="38">
        <v>0</v>
      </c>
      <c r="R137" s="38">
        <v>357.11255443351382</v>
      </c>
      <c r="S137" s="38">
        <v>825.23279678293693</v>
      </c>
      <c r="T137" s="38">
        <v>0</v>
      </c>
      <c r="U137" s="38">
        <v>638.09657699715342</v>
      </c>
      <c r="V137" s="38">
        <v>163.81845224963251</v>
      </c>
      <c r="W137" s="38">
        <v>382.24305524914251</v>
      </c>
      <c r="X137" s="38">
        <v>0</v>
      </c>
      <c r="Y137" s="38">
        <v>0</v>
      </c>
      <c r="Z137" s="38">
        <v>0</v>
      </c>
      <c r="AA137" s="38">
        <v>0</v>
      </c>
      <c r="AB137" s="38">
        <v>0</v>
      </c>
      <c r="AC137" s="38">
        <v>0</v>
      </c>
      <c r="AD137" s="38">
        <v>0</v>
      </c>
      <c r="AE137" s="38">
        <v>0</v>
      </c>
      <c r="AF137" s="38">
        <v>0</v>
      </c>
      <c r="AG137" s="38">
        <v>0</v>
      </c>
      <c r="AH137" s="38">
        <v>520.93100668314628</v>
      </c>
      <c r="AI137" s="38">
        <v>1207.4758520320795</v>
      </c>
      <c r="AJ137" s="38">
        <v>0</v>
      </c>
      <c r="AK137" s="38">
        <v>638.09657699715342</v>
      </c>
      <c r="AL137" s="38">
        <v>2366.5034357123791</v>
      </c>
      <c r="AM137" s="38">
        <v>1119.5571926991927</v>
      </c>
      <c r="AN137" s="38">
        <v>392.73377750459855</v>
      </c>
      <c r="AO137" s="38">
        <v>0</v>
      </c>
      <c r="AP137" s="38">
        <v>0</v>
      </c>
      <c r="AQ137" s="38">
        <v>1512.2909702037912</v>
      </c>
      <c r="AR137" s="38">
        <v>520.93100668314628</v>
      </c>
      <c r="AS137" s="49">
        <v>2.903054244808343</v>
      </c>
      <c r="AT137" s="38">
        <v>1119.5571926991927</v>
      </c>
      <c r="AU137" s="38">
        <v>464.87981683626271</v>
      </c>
      <c r="AV137" s="38">
        <v>0</v>
      </c>
      <c r="AW137" s="38">
        <v>0</v>
      </c>
      <c r="AX137" s="38">
        <v>1584.4370095354554</v>
      </c>
      <c r="AY137" s="38">
        <v>1207.4758520320795</v>
      </c>
      <c r="AZ137" s="49">
        <v>1.3121893964744573</v>
      </c>
      <c r="BA137" s="38">
        <v>1119.5571926991927</v>
      </c>
      <c r="BB137" s="38">
        <v>857.61359434086125</v>
      </c>
      <c r="BC137" s="38">
        <v>0</v>
      </c>
      <c r="BD137" s="38">
        <v>0</v>
      </c>
      <c r="BE137" s="38">
        <v>1977.1707870400539</v>
      </c>
      <c r="BF137" s="38">
        <v>1728.4068587152258</v>
      </c>
      <c r="BG137" s="38">
        <v>30.14563679036641</v>
      </c>
      <c r="BH137" s="49">
        <v>1.1439267190305769</v>
      </c>
      <c r="BI137" s="38">
        <v>18.033898013201458</v>
      </c>
      <c r="BJ137" s="38">
        <v>41.801113947119866</v>
      </c>
      <c r="BK137" s="38">
        <v>0</v>
      </c>
      <c r="BL137" s="38">
        <v>22.090005095701507</v>
      </c>
      <c r="BM137" s="38">
        <v>81.925017056022824</v>
      </c>
      <c r="BN137" s="38">
        <v>1119.5571926991927</v>
      </c>
      <c r="BO137" s="38">
        <v>0</v>
      </c>
      <c r="BP137" s="38">
        <v>857.61359434086125</v>
      </c>
      <c r="BQ137" s="38">
        <v>0</v>
      </c>
      <c r="BR137" s="38">
        <v>0</v>
      </c>
      <c r="BS137" s="38">
        <v>0</v>
      </c>
      <c r="BT137" s="38">
        <v>0</v>
      </c>
      <c r="BU137" s="38">
        <v>0</v>
      </c>
      <c r="BV137" s="38">
        <v>0</v>
      </c>
      <c r="BW137" s="38">
        <v>0</v>
      </c>
      <c r="BX137" s="38">
        <v>1820.4419282136041</v>
      </c>
      <c r="BY137" s="38">
        <v>546.06150749877509</v>
      </c>
      <c r="BZ137" s="38">
        <v>0</v>
      </c>
      <c r="CA137" s="38">
        <v>0</v>
      </c>
      <c r="CB137" s="38">
        <v>1977.1707870400539</v>
      </c>
      <c r="CC137" s="38">
        <v>2366.5034357123791</v>
      </c>
      <c r="CD137" s="50">
        <v>0.83548190009066015</v>
      </c>
      <c r="CE137" s="38">
        <v>52.23564188606791</v>
      </c>
      <c r="CF137" s="38">
        <v>20.192360395569544</v>
      </c>
      <c r="CG137" s="38">
        <v>0</v>
      </c>
      <c r="CH137" s="38">
        <v>20.192360395569544</v>
      </c>
      <c r="CI137" s="38">
        <v>1.0096115793139628</v>
      </c>
      <c r="CJ137" s="38">
        <v>0</v>
      </c>
      <c r="CK137" s="38">
        <v>1.0096115793139628</v>
      </c>
      <c r="CL137" s="38"/>
      <c r="CM137" s="38">
        <v>0</v>
      </c>
      <c r="CN137" s="38"/>
      <c r="CO137" s="38">
        <v>0</v>
      </c>
      <c r="CP137" s="38">
        <v>0</v>
      </c>
      <c r="CQ137" s="38">
        <v>0</v>
      </c>
      <c r="CR137" s="38">
        <v>0</v>
      </c>
      <c r="CS137" s="38">
        <v>0</v>
      </c>
      <c r="CT137" s="38">
        <v>0</v>
      </c>
      <c r="CU137" s="38">
        <v>0</v>
      </c>
      <c r="CV137" s="38">
        <v>9999</v>
      </c>
      <c r="CW137" s="49">
        <v>9999</v>
      </c>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row>
    <row r="138" spans="1:131">
      <c r="A138" s="27" t="s">
        <v>222</v>
      </c>
      <c r="B138" s="27"/>
      <c r="C138" s="38">
        <v>45</v>
      </c>
      <c r="D138" s="38">
        <v>211.22672567616448</v>
      </c>
      <c r="E138" s="38">
        <v>0</v>
      </c>
      <c r="F138" s="38">
        <v>315.42921929554086</v>
      </c>
      <c r="G138" s="38">
        <v>0</v>
      </c>
      <c r="H138" s="38">
        <v>0</v>
      </c>
      <c r="I138" s="38"/>
      <c r="J138" s="38"/>
      <c r="K138" s="38"/>
      <c r="L138" s="38">
        <v>227.78283998200996</v>
      </c>
      <c r="M138" s="38">
        <v>0.11911194364782247</v>
      </c>
      <c r="N138" s="38">
        <v>0.11825224705355869</v>
      </c>
      <c r="O138" s="38">
        <v>0</v>
      </c>
      <c r="P138" s="38">
        <v>0</v>
      </c>
      <c r="Q138" s="38">
        <v>0</v>
      </c>
      <c r="R138" s="38">
        <v>41.256793492572733</v>
      </c>
      <c r="S138" s="38">
        <v>95.338174638468317</v>
      </c>
      <c r="T138" s="38">
        <v>0</v>
      </c>
      <c r="U138" s="38">
        <v>73.718547216156082</v>
      </c>
      <c r="V138" s="38">
        <v>18.925753157732451</v>
      </c>
      <c r="W138" s="38">
        <v>44.160090701375722</v>
      </c>
      <c r="X138" s="38">
        <v>0</v>
      </c>
      <c r="Y138" s="38">
        <v>0</v>
      </c>
      <c r="Z138" s="38">
        <v>0</v>
      </c>
      <c r="AA138" s="38">
        <v>0</v>
      </c>
      <c r="AB138" s="38">
        <v>0</v>
      </c>
      <c r="AC138" s="38">
        <v>0</v>
      </c>
      <c r="AD138" s="38">
        <v>0</v>
      </c>
      <c r="AE138" s="38">
        <v>0</v>
      </c>
      <c r="AF138" s="38">
        <v>0</v>
      </c>
      <c r="AG138" s="38">
        <v>0</v>
      </c>
      <c r="AH138" s="38">
        <v>60.182546650305184</v>
      </c>
      <c r="AI138" s="38">
        <v>139.49826533984404</v>
      </c>
      <c r="AJ138" s="38">
        <v>0</v>
      </c>
      <c r="AK138" s="38">
        <v>73.718547216156082</v>
      </c>
      <c r="AL138" s="38">
        <v>273.39935920630529</v>
      </c>
      <c r="AM138" s="38">
        <v>119.97936929178418</v>
      </c>
      <c r="AN138" s="38">
        <v>42.088024829690013</v>
      </c>
      <c r="AO138" s="38">
        <v>0</v>
      </c>
      <c r="AP138" s="38">
        <v>0</v>
      </c>
      <c r="AQ138" s="38">
        <v>162.06739412147419</v>
      </c>
      <c r="AR138" s="38">
        <v>60.182546650305184</v>
      </c>
      <c r="AS138" s="49">
        <v>2.6929301457310855</v>
      </c>
      <c r="AT138" s="38">
        <v>119.97936929178418</v>
      </c>
      <c r="AU138" s="38">
        <v>49.81968548299178</v>
      </c>
      <c r="AV138" s="38">
        <v>0</v>
      </c>
      <c r="AW138" s="38">
        <v>0</v>
      </c>
      <c r="AX138" s="38">
        <v>169.79905477477595</v>
      </c>
      <c r="AY138" s="38">
        <v>139.49826533984404</v>
      </c>
      <c r="AZ138" s="49">
        <v>1.2172126611116882</v>
      </c>
      <c r="BA138" s="38">
        <v>119.97936929178418</v>
      </c>
      <c r="BB138" s="38">
        <v>91.907710312681786</v>
      </c>
      <c r="BC138" s="38">
        <v>0</v>
      </c>
      <c r="BD138" s="38">
        <v>0</v>
      </c>
      <c r="BE138" s="38">
        <v>211.88707960446595</v>
      </c>
      <c r="BF138" s="38">
        <v>199.68081199014921</v>
      </c>
      <c r="BG138" s="38">
        <v>34.814446340205663</v>
      </c>
      <c r="BH138" s="49">
        <v>1.0611288961250764</v>
      </c>
      <c r="BI138" s="38">
        <v>19.441047982866309</v>
      </c>
      <c r="BJ138" s="38">
        <v>45.062773527294262</v>
      </c>
      <c r="BK138" s="38">
        <v>0</v>
      </c>
      <c r="BL138" s="38">
        <v>23.813645208202871</v>
      </c>
      <c r="BM138" s="38">
        <v>88.317466718363434</v>
      </c>
      <c r="BN138" s="38">
        <v>119.97936929178418</v>
      </c>
      <c r="BO138" s="38">
        <v>0</v>
      </c>
      <c r="BP138" s="38">
        <v>91.907710312681786</v>
      </c>
      <c r="BQ138" s="38">
        <v>0</v>
      </c>
      <c r="BR138" s="38">
        <v>0</v>
      </c>
      <c r="BS138" s="38">
        <v>0</v>
      </c>
      <c r="BT138" s="38">
        <v>0</v>
      </c>
      <c r="BU138" s="38">
        <v>0</v>
      </c>
      <c r="BV138" s="38">
        <v>0</v>
      </c>
      <c r="BW138" s="38">
        <v>0</v>
      </c>
      <c r="BX138" s="38">
        <v>210.31351534719713</v>
      </c>
      <c r="BY138" s="38">
        <v>63.085843859108174</v>
      </c>
      <c r="BZ138" s="38">
        <v>0</v>
      </c>
      <c r="CA138" s="38">
        <v>0</v>
      </c>
      <c r="CB138" s="38">
        <v>211.88707960446598</v>
      </c>
      <c r="CC138" s="38">
        <v>273.39935920630529</v>
      </c>
      <c r="CD138" s="50">
        <v>0.77500942291740138</v>
      </c>
      <c r="CE138" s="38">
        <v>58.628091548408534</v>
      </c>
      <c r="CF138" s="38">
        <v>2.1639507839094114</v>
      </c>
      <c r="CG138" s="38">
        <v>0</v>
      </c>
      <c r="CH138" s="38">
        <v>2.1639507839094114</v>
      </c>
      <c r="CI138" s="38">
        <v>0.10819684899145474</v>
      </c>
      <c r="CJ138" s="38">
        <v>0</v>
      </c>
      <c r="CK138" s="38">
        <v>0.10819684899145474</v>
      </c>
      <c r="CL138" s="38"/>
      <c r="CM138" s="38">
        <v>0</v>
      </c>
      <c r="CN138" s="38"/>
      <c r="CO138" s="38">
        <v>0</v>
      </c>
      <c r="CP138" s="38">
        <v>0</v>
      </c>
      <c r="CQ138" s="38">
        <v>0</v>
      </c>
      <c r="CR138" s="38">
        <v>0</v>
      </c>
      <c r="CS138" s="38">
        <v>0</v>
      </c>
      <c r="CT138" s="38">
        <v>0</v>
      </c>
      <c r="CU138" s="38">
        <v>0</v>
      </c>
      <c r="CV138" s="38">
        <v>9999</v>
      </c>
      <c r="CW138" s="49">
        <v>9999</v>
      </c>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row>
    <row r="139" spans="1:131">
      <c r="A139" s="27" t="s">
        <v>227</v>
      </c>
      <c r="B139" s="27"/>
      <c r="C139" s="38">
        <v>45</v>
      </c>
      <c r="D139" s="38">
        <v>2298.216537980767</v>
      </c>
      <c r="E139" s="38">
        <v>0</v>
      </c>
      <c r="F139" s="38">
        <v>3567.2363679851778</v>
      </c>
      <c r="G139" s="38">
        <v>0</v>
      </c>
      <c r="H139" s="38">
        <v>0</v>
      </c>
      <c r="I139" s="38"/>
      <c r="J139" s="38"/>
      <c r="K139" s="38"/>
      <c r="L139" s="38">
        <v>2478.352529676858</v>
      </c>
      <c r="M139" s="38">
        <v>1.2959772864260666</v>
      </c>
      <c r="N139" s="38">
        <v>1.2866235035453344</v>
      </c>
      <c r="O139" s="38">
        <v>0</v>
      </c>
      <c r="P139" s="38">
        <v>0</v>
      </c>
      <c r="Q139" s="38">
        <v>0</v>
      </c>
      <c r="R139" s="38">
        <v>466.57926777311775</v>
      </c>
      <c r="S139" s="38">
        <v>1078.1937215176506</v>
      </c>
      <c r="T139" s="38">
        <v>0</v>
      </c>
      <c r="U139" s="38">
        <v>833.69411119175277</v>
      </c>
      <c r="V139" s="38">
        <v>214.03418207911068</v>
      </c>
      <c r="W139" s="38">
        <v>499.4130915179249</v>
      </c>
      <c r="X139" s="38">
        <v>0</v>
      </c>
      <c r="Y139" s="38">
        <v>0</v>
      </c>
      <c r="Z139" s="38">
        <v>0</v>
      </c>
      <c r="AA139" s="38">
        <v>0</v>
      </c>
      <c r="AB139" s="38">
        <v>0</v>
      </c>
      <c r="AC139" s="38">
        <v>0</v>
      </c>
      <c r="AD139" s="38">
        <v>0</v>
      </c>
      <c r="AE139" s="38">
        <v>0</v>
      </c>
      <c r="AF139" s="38">
        <v>0</v>
      </c>
      <c r="AG139" s="38">
        <v>0</v>
      </c>
      <c r="AH139" s="38">
        <v>680.61344985222843</v>
      </c>
      <c r="AI139" s="38">
        <v>1577.6068130355754</v>
      </c>
      <c r="AJ139" s="38">
        <v>0</v>
      </c>
      <c r="AK139" s="38">
        <v>833.69411119175277</v>
      </c>
      <c r="AL139" s="38">
        <v>3091.9143740795566</v>
      </c>
      <c r="AM139" s="38">
        <v>1305.4151639202153</v>
      </c>
      <c r="AN139" s="38">
        <v>457.93161071309345</v>
      </c>
      <c r="AO139" s="38">
        <v>0</v>
      </c>
      <c r="AP139" s="38">
        <v>0</v>
      </c>
      <c r="AQ139" s="38">
        <v>1763.3467746333088</v>
      </c>
      <c r="AR139" s="38">
        <v>680.61344985222843</v>
      </c>
      <c r="AS139" s="49">
        <v>2.5908197597566698</v>
      </c>
      <c r="AT139" s="38">
        <v>1305.4151639202153</v>
      </c>
      <c r="AU139" s="38">
        <v>542.05463218489012</v>
      </c>
      <c r="AV139" s="38">
        <v>0</v>
      </c>
      <c r="AW139" s="38">
        <v>0</v>
      </c>
      <c r="AX139" s="38">
        <v>1847.4697961051054</v>
      </c>
      <c r="AY139" s="38">
        <v>1577.6068130355754</v>
      </c>
      <c r="AZ139" s="49">
        <v>1.1710584543878009</v>
      </c>
      <c r="BA139" s="38">
        <v>1305.4151639202153</v>
      </c>
      <c r="BB139" s="38">
        <v>999.98624289798363</v>
      </c>
      <c r="BC139" s="38">
        <v>0</v>
      </c>
      <c r="BD139" s="38">
        <v>0</v>
      </c>
      <c r="BE139" s="38">
        <v>2305.4014068181987</v>
      </c>
      <c r="BF139" s="38">
        <v>2258.220262887804</v>
      </c>
      <c r="BG139" s="38">
        <v>37.35669579095331</v>
      </c>
      <c r="BH139" s="49">
        <v>1.0208930655285413</v>
      </c>
      <c r="BI139" s="38">
        <v>20.207266051800641</v>
      </c>
      <c r="BJ139" s="38">
        <v>46.838804909107559</v>
      </c>
      <c r="BK139" s="38">
        <v>0</v>
      </c>
      <c r="BL139" s="38">
        <v>24.752197762663794</v>
      </c>
      <c r="BM139" s="38">
        <v>91.798268723571994</v>
      </c>
      <c r="BN139" s="38">
        <v>1305.4151639202153</v>
      </c>
      <c r="BO139" s="38">
        <v>0</v>
      </c>
      <c r="BP139" s="38">
        <v>999.98624289798363</v>
      </c>
      <c r="BQ139" s="38">
        <v>0</v>
      </c>
      <c r="BR139" s="38">
        <v>0</v>
      </c>
      <c r="BS139" s="38">
        <v>0</v>
      </c>
      <c r="BT139" s="38">
        <v>0</v>
      </c>
      <c r="BU139" s="38">
        <v>0</v>
      </c>
      <c r="BV139" s="38">
        <v>0</v>
      </c>
      <c r="BW139" s="38">
        <v>0</v>
      </c>
      <c r="BX139" s="38">
        <v>2378.4671004825209</v>
      </c>
      <c r="BY139" s="38">
        <v>713.44727359703563</v>
      </c>
      <c r="BZ139" s="38">
        <v>0</v>
      </c>
      <c r="CA139" s="38">
        <v>0</v>
      </c>
      <c r="CB139" s="38">
        <v>2305.4014068181987</v>
      </c>
      <c r="CC139" s="38">
        <v>3091.9143740795566</v>
      </c>
      <c r="CD139" s="50">
        <v>0.74562265570646735</v>
      </c>
      <c r="CE139" s="38">
        <v>62.108893553617094</v>
      </c>
      <c r="CF139" s="38">
        <v>23.544499224883111</v>
      </c>
      <c r="CG139" s="38">
        <v>0</v>
      </c>
      <c r="CH139" s="38">
        <v>23.544499224883111</v>
      </c>
      <c r="CI139" s="38">
        <v>1.1772174515965077</v>
      </c>
      <c r="CJ139" s="38">
        <v>0</v>
      </c>
      <c r="CK139" s="38">
        <v>1.1772174515965077</v>
      </c>
      <c r="CL139" s="38"/>
      <c r="CM139" s="38">
        <v>0</v>
      </c>
      <c r="CN139" s="38"/>
      <c r="CO139" s="38">
        <v>0</v>
      </c>
      <c r="CP139" s="38">
        <v>0</v>
      </c>
      <c r="CQ139" s="38">
        <v>0</v>
      </c>
      <c r="CR139" s="38">
        <v>0</v>
      </c>
      <c r="CS139" s="38">
        <v>0</v>
      </c>
      <c r="CT139" s="38">
        <v>0</v>
      </c>
      <c r="CU139" s="38">
        <v>0</v>
      </c>
      <c r="CV139" s="38">
        <v>9999</v>
      </c>
      <c r="CW139" s="49">
        <v>9999</v>
      </c>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row>
    <row r="140" spans="1:131">
      <c r="A140" s="27" t="s">
        <v>243</v>
      </c>
      <c r="B140" s="27"/>
      <c r="C140" s="38">
        <v>45</v>
      </c>
      <c r="D140" s="38">
        <v>270.93400411494554</v>
      </c>
      <c r="E140" s="38">
        <v>0</v>
      </c>
      <c r="F140" s="38">
        <v>444.29060237385954</v>
      </c>
      <c r="G140" s="38">
        <v>0</v>
      </c>
      <c r="H140" s="38">
        <v>0</v>
      </c>
      <c r="I140" s="38"/>
      <c r="J140" s="38"/>
      <c r="K140" s="38"/>
      <c r="L140" s="38">
        <v>292.170021134612</v>
      </c>
      <c r="M140" s="38">
        <v>0.15278121519477739</v>
      </c>
      <c r="N140" s="38">
        <v>0.15167850889725629</v>
      </c>
      <c r="O140" s="38">
        <v>0</v>
      </c>
      <c r="P140" s="38">
        <v>0</v>
      </c>
      <c r="Q140" s="38">
        <v>0</v>
      </c>
      <c r="R140" s="38">
        <v>58.111311544840746</v>
      </c>
      <c r="S140" s="38">
        <v>134.28640229953521</v>
      </c>
      <c r="T140" s="38">
        <v>0</v>
      </c>
      <c r="U140" s="38">
        <v>103.83457126115013</v>
      </c>
      <c r="V140" s="38">
        <v>26.657436142431575</v>
      </c>
      <c r="W140" s="38">
        <v>62.200684332340337</v>
      </c>
      <c r="X140" s="38">
        <v>0</v>
      </c>
      <c r="Y140" s="38">
        <v>0</v>
      </c>
      <c r="Z140" s="38">
        <v>0</v>
      </c>
      <c r="AA140" s="38">
        <v>0</v>
      </c>
      <c r="AB140" s="38">
        <v>0</v>
      </c>
      <c r="AC140" s="38">
        <v>0</v>
      </c>
      <c r="AD140" s="38">
        <v>0</v>
      </c>
      <c r="AE140" s="38">
        <v>0</v>
      </c>
      <c r="AF140" s="38">
        <v>0</v>
      </c>
      <c r="AG140" s="38">
        <v>0</v>
      </c>
      <c r="AH140" s="38">
        <v>84.768747687272324</v>
      </c>
      <c r="AI140" s="38">
        <v>196.48708663187554</v>
      </c>
      <c r="AJ140" s="38">
        <v>0</v>
      </c>
      <c r="AK140" s="38">
        <v>103.83457126115013</v>
      </c>
      <c r="AL140" s="38">
        <v>385.09040558029801</v>
      </c>
      <c r="AM140" s="38">
        <v>153.89383530588418</v>
      </c>
      <c r="AN140" s="38">
        <v>53.985010920821757</v>
      </c>
      <c r="AO140" s="38">
        <v>0</v>
      </c>
      <c r="AP140" s="38">
        <v>0</v>
      </c>
      <c r="AQ140" s="38">
        <v>207.87884622670595</v>
      </c>
      <c r="AR140" s="38">
        <v>84.768747687272324</v>
      </c>
      <c r="AS140" s="49">
        <v>2.4523052645959766</v>
      </c>
      <c r="AT140" s="38">
        <v>153.89383530588418</v>
      </c>
      <c r="AU140" s="38">
        <v>63.902173498385729</v>
      </c>
      <c r="AV140" s="38">
        <v>0</v>
      </c>
      <c r="AW140" s="38">
        <v>0</v>
      </c>
      <c r="AX140" s="38">
        <v>217.79600880426992</v>
      </c>
      <c r="AY140" s="38">
        <v>196.48708663187554</v>
      </c>
      <c r="AZ140" s="49">
        <v>1.1084494789844244</v>
      </c>
      <c r="BA140" s="38">
        <v>153.89383530588418</v>
      </c>
      <c r="BB140" s="38">
        <v>117.88718441920749</v>
      </c>
      <c r="BC140" s="38">
        <v>0</v>
      </c>
      <c r="BD140" s="38">
        <v>0</v>
      </c>
      <c r="BE140" s="38">
        <v>271.78101972509165</v>
      </c>
      <c r="BF140" s="38">
        <v>281.25583431914788</v>
      </c>
      <c r="BG140" s="38">
        <v>41.143684631915598</v>
      </c>
      <c r="BH140" s="50">
        <v>0.96631246915466673</v>
      </c>
      <c r="BI140" s="38">
        <v>21.348640780368161</v>
      </c>
      <c r="BJ140" s="38">
        <v>49.484419021502333</v>
      </c>
      <c r="BK140" s="38">
        <v>0</v>
      </c>
      <c r="BL140" s="38">
        <v>26.150285605442136</v>
      </c>
      <c r="BM140" s="38">
        <v>96.983345407312626</v>
      </c>
      <c r="BN140" s="38">
        <v>153.89383530588418</v>
      </c>
      <c r="BO140" s="38">
        <v>0</v>
      </c>
      <c r="BP140" s="38">
        <v>117.88718441920749</v>
      </c>
      <c r="BQ140" s="38">
        <v>0</v>
      </c>
      <c r="BR140" s="38">
        <v>0</v>
      </c>
      <c r="BS140" s="38">
        <v>0</v>
      </c>
      <c r="BT140" s="38">
        <v>0</v>
      </c>
      <c r="BU140" s="38">
        <v>0</v>
      </c>
      <c r="BV140" s="38">
        <v>0</v>
      </c>
      <c r="BW140" s="38">
        <v>0</v>
      </c>
      <c r="BX140" s="38">
        <v>296.2322851055261</v>
      </c>
      <c r="BY140" s="38">
        <v>88.858120474771908</v>
      </c>
      <c r="BZ140" s="38">
        <v>0</v>
      </c>
      <c r="CA140" s="38">
        <v>0</v>
      </c>
      <c r="CB140" s="38">
        <v>271.78101972509165</v>
      </c>
      <c r="CC140" s="38">
        <v>385.09040558029801</v>
      </c>
      <c r="CD140" s="50">
        <v>0.70575900044962459</v>
      </c>
      <c r="CE140" s="38">
        <v>67.293970237357726</v>
      </c>
      <c r="CF140" s="38">
        <v>2.7756329068467416</v>
      </c>
      <c r="CG140" s="38">
        <v>0</v>
      </c>
      <c r="CH140" s="38">
        <v>2.7756329068467416</v>
      </c>
      <c r="CI140" s="38">
        <v>0.13878076003894071</v>
      </c>
      <c r="CJ140" s="38">
        <v>0</v>
      </c>
      <c r="CK140" s="38">
        <v>0.13878076003894071</v>
      </c>
      <c r="CL140" s="38"/>
      <c r="CM140" s="38">
        <v>0</v>
      </c>
      <c r="CN140" s="38"/>
      <c r="CO140" s="38">
        <v>0</v>
      </c>
      <c r="CP140" s="38">
        <v>0</v>
      </c>
      <c r="CQ140" s="38">
        <v>0</v>
      </c>
      <c r="CR140" s="38">
        <v>0</v>
      </c>
      <c r="CS140" s="38">
        <v>0</v>
      </c>
      <c r="CT140" s="38">
        <v>0</v>
      </c>
      <c r="CU140" s="38">
        <v>0</v>
      </c>
      <c r="CV140" s="38">
        <v>9999</v>
      </c>
      <c r="CW140" s="49">
        <v>9999</v>
      </c>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row>
    <row r="141" spans="1:131">
      <c r="A141" s="27" t="s">
        <v>248</v>
      </c>
      <c r="B141" s="27"/>
      <c r="C141" s="38">
        <v>45</v>
      </c>
      <c r="D141" s="38">
        <v>2125.5702799692135</v>
      </c>
      <c r="E141" s="38">
        <v>0</v>
      </c>
      <c r="F141" s="38">
        <v>3567.2363679851778</v>
      </c>
      <c r="G141" s="38">
        <v>0</v>
      </c>
      <c r="H141" s="38">
        <v>0</v>
      </c>
      <c r="I141" s="38"/>
      <c r="J141" s="38"/>
      <c r="K141" s="38"/>
      <c r="L141" s="38">
        <v>2292.1741242868616</v>
      </c>
      <c r="M141" s="38">
        <v>1.1986210864023679</v>
      </c>
      <c r="N141" s="38">
        <v>1.1899699769146443</v>
      </c>
      <c r="O141" s="38">
        <v>0</v>
      </c>
      <c r="P141" s="38">
        <v>0</v>
      </c>
      <c r="Q141" s="38">
        <v>0</v>
      </c>
      <c r="R141" s="38">
        <v>466.57926777311775</v>
      </c>
      <c r="S141" s="38">
        <v>1078.1937215176506</v>
      </c>
      <c r="T141" s="38">
        <v>0</v>
      </c>
      <c r="U141" s="38">
        <v>833.69411119175277</v>
      </c>
      <c r="V141" s="38">
        <v>214.03418207911068</v>
      </c>
      <c r="W141" s="38">
        <v>499.4130915179249</v>
      </c>
      <c r="X141" s="38">
        <v>0</v>
      </c>
      <c r="Y141" s="38">
        <v>0</v>
      </c>
      <c r="Z141" s="38">
        <v>0</v>
      </c>
      <c r="AA141" s="38">
        <v>0</v>
      </c>
      <c r="AB141" s="38">
        <v>0</v>
      </c>
      <c r="AC141" s="38">
        <v>0</v>
      </c>
      <c r="AD141" s="38">
        <v>0</v>
      </c>
      <c r="AE141" s="38">
        <v>0</v>
      </c>
      <c r="AF141" s="38">
        <v>0</v>
      </c>
      <c r="AG141" s="38">
        <v>0</v>
      </c>
      <c r="AH141" s="38">
        <v>680.61344985222843</v>
      </c>
      <c r="AI141" s="38">
        <v>1577.6068130355754</v>
      </c>
      <c r="AJ141" s="38">
        <v>0</v>
      </c>
      <c r="AK141" s="38">
        <v>833.69411119175277</v>
      </c>
      <c r="AL141" s="38">
        <v>3091.9143740795566</v>
      </c>
      <c r="AM141" s="38">
        <v>1207.3499731613056</v>
      </c>
      <c r="AN141" s="38">
        <v>423.53094493236512</v>
      </c>
      <c r="AO141" s="38">
        <v>0</v>
      </c>
      <c r="AP141" s="38">
        <v>0</v>
      </c>
      <c r="AQ141" s="38">
        <v>1630.8809180936707</v>
      </c>
      <c r="AR141" s="38">
        <v>680.61344985222843</v>
      </c>
      <c r="AS141" s="49">
        <v>2.396192608958521</v>
      </c>
      <c r="AT141" s="38">
        <v>1207.3499731613056</v>
      </c>
      <c r="AU141" s="38">
        <v>501.33449013649397</v>
      </c>
      <c r="AV141" s="38">
        <v>0</v>
      </c>
      <c r="AW141" s="38">
        <v>0</v>
      </c>
      <c r="AX141" s="38">
        <v>1708.6844632977995</v>
      </c>
      <c r="AY141" s="38">
        <v>1577.6068130355754</v>
      </c>
      <c r="AZ141" s="49">
        <v>1.0830863870383578</v>
      </c>
      <c r="BA141" s="38">
        <v>1207.3499731613056</v>
      </c>
      <c r="BB141" s="38">
        <v>924.86543506885914</v>
      </c>
      <c r="BC141" s="38">
        <v>0</v>
      </c>
      <c r="BD141" s="38">
        <v>0</v>
      </c>
      <c r="BE141" s="38">
        <v>2132.2154082301645</v>
      </c>
      <c r="BF141" s="38">
        <v>2258.220262887804</v>
      </c>
      <c r="BG141" s="38">
        <v>42.802412347521617</v>
      </c>
      <c r="BH141" s="50">
        <v>0.94420169868792825</v>
      </c>
      <c r="BI141" s="38">
        <v>21.84857092953812</v>
      </c>
      <c r="BJ141" s="38">
        <v>50.643216587938397</v>
      </c>
      <c r="BK141" s="38">
        <v>0</v>
      </c>
      <c r="BL141" s="38">
        <v>26.762657902023548</v>
      </c>
      <c r="BM141" s="38">
        <v>99.254445419500058</v>
      </c>
      <c r="BN141" s="38">
        <v>1207.3499731613056</v>
      </c>
      <c r="BO141" s="38">
        <v>0</v>
      </c>
      <c r="BP141" s="38">
        <v>924.86543506885914</v>
      </c>
      <c r="BQ141" s="38">
        <v>0</v>
      </c>
      <c r="BR141" s="38">
        <v>0</v>
      </c>
      <c r="BS141" s="38">
        <v>0</v>
      </c>
      <c r="BT141" s="38">
        <v>0</v>
      </c>
      <c r="BU141" s="38">
        <v>0</v>
      </c>
      <c r="BV141" s="38">
        <v>0</v>
      </c>
      <c r="BW141" s="38">
        <v>0</v>
      </c>
      <c r="BX141" s="38">
        <v>2378.4671004825209</v>
      </c>
      <c r="BY141" s="38">
        <v>713.44727359703563</v>
      </c>
      <c r="BZ141" s="38">
        <v>0</v>
      </c>
      <c r="CA141" s="38">
        <v>0</v>
      </c>
      <c r="CB141" s="38">
        <v>2132.2154082301649</v>
      </c>
      <c r="CC141" s="38">
        <v>3091.9143740795566</v>
      </c>
      <c r="CD141" s="50">
        <v>0.68961010890377972</v>
      </c>
      <c r="CE141" s="38">
        <v>69.565070249545158</v>
      </c>
      <c r="CF141" s="38">
        <v>21.775793090906951</v>
      </c>
      <c r="CG141" s="38">
        <v>0</v>
      </c>
      <c r="CH141" s="38">
        <v>21.775793090906951</v>
      </c>
      <c r="CI141" s="38">
        <v>1.0887827090362592</v>
      </c>
      <c r="CJ141" s="38">
        <v>0</v>
      </c>
      <c r="CK141" s="38">
        <v>1.0887827090362592</v>
      </c>
      <c r="CL141" s="38"/>
      <c r="CM141" s="38">
        <v>0</v>
      </c>
      <c r="CN141" s="38"/>
      <c r="CO141" s="38">
        <v>0</v>
      </c>
      <c r="CP141" s="38">
        <v>0</v>
      </c>
      <c r="CQ141" s="38">
        <v>0</v>
      </c>
      <c r="CR141" s="38">
        <v>0</v>
      </c>
      <c r="CS141" s="38">
        <v>0</v>
      </c>
      <c r="CT141" s="38">
        <v>0</v>
      </c>
      <c r="CU141" s="38">
        <v>0</v>
      </c>
      <c r="CV141" s="38">
        <v>9999</v>
      </c>
      <c r="CW141" s="49">
        <v>9999</v>
      </c>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row>
    <row r="142" spans="1:131">
      <c r="A142" s="27" t="s">
        <v>239</v>
      </c>
      <c r="B142" s="27"/>
      <c r="C142" s="38">
        <v>45</v>
      </c>
      <c r="D142" s="38">
        <v>118.86206391348233</v>
      </c>
      <c r="E142" s="38">
        <v>0</v>
      </c>
      <c r="F142" s="38">
        <v>262.65009234084522</v>
      </c>
      <c r="G142" s="38">
        <v>0</v>
      </c>
      <c r="H142" s="38">
        <v>0</v>
      </c>
      <c r="I142" s="38"/>
      <c r="J142" s="38"/>
      <c r="K142" s="38"/>
      <c r="L142" s="38">
        <v>128.17856451481882</v>
      </c>
      <c r="M142" s="38">
        <v>6.7026989190905231E-2</v>
      </c>
      <c r="N142" s="38">
        <v>6.6543218440748134E-2</v>
      </c>
      <c r="O142" s="38">
        <v>0</v>
      </c>
      <c r="P142" s="38">
        <v>0</v>
      </c>
      <c r="Q142" s="38">
        <v>0</v>
      </c>
      <c r="R142" s="38">
        <v>34.353509306183021</v>
      </c>
      <c r="S142" s="38">
        <v>79.385734867319329</v>
      </c>
      <c r="T142" s="38">
        <v>0</v>
      </c>
      <c r="U142" s="38">
        <v>61.383607000006521</v>
      </c>
      <c r="V142" s="38">
        <v>15.759005540450714</v>
      </c>
      <c r="W142" s="38">
        <v>36.771012927718331</v>
      </c>
      <c r="X142" s="38">
        <v>0</v>
      </c>
      <c r="Y142" s="38">
        <v>0</v>
      </c>
      <c r="Z142" s="38">
        <v>0</v>
      </c>
      <c r="AA142" s="38">
        <v>0</v>
      </c>
      <c r="AB142" s="38">
        <v>0</v>
      </c>
      <c r="AC142" s="38">
        <v>0</v>
      </c>
      <c r="AD142" s="38">
        <v>0</v>
      </c>
      <c r="AE142" s="38">
        <v>0</v>
      </c>
      <c r="AF142" s="38">
        <v>0</v>
      </c>
      <c r="AG142" s="38">
        <v>0</v>
      </c>
      <c r="AH142" s="38">
        <v>50.112514846633736</v>
      </c>
      <c r="AI142" s="38">
        <v>116.15674779503766</v>
      </c>
      <c r="AJ142" s="38">
        <v>0</v>
      </c>
      <c r="AK142" s="38">
        <v>61.383607000006521</v>
      </c>
      <c r="AL142" s="38">
        <v>227.65286964167791</v>
      </c>
      <c r="AM142" s="38">
        <v>67.51510925243025</v>
      </c>
      <c r="AN142" s="38">
        <v>23.683885082650612</v>
      </c>
      <c r="AO142" s="38">
        <v>0</v>
      </c>
      <c r="AP142" s="38">
        <v>0</v>
      </c>
      <c r="AQ142" s="38">
        <v>91.198994335080869</v>
      </c>
      <c r="AR142" s="38">
        <v>50.112514846633736</v>
      </c>
      <c r="AS142" s="49">
        <v>1.8198846059550149</v>
      </c>
      <c r="AT142" s="38">
        <v>67.51510925243025</v>
      </c>
      <c r="AU142" s="38">
        <v>28.034665694281404</v>
      </c>
      <c r="AV142" s="38">
        <v>0</v>
      </c>
      <c r="AW142" s="38">
        <v>0</v>
      </c>
      <c r="AX142" s="38">
        <v>95.549774946711651</v>
      </c>
      <c r="AY142" s="38">
        <v>116.15674779503766</v>
      </c>
      <c r="AZ142" s="50">
        <v>0.82259340727507557</v>
      </c>
      <c r="BA142" s="38">
        <v>67.51510925243025</v>
      </c>
      <c r="BB142" s="38">
        <v>51.71855077693202</v>
      </c>
      <c r="BC142" s="38">
        <v>0</v>
      </c>
      <c r="BD142" s="38">
        <v>0</v>
      </c>
      <c r="BE142" s="38">
        <v>119.23366002936226</v>
      </c>
      <c r="BF142" s="38">
        <v>166.26926264167139</v>
      </c>
      <c r="BG142" s="38">
        <v>65.758591635838528</v>
      </c>
      <c r="BH142" s="50">
        <v>0.71711185901103047</v>
      </c>
      <c r="BI142" s="38">
        <v>28.767419651968485</v>
      </c>
      <c r="BJ142" s="38">
        <v>66.680547153824946</v>
      </c>
      <c r="BK142" s="38">
        <v>0</v>
      </c>
      <c r="BL142" s="38">
        <v>35.237664438214026</v>
      </c>
      <c r="BM142" s="38">
        <v>130.68563124400745</v>
      </c>
      <c r="BN142" s="38">
        <v>67.51510925243025</v>
      </c>
      <c r="BO142" s="38">
        <v>0</v>
      </c>
      <c r="BP142" s="38">
        <v>51.71855077693202</v>
      </c>
      <c r="BQ142" s="38">
        <v>0</v>
      </c>
      <c r="BR142" s="38">
        <v>0</v>
      </c>
      <c r="BS142" s="38">
        <v>0</v>
      </c>
      <c r="BT142" s="38">
        <v>0</v>
      </c>
      <c r="BU142" s="38">
        <v>0</v>
      </c>
      <c r="BV142" s="38">
        <v>0</v>
      </c>
      <c r="BW142" s="38">
        <v>0</v>
      </c>
      <c r="BX142" s="38">
        <v>175.12285117350888</v>
      </c>
      <c r="BY142" s="38">
        <v>52.530018468169047</v>
      </c>
      <c r="BZ142" s="38">
        <v>0</v>
      </c>
      <c r="CA142" s="38">
        <v>0</v>
      </c>
      <c r="CB142" s="38">
        <v>119.23366002936227</v>
      </c>
      <c r="CC142" s="38">
        <v>227.65286964167791</v>
      </c>
      <c r="CD142" s="50">
        <v>0.52375206259000473</v>
      </c>
      <c r="CE142" s="38">
        <v>100.99625607405254</v>
      </c>
      <c r="CF142" s="38">
        <v>1.2177041307595051</v>
      </c>
      <c r="CG142" s="38">
        <v>0</v>
      </c>
      <c r="CH142" s="38">
        <v>1.2177041307595051</v>
      </c>
      <c r="CI142" s="38">
        <v>6.0884818144538937E-2</v>
      </c>
      <c r="CJ142" s="38">
        <v>0</v>
      </c>
      <c r="CK142" s="38">
        <v>6.0884818144538937E-2</v>
      </c>
      <c r="CL142" s="38"/>
      <c r="CM142" s="38">
        <v>0</v>
      </c>
      <c r="CN142" s="38"/>
      <c r="CO142" s="38">
        <v>0</v>
      </c>
      <c r="CP142" s="38">
        <v>0</v>
      </c>
      <c r="CQ142" s="38">
        <v>0</v>
      </c>
      <c r="CR142" s="38">
        <v>0</v>
      </c>
      <c r="CS142" s="38">
        <v>0</v>
      </c>
      <c r="CT142" s="38">
        <v>0</v>
      </c>
      <c r="CU142" s="38">
        <v>0</v>
      </c>
      <c r="CV142" s="38">
        <v>9999</v>
      </c>
      <c r="CW142" s="49">
        <v>9999</v>
      </c>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row>
    <row r="143" spans="1:131">
      <c r="A143" s="27" t="s">
        <v>247</v>
      </c>
      <c r="B143" s="27"/>
      <c r="C143" s="38">
        <v>45</v>
      </c>
      <c r="D143" s="38">
        <v>1211.2470044953825</v>
      </c>
      <c r="E143" s="38">
        <v>0</v>
      </c>
      <c r="F143" s="38">
        <v>2730.3075374938753</v>
      </c>
      <c r="G143" s="38">
        <v>0</v>
      </c>
      <c r="H143" s="38">
        <v>0</v>
      </c>
      <c r="I143" s="38"/>
      <c r="J143" s="38"/>
      <c r="K143" s="38"/>
      <c r="L143" s="38">
        <v>1306.1854825447131</v>
      </c>
      <c r="M143" s="38">
        <v>0.68302902713284885</v>
      </c>
      <c r="N143" s="38">
        <v>0.67809922991498484</v>
      </c>
      <c r="O143" s="38">
        <v>0</v>
      </c>
      <c r="P143" s="38">
        <v>0</v>
      </c>
      <c r="Q143" s="38">
        <v>0</v>
      </c>
      <c r="R143" s="38">
        <v>357.11255443351382</v>
      </c>
      <c r="S143" s="38">
        <v>825.23279678293693</v>
      </c>
      <c r="T143" s="38">
        <v>0</v>
      </c>
      <c r="U143" s="38">
        <v>638.09657699715342</v>
      </c>
      <c r="V143" s="38">
        <v>163.81845224963251</v>
      </c>
      <c r="W143" s="38">
        <v>382.24305524914251</v>
      </c>
      <c r="X143" s="38">
        <v>0</v>
      </c>
      <c r="Y143" s="38">
        <v>0</v>
      </c>
      <c r="Z143" s="38">
        <v>0</v>
      </c>
      <c r="AA143" s="38">
        <v>0</v>
      </c>
      <c r="AB143" s="38">
        <v>0</v>
      </c>
      <c r="AC143" s="38">
        <v>0</v>
      </c>
      <c r="AD143" s="38">
        <v>0</v>
      </c>
      <c r="AE143" s="38">
        <v>0</v>
      </c>
      <c r="AF143" s="38">
        <v>0</v>
      </c>
      <c r="AG143" s="38">
        <v>0</v>
      </c>
      <c r="AH143" s="38">
        <v>520.93100668314628</v>
      </c>
      <c r="AI143" s="38">
        <v>1207.4758520320795</v>
      </c>
      <c r="AJ143" s="38">
        <v>0</v>
      </c>
      <c r="AK143" s="38">
        <v>638.09657699715342</v>
      </c>
      <c r="AL143" s="38">
        <v>2366.5034357123791</v>
      </c>
      <c r="AM143" s="38">
        <v>688.00314539135991</v>
      </c>
      <c r="AN143" s="38">
        <v>241.34727192735127</v>
      </c>
      <c r="AO143" s="38">
        <v>0</v>
      </c>
      <c r="AP143" s="38">
        <v>0</v>
      </c>
      <c r="AQ143" s="38">
        <v>929.35041731871115</v>
      </c>
      <c r="AR143" s="38">
        <v>520.93100668314628</v>
      </c>
      <c r="AS143" s="49">
        <v>1.7840182392598181</v>
      </c>
      <c r="AT143" s="38">
        <v>688.00314539135991</v>
      </c>
      <c r="AU143" s="38">
        <v>285.68328469329344</v>
      </c>
      <c r="AV143" s="38">
        <v>0</v>
      </c>
      <c r="AW143" s="38">
        <v>0</v>
      </c>
      <c r="AX143" s="38">
        <v>973.68643008465335</v>
      </c>
      <c r="AY143" s="38">
        <v>1207.4758520320795</v>
      </c>
      <c r="AZ143" s="50">
        <v>0.80638169984602315</v>
      </c>
      <c r="BA143" s="38">
        <v>688.00314539135991</v>
      </c>
      <c r="BB143" s="38">
        <v>527.03055662064469</v>
      </c>
      <c r="BC143" s="38">
        <v>0</v>
      </c>
      <c r="BD143" s="38">
        <v>0</v>
      </c>
      <c r="BE143" s="38">
        <v>1215.0337020120046</v>
      </c>
      <c r="BF143" s="38">
        <v>1728.4068587152258</v>
      </c>
      <c r="BG143" s="38">
        <v>67.677502385981981</v>
      </c>
      <c r="BH143" s="50">
        <v>0.70297898662307667</v>
      </c>
      <c r="BI143" s="38">
        <v>29.345767338895843</v>
      </c>
      <c r="BJ143" s="38">
        <v>68.021110217041041</v>
      </c>
      <c r="BK143" s="38">
        <v>0</v>
      </c>
      <c r="BL143" s="38">
        <v>35.946091609198369</v>
      </c>
      <c r="BM143" s="38">
        <v>133.31296916513523</v>
      </c>
      <c r="BN143" s="38">
        <v>688.00314539135991</v>
      </c>
      <c r="BO143" s="38">
        <v>0</v>
      </c>
      <c r="BP143" s="38">
        <v>527.03055662064469</v>
      </c>
      <c r="BQ143" s="38">
        <v>0</v>
      </c>
      <c r="BR143" s="38">
        <v>0</v>
      </c>
      <c r="BS143" s="38">
        <v>0</v>
      </c>
      <c r="BT143" s="38">
        <v>0</v>
      </c>
      <c r="BU143" s="38">
        <v>0</v>
      </c>
      <c r="BV143" s="38">
        <v>0</v>
      </c>
      <c r="BW143" s="38">
        <v>0</v>
      </c>
      <c r="BX143" s="38">
        <v>1820.4419282136041</v>
      </c>
      <c r="BY143" s="38">
        <v>546.06150749877509</v>
      </c>
      <c r="BZ143" s="38">
        <v>0</v>
      </c>
      <c r="CA143" s="38">
        <v>0</v>
      </c>
      <c r="CB143" s="38">
        <v>1215.0337020120046</v>
      </c>
      <c r="CC143" s="38">
        <v>2366.5034357123791</v>
      </c>
      <c r="CD143" s="50">
        <v>0.51342993366339562</v>
      </c>
      <c r="CE143" s="38">
        <v>103.62359399518033</v>
      </c>
      <c r="CF143" s="38">
        <v>12.408841241539333</v>
      </c>
      <c r="CG143" s="38">
        <v>0</v>
      </c>
      <c r="CH143" s="38">
        <v>12.408841241539333</v>
      </c>
      <c r="CI143" s="38">
        <v>0.62043810420873857</v>
      </c>
      <c r="CJ143" s="38">
        <v>0</v>
      </c>
      <c r="CK143" s="38">
        <v>0.62043810420873857</v>
      </c>
      <c r="CL143" s="38"/>
      <c r="CM143" s="38">
        <v>0</v>
      </c>
      <c r="CN143" s="38"/>
      <c r="CO143" s="38">
        <v>0</v>
      </c>
      <c r="CP143" s="38">
        <v>0</v>
      </c>
      <c r="CQ143" s="38">
        <v>0</v>
      </c>
      <c r="CR143" s="38">
        <v>0</v>
      </c>
      <c r="CS143" s="38">
        <v>0</v>
      </c>
      <c r="CT143" s="38">
        <v>0</v>
      </c>
      <c r="CU143" s="38">
        <v>0</v>
      </c>
      <c r="CV143" s="38">
        <v>9999</v>
      </c>
      <c r="CW143" s="49">
        <v>9999</v>
      </c>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row>
    <row r="144" spans="1:131">
      <c r="A144" s="27" t="s">
        <v>1209</v>
      </c>
      <c r="B144" s="27"/>
      <c r="C144" s="38">
        <v>45</v>
      </c>
      <c r="D144" s="38">
        <v>87.0509308436541</v>
      </c>
      <c r="E144" s="38">
        <v>0</v>
      </c>
      <c r="F144" s="38">
        <v>196.91489394951594</v>
      </c>
      <c r="G144" s="38">
        <v>0</v>
      </c>
      <c r="H144" s="38">
        <v>0</v>
      </c>
      <c r="I144" s="38"/>
      <c r="J144" s="38"/>
      <c r="K144" s="38"/>
      <c r="L144" s="38">
        <v>93.874050204446334</v>
      </c>
      <c r="M144" s="38">
        <v>4.9088511578958161E-2</v>
      </c>
      <c r="N144" s="38">
        <v>4.8734212715809008E-2</v>
      </c>
      <c r="O144" s="38">
        <v>0</v>
      </c>
      <c r="P144" s="38">
        <v>0</v>
      </c>
      <c r="Q144" s="38">
        <v>0</v>
      </c>
      <c r="R144" s="38">
        <v>25.75562636026816</v>
      </c>
      <c r="S144" s="38">
        <v>59.517335109924034</v>
      </c>
      <c r="T144" s="38">
        <v>0</v>
      </c>
      <c r="U144" s="38">
        <v>46.020720399972689</v>
      </c>
      <c r="V144" s="38">
        <v>11.814893636970957</v>
      </c>
      <c r="W144" s="38">
        <v>27.56808515293223</v>
      </c>
      <c r="X144" s="38">
        <v>0</v>
      </c>
      <c r="Y144" s="38">
        <v>0</v>
      </c>
      <c r="Z144" s="38">
        <v>0</v>
      </c>
      <c r="AA144" s="38">
        <v>0</v>
      </c>
      <c r="AB144" s="38">
        <v>0</v>
      </c>
      <c r="AC144" s="38">
        <v>0</v>
      </c>
      <c r="AD144" s="38">
        <v>0</v>
      </c>
      <c r="AE144" s="38">
        <v>0</v>
      </c>
      <c r="AF144" s="38">
        <v>0</v>
      </c>
      <c r="AG144" s="38">
        <v>0</v>
      </c>
      <c r="AH144" s="38">
        <v>37.570519997239117</v>
      </c>
      <c r="AI144" s="38">
        <v>87.08542026285626</v>
      </c>
      <c r="AJ144" s="38">
        <v>0</v>
      </c>
      <c r="AK144" s="38">
        <v>46.020720399972689</v>
      </c>
      <c r="AL144" s="38">
        <v>170.67666066006808</v>
      </c>
      <c r="AM144" s="38">
        <v>49.445995744386629</v>
      </c>
      <c r="AN144" s="38">
        <v>17.345351195815923</v>
      </c>
      <c r="AO144" s="38">
        <v>0</v>
      </c>
      <c r="AP144" s="38">
        <v>0</v>
      </c>
      <c r="AQ144" s="38">
        <v>66.791346940202544</v>
      </c>
      <c r="AR144" s="38">
        <v>37.570519997239117</v>
      </c>
      <c r="AS144" s="49">
        <v>1.777759449299896</v>
      </c>
      <c r="AT144" s="38">
        <v>49.445995744386629</v>
      </c>
      <c r="AU144" s="38">
        <v>20.531729504160467</v>
      </c>
      <c r="AV144" s="38">
        <v>0</v>
      </c>
      <c r="AW144" s="38">
        <v>0</v>
      </c>
      <c r="AX144" s="38">
        <v>69.977725248547102</v>
      </c>
      <c r="AY144" s="38">
        <v>87.08542026285626</v>
      </c>
      <c r="AZ144" s="50">
        <v>0.80355270764415265</v>
      </c>
      <c r="BA144" s="38">
        <v>49.445995744386629</v>
      </c>
      <c r="BB144" s="38">
        <v>37.877080699976389</v>
      </c>
      <c r="BC144" s="38">
        <v>0</v>
      </c>
      <c r="BD144" s="38">
        <v>0</v>
      </c>
      <c r="BE144" s="38">
        <v>87.323076444363025</v>
      </c>
      <c r="BF144" s="38">
        <v>124.65594026009539</v>
      </c>
      <c r="BG144" s="38">
        <v>68.020292765139288</v>
      </c>
      <c r="BH144" s="50">
        <v>0.70051275745193442</v>
      </c>
      <c r="BI144" s="38">
        <v>29.44908221316593</v>
      </c>
      <c r="BJ144" s="38">
        <v>68.260585721928251</v>
      </c>
      <c r="BK144" s="38">
        <v>0</v>
      </c>
      <c r="BL144" s="38">
        <v>36.072643622380276</v>
      </c>
      <c r="BM144" s="38">
        <v>133.78231155747446</v>
      </c>
      <c r="BN144" s="38">
        <v>49.445995744386629</v>
      </c>
      <c r="BO144" s="38">
        <v>0</v>
      </c>
      <c r="BP144" s="38">
        <v>37.877080699976389</v>
      </c>
      <c r="BQ144" s="38">
        <v>0</v>
      </c>
      <c r="BR144" s="38">
        <v>0</v>
      </c>
      <c r="BS144" s="38">
        <v>0</v>
      </c>
      <c r="BT144" s="38">
        <v>0</v>
      </c>
      <c r="BU144" s="38">
        <v>0</v>
      </c>
      <c r="BV144" s="38">
        <v>0</v>
      </c>
      <c r="BW144" s="38">
        <v>0</v>
      </c>
      <c r="BX144" s="38">
        <v>131.2936818701649</v>
      </c>
      <c r="BY144" s="38">
        <v>39.382978789903191</v>
      </c>
      <c r="BZ144" s="38">
        <v>0</v>
      </c>
      <c r="CA144" s="38">
        <v>0</v>
      </c>
      <c r="CB144" s="38">
        <v>87.323076444363011</v>
      </c>
      <c r="CC144" s="38">
        <v>170.67666066006808</v>
      </c>
      <c r="CD144" s="50">
        <v>0.51162869080431528</v>
      </c>
      <c r="CE144" s="38">
        <v>104.09293638751957</v>
      </c>
      <c r="CF144" s="38">
        <v>0.89180916589110426</v>
      </c>
      <c r="CG144" s="38">
        <v>0</v>
      </c>
      <c r="CH144" s="38">
        <v>0.89180916589110426</v>
      </c>
      <c r="CI144" s="38">
        <v>4.4590173847112009E-2</v>
      </c>
      <c r="CJ144" s="38">
        <v>0</v>
      </c>
      <c r="CK144" s="38">
        <v>4.4590173847112009E-2</v>
      </c>
      <c r="CL144" s="38"/>
      <c r="CM144" s="38">
        <v>0</v>
      </c>
      <c r="CN144" s="38"/>
      <c r="CO144" s="38">
        <v>0</v>
      </c>
      <c r="CP144" s="38">
        <v>0</v>
      </c>
      <c r="CQ144" s="38">
        <v>0</v>
      </c>
      <c r="CR144" s="38">
        <v>0</v>
      </c>
      <c r="CS144" s="38">
        <v>0</v>
      </c>
      <c r="CT144" s="38">
        <v>0</v>
      </c>
      <c r="CU144" s="38">
        <v>0</v>
      </c>
      <c r="CV144" s="38">
        <v>9999</v>
      </c>
      <c r="CW144" s="49">
        <v>9999</v>
      </c>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row>
    <row r="145" spans="1:131">
      <c r="A145" s="27" t="s">
        <v>240</v>
      </c>
      <c r="B145" s="27"/>
      <c r="C145" s="38">
        <v>45</v>
      </c>
      <c r="D145" s="38">
        <v>126.24131955404496</v>
      </c>
      <c r="E145" s="38">
        <v>0</v>
      </c>
      <c r="F145" s="38">
        <v>297.93884832438431</v>
      </c>
      <c r="G145" s="38">
        <v>0</v>
      </c>
      <c r="H145" s="38">
        <v>0</v>
      </c>
      <c r="I145" s="38"/>
      <c r="J145" s="38"/>
      <c r="K145" s="38"/>
      <c r="L145" s="38">
        <v>136.13621192605405</v>
      </c>
      <c r="M145" s="38">
        <v>7.1188193125719418E-2</v>
      </c>
      <c r="N145" s="38">
        <v>7.0674388671626009E-2</v>
      </c>
      <c r="O145" s="38">
        <v>0</v>
      </c>
      <c r="P145" s="38">
        <v>0</v>
      </c>
      <c r="Q145" s="38">
        <v>0</v>
      </c>
      <c r="R145" s="38">
        <v>38.969127737075944</v>
      </c>
      <c r="S145" s="38">
        <v>90.051727029512477</v>
      </c>
      <c r="T145" s="38">
        <v>0</v>
      </c>
      <c r="U145" s="38">
        <v>69.630895662679592</v>
      </c>
      <c r="V145" s="38">
        <v>17.87633089946306</v>
      </c>
      <c r="W145" s="38">
        <v>41.711438765413803</v>
      </c>
      <c r="X145" s="38">
        <v>0</v>
      </c>
      <c r="Y145" s="38">
        <v>0</v>
      </c>
      <c r="Z145" s="38">
        <v>0</v>
      </c>
      <c r="AA145" s="38">
        <v>0</v>
      </c>
      <c r="AB145" s="38">
        <v>0</v>
      </c>
      <c r="AC145" s="38">
        <v>0</v>
      </c>
      <c r="AD145" s="38">
        <v>0</v>
      </c>
      <c r="AE145" s="38">
        <v>0</v>
      </c>
      <c r="AF145" s="38">
        <v>0</v>
      </c>
      <c r="AG145" s="38">
        <v>0</v>
      </c>
      <c r="AH145" s="38">
        <v>56.845458636539007</v>
      </c>
      <c r="AI145" s="38">
        <v>131.76316579492629</v>
      </c>
      <c r="AJ145" s="38">
        <v>0</v>
      </c>
      <c r="AK145" s="38">
        <v>69.630895662679592</v>
      </c>
      <c r="AL145" s="38">
        <v>258.23952009414489</v>
      </c>
      <c r="AM145" s="38">
        <v>71.706616907360726</v>
      </c>
      <c r="AN145" s="38">
        <v>25.154240188664911</v>
      </c>
      <c r="AO145" s="38">
        <v>0</v>
      </c>
      <c r="AP145" s="38">
        <v>0</v>
      </c>
      <c r="AQ145" s="38">
        <v>96.86085709602564</v>
      </c>
      <c r="AR145" s="38">
        <v>56.845458636539007</v>
      </c>
      <c r="AS145" s="49">
        <v>1.7039330743259342</v>
      </c>
      <c r="AT145" s="38">
        <v>71.706616907360726</v>
      </c>
      <c r="AU145" s="38">
        <v>29.775128194633023</v>
      </c>
      <c r="AV145" s="38">
        <v>0</v>
      </c>
      <c r="AW145" s="38">
        <v>0</v>
      </c>
      <c r="AX145" s="38">
        <v>101.48174510199375</v>
      </c>
      <c r="AY145" s="38">
        <v>131.76316579492629</v>
      </c>
      <c r="AZ145" s="50">
        <v>0.77018296038771583</v>
      </c>
      <c r="BA145" s="38">
        <v>71.706616907360726</v>
      </c>
      <c r="BB145" s="38">
        <v>54.929368383297934</v>
      </c>
      <c r="BC145" s="38">
        <v>0</v>
      </c>
      <c r="BD145" s="38">
        <v>0</v>
      </c>
      <c r="BE145" s="38">
        <v>126.63598529065867</v>
      </c>
      <c r="BF145" s="38">
        <v>188.60862443146527</v>
      </c>
      <c r="BG145" s="38">
        <v>72.253763370439373</v>
      </c>
      <c r="BH145" s="50">
        <v>0.6714220289362981</v>
      </c>
      <c r="BI145" s="38">
        <v>30.725023750346473</v>
      </c>
      <c r="BJ145" s="38">
        <v>71.218114790047821</v>
      </c>
      <c r="BK145" s="38">
        <v>0</v>
      </c>
      <c r="BL145" s="38">
        <v>37.635564463870146</v>
      </c>
      <c r="BM145" s="38">
        <v>139.57870300426444</v>
      </c>
      <c r="BN145" s="38">
        <v>71.706616907360726</v>
      </c>
      <c r="BO145" s="38">
        <v>0</v>
      </c>
      <c r="BP145" s="38">
        <v>54.929368383297934</v>
      </c>
      <c r="BQ145" s="38">
        <v>0</v>
      </c>
      <c r="BR145" s="38">
        <v>0</v>
      </c>
      <c r="BS145" s="38">
        <v>0</v>
      </c>
      <c r="BT145" s="38">
        <v>0</v>
      </c>
      <c r="BU145" s="38">
        <v>0</v>
      </c>
      <c r="BV145" s="38">
        <v>0</v>
      </c>
      <c r="BW145" s="38">
        <v>0</v>
      </c>
      <c r="BX145" s="38">
        <v>198.65175042926802</v>
      </c>
      <c r="BY145" s="38">
        <v>59.587769664876866</v>
      </c>
      <c r="BZ145" s="38">
        <v>0</v>
      </c>
      <c r="CA145" s="38">
        <v>0</v>
      </c>
      <c r="CB145" s="38">
        <v>126.63598529065867</v>
      </c>
      <c r="CC145" s="38">
        <v>258.23952009414489</v>
      </c>
      <c r="CD145" s="50">
        <v>0.49038189524396464</v>
      </c>
      <c r="CE145" s="38">
        <v>109.88932783430955</v>
      </c>
      <c r="CF145" s="38">
        <v>1.2933022634150506</v>
      </c>
      <c r="CG145" s="38">
        <v>0</v>
      </c>
      <c r="CH145" s="38">
        <v>1.2933022634150506</v>
      </c>
      <c r="CI145" s="38">
        <v>6.4664700664875674E-2</v>
      </c>
      <c r="CJ145" s="38">
        <v>0</v>
      </c>
      <c r="CK145" s="38">
        <v>6.4664700664875674E-2</v>
      </c>
      <c r="CL145" s="38"/>
      <c r="CM145" s="38">
        <v>0</v>
      </c>
      <c r="CN145" s="38"/>
      <c r="CO145" s="38">
        <v>0</v>
      </c>
      <c r="CP145" s="38">
        <v>0</v>
      </c>
      <c r="CQ145" s="38">
        <v>0</v>
      </c>
      <c r="CR145" s="38">
        <v>0</v>
      </c>
      <c r="CS145" s="38">
        <v>0</v>
      </c>
      <c r="CT145" s="38">
        <v>0</v>
      </c>
      <c r="CU145" s="38">
        <v>0</v>
      </c>
      <c r="CV145" s="38">
        <v>9999</v>
      </c>
      <c r="CW145" s="49">
        <v>9999</v>
      </c>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row>
    <row r="146" spans="1:131">
      <c r="A146" s="27" t="s">
        <v>249</v>
      </c>
      <c r="B146" s="27"/>
      <c r="C146" s="38">
        <v>45</v>
      </c>
      <c r="D146" s="38">
        <v>1365.8084233833233</v>
      </c>
      <c r="E146" s="38">
        <v>0</v>
      </c>
      <c r="F146" s="38">
        <v>3567.2363679851778</v>
      </c>
      <c r="G146" s="38">
        <v>0</v>
      </c>
      <c r="H146" s="38">
        <v>0</v>
      </c>
      <c r="I146" s="38"/>
      <c r="J146" s="38"/>
      <c r="K146" s="38"/>
      <c r="L146" s="38">
        <v>1472.8615451179683</v>
      </c>
      <c r="M146" s="38">
        <v>0.77018708422896076</v>
      </c>
      <c r="N146" s="38">
        <v>0.76462821924044788</v>
      </c>
      <c r="O146" s="38">
        <v>0</v>
      </c>
      <c r="P146" s="38">
        <v>0</v>
      </c>
      <c r="Q146" s="38">
        <v>0</v>
      </c>
      <c r="R146" s="38">
        <v>466.57926777311775</v>
      </c>
      <c r="S146" s="38">
        <v>1078.1937215176506</v>
      </c>
      <c r="T146" s="38">
        <v>0</v>
      </c>
      <c r="U146" s="38">
        <v>833.69411119175277</v>
      </c>
      <c r="V146" s="38">
        <v>214.03418207911068</v>
      </c>
      <c r="W146" s="38">
        <v>499.4130915179249</v>
      </c>
      <c r="X146" s="38">
        <v>0</v>
      </c>
      <c r="Y146" s="38">
        <v>0</v>
      </c>
      <c r="Z146" s="38">
        <v>0</v>
      </c>
      <c r="AA146" s="38">
        <v>0</v>
      </c>
      <c r="AB146" s="38">
        <v>0</v>
      </c>
      <c r="AC146" s="38">
        <v>0</v>
      </c>
      <c r="AD146" s="38">
        <v>0</v>
      </c>
      <c r="AE146" s="38">
        <v>0</v>
      </c>
      <c r="AF146" s="38">
        <v>0</v>
      </c>
      <c r="AG146" s="38">
        <v>0</v>
      </c>
      <c r="AH146" s="38">
        <v>680.61344985222843</v>
      </c>
      <c r="AI146" s="38">
        <v>1577.6068130355754</v>
      </c>
      <c r="AJ146" s="38">
        <v>0</v>
      </c>
      <c r="AK146" s="38">
        <v>833.69411119175277</v>
      </c>
      <c r="AL146" s="38">
        <v>3091.9143740795566</v>
      </c>
      <c r="AM146" s="38">
        <v>775.79592585347211</v>
      </c>
      <c r="AN146" s="38">
        <v>272.14443935511787</v>
      </c>
      <c r="AO146" s="38">
        <v>0</v>
      </c>
      <c r="AP146" s="38">
        <v>0</v>
      </c>
      <c r="AQ146" s="38">
        <v>1047.94036520859</v>
      </c>
      <c r="AR146" s="38">
        <v>680.61344985222843</v>
      </c>
      <c r="AS146" s="49">
        <v>1.5396997597330966</v>
      </c>
      <c r="AT146" s="38">
        <v>775.79592585347211</v>
      </c>
      <c r="AU146" s="38">
        <v>322.13795799352476</v>
      </c>
      <c r="AV146" s="38">
        <v>0</v>
      </c>
      <c r="AW146" s="38">
        <v>0</v>
      </c>
      <c r="AX146" s="38">
        <v>1097.9338838469969</v>
      </c>
      <c r="AY146" s="38">
        <v>1577.6068130355754</v>
      </c>
      <c r="AZ146" s="50">
        <v>0.69594899995036863</v>
      </c>
      <c r="BA146" s="38">
        <v>775.79592585347211</v>
      </c>
      <c r="BB146" s="38">
        <v>594.28239734864269</v>
      </c>
      <c r="BC146" s="38">
        <v>0</v>
      </c>
      <c r="BD146" s="38">
        <v>0</v>
      </c>
      <c r="BE146" s="38">
        <v>1370.0783232021147</v>
      </c>
      <c r="BF146" s="38">
        <v>2258.220262887804</v>
      </c>
      <c r="BG146" s="38">
        <v>83.127610324463831</v>
      </c>
      <c r="BH146" s="50">
        <v>0.60670712495071821</v>
      </c>
      <c r="BI146" s="38">
        <v>34.002333147561551</v>
      </c>
      <c r="BJ146" s="38">
        <v>78.814652346857159</v>
      </c>
      <c r="BK146" s="38">
        <v>0</v>
      </c>
      <c r="BL146" s="38">
        <v>41.649992250457117</v>
      </c>
      <c r="BM146" s="38">
        <v>154.46697774487583</v>
      </c>
      <c r="BN146" s="38">
        <v>775.79592585347211</v>
      </c>
      <c r="BO146" s="38">
        <v>0</v>
      </c>
      <c r="BP146" s="38">
        <v>594.28239734864269</v>
      </c>
      <c r="BQ146" s="38">
        <v>0</v>
      </c>
      <c r="BR146" s="38">
        <v>0</v>
      </c>
      <c r="BS146" s="38">
        <v>0</v>
      </c>
      <c r="BT146" s="38">
        <v>0</v>
      </c>
      <c r="BU146" s="38">
        <v>0</v>
      </c>
      <c r="BV146" s="38">
        <v>0</v>
      </c>
      <c r="BW146" s="38">
        <v>0</v>
      </c>
      <c r="BX146" s="38">
        <v>2378.4671004825209</v>
      </c>
      <c r="BY146" s="38">
        <v>713.44727359703563</v>
      </c>
      <c r="BZ146" s="38">
        <v>0</v>
      </c>
      <c r="CA146" s="38">
        <v>0</v>
      </c>
      <c r="CB146" s="38">
        <v>1370.0783232021149</v>
      </c>
      <c r="CC146" s="38">
        <v>3091.9143740795566</v>
      </c>
      <c r="CD146" s="50">
        <v>0.44311651534980767</v>
      </c>
      <c r="CE146" s="38">
        <v>124.77760257492093</v>
      </c>
      <c r="CF146" s="38">
        <v>13.992273936876764</v>
      </c>
      <c r="CG146" s="38">
        <v>0</v>
      </c>
      <c r="CH146" s="38">
        <v>13.992273936876764</v>
      </c>
      <c r="CI146" s="38">
        <v>0.69960923393103491</v>
      </c>
      <c r="CJ146" s="38">
        <v>0</v>
      </c>
      <c r="CK146" s="38">
        <v>0.69960923393103491</v>
      </c>
      <c r="CL146" s="38"/>
      <c r="CM146" s="38">
        <v>0</v>
      </c>
      <c r="CN146" s="38"/>
      <c r="CO146" s="38">
        <v>0</v>
      </c>
      <c r="CP146" s="38">
        <v>0</v>
      </c>
      <c r="CQ146" s="38">
        <v>0</v>
      </c>
      <c r="CR146" s="38">
        <v>0</v>
      </c>
      <c r="CS146" s="38">
        <v>0</v>
      </c>
      <c r="CT146" s="38">
        <v>0</v>
      </c>
      <c r="CU146" s="38">
        <v>0</v>
      </c>
      <c r="CV146" s="38">
        <v>9999</v>
      </c>
      <c r="CW146" s="49">
        <v>9999</v>
      </c>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row>
    <row r="147" spans="1:131">
      <c r="A147" s="27" t="s">
        <v>220</v>
      </c>
      <c r="B147" s="27"/>
      <c r="C147" s="38">
        <v>45</v>
      </c>
      <c r="D147" s="38">
        <v>79.408794395224533</v>
      </c>
      <c r="E147" s="38">
        <v>0</v>
      </c>
      <c r="F147" s="38">
        <v>235.52932235113522</v>
      </c>
      <c r="G147" s="38">
        <v>0</v>
      </c>
      <c r="H147" s="38">
        <v>0</v>
      </c>
      <c r="I147" s="38"/>
      <c r="J147" s="38"/>
      <c r="K147" s="38"/>
      <c r="L147" s="38">
        <v>85.632917184081805</v>
      </c>
      <c r="M147" s="38">
        <v>4.477906767179906E-2</v>
      </c>
      <c r="N147" s="38">
        <v>4.4455872442229344E-2</v>
      </c>
      <c r="O147" s="38">
        <v>0</v>
      </c>
      <c r="P147" s="38">
        <v>0</v>
      </c>
      <c r="Q147" s="38">
        <v>0</v>
      </c>
      <c r="R147" s="38">
        <v>30.806228526919949</v>
      </c>
      <c r="S147" s="38">
        <v>71.188508524803197</v>
      </c>
      <c r="T147" s="38">
        <v>0</v>
      </c>
      <c r="U147" s="38">
        <v>55.045247581402045</v>
      </c>
      <c r="V147" s="38">
        <v>14.131759341068113</v>
      </c>
      <c r="W147" s="38">
        <v>32.974105129158929</v>
      </c>
      <c r="X147" s="38">
        <v>0</v>
      </c>
      <c r="Y147" s="38">
        <v>0</v>
      </c>
      <c r="Z147" s="38">
        <v>0</v>
      </c>
      <c r="AA147" s="38">
        <v>0</v>
      </c>
      <c r="AB147" s="38">
        <v>0</v>
      </c>
      <c r="AC147" s="38">
        <v>0</v>
      </c>
      <c r="AD147" s="38">
        <v>0</v>
      </c>
      <c r="AE147" s="38">
        <v>0</v>
      </c>
      <c r="AF147" s="38">
        <v>0</v>
      </c>
      <c r="AG147" s="38">
        <v>0</v>
      </c>
      <c r="AH147" s="38">
        <v>44.937987867988063</v>
      </c>
      <c r="AI147" s="38">
        <v>104.16261365396213</v>
      </c>
      <c r="AJ147" s="38">
        <v>0</v>
      </c>
      <c r="AK147" s="38">
        <v>55.045247581402045</v>
      </c>
      <c r="AL147" s="38">
        <v>204.14584910335225</v>
      </c>
      <c r="AM147" s="38">
        <v>45.10516856833101</v>
      </c>
      <c r="AN147" s="38">
        <v>15.82261572016168</v>
      </c>
      <c r="AO147" s="38">
        <v>0</v>
      </c>
      <c r="AP147" s="38">
        <v>0</v>
      </c>
      <c r="AQ147" s="38">
        <v>60.927784288492688</v>
      </c>
      <c r="AR147" s="38">
        <v>44.937987867988063</v>
      </c>
      <c r="AS147" s="49">
        <v>1.3558191449843504</v>
      </c>
      <c r="AT147" s="38">
        <v>45.10516856833101</v>
      </c>
      <c r="AU147" s="38">
        <v>18.729264247644721</v>
      </c>
      <c r="AV147" s="38">
        <v>0</v>
      </c>
      <c r="AW147" s="38">
        <v>0</v>
      </c>
      <c r="AX147" s="38">
        <v>63.834432815975731</v>
      </c>
      <c r="AY147" s="38">
        <v>104.16261365396213</v>
      </c>
      <c r="AZ147" s="50">
        <v>0.61283439975920384</v>
      </c>
      <c r="BA147" s="38">
        <v>45.10516856833101</v>
      </c>
      <c r="BB147" s="38">
        <v>34.5518799678064</v>
      </c>
      <c r="BC147" s="38">
        <v>0</v>
      </c>
      <c r="BD147" s="38">
        <v>0</v>
      </c>
      <c r="BE147" s="38">
        <v>79.65704853613741</v>
      </c>
      <c r="BF147" s="38">
        <v>149.10060152195018</v>
      </c>
      <c r="BG147" s="38">
        <v>98.428217874929899</v>
      </c>
      <c r="BH147" s="50">
        <v>0.53425034991834364</v>
      </c>
      <c r="BI147" s="38">
        <v>38.613840475212868</v>
      </c>
      <c r="BJ147" s="38">
        <v>89.503752569671931</v>
      </c>
      <c r="BK147" s="38">
        <v>0</v>
      </c>
      <c r="BL147" s="38">
        <v>47.298700050185786</v>
      </c>
      <c r="BM147" s="38">
        <v>175.41629309507061</v>
      </c>
      <c r="BN147" s="38">
        <v>45.10516856833101</v>
      </c>
      <c r="BO147" s="38">
        <v>0</v>
      </c>
      <c r="BP147" s="38">
        <v>34.5518799678064</v>
      </c>
      <c r="BQ147" s="38">
        <v>0</v>
      </c>
      <c r="BR147" s="38">
        <v>0</v>
      </c>
      <c r="BS147" s="38">
        <v>0</v>
      </c>
      <c r="BT147" s="38">
        <v>0</v>
      </c>
      <c r="BU147" s="38">
        <v>0</v>
      </c>
      <c r="BV147" s="38">
        <v>0</v>
      </c>
      <c r="BW147" s="38">
        <v>0</v>
      </c>
      <c r="BX147" s="38">
        <v>157.03998463312519</v>
      </c>
      <c r="BY147" s="38">
        <v>47.105864470227047</v>
      </c>
      <c r="BZ147" s="38">
        <v>0</v>
      </c>
      <c r="CA147" s="38">
        <v>0</v>
      </c>
      <c r="CB147" s="38">
        <v>79.65704853613741</v>
      </c>
      <c r="CC147" s="38">
        <v>204.14584910335225</v>
      </c>
      <c r="CD147" s="50">
        <v>0.39019675827848793</v>
      </c>
      <c r="CE147" s="38">
        <v>145.72691792511569</v>
      </c>
      <c r="CF147" s="38">
        <v>0.81351790276905278</v>
      </c>
      <c r="CG147" s="38">
        <v>0</v>
      </c>
      <c r="CH147" s="38">
        <v>0.81351790276905278</v>
      </c>
      <c r="CI147" s="38">
        <v>4.0675635662438855E-2</v>
      </c>
      <c r="CJ147" s="38">
        <v>0</v>
      </c>
      <c r="CK147" s="38">
        <v>4.0675635662438855E-2</v>
      </c>
      <c r="CL147" s="38"/>
      <c r="CM147" s="38">
        <v>0</v>
      </c>
      <c r="CN147" s="38"/>
      <c r="CO147" s="38">
        <v>0</v>
      </c>
      <c r="CP147" s="38">
        <v>0</v>
      </c>
      <c r="CQ147" s="38">
        <v>0</v>
      </c>
      <c r="CR147" s="38">
        <v>0</v>
      </c>
      <c r="CS147" s="38">
        <v>0</v>
      </c>
      <c r="CT147" s="38">
        <v>0</v>
      </c>
      <c r="CU147" s="38">
        <v>0</v>
      </c>
      <c r="CV147" s="38">
        <v>9999</v>
      </c>
      <c r="CW147" s="49">
        <v>9999</v>
      </c>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131">
      <c r="A148" s="27" t="s">
        <v>231</v>
      </c>
      <c r="B148" s="27"/>
      <c r="C148" s="38">
        <v>45</v>
      </c>
      <c r="D148" s="38">
        <v>76.974047420685338</v>
      </c>
      <c r="E148" s="38">
        <v>0</v>
      </c>
      <c r="F148" s="38">
        <v>235.52932235113522</v>
      </c>
      <c r="G148" s="38">
        <v>0</v>
      </c>
      <c r="H148" s="38">
        <v>0</v>
      </c>
      <c r="I148" s="38"/>
      <c r="J148" s="38"/>
      <c r="K148" s="38"/>
      <c r="L148" s="38">
        <v>83.00733285651711</v>
      </c>
      <c r="M148" s="38">
        <v>4.3406100101054085E-2</v>
      </c>
      <c r="N148" s="38">
        <v>4.3092814335711514E-2</v>
      </c>
      <c r="O148" s="38">
        <v>0</v>
      </c>
      <c r="P148" s="38">
        <v>0</v>
      </c>
      <c r="Q148" s="38">
        <v>0</v>
      </c>
      <c r="R148" s="38">
        <v>30.806228526919949</v>
      </c>
      <c r="S148" s="38">
        <v>71.188508524803197</v>
      </c>
      <c r="T148" s="38">
        <v>0</v>
      </c>
      <c r="U148" s="38">
        <v>55.045247581402045</v>
      </c>
      <c r="V148" s="38">
        <v>14.131759341068113</v>
      </c>
      <c r="W148" s="38">
        <v>32.974105129158929</v>
      </c>
      <c r="X148" s="38">
        <v>0</v>
      </c>
      <c r="Y148" s="38">
        <v>0</v>
      </c>
      <c r="Z148" s="38">
        <v>0</v>
      </c>
      <c r="AA148" s="38">
        <v>0</v>
      </c>
      <c r="AB148" s="38">
        <v>0</v>
      </c>
      <c r="AC148" s="38">
        <v>0</v>
      </c>
      <c r="AD148" s="38">
        <v>0</v>
      </c>
      <c r="AE148" s="38">
        <v>0</v>
      </c>
      <c r="AF148" s="38">
        <v>0</v>
      </c>
      <c r="AG148" s="38">
        <v>0</v>
      </c>
      <c r="AH148" s="38">
        <v>44.937987867988063</v>
      </c>
      <c r="AI148" s="38">
        <v>104.16261365396213</v>
      </c>
      <c r="AJ148" s="38">
        <v>0</v>
      </c>
      <c r="AK148" s="38">
        <v>55.045247581402045</v>
      </c>
      <c r="AL148" s="38">
        <v>204.14584910335225</v>
      </c>
      <c r="AM148" s="38">
        <v>43.722202442926282</v>
      </c>
      <c r="AN148" s="38">
        <v>15.337479709127154</v>
      </c>
      <c r="AO148" s="38">
        <v>0</v>
      </c>
      <c r="AP148" s="38">
        <v>0</v>
      </c>
      <c r="AQ148" s="38">
        <v>59.059682152053433</v>
      </c>
      <c r="AR148" s="38">
        <v>44.937987867988063</v>
      </c>
      <c r="AS148" s="49">
        <v>1.3142484778257078</v>
      </c>
      <c r="AT148" s="38">
        <v>43.722202442926282</v>
      </c>
      <c r="AU148" s="38">
        <v>18.155007708308062</v>
      </c>
      <c r="AV148" s="38">
        <v>0</v>
      </c>
      <c r="AW148" s="38">
        <v>0</v>
      </c>
      <c r="AX148" s="38">
        <v>61.877210151234344</v>
      </c>
      <c r="AY148" s="38">
        <v>104.16261365396213</v>
      </c>
      <c r="AZ148" s="50">
        <v>0.59404433107637045</v>
      </c>
      <c r="BA148" s="38">
        <v>43.722202442926282</v>
      </c>
      <c r="BB148" s="38">
        <v>33.492487417435214</v>
      </c>
      <c r="BC148" s="38">
        <v>0</v>
      </c>
      <c r="BD148" s="38">
        <v>0</v>
      </c>
      <c r="BE148" s="38">
        <v>77.214689860361503</v>
      </c>
      <c r="BF148" s="38">
        <v>149.10060152195018</v>
      </c>
      <c r="BG148" s="38">
        <v>102.48067363766859</v>
      </c>
      <c r="BH148" s="50">
        <v>0.51786974078031578</v>
      </c>
      <c r="BI148" s="38">
        <v>39.835225272072321</v>
      </c>
      <c r="BJ148" s="38">
        <v>92.33482353555118</v>
      </c>
      <c r="BK148" s="38">
        <v>0</v>
      </c>
      <c r="BL148" s="38">
        <v>48.794793483046902</v>
      </c>
      <c r="BM148" s="38">
        <v>180.96484229067042</v>
      </c>
      <c r="BN148" s="38">
        <v>43.722202442926282</v>
      </c>
      <c r="BO148" s="38">
        <v>0</v>
      </c>
      <c r="BP148" s="38">
        <v>33.492487417435214</v>
      </c>
      <c r="BQ148" s="38">
        <v>0</v>
      </c>
      <c r="BR148" s="38">
        <v>0</v>
      </c>
      <c r="BS148" s="38">
        <v>0</v>
      </c>
      <c r="BT148" s="38">
        <v>0</v>
      </c>
      <c r="BU148" s="38">
        <v>0</v>
      </c>
      <c r="BV148" s="38">
        <v>0</v>
      </c>
      <c r="BW148" s="38">
        <v>0</v>
      </c>
      <c r="BX148" s="38">
        <v>157.03998463312519</v>
      </c>
      <c r="BY148" s="38">
        <v>47.105864470227047</v>
      </c>
      <c r="BZ148" s="38">
        <v>0</v>
      </c>
      <c r="CA148" s="38">
        <v>0</v>
      </c>
      <c r="CB148" s="38">
        <v>77.214689860361489</v>
      </c>
      <c r="CC148" s="38">
        <v>204.14584910335225</v>
      </c>
      <c r="CD148" s="50">
        <v>0.37823296530153921</v>
      </c>
      <c r="CE148" s="38">
        <v>151.27546712071552</v>
      </c>
      <c r="CF148" s="38">
        <v>0.78857469254170331</v>
      </c>
      <c r="CG148" s="38">
        <v>0</v>
      </c>
      <c r="CH148" s="38">
        <v>0.78857469254170331</v>
      </c>
      <c r="CI148" s="38">
        <v>3.942848310684563E-2</v>
      </c>
      <c r="CJ148" s="38">
        <v>0</v>
      </c>
      <c r="CK148" s="38">
        <v>3.942848310684563E-2</v>
      </c>
      <c r="CL148" s="38"/>
      <c r="CM148" s="38">
        <v>0</v>
      </c>
      <c r="CN148" s="38"/>
      <c r="CO148" s="38">
        <v>0</v>
      </c>
      <c r="CP148" s="38">
        <v>0</v>
      </c>
      <c r="CQ148" s="38">
        <v>0</v>
      </c>
      <c r="CR148" s="38">
        <v>0</v>
      </c>
      <c r="CS148" s="38">
        <v>0</v>
      </c>
      <c r="CT148" s="38">
        <v>0</v>
      </c>
      <c r="CU148" s="38">
        <v>0</v>
      </c>
      <c r="CV148" s="38">
        <v>9999</v>
      </c>
      <c r="CW148" s="49">
        <v>9999</v>
      </c>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131">
      <c r="A149" s="27" t="s">
        <v>219</v>
      </c>
      <c r="B149" s="27"/>
      <c r="C149" s="38">
        <v>45</v>
      </c>
      <c r="D149" s="38">
        <v>64.461513708607058</v>
      </c>
      <c r="E149" s="38">
        <v>0</v>
      </c>
      <c r="F149" s="38">
        <v>198.23826361528401</v>
      </c>
      <c r="G149" s="38">
        <v>0</v>
      </c>
      <c r="H149" s="38">
        <v>0</v>
      </c>
      <c r="I149" s="38"/>
      <c r="J149" s="38"/>
      <c r="K149" s="38"/>
      <c r="L149" s="38">
        <v>69.514057063957438</v>
      </c>
      <c r="M149" s="38">
        <v>3.6350211668216788E-2</v>
      </c>
      <c r="N149" s="38">
        <v>3.6087852141414578E-2</v>
      </c>
      <c r="O149" s="38">
        <v>0</v>
      </c>
      <c r="P149" s="38">
        <v>0</v>
      </c>
      <c r="Q149" s="38">
        <v>0</v>
      </c>
      <c r="R149" s="38">
        <v>25.92871745543323</v>
      </c>
      <c r="S149" s="38">
        <v>59.917322303843548</v>
      </c>
      <c r="T149" s="38">
        <v>0</v>
      </c>
      <c r="U149" s="38">
        <v>46.330003380820912</v>
      </c>
      <c r="V149" s="38">
        <v>11.89429581691704</v>
      </c>
      <c r="W149" s="38">
        <v>27.753356906139761</v>
      </c>
      <c r="X149" s="38">
        <v>0</v>
      </c>
      <c r="Y149" s="38">
        <v>0</v>
      </c>
      <c r="Z149" s="38">
        <v>0</v>
      </c>
      <c r="AA149" s="38">
        <v>0</v>
      </c>
      <c r="AB149" s="38">
        <v>0</v>
      </c>
      <c r="AC149" s="38">
        <v>0</v>
      </c>
      <c r="AD149" s="38">
        <v>0</v>
      </c>
      <c r="AE149" s="38">
        <v>0</v>
      </c>
      <c r="AF149" s="38">
        <v>0</v>
      </c>
      <c r="AG149" s="38">
        <v>0</v>
      </c>
      <c r="AH149" s="38">
        <v>37.823013272350266</v>
      </c>
      <c r="AI149" s="38">
        <v>87.670679209983305</v>
      </c>
      <c r="AJ149" s="38">
        <v>0</v>
      </c>
      <c r="AK149" s="38">
        <v>46.330003380820912</v>
      </c>
      <c r="AL149" s="38">
        <v>171.82369586315451</v>
      </c>
      <c r="AM149" s="38">
        <v>36.614929922312918</v>
      </c>
      <c r="AN149" s="38">
        <v>12.844292221272678</v>
      </c>
      <c r="AO149" s="38">
        <v>0</v>
      </c>
      <c r="AP149" s="38">
        <v>0</v>
      </c>
      <c r="AQ149" s="38">
        <v>49.459222143585592</v>
      </c>
      <c r="AR149" s="38">
        <v>37.823013272350266</v>
      </c>
      <c r="AS149" s="49">
        <v>1.3076489117206782</v>
      </c>
      <c r="AT149" s="38">
        <v>36.614929922312918</v>
      </c>
      <c r="AU149" s="38">
        <v>15.203816318413717</v>
      </c>
      <c r="AV149" s="38">
        <v>0</v>
      </c>
      <c r="AW149" s="38">
        <v>0</v>
      </c>
      <c r="AX149" s="38">
        <v>51.818746240726632</v>
      </c>
      <c r="AY149" s="38">
        <v>87.670679209983305</v>
      </c>
      <c r="AZ149" s="50">
        <v>0.59106130701478454</v>
      </c>
      <c r="BA149" s="38">
        <v>36.614929922312918</v>
      </c>
      <c r="BB149" s="38">
        <v>28.048108539686396</v>
      </c>
      <c r="BC149" s="38">
        <v>0</v>
      </c>
      <c r="BD149" s="38">
        <v>0</v>
      </c>
      <c r="BE149" s="38">
        <v>64.663038461999307</v>
      </c>
      <c r="BF149" s="38">
        <v>125.49369248233359</v>
      </c>
      <c r="BG149" s="38">
        <v>103.14772193051898</v>
      </c>
      <c r="BH149" s="50">
        <v>0.51526923132891533</v>
      </c>
      <c r="BI149" s="38">
        <v>40.036269451542374</v>
      </c>
      <c r="BJ149" s="38">
        <v>92.800827648931502</v>
      </c>
      <c r="BK149" s="38">
        <v>0</v>
      </c>
      <c r="BL149" s="38">
        <v>49.04105565807437</v>
      </c>
      <c r="BM149" s="38">
        <v>181.87815275854825</v>
      </c>
      <c r="BN149" s="38">
        <v>36.614929922312918</v>
      </c>
      <c r="BO149" s="38">
        <v>0</v>
      </c>
      <c r="BP149" s="38">
        <v>28.048108539686396</v>
      </c>
      <c r="BQ149" s="38">
        <v>0</v>
      </c>
      <c r="BR149" s="38">
        <v>0</v>
      </c>
      <c r="BS149" s="38">
        <v>0</v>
      </c>
      <c r="BT149" s="38">
        <v>0</v>
      </c>
      <c r="BU149" s="38">
        <v>0</v>
      </c>
      <c r="BV149" s="38">
        <v>0</v>
      </c>
      <c r="BW149" s="38">
        <v>0</v>
      </c>
      <c r="BX149" s="38">
        <v>132.1760431400977</v>
      </c>
      <c r="BY149" s="38">
        <v>39.647652723056808</v>
      </c>
      <c r="BZ149" s="38">
        <v>0</v>
      </c>
      <c r="CA149" s="38">
        <v>0</v>
      </c>
      <c r="CB149" s="38">
        <v>64.663038461999307</v>
      </c>
      <c r="CC149" s="38">
        <v>171.82369586315451</v>
      </c>
      <c r="CD149" s="50">
        <v>0.37633364907654454</v>
      </c>
      <c r="CE149" s="38">
        <v>152.18877758859335</v>
      </c>
      <c r="CF149" s="38">
        <v>0.66038775479379674</v>
      </c>
      <c r="CG149" s="38">
        <v>0</v>
      </c>
      <c r="CH149" s="38">
        <v>0.66038775479379674</v>
      </c>
      <c r="CI149" s="38">
        <v>3.3019177105379785E-2</v>
      </c>
      <c r="CJ149" s="38">
        <v>0</v>
      </c>
      <c r="CK149" s="38">
        <v>3.3019177105379785E-2</v>
      </c>
      <c r="CL149" s="38"/>
      <c r="CM149" s="38">
        <v>0</v>
      </c>
      <c r="CN149" s="38"/>
      <c r="CO149" s="38">
        <v>0</v>
      </c>
      <c r="CP149" s="38">
        <v>0</v>
      </c>
      <c r="CQ149" s="38">
        <v>0</v>
      </c>
      <c r="CR149" s="38">
        <v>0</v>
      </c>
      <c r="CS149" s="38">
        <v>0</v>
      </c>
      <c r="CT149" s="38">
        <v>0</v>
      </c>
      <c r="CU149" s="38">
        <v>0</v>
      </c>
      <c r="CV149" s="38">
        <v>9999</v>
      </c>
      <c r="CW149" s="49">
        <v>9999</v>
      </c>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131">
      <c r="A150" s="27" t="s">
        <v>230</v>
      </c>
      <c r="B150" s="27"/>
      <c r="C150" s="38">
        <v>45</v>
      </c>
      <c r="D150" s="38">
        <v>62.477825267828266</v>
      </c>
      <c r="E150" s="38">
        <v>0</v>
      </c>
      <c r="F150" s="38">
        <v>198.23826361528404</v>
      </c>
      <c r="G150" s="38">
        <v>0</v>
      </c>
      <c r="H150" s="38">
        <v>0</v>
      </c>
      <c r="I150" s="38"/>
      <c r="J150" s="38"/>
      <c r="K150" s="38"/>
      <c r="L150" s="38">
        <v>67.374885587272161</v>
      </c>
      <c r="M150" s="38">
        <v>3.5231598552302998E-2</v>
      </c>
      <c r="N150" s="38">
        <v>3.4977312673336591E-2</v>
      </c>
      <c r="O150" s="38">
        <v>0</v>
      </c>
      <c r="P150" s="38">
        <v>0</v>
      </c>
      <c r="Q150" s="38">
        <v>0</v>
      </c>
      <c r="R150" s="38">
        <v>25.928717455433237</v>
      </c>
      <c r="S150" s="38">
        <v>59.917322303843548</v>
      </c>
      <c r="T150" s="38">
        <v>0</v>
      </c>
      <c r="U150" s="38">
        <v>46.330003380820912</v>
      </c>
      <c r="V150" s="38">
        <v>11.894295816917042</v>
      </c>
      <c r="W150" s="38">
        <v>27.753356906139764</v>
      </c>
      <c r="X150" s="38">
        <v>0</v>
      </c>
      <c r="Y150" s="38">
        <v>0</v>
      </c>
      <c r="Z150" s="38">
        <v>0</v>
      </c>
      <c r="AA150" s="38">
        <v>0</v>
      </c>
      <c r="AB150" s="38">
        <v>0</v>
      </c>
      <c r="AC150" s="38">
        <v>0</v>
      </c>
      <c r="AD150" s="38">
        <v>0</v>
      </c>
      <c r="AE150" s="38">
        <v>0</v>
      </c>
      <c r="AF150" s="38">
        <v>0</v>
      </c>
      <c r="AG150" s="38">
        <v>0</v>
      </c>
      <c r="AH150" s="38">
        <v>37.823013272350281</v>
      </c>
      <c r="AI150" s="38">
        <v>87.670679209983319</v>
      </c>
      <c r="AJ150" s="38">
        <v>0</v>
      </c>
      <c r="AK150" s="38">
        <v>46.330003380820912</v>
      </c>
      <c r="AL150" s="38">
        <v>171.82369586315451</v>
      </c>
      <c r="AM150" s="38">
        <v>35.488170572925867</v>
      </c>
      <c r="AN150" s="38">
        <v>12.449031971497911</v>
      </c>
      <c r="AO150" s="38">
        <v>0</v>
      </c>
      <c r="AP150" s="38">
        <v>0</v>
      </c>
      <c r="AQ150" s="38">
        <v>47.937202544423776</v>
      </c>
      <c r="AR150" s="38">
        <v>37.823013272350281</v>
      </c>
      <c r="AS150" s="49">
        <v>1.2674083420917515</v>
      </c>
      <c r="AT150" s="38">
        <v>35.488170572925867</v>
      </c>
      <c r="AU150" s="38">
        <v>14.735945910919165</v>
      </c>
      <c r="AV150" s="38">
        <v>0</v>
      </c>
      <c r="AW150" s="38">
        <v>0</v>
      </c>
      <c r="AX150" s="38">
        <v>50.22411648384503</v>
      </c>
      <c r="AY150" s="38">
        <v>87.670679209983319</v>
      </c>
      <c r="AZ150" s="50">
        <v>0.57287244648294977</v>
      </c>
      <c r="BA150" s="38">
        <v>35.488170572925867</v>
      </c>
      <c r="BB150" s="38">
        <v>27.184977882417076</v>
      </c>
      <c r="BC150" s="38">
        <v>0</v>
      </c>
      <c r="BD150" s="38">
        <v>0</v>
      </c>
      <c r="BE150" s="38">
        <v>62.67314845534294</v>
      </c>
      <c r="BF150" s="38">
        <v>125.49369248233359</v>
      </c>
      <c r="BG150" s="38">
        <v>107.36533694665026</v>
      </c>
      <c r="BH150" s="50">
        <v>0.49941273713151579</v>
      </c>
      <c r="BI150" s="38">
        <v>41.307432213409918</v>
      </c>
      <c r="BJ150" s="38">
        <v>95.747279903195277</v>
      </c>
      <c r="BK150" s="38">
        <v>0</v>
      </c>
      <c r="BL150" s="38">
        <v>50.598122902580471</v>
      </c>
      <c r="BM150" s="38">
        <v>187.65283501918566</v>
      </c>
      <c r="BN150" s="38">
        <v>35.488170572925867</v>
      </c>
      <c r="BO150" s="38">
        <v>0</v>
      </c>
      <c r="BP150" s="38">
        <v>27.184977882417076</v>
      </c>
      <c r="BQ150" s="38">
        <v>0</v>
      </c>
      <c r="BR150" s="38">
        <v>0</v>
      </c>
      <c r="BS150" s="38">
        <v>0</v>
      </c>
      <c r="BT150" s="38">
        <v>0</v>
      </c>
      <c r="BU150" s="38">
        <v>0</v>
      </c>
      <c r="BV150" s="38">
        <v>0</v>
      </c>
      <c r="BW150" s="38">
        <v>0</v>
      </c>
      <c r="BX150" s="38">
        <v>132.1760431400977</v>
      </c>
      <c r="BY150" s="38">
        <v>39.647652723056808</v>
      </c>
      <c r="BZ150" s="38">
        <v>0</v>
      </c>
      <c r="CA150" s="38">
        <v>0</v>
      </c>
      <c r="CB150" s="38">
        <v>62.67314845534294</v>
      </c>
      <c r="CC150" s="38">
        <v>171.82369586315451</v>
      </c>
      <c r="CD150" s="50">
        <v>0.36475265032861182</v>
      </c>
      <c r="CE150" s="38">
        <v>157.96345984923076</v>
      </c>
      <c r="CF150" s="38">
        <v>0.64006549612735997</v>
      </c>
      <c r="CG150" s="38">
        <v>0</v>
      </c>
      <c r="CH150" s="38">
        <v>0.64006549612735997</v>
      </c>
      <c r="CI150" s="38">
        <v>3.2003070653954274E-2</v>
      </c>
      <c r="CJ150" s="38">
        <v>0</v>
      </c>
      <c r="CK150" s="38">
        <v>3.2003070653954274E-2</v>
      </c>
      <c r="CL150" s="38"/>
      <c r="CM150" s="38">
        <v>0</v>
      </c>
      <c r="CN150" s="38"/>
      <c r="CO150" s="38">
        <v>0</v>
      </c>
      <c r="CP150" s="38">
        <v>0</v>
      </c>
      <c r="CQ150" s="38">
        <v>0</v>
      </c>
      <c r="CR150" s="38">
        <v>0</v>
      </c>
      <c r="CS150" s="38">
        <v>0</v>
      </c>
      <c r="CT150" s="38">
        <v>0</v>
      </c>
      <c r="CU150" s="38">
        <v>0</v>
      </c>
      <c r="CV150" s="38">
        <v>9999</v>
      </c>
      <c r="CW150" s="49">
        <v>9999</v>
      </c>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131">
      <c r="A151" s="27" t="s">
        <v>1208</v>
      </c>
      <c r="B151" s="27"/>
      <c r="C151" s="38">
        <v>45</v>
      </c>
      <c r="D151" s="38">
        <v>46.717076442582112</v>
      </c>
      <c r="E151" s="38">
        <v>0</v>
      </c>
      <c r="F151" s="38">
        <v>169.97517278288436</v>
      </c>
      <c r="G151" s="38">
        <v>0</v>
      </c>
      <c r="H151" s="38">
        <v>0</v>
      </c>
      <c r="I151" s="38"/>
      <c r="J151" s="38"/>
      <c r="K151" s="38"/>
      <c r="L151" s="38">
        <v>50.378797065966225</v>
      </c>
      <c r="M151" s="38">
        <v>2.6344023270762556E-2</v>
      </c>
      <c r="N151" s="38">
        <v>2.6153883924602245E-2</v>
      </c>
      <c r="O151" s="38">
        <v>0</v>
      </c>
      <c r="P151" s="38">
        <v>0</v>
      </c>
      <c r="Q151" s="38">
        <v>0</v>
      </c>
      <c r="R151" s="38">
        <v>22.232025993119414</v>
      </c>
      <c r="S151" s="38">
        <v>51.374830598033775</v>
      </c>
      <c r="T151" s="38">
        <v>0</v>
      </c>
      <c r="U151" s="38">
        <v>39.724673663250847</v>
      </c>
      <c r="V151" s="38">
        <v>10.198510366973062</v>
      </c>
      <c r="W151" s="38">
        <v>23.796524189603812</v>
      </c>
      <c r="X151" s="38">
        <v>0</v>
      </c>
      <c r="Y151" s="38">
        <v>0</v>
      </c>
      <c r="Z151" s="38">
        <v>0</v>
      </c>
      <c r="AA151" s="38">
        <v>0</v>
      </c>
      <c r="AB151" s="38">
        <v>0</v>
      </c>
      <c r="AC151" s="38">
        <v>0</v>
      </c>
      <c r="AD151" s="38">
        <v>0</v>
      </c>
      <c r="AE151" s="38">
        <v>0</v>
      </c>
      <c r="AF151" s="38">
        <v>0</v>
      </c>
      <c r="AG151" s="38">
        <v>0</v>
      </c>
      <c r="AH151" s="38">
        <v>32.430536360092475</v>
      </c>
      <c r="AI151" s="38">
        <v>75.171354787637583</v>
      </c>
      <c r="AJ151" s="38">
        <v>0</v>
      </c>
      <c r="AK151" s="38">
        <v>39.724673663250847</v>
      </c>
      <c r="AL151" s="38">
        <v>147.32656481098093</v>
      </c>
      <c r="AM151" s="38">
        <v>26.535872053095837</v>
      </c>
      <c r="AN151" s="38">
        <v>9.3086207107162373</v>
      </c>
      <c r="AO151" s="38">
        <v>0</v>
      </c>
      <c r="AP151" s="38">
        <v>0</v>
      </c>
      <c r="AQ151" s="38">
        <v>35.84449276381207</v>
      </c>
      <c r="AR151" s="38">
        <v>32.430536360092475</v>
      </c>
      <c r="AS151" s="49">
        <v>1.1052698100892544</v>
      </c>
      <c r="AT151" s="38">
        <v>26.535872053095837</v>
      </c>
      <c r="AU151" s="38">
        <v>11.018634349436207</v>
      </c>
      <c r="AV151" s="38">
        <v>0</v>
      </c>
      <c r="AW151" s="38">
        <v>0</v>
      </c>
      <c r="AX151" s="38">
        <v>37.554506402532041</v>
      </c>
      <c r="AY151" s="38">
        <v>75.171354787637583</v>
      </c>
      <c r="AZ151" s="50">
        <v>0.49958533418248469</v>
      </c>
      <c r="BA151" s="38">
        <v>26.535872053095837</v>
      </c>
      <c r="BB151" s="38">
        <v>20.327255060152446</v>
      </c>
      <c r="BC151" s="38">
        <v>0</v>
      </c>
      <c r="BD151" s="38">
        <v>0</v>
      </c>
      <c r="BE151" s="38">
        <v>46.863127113248282</v>
      </c>
      <c r="BF151" s="38">
        <v>107.60189114773007</v>
      </c>
      <c r="BG151" s="38">
        <v>127.47069911592601</v>
      </c>
      <c r="BH151" s="50">
        <v>0.43552326649081285</v>
      </c>
      <c r="BI151" s="38">
        <v>47.367062503442028</v>
      </c>
      <c r="BJ151" s="38">
        <v>109.79301178243887</v>
      </c>
      <c r="BK151" s="38">
        <v>0</v>
      </c>
      <c r="BL151" s="38">
        <v>58.020659277516643</v>
      </c>
      <c r="BM151" s="38">
        <v>215.18073356339758</v>
      </c>
      <c r="BN151" s="38">
        <v>26.535872053095837</v>
      </c>
      <c r="BO151" s="38">
        <v>0</v>
      </c>
      <c r="BP151" s="38">
        <v>20.327255060152446</v>
      </c>
      <c r="BQ151" s="38">
        <v>0</v>
      </c>
      <c r="BR151" s="38">
        <v>0</v>
      </c>
      <c r="BS151" s="38">
        <v>0</v>
      </c>
      <c r="BT151" s="38">
        <v>0</v>
      </c>
      <c r="BU151" s="38">
        <v>0</v>
      </c>
      <c r="BV151" s="38">
        <v>0</v>
      </c>
      <c r="BW151" s="38">
        <v>0</v>
      </c>
      <c r="BX151" s="38">
        <v>113.33153025440404</v>
      </c>
      <c r="BY151" s="38">
        <v>33.995034556576876</v>
      </c>
      <c r="BZ151" s="38">
        <v>0</v>
      </c>
      <c r="CA151" s="38">
        <v>0</v>
      </c>
      <c r="CB151" s="38">
        <v>46.863127113248275</v>
      </c>
      <c r="CC151" s="38">
        <v>147.32656481098093</v>
      </c>
      <c r="CD151" s="50">
        <v>0.31809013651661111</v>
      </c>
      <c r="CE151" s="38">
        <v>185.49135839344265</v>
      </c>
      <c r="CF151" s="38">
        <v>0.47860162517914356</v>
      </c>
      <c r="CG151" s="38">
        <v>0</v>
      </c>
      <c r="CH151" s="38">
        <v>0.47860162517914356</v>
      </c>
      <c r="CI151" s="38">
        <v>2.3929928606333955E-2</v>
      </c>
      <c r="CJ151" s="38">
        <v>0</v>
      </c>
      <c r="CK151" s="38">
        <v>2.3929928606333955E-2</v>
      </c>
      <c r="CL151" s="38"/>
      <c r="CM151" s="38">
        <v>0</v>
      </c>
      <c r="CN151" s="38"/>
      <c r="CO151" s="38">
        <v>0</v>
      </c>
      <c r="CP151" s="38">
        <v>0</v>
      </c>
      <c r="CQ151" s="38">
        <v>0</v>
      </c>
      <c r="CR151" s="38">
        <v>0</v>
      </c>
      <c r="CS151" s="38">
        <v>0</v>
      </c>
      <c r="CT151" s="38">
        <v>0</v>
      </c>
      <c r="CU151" s="38">
        <v>0</v>
      </c>
      <c r="CV151" s="38">
        <v>9999</v>
      </c>
      <c r="CW151" s="49">
        <v>9999</v>
      </c>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row>
    <row r="152" spans="1:131">
      <c r="A152" s="27" t="s">
        <v>1206</v>
      </c>
      <c r="B152" s="27"/>
      <c r="C152" s="38">
        <v>45</v>
      </c>
      <c r="D152" s="38">
        <v>45.272011880626216</v>
      </c>
      <c r="E152" s="38">
        <v>0</v>
      </c>
      <c r="F152" s="38">
        <v>169.97517278288436</v>
      </c>
      <c r="G152" s="38">
        <v>0</v>
      </c>
      <c r="H152" s="38">
        <v>0</v>
      </c>
      <c r="I152" s="38"/>
      <c r="J152" s="38"/>
      <c r="K152" s="38"/>
      <c r="L152" s="38">
        <v>48.820467224768407</v>
      </c>
      <c r="M152" s="38">
        <v>2.5529143202342411E-2</v>
      </c>
      <c r="N152" s="38">
        <v>2.5344885295088222E-2</v>
      </c>
      <c r="O152" s="38">
        <v>0</v>
      </c>
      <c r="P152" s="38">
        <v>0</v>
      </c>
      <c r="Q152" s="38">
        <v>0</v>
      </c>
      <c r="R152" s="38">
        <v>22.232025993119414</v>
      </c>
      <c r="S152" s="38">
        <v>51.374830598033775</v>
      </c>
      <c r="T152" s="38">
        <v>0</v>
      </c>
      <c r="U152" s="38">
        <v>39.724673663250847</v>
      </c>
      <c r="V152" s="38">
        <v>10.198510366973062</v>
      </c>
      <c r="W152" s="38">
        <v>23.796524189603812</v>
      </c>
      <c r="X152" s="38">
        <v>0</v>
      </c>
      <c r="Y152" s="38">
        <v>0</v>
      </c>
      <c r="Z152" s="38">
        <v>0</v>
      </c>
      <c r="AA152" s="38">
        <v>0</v>
      </c>
      <c r="AB152" s="38">
        <v>0</v>
      </c>
      <c r="AC152" s="38">
        <v>0</v>
      </c>
      <c r="AD152" s="38">
        <v>0</v>
      </c>
      <c r="AE152" s="38">
        <v>0</v>
      </c>
      <c r="AF152" s="38">
        <v>0</v>
      </c>
      <c r="AG152" s="38">
        <v>0</v>
      </c>
      <c r="AH152" s="38">
        <v>32.430536360092475</v>
      </c>
      <c r="AI152" s="38">
        <v>75.171354787637583</v>
      </c>
      <c r="AJ152" s="38">
        <v>0</v>
      </c>
      <c r="AK152" s="38">
        <v>39.724673663250847</v>
      </c>
      <c r="AL152" s="38">
        <v>147.32656481098093</v>
      </c>
      <c r="AM152" s="38">
        <v>25.71505766905247</v>
      </c>
      <c r="AN152" s="38">
        <v>9.0206840731084164</v>
      </c>
      <c r="AO152" s="38">
        <v>0</v>
      </c>
      <c r="AP152" s="38">
        <v>0</v>
      </c>
      <c r="AQ152" s="38">
        <v>34.735741742160883</v>
      </c>
      <c r="AR152" s="38">
        <v>32.430536360092475</v>
      </c>
      <c r="AS152" s="49">
        <v>1.0710813215197108</v>
      </c>
      <c r="AT152" s="38">
        <v>25.71505766905247</v>
      </c>
      <c r="AU152" s="38">
        <v>10.677803132416667</v>
      </c>
      <c r="AV152" s="38">
        <v>0</v>
      </c>
      <c r="AW152" s="38">
        <v>0</v>
      </c>
      <c r="AX152" s="38">
        <v>36.392860801469141</v>
      </c>
      <c r="AY152" s="38">
        <v>75.171354787637583</v>
      </c>
      <c r="AZ152" s="50">
        <v>0.48413203279734135</v>
      </c>
      <c r="BA152" s="38">
        <v>25.71505766905247</v>
      </c>
      <c r="BB152" s="38">
        <v>19.698487205525083</v>
      </c>
      <c r="BC152" s="38">
        <v>0</v>
      </c>
      <c r="BD152" s="38">
        <v>0</v>
      </c>
      <c r="BE152" s="38">
        <v>45.413544874577553</v>
      </c>
      <c r="BF152" s="38">
        <v>107.60189114773007</v>
      </c>
      <c r="BG152" s="38">
        <v>132.48718600198973</v>
      </c>
      <c r="BH152" s="50">
        <v>0.42205154937498124</v>
      </c>
      <c r="BI152" s="38">
        <v>48.879000245642651</v>
      </c>
      <c r="BJ152" s="38">
        <v>113.29756092630197</v>
      </c>
      <c r="BK152" s="38">
        <v>0</v>
      </c>
      <c r="BL152" s="38">
        <v>59.87265557943352</v>
      </c>
      <c r="BM152" s="38">
        <v>222.04921675137817</v>
      </c>
      <c r="BN152" s="38">
        <v>25.71505766905247</v>
      </c>
      <c r="BO152" s="38">
        <v>0</v>
      </c>
      <c r="BP152" s="38">
        <v>19.698487205525083</v>
      </c>
      <c r="BQ152" s="38">
        <v>0</v>
      </c>
      <c r="BR152" s="38">
        <v>0</v>
      </c>
      <c r="BS152" s="38">
        <v>0</v>
      </c>
      <c r="BT152" s="38">
        <v>0</v>
      </c>
      <c r="BU152" s="38">
        <v>0</v>
      </c>
      <c r="BV152" s="38">
        <v>0</v>
      </c>
      <c r="BW152" s="38">
        <v>0</v>
      </c>
      <c r="BX152" s="38">
        <v>113.33153025440404</v>
      </c>
      <c r="BY152" s="38">
        <v>33.995034556576876</v>
      </c>
      <c r="BZ152" s="38">
        <v>0</v>
      </c>
      <c r="CA152" s="38">
        <v>0</v>
      </c>
      <c r="CB152" s="38">
        <v>45.413544874577553</v>
      </c>
      <c r="CC152" s="38">
        <v>147.32656481098093</v>
      </c>
      <c r="CD152" s="50">
        <v>0.30825089102459458</v>
      </c>
      <c r="CE152" s="38">
        <v>192.35984158142327</v>
      </c>
      <c r="CF152" s="38">
        <v>0.46379739724996405</v>
      </c>
      <c r="CG152" s="38">
        <v>0</v>
      </c>
      <c r="CH152" s="38">
        <v>0.46379739724996405</v>
      </c>
      <c r="CI152" s="38">
        <v>2.3189721931764995E-2</v>
      </c>
      <c r="CJ152" s="38">
        <v>0</v>
      </c>
      <c r="CK152" s="38">
        <v>2.3189721931764995E-2</v>
      </c>
      <c r="CL152" s="38"/>
      <c r="CM152" s="38">
        <v>0</v>
      </c>
      <c r="CN152" s="38"/>
      <c r="CO152" s="38">
        <v>0</v>
      </c>
      <c r="CP152" s="38">
        <v>0</v>
      </c>
      <c r="CQ152" s="38">
        <v>0</v>
      </c>
      <c r="CR152" s="38">
        <v>0</v>
      </c>
      <c r="CS152" s="38">
        <v>0</v>
      </c>
      <c r="CT152" s="38">
        <v>0</v>
      </c>
      <c r="CU152" s="38">
        <v>0</v>
      </c>
      <c r="CV152" s="38">
        <v>9999</v>
      </c>
      <c r="CW152" s="49">
        <v>9999</v>
      </c>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row r="153" spans="1:131">
      <c r="A153" s="27" t="s">
        <v>245</v>
      </c>
      <c r="B153" s="27"/>
      <c r="C153" s="38">
        <v>45</v>
      </c>
      <c r="D153" s="38">
        <v>73.360580339801686</v>
      </c>
      <c r="E153" s="38">
        <v>0</v>
      </c>
      <c r="F153" s="38">
        <v>337.57430889025602</v>
      </c>
      <c r="G153" s="38">
        <v>0</v>
      </c>
      <c r="H153" s="38">
        <v>0</v>
      </c>
      <c r="I153" s="38"/>
      <c r="J153" s="38"/>
      <c r="K153" s="38"/>
      <c r="L153" s="38">
        <v>79.110639428020434</v>
      </c>
      <c r="M153" s="38">
        <v>4.1368445604760183E-2</v>
      </c>
      <c r="N153" s="38">
        <v>4.1069866715798792E-2</v>
      </c>
      <c r="O153" s="38">
        <v>0</v>
      </c>
      <c r="P153" s="38">
        <v>0</v>
      </c>
      <c r="Q153" s="38">
        <v>0</v>
      </c>
      <c r="R153" s="38">
        <v>44.153276546121596</v>
      </c>
      <c r="S153" s="38">
        <v>102.03150642263422</v>
      </c>
      <c r="T153" s="38">
        <v>0</v>
      </c>
      <c r="U153" s="38">
        <v>78.894046925853047</v>
      </c>
      <c r="V153" s="38">
        <v>20.254458533415363</v>
      </c>
      <c r="W153" s="38">
        <v>47.260403244635846</v>
      </c>
      <c r="X153" s="38">
        <v>0</v>
      </c>
      <c r="Y153" s="38">
        <v>0</v>
      </c>
      <c r="Z153" s="38">
        <v>0</v>
      </c>
      <c r="AA153" s="38">
        <v>0</v>
      </c>
      <c r="AB153" s="38">
        <v>0</v>
      </c>
      <c r="AC153" s="38">
        <v>0</v>
      </c>
      <c r="AD153" s="38">
        <v>0</v>
      </c>
      <c r="AE153" s="38">
        <v>0</v>
      </c>
      <c r="AF153" s="38">
        <v>0</v>
      </c>
      <c r="AG153" s="38">
        <v>0</v>
      </c>
      <c r="AH153" s="38">
        <v>64.407735079536963</v>
      </c>
      <c r="AI153" s="38">
        <v>149.29190966727006</v>
      </c>
      <c r="AJ153" s="38">
        <v>0</v>
      </c>
      <c r="AK153" s="38">
        <v>78.894046925853047</v>
      </c>
      <c r="AL153" s="38">
        <v>292.5936916726601</v>
      </c>
      <c r="AM153" s="38">
        <v>41.669708848977791</v>
      </c>
      <c r="AN153" s="38">
        <v>14.617477579971105</v>
      </c>
      <c r="AO153" s="38">
        <v>0</v>
      </c>
      <c r="AP153" s="38">
        <v>0</v>
      </c>
      <c r="AQ153" s="38">
        <v>56.2871864289489</v>
      </c>
      <c r="AR153" s="38">
        <v>64.407735079536963</v>
      </c>
      <c r="AS153" s="50">
        <v>0.87391966755918349</v>
      </c>
      <c r="AT153" s="38">
        <v>41.669708848977791</v>
      </c>
      <c r="AU153" s="38">
        <v>17.302739639972984</v>
      </c>
      <c r="AV153" s="38">
        <v>0</v>
      </c>
      <c r="AW153" s="38">
        <v>0</v>
      </c>
      <c r="AX153" s="38">
        <v>58.972448488950775</v>
      </c>
      <c r="AY153" s="38">
        <v>149.29190966727006</v>
      </c>
      <c r="AZ153" s="50">
        <v>0.395014362267747</v>
      </c>
      <c r="BA153" s="38">
        <v>41.669708848977791</v>
      </c>
      <c r="BB153" s="38">
        <v>31.920217219944089</v>
      </c>
      <c r="BC153" s="38">
        <v>0</v>
      </c>
      <c r="BD153" s="38">
        <v>0</v>
      </c>
      <c r="BE153" s="38">
        <v>73.589926068921883</v>
      </c>
      <c r="BF153" s="38">
        <v>213.69964474680705</v>
      </c>
      <c r="BG153" s="38">
        <v>169.07521602492761</v>
      </c>
      <c r="BH153" s="50">
        <v>0.34436148060101729</v>
      </c>
      <c r="BI153" s="38">
        <v>59.906403438528585</v>
      </c>
      <c r="BJ153" s="38">
        <v>138.85818775635391</v>
      </c>
      <c r="BK153" s="38">
        <v>0</v>
      </c>
      <c r="BL153" s="38">
        <v>73.380295056205796</v>
      </c>
      <c r="BM153" s="38">
        <v>272.14488625108834</v>
      </c>
      <c r="BN153" s="38">
        <v>41.669708848977791</v>
      </c>
      <c r="BO153" s="38">
        <v>0</v>
      </c>
      <c r="BP153" s="38">
        <v>31.920217219944089</v>
      </c>
      <c r="BQ153" s="38">
        <v>0</v>
      </c>
      <c r="BR153" s="38">
        <v>0</v>
      </c>
      <c r="BS153" s="38">
        <v>0</v>
      </c>
      <c r="BT153" s="38">
        <v>0</v>
      </c>
      <c r="BU153" s="38">
        <v>0</v>
      </c>
      <c r="BV153" s="38">
        <v>0</v>
      </c>
      <c r="BW153" s="38">
        <v>0</v>
      </c>
      <c r="BX153" s="38">
        <v>225.07882989460887</v>
      </c>
      <c r="BY153" s="38">
        <v>67.514861778051213</v>
      </c>
      <c r="BZ153" s="38">
        <v>0</v>
      </c>
      <c r="CA153" s="38">
        <v>0</v>
      </c>
      <c r="CB153" s="38">
        <v>73.589926068921883</v>
      </c>
      <c r="CC153" s="38">
        <v>292.5936916726601</v>
      </c>
      <c r="CD153" s="50">
        <v>0.251508929150977</v>
      </c>
      <c r="CE153" s="38">
        <v>242.45551108113341</v>
      </c>
      <c r="CF153" s="38">
        <v>0.75155586882383207</v>
      </c>
      <c r="CG153" s="38">
        <v>0</v>
      </c>
      <c r="CH153" s="38">
        <v>0.75155586882383207</v>
      </c>
      <c r="CI153" s="38">
        <v>3.7577553728309704E-2</v>
      </c>
      <c r="CJ153" s="38">
        <v>0</v>
      </c>
      <c r="CK153" s="38">
        <v>3.7577553728309704E-2</v>
      </c>
      <c r="CL153" s="38"/>
      <c r="CM153" s="38">
        <v>0</v>
      </c>
      <c r="CN153" s="38"/>
      <c r="CO153" s="38">
        <v>0</v>
      </c>
      <c r="CP153" s="38">
        <v>0</v>
      </c>
      <c r="CQ153" s="38">
        <v>0</v>
      </c>
      <c r="CR153" s="38">
        <v>0</v>
      </c>
      <c r="CS153" s="38">
        <v>0</v>
      </c>
      <c r="CT153" s="38">
        <v>0</v>
      </c>
      <c r="CU153" s="38">
        <v>0</v>
      </c>
      <c r="CV153" s="38">
        <v>9999</v>
      </c>
      <c r="CW153" s="49">
        <v>9999</v>
      </c>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row>
    <row r="154" spans="1:131">
      <c r="A154" s="27" t="s">
        <v>244</v>
      </c>
      <c r="B154" s="27"/>
      <c r="C154" s="38">
        <v>45</v>
      </c>
      <c r="D154" s="38">
        <v>56.755374240869628</v>
      </c>
      <c r="E154" s="38">
        <v>0</v>
      </c>
      <c r="F154" s="38">
        <v>315.42921929554086</v>
      </c>
      <c r="G154" s="38">
        <v>0</v>
      </c>
      <c r="H154" s="38">
        <v>0</v>
      </c>
      <c r="I154" s="38"/>
      <c r="J154" s="38"/>
      <c r="K154" s="38"/>
      <c r="L154" s="38">
        <v>61.203904418075837</v>
      </c>
      <c r="M154" s="38">
        <v>3.2004676096971697E-2</v>
      </c>
      <c r="N154" s="38">
        <v>3.1773680697195217E-2</v>
      </c>
      <c r="O154" s="38">
        <v>0</v>
      </c>
      <c r="P154" s="38">
        <v>0</v>
      </c>
      <c r="Q154" s="38">
        <v>0</v>
      </c>
      <c r="R154" s="38">
        <v>41.256793492572733</v>
      </c>
      <c r="S154" s="38">
        <v>95.338174638468317</v>
      </c>
      <c r="T154" s="38">
        <v>0</v>
      </c>
      <c r="U154" s="38">
        <v>73.718547216156082</v>
      </c>
      <c r="V154" s="38">
        <v>18.925753157732451</v>
      </c>
      <c r="W154" s="38">
        <v>44.160090701375722</v>
      </c>
      <c r="X154" s="38">
        <v>0</v>
      </c>
      <c r="Y154" s="38">
        <v>0</v>
      </c>
      <c r="Z154" s="38">
        <v>0</v>
      </c>
      <c r="AA154" s="38">
        <v>0</v>
      </c>
      <c r="AB154" s="38">
        <v>0</v>
      </c>
      <c r="AC154" s="38">
        <v>0</v>
      </c>
      <c r="AD154" s="38">
        <v>0</v>
      </c>
      <c r="AE154" s="38">
        <v>0</v>
      </c>
      <c r="AF154" s="38">
        <v>0</v>
      </c>
      <c r="AG154" s="38">
        <v>0</v>
      </c>
      <c r="AH154" s="38">
        <v>60.182546650305184</v>
      </c>
      <c r="AI154" s="38">
        <v>139.49826533984404</v>
      </c>
      <c r="AJ154" s="38">
        <v>0</v>
      </c>
      <c r="AK154" s="38">
        <v>73.718547216156082</v>
      </c>
      <c r="AL154" s="38">
        <v>273.39935920630529</v>
      </c>
      <c r="AM154" s="38">
        <v>32.237748246774643</v>
      </c>
      <c r="AN154" s="38">
        <v>11.308803810793631</v>
      </c>
      <c r="AO154" s="38">
        <v>0</v>
      </c>
      <c r="AP154" s="38">
        <v>0</v>
      </c>
      <c r="AQ154" s="38">
        <v>43.546552057568277</v>
      </c>
      <c r="AR154" s="38">
        <v>60.182546650305184</v>
      </c>
      <c r="AS154" s="50">
        <v>0.72357443281020506</v>
      </c>
      <c r="AT154" s="38">
        <v>32.237748246774643</v>
      </c>
      <c r="AU154" s="38">
        <v>13.386255385526185</v>
      </c>
      <c r="AV154" s="38">
        <v>0</v>
      </c>
      <c r="AW154" s="38">
        <v>0</v>
      </c>
      <c r="AX154" s="38">
        <v>45.624003632300827</v>
      </c>
      <c r="AY154" s="38">
        <v>139.49826533984404</v>
      </c>
      <c r="AZ154" s="50">
        <v>0.32705785639091756</v>
      </c>
      <c r="BA154" s="38">
        <v>32.237748246774643</v>
      </c>
      <c r="BB154" s="38">
        <v>24.695059196319818</v>
      </c>
      <c r="BC154" s="38">
        <v>0</v>
      </c>
      <c r="BD154" s="38">
        <v>0</v>
      </c>
      <c r="BE154" s="38">
        <v>56.932807443094461</v>
      </c>
      <c r="BF154" s="38">
        <v>199.68081199014921</v>
      </c>
      <c r="BG154" s="38">
        <v>210.37478075238644</v>
      </c>
      <c r="BH154" s="50">
        <v>0.28511907015834403</v>
      </c>
      <c r="BI154" s="38">
        <v>72.353833695223514</v>
      </c>
      <c r="BJ154" s="38">
        <v>167.7103222271179</v>
      </c>
      <c r="BK154" s="38">
        <v>0</v>
      </c>
      <c r="BL154" s="38">
        <v>88.627348000472011</v>
      </c>
      <c r="BM154" s="38">
        <v>328.69150392281341</v>
      </c>
      <c r="BN154" s="38">
        <v>32.237748246774643</v>
      </c>
      <c r="BO154" s="38">
        <v>0</v>
      </c>
      <c r="BP154" s="38">
        <v>24.695059196319818</v>
      </c>
      <c r="BQ154" s="38">
        <v>0</v>
      </c>
      <c r="BR154" s="38">
        <v>0</v>
      </c>
      <c r="BS154" s="38">
        <v>0</v>
      </c>
      <c r="BT154" s="38">
        <v>0</v>
      </c>
      <c r="BU154" s="38">
        <v>0</v>
      </c>
      <c r="BV154" s="38">
        <v>0</v>
      </c>
      <c r="BW154" s="38">
        <v>0</v>
      </c>
      <c r="BX154" s="38">
        <v>210.31351534719713</v>
      </c>
      <c r="BY154" s="38">
        <v>63.085843859108174</v>
      </c>
      <c r="BZ154" s="38">
        <v>0</v>
      </c>
      <c r="CA154" s="38">
        <v>0</v>
      </c>
      <c r="CB154" s="38">
        <v>56.932807443094461</v>
      </c>
      <c r="CC154" s="38">
        <v>273.39935920630529</v>
      </c>
      <c r="CD154" s="50">
        <v>0.20824045677493103</v>
      </c>
      <c r="CE154" s="38">
        <v>299.00212875285848</v>
      </c>
      <c r="CF154" s="38">
        <v>0.58144080104660956</v>
      </c>
      <c r="CG154" s="38">
        <v>0</v>
      </c>
      <c r="CH154" s="38">
        <v>0.58144080104660956</v>
      </c>
      <c r="CI154" s="38">
        <v>2.9071854598586022E-2</v>
      </c>
      <c r="CJ154" s="38">
        <v>0</v>
      </c>
      <c r="CK154" s="38">
        <v>2.9071854598586022E-2</v>
      </c>
      <c r="CL154" s="38"/>
      <c r="CM154" s="38">
        <v>0</v>
      </c>
      <c r="CN154" s="38"/>
      <c r="CO154" s="38">
        <v>0</v>
      </c>
      <c r="CP154" s="38">
        <v>0</v>
      </c>
      <c r="CQ154" s="38">
        <v>0</v>
      </c>
      <c r="CR154" s="38">
        <v>0</v>
      </c>
      <c r="CS154" s="38">
        <v>0</v>
      </c>
      <c r="CT154" s="38">
        <v>0</v>
      </c>
      <c r="CU154" s="38">
        <v>0</v>
      </c>
      <c r="CV154" s="38">
        <v>9999</v>
      </c>
      <c r="CW154" s="49">
        <v>9999</v>
      </c>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row>
    <row r="155" spans="1:131">
      <c r="A155" s="27" t="s">
        <v>242</v>
      </c>
      <c r="B155" s="27"/>
      <c r="C155" s="38">
        <v>45</v>
      </c>
      <c r="D155" s="38">
        <v>39.190388710390856</v>
      </c>
      <c r="E155" s="38">
        <v>0</v>
      </c>
      <c r="F155" s="38">
        <v>235.52932235113522</v>
      </c>
      <c r="G155" s="38">
        <v>0</v>
      </c>
      <c r="H155" s="38">
        <v>0</v>
      </c>
      <c r="I155" s="38"/>
      <c r="J155" s="38"/>
      <c r="K155" s="38"/>
      <c r="L155" s="38">
        <v>42.262161721607704</v>
      </c>
      <c r="M155" s="38">
        <v>2.2099681546761254E-2</v>
      </c>
      <c r="N155" s="38">
        <v>2.1940175955816998E-2</v>
      </c>
      <c r="O155" s="38">
        <v>0</v>
      </c>
      <c r="P155" s="38">
        <v>0</v>
      </c>
      <c r="Q155" s="38">
        <v>0</v>
      </c>
      <c r="R155" s="38">
        <v>30.806228526919949</v>
      </c>
      <c r="S155" s="38">
        <v>71.188508524803197</v>
      </c>
      <c r="T155" s="38">
        <v>0</v>
      </c>
      <c r="U155" s="38">
        <v>55.045247581402045</v>
      </c>
      <c r="V155" s="38">
        <v>14.131759341068113</v>
      </c>
      <c r="W155" s="38">
        <v>32.974105129158929</v>
      </c>
      <c r="X155" s="38">
        <v>0</v>
      </c>
      <c r="Y155" s="38">
        <v>0</v>
      </c>
      <c r="Z155" s="38">
        <v>0</v>
      </c>
      <c r="AA155" s="38">
        <v>0</v>
      </c>
      <c r="AB155" s="38">
        <v>0</v>
      </c>
      <c r="AC155" s="38">
        <v>0</v>
      </c>
      <c r="AD155" s="38">
        <v>0</v>
      </c>
      <c r="AE155" s="38">
        <v>0</v>
      </c>
      <c r="AF155" s="38">
        <v>0</v>
      </c>
      <c r="AG155" s="38">
        <v>0</v>
      </c>
      <c r="AH155" s="38">
        <v>44.937987867988063</v>
      </c>
      <c r="AI155" s="38">
        <v>104.16261365396213</v>
      </c>
      <c r="AJ155" s="38">
        <v>0</v>
      </c>
      <c r="AK155" s="38">
        <v>55.045247581402045</v>
      </c>
      <c r="AL155" s="38">
        <v>204.14584910335225</v>
      </c>
      <c r="AM155" s="38">
        <v>22.260621162974108</v>
      </c>
      <c r="AN155" s="38">
        <v>7.8088889928489866</v>
      </c>
      <c r="AO155" s="38">
        <v>0</v>
      </c>
      <c r="AP155" s="38">
        <v>0</v>
      </c>
      <c r="AQ155" s="38">
        <v>30.069510155823096</v>
      </c>
      <c r="AR155" s="38">
        <v>44.937987867988063</v>
      </c>
      <c r="AS155" s="50">
        <v>0.66913343437086448</v>
      </c>
      <c r="AT155" s="38">
        <v>22.260621162974108</v>
      </c>
      <c r="AU155" s="38">
        <v>9.2433986904725565</v>
      </c>
      <c r="AV155" s="38">
        <v>0</v>
      </c>
      <c r="AW155" s="38">
        <v>0</v>
      </c>
      <c r="AX155" s="38">
        <v>31.504019853446664</v>
      </c>
      <c r="AY155" s="38">
        <v>104.16261365396213</v>
      </c>
      <c r="AZ155" s="50">
        <v>0.30245035861048902</v>
      </c>
      <c r="BA155" s="38">
        <v>22.260621162974108</v>
      </c>
      <c r="BB155" s="38">
        <v>17.052287683321545</v>
      </c>
      <c r="BC155" s="38">
        <v>0</v>
      </c>
      <c r="BD155" s="38">
        <v>0</v>
      </c>
      <c r="BE155" s="38">
        <v>39.312908846295649</v>
      </c>
      <c r="BF155" s="38">
        <v>149.10060152195018</v>
      </c>
      <c r="BG155" s="38">
        <v>229.90650890493009</v>
      </c>
      <c r="BH155" s="50">
        <v>0.26366700365395984</v>
      </c>
      <c r="BI155" s="38">
        <v>78.24057428379605</v>
      </c>
      <c r="BJ155" s="38">
        <v>181.35530979108893</v>
      </c>
      <c r="BK155" s="38">
        <v>0</v>
      </c>
      <c r="BL155" s="38">
        <v>95.838109062969295</v>
      </c>
      <c r="BM155" s="38">
        <v>355.43399313785432</v>
      </c>
      <c r="BN155" s="38">
        <v>22.260621162974108</v>
      </c>
      <c r="BO155" s="38">
        <v>0</v>
      </c>
      <c r="BP155" s="38">
        <v>17.052287683321545</v>
      </c>
      <c r="BQ155" s="38">
        <v>0</v>
      </c>
      <c r="BR155" s="38">
        <v>0</v>
      </c>
      <c r="BS155" s="38">
        <v>0</v>
      </c>
      <c r="BT155" s="38">
        <v>0</v>
      </c>
      <c r="BU155" s="38">
        <v>0</v>
      </c>
      <c r="BV155" s="38">
        <v>0</v>
      </c>
      <c r="BW155" s="38">
        <v>0</v>
      </c>
      <c r="BX155" s="38">
        <v>157.03998463312519</v>
      </c>
      <c r="BY155" s="38">
        <v>47.105864470227047</v>
      </c>
      <c r="BZ155" s="38">
        <v>0</v>
      </c>
      <c r="CA155" s="38">
        <v>0</v>
      </c>
      <c r="CB155" s="38">
        <v>39.312908846295656</v>
      </c>
      <c r="CC155" s="38">
        <v>204.14584910335225</v>
      </c>
      <c r="CD155" s="50">
        <v>0.1925726583174015</v>
      </c>
      <c r="CE155" s="38">
        <v>325.74461796789939</v>
      </c>
      <c r="CF155" s="38">
        <v>0.40149309752394924</v>
      </c>
      <c r="CG155" s="38">
        <v>0</v>
      </c>
      <c r="CH155" s="38">
        <v>0.40149309752394924</v>
      </c>
      <c r="CI155" s="38">
        <v>2.0074526817763665E-2</v>
      </c>
      <c r="CJ155" s="38">
        <v>0</v>
      </c>
      <c r="CK155" s="38">
        <v>2.0074526817763665E-2</v>
      </c>
      <c r="CL155" s="38"/>
      <c r="CM155" s="38">
        <v>0</v>
      </c>
      <c r="CN155" s="38"/>
      <c r="CO155" s="38">
        <v>0</v>
      </c>
      <c r="CP155" s="38">
        <v>0</v>
      </c>
      <c r="CQ155" s="38">
        <v>0</v>
      </c>
      <c r="CR155" s="38">
        <v>0</v>
      </c>
      <c r="CS155" s="38">
        <v>0</v>
      </c>
      <c r="CT155" s="38">
        <v>0</v>
      </c>
      <c r="CU155" s="38">
        <v>0</v>
      </c>
      <c r="CV155" s="38">
        <v>9999</v>
      </c>
      <c r="CW155" s="49">
        <v>9999</v>
      </c>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row>
    <row r="156" spans="1:131">
      <c r="A156" s="27" t="s">
        <v>241</v>
      </c>
      <c r="B156" s="27"/>
      <c r="C156" s="38">
        <v>45</v>
      </c>
      <c r="D156" s="38">
        <v>31.811133069828223</v>
      </c>
      <c r="E156" s="38">
        <v>0</v>
      </c>
      <c r="F156" s="38">
        <v>198.23826361528401</v>
      </c>
      <c r="G156" s="38">
        <v>0</v>
      </c>
      <c r="H156" s="38">
        <v>0</v>
      </c>
      <c r="I156" s="38"/>
      <c r="J156" s="38"/>
      <c r="K156" s="38"/>
      <c r="L156" s="38">
        <v>34.304514310372483</v>
      </c>
      <c r="M156" s="38">
        <v>1.7938477611947067E-2</v>
      </c>
      <c r="N156" s="38">
        <v>1.7809005724939118E-2</v>
      </c>
      <c r="O156" s="38">
        <v>0</v>
      </c>
      <c r="P156" s="38">
        <v>0</v>
      </c>
      <c r="Q156" s="38">
        <v>0</v>
      </c>
      <c r="R156" s="38">
        <v>25.92871745543323</v>
      </c>
      <c r="S156" s="38">
        <v>59.917322303843548</v>
      </c>
      <c r="T156" s="38">
        <v>0</v>
      </c>
      <c r="U156" s="38">
        <v>46.330003380820912</v>
      </c>
      <c r="V156" s="38">
        <v>11.89429581691704</v>
      </c>
      <c r="W156" s="38">
        <v>27.753356906139761</v>
      </c>
      <c r="X156" s="38">
        <v>0</v>
      </c>
      <c r="Y156" s="38">
        <v>0</v>
      </c>
      <c r="Z156" s="38">
        <v>0</v>
      </c>
      <c r="AA156" s="38">
        <v>0</v>
      </c>
      <c r="AB156" s="38">
        <v>0</v>
      </c>
      <c r="AC156" s="38">
        <v>0</v>
      </c>
      <c r="AD156" s="38">
        <v>0</v>
      </c>
      <c r="AE156" s="38">
        <v>0</v>
      </c>
      <c r="AF156" s="38">
        <v>0</v>
      </c>
      <c r="AG156" s="38">
        <v>0</v>
      </c>
      <c r="AH156" s="38">
        <v>37.823013272350266</v>
      </c>
      <c r="AI156" s="38">
        <v>87.670679209983305</v>
      </c>
      <c r="AJ156" s="38">
        <v>0</v>
      </c>
      <c r="AK156" s="38">
        <v>46.330003380820912</v>
      </c>
      <c r="AL156" s="38">
        <v>171.82369586315451</v>
      </c>
      <c r="AM156" s="38">
        <v>18.069113508043618</v>
      </c>
      <c r="AN156" s="38">
        <v>6.3385338868346892</v>
      </c>
      <c r="AO156" s="38">
        <v>0</v>
      </c>
      <c r="AP156" s="38">
        <v>0</v>
      </c>
      <c r="AQ156" s="38">
        <v>24.407647394878307</v>
      </c>
      <c r="AR156" s="38">
        <v>37.823013272350266</v>
      </c>
      <c r="AS156" s="50">
        <v>0.64531208074638025</v>
      </c>
      <c r="AT156" s="38">
        <v>18.069113508043618</v>
      </c>
      <c r="AU156" s="38">
        <v>7.5029361901209324</v>
      </c>
      <c r="AV156" s="38">
        <v>0</v>
      </c>
      <c r="AW156" s="38">
        <v>0</v>
      </c>
      <c r="AX156" s="38">
        <v>25.572049698164548</v>
      </c>
      <c r="AY156" s="38">
        <v>87.670679209983305</v>
      </c>
      <c r="AZ156" s="50">
        <v>0.29168303392421518</v>
      </c>
      <c r="BA156" s="38">
        <v>18.069113508043618</v>
      </c>
      <c r="BB156" s="38">
        <v>13.841470076955622</v>
      </c>
      <c r="BC156" s="38">
        <v>0</v>
      </c>
      <c r="BD156" s="38">
        <v>0</v>
      </c>
      <c r="BE156" s="38">
        <v>31.910583584999237</v>
      </c>
      <c r="BF156" s="38">
        <v>125.49369248233359</v>
      </c>
      <c r="BG156" s="38">
        <v>239.48935345179805</v>
      </c>
      <c r="BH156" s="50">
        <v>0.25428037819105098</v>
      </c>
      <c r="BI156" s="38">
        <v>81.128783637697083</v>
      </c>
      <c r="BJ156" s="38">
        <v>188.04994498405588</v>
      </c>
      <c r="BK156" s="38">
        <v>0</v>
      </c>
      <c r="BL156" s="38">
        <v>99.375922091435058</v>
      </c>
      <c r="BM156" s="38">
        <v>368.5546507131881</v>
      </c>
      <c r="BN156" s="38">
        <v>18.069113508043618</v>
      </c>
      <c r="BO156" s="38">
        <v>0</v>
      </c>
      <c r="BP156" s="38">
        <v>13.841470076955622</v>
      </c>
      <c r="BQ156" s="38">
        <v>0</v>
      </c>
      <c r="BR156" s="38">
        <v>0</v>
      </c>
      <c r="BS156" s="38">
        <v>0</v>
      </c>
      <c r="BT156" s="38">
        <v>0</v>
      </c>
      <c r="BU156" s="38">
        <v>0</v>
      </c>
      <c r="BV156" s="38">
        <v>0</v>
      </c>
      <c r="BW156" s="38">
        <v>0</v>
      </c>
      <c r="BX156" s="38">
        <v>132.1760431400977</v>
      </c>
      <c r="BY156" s="38">
        <v>39.647652723056808</v>
      </c>
      <c r="BZ156" s="38">
        <v>0</v>
      </c>
      <c r="CA156" s="38">
        <v>0</v>
      </c>
      <c r="CB156" s="38">
        <v>31.910583584999237</v>
      </c>
      <c r="CC156" s="38">
        <v>171.82369586315451</v>
      </c>
      <c r="CD156" s="50">
        <v>0.18571701315523892</v>
      </c>
      <c r="CE156" s="38">
        <v>338.86527554323317</v>
      </c>
      <c r="CF156" s="38">
        <v>0.32589496486840236</v>
      </c>
      <c r="CG156" s="38">
        <v>0</v>
      </c>
      <c r="CH156" s="38">
        <v>0.32589496486840236</v>
      </c>
      <c r="CI156" s="38">
        <v>1.6294644297426931E-2</v>
      </c>
      <c r="CJ156" s="38">
        <v>0</v>
      </c>
      <c r="CK156" s="38">
        <v>1.6294644297426931E-2</v>
      </c>
      <c r="CL156" s="38"/>
      <c r="CM156" s="38">
        <v>0</v>
      </c>
      <c r="CN156" s="38"/>
      <c r="CO156" s="38">
        <v>0</v>
      </c>
      <c r="CP156" s="38">
        <v>0</v>
      </c>
      <c r="CQ156" s="38">
        <v>0</v>
      </c>
      <c r="CR156" s="38">
        <v>0</v>
      </c>
      <c r="CS156" s="38">
        <v>0</v>
      </c>
      <c r="CT156" s="38">
        <v>0</v>
      </c>
      <c r="CU156" s="38">
        <v>0</v>
      </c>
      <c r="CV156" s="38">
        <v>9999</v>
      </c>
      <c r="CW156" s="49">
        <v>9999</v>
      </c>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row>
    <row r="157" spans="1:131">
      <c r="A157" s="27" t="s">
        <v>1210</v>
      </c>
      <c r="B157" s="27"/>
      <c r="C157" s="38">
        <v>45</v>
      </c>
      <c r="D157" s="38">
        <v>23.08242747071132</v>
      </c>
      <c r="E157" s="38">
        <v>0</v>
      </c>
      <c r="F157" s="38">
        <v>169.97517278288436</v>
      </c>
      <c r="G157" s="38">
        <v>0</v>
      </c>
      <c r="H157" s="38">
        <v>0</v>
      </c>
      <c r="I157" s="38"/>
      <c r="J157" s="38"/>
      <c r="K157" s="38"/>
      <c r="L157" s="38">
        <v>24.891646007987582</v>
      </c>
      <c r="M157" s="38">
        <v>1.3016311223615993E-2</v>
      </c>
      <c r="N157" s="38">
        <v>1.292236532628511E-2</v>
      </c>
      <c r="O157" s="38">
        <v>0</v>
      </c>
      <c r="P157" s="38">
        <v>0</v>
      </c>
      <c r="Q157" s="38">
        <v>0</v>
      </c>
      <c r="R157" s="38">
        <v>22.232025993119414</v>
      </c>
      <c r="S157" s="38">
        <v>51.374830598033775</v>
      </c>
      <c r="T157" s="38">
        <v>0</v>
      </c>
      <c r="U157" s="38">
        <v>39.724673663250847</v>
      </c>
      <c r="V157" s="38">
        <v>10.198510366973062</v>
      </c>
      <c r="W157" s="38">
        <v>23.796524189603812</v>
      </c>
      <c r="X157" s="38">
        <v>0</v>
      </c>
      <c r="Y157" s="38">
        <v>0</v>
      </c>
      <c r="Z157" s="38">
        <v>0</v>
      </c>
      <c r="AA157" s="38">
        <v>0</v>
      </c>
      <c r="AB157" s="38">
        <v>0</v>
      </c>
      <c r="AC157" s="38">
        <v>0</v>
      </c>
      <c r="AD157" s="38">
        <v>0</v>
      </c>
      <c r="AE157" s="38">
        <v>0</v>
      </c>
      <c r="AF157" s="38">
        <v>0</v>
      </c>
      <c r="AG157" s="38">
        <v>0</v>
      </c>
      <c r="AH157" s="38">
        <v>32.430536360092475</v>
      </c>
      <c r="AI157" s="38">
        <v>75.171354787637583</v>
      </c>
      <c r="AJ157" s="38">
        <v>0</v>
      </c>
      <c r="AK157" s="38">
        <v>39.724673663250847</v>
      </c>
      <c r="AL157" s="38">
        <v>147.32656481098093</v>
      </c>
      <c r="AM157" s="38">
        <v>13.11110173579617</v>
      </c>
      <c r="AN157" s="38">
        <v>4.5992938507517813</v>
      </c>
      <c r="AO157" s="38">
        <v>0</v>
      </c>
      <c r="AP157" s="38">
        <v>0</v>
      </c>
      <c r="AQ157" s="38">
        <v>17.710395586547953</v>
      </c>
      <c r="AR157" s="38">
        <v>32.430536360092475</v>
      </c>
      <c r="AS157" s="50">
        <v>0.54610245695293369</v>
      </c>
      <c r="AT157" s="38">
        <v>13.11110173579617</v>
      </c>
      <c r="AU157" s="38">
        <v>5.4441940199263925</v>
      </c>
      <c r="AV157" s="38">
        <v>0</v>
      </c>
      <c r="AW157" s="38">
        <v>0</v>
      </c>
      <c r="AX157" s="38">
        <v>18.555295755722561</v>
      </c>
      <c r="AY157" s="38">
        <v>75.171354787637583</v>
      </c>
      <c r="AZ157" s="50">
        <v>0.24683998057693779</v>
      </c>
      <c r="BA157" s="38">
        <v>13.11110173579617</v>
      </c>
      <c r="BB157" s="38">
        <v>10.043487870678174</v>
      </c>
      <c r="BC157" s="38">
        <v>0</v>
      </c>
      <c r="BD157" s="38">
        <v>0</v>
      </c>
      <c r="BE157" s="38">
        <v>23.154589606474342</v>
      </c>
      <c r="BF157" s="38">
        <v>107.60189114773007</v>
      </c>
      <c r="BG157" s="38">
        <v>288.39065404064377</v>
      </c>
      <c r="BH157" s="50">
        <v>0.21518757114300777</v>
      </c>
      <c r="BI157" s="38">
        <v>95.867329493039392</v>
      </c>
      <c r="BJ157" s="38">
        <v>222.21269971755925</v>
      </c>
      <c r="BK157" s="38">
        <v>0</v>
      </c>
      <c r="BL157" s="38">
        <v>117.42939853947806</v>
      </c>
      <c r="BM157" s="38">
        <v>435.50942775007678</v>
      </c>
      <c r="BN157" s="38">
        <v>13.11110173579617</v>
      </c>
      <c r="BO157" s="38">
        <v>0</v>
      </c>
      <c r="BP157" s="38">
        <v>10.043487870678174</v>
      </c>
      <c r="BQ157" s="38">
        <v>0</v>
      </c>
      <c r="BR157" s="38">
        <v>0</v>
      </c>
      <c r="BS157" s="38">
        <v>0</v>
      </c>
      <c r="BT157" s="38">
        <v>0</v>
      </c>
      <c r="BU157" s="38">
        <v>0</v>
      </c>
      <c r="BV157" s="38">
        <v>0</v>
      </c>
      <c r="BW157" s="38">
        <v>0</v>
      </c>
      <c r="BX157" s="38">
        <v>113.33153025440404</v>
      </c>
      <c r="BY157" s="38">
        <v>33.995034556576876</v>
      </c>
      <c r="BZ157" s="38">
        <v>0</v>
      </c>
      <c r="CA157" s="38">
        <v>0</v>
      </c>
      <c r="CB157" s="38">
        <v>23.154589606474346</v>
      </c>
      <c r="CC157" s="38">
        <v>147.32656481098093</v>
      </c>
      <c r="CD157" s="50">
        <v>0.15716506820193318</v>
      </c>
      <c r="CE157" s="38">
        <v>405.8200525801218</v>
      </c>
      <c r="CF157" s="38">
        <v>0.23647214555773571</v>
      </c>
      <c r="CG157" s="38">
        <v>0</v>
      </c>
      <c r="CH157" s="38">
        <v>0.23647214555773571</v>
      </c>
      <c r="CI157" s="38">
        <v>1.1823531853794098E-2</v>
      </c>
      <c r="CJ157" s="38">
        <v>0</v>
      </c>
      <c r="CK157" s="38">
        <v>1.1823531853794098E-2</v>
      </c>
      <c r="CL157" s="38"/>
      <c r="CM157" s="38">
        <v>0</v>
      </c>
      <c r="CN157" s="38"/>
      <c r="CO157" s="38">
        <v>0</v>
      </c>
      <c r="CP157" s="38">
        <v>0</v>
      </c>
      <c r="CQ157" s="38">
        <v>0</v>
      </c>
      <c r="CR157" s="38">
        <v>0</v>
      </c>
      <c r="CS157" s="38">
        <v>0</v>
      </c>
      <c r="CT157" s="38">
        <v>0</v>
      </c>
      <c r="CU157" s="38">
        <v>0</v>
      </c>
      <c r="CV157" s="38">
        <v>9999</v>
      </c>
      <c r="CW157" s="49">
        <v>9999</v>
      </c>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row>
    <row r="158" spans="1:131">
      <c r="A158" s="27"/>
      <c r="B158" s="27"/>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row>
    <row r="159" spans="1:131">
      <c r="A159" s="27"/>
      <c r="B159" s="27"/>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row>
    <row r="160" spans="1:131" ht="13.5" thickBot="1">
      <c r="A160" s="36" t="s">
        <v>1650</v>
      </c>
      <c r="B160" s="37"/>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row>
    <row r="161" spans="1:131" ht="13.5" thickBot="1">
      <c r="A161" s="538" t="s">
        <v>1651</v>
      </c>
      <c r="B161" s="539"/>
      <c r="C161" s="540"/>
      <c r="D161" s="540"/>
      <c r="E161" s="540"/>
      <c r="F161" s="540"/>
      <c r="G161" s="540"/>
      <c r="H161" s="540"/>
      <c r="I161" s="540"/>
      <c r="J161" s="540"/>
      <c r="K161" s="540"/>
      <c r="L161" s="44"/>
      <c r="M161" s="541"/>
      <c r="N161" s="542" t="s">
        <v>1698</v>
      </c>
      <c r="O161" s="540"/>
      <c r="P161" s="540"/>
      <c r="Q161" s="540"/>
      <c r="R161" s="540"/>
      <c r="S161" s="540"/>
      <c r="T161" s="540"/>
      <c r="U161" s="540"/>
      <c r="V161" s="540"/>
      <c r="W161" s="540"/>
      <c r="X161" s="540"/>
      <c r="Y161" s="44"/>
      <c r="Z161" s="541"/>
      <c r="AA161" s="542" t="s">
        <v>1699</v>
      </c>
      <c r="AB161" s="540"/>
      <c r="AC161" s="540"/>
      <c r="AD161" s="540"/>
      <c r="AE161" s="540"/>
      <c r="AF161" s="540"/>
      <c r="AG161" s="540"/>
      <c r="AH161" s="540"/>
      <c r="AI161" s="540"/>
      <c r="AJ161" s="540"/>
      <c r="AK161" s="540"/>
      <c r="AL161" s="44"/>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row>
    <row r="162" spans="1:131" ht="191.25">
      <c r="A162" s="45"/>
      <c r="B162" s="46" t="s">
        <v>1652</v>
      </c>
      <c r="C162" s="47" t="s">
        <v>1653</v>
      </c>
      <c r="D162" s="47" t="s">
        <v>34</v>
      </c>
      <c r="E162" s="47" t="s">
        <v>35</v>
      </c>
      <c r="F162" s="47" t="s">
        <v>36</v>
      </c>
      <c r="G162" s="47" t="s">
        <v>37</v>
      </c>
      <c r="H162" s="47" t="s">
        <v>38</v>
      </c>
      <c r="I162" s="47" t="s">
        <v>39</v>
      </c>
      <c r="J162" s="47" t="s">
        <v>40</v>
      </c>
      <c r="K162" s="47" t="s">
        <v>41</v>
      </c>
      <c r="L162" s="47" t="s">
        <v>42</v>
      </c>
      <c r="M162" s="47" t="s">
        <v>43</v>
      </c>
      <c r="N162" s="47" t="s">
        <v>44</v>
      </c>
      <c r="O162" s="47" t="s">
        <v>45</v>
      </c>
      <c r="P162" s="47" t="s">
        <v>46</v>
      </c>
      <c r="Q162" s="47" t="s">
        <v>47</v>
      </c>
      <c r="R162" s="47" t="s">
        <v>48</v>
      </c>
      <c r="S162" s="47" t="s">
        <v>49</v>
      </c>
      <c r="T162" s="47" t="s">
        <v>50</v>
      </c>
      <c r="U162" s="47" t="s">
        <v>51</v>
      </c>
      <c r="V162" s="47" t="s">
        <v>52</v>
      </c>
      <c r="W162" s="47" t="s">
        <v>53</v>
      </c>
      <c r="X162" s="47" t="s">
        <v>54</v>
      </c>
      <c r="Y162" s="47" t="s">
        <v>55</v>
      </c>
      <c r="Z162" s="47"/>
      <c r="AA162" s="47" t="s">
        <v>44</v>
      </c>
      <c r="AB162" s="47" t="s">
        <v>45</v>
      </c>
      <c r="AC162" s="47" t="s">
        <v>46</v>
      </c>
      <c r="AD162" s="47" t="s">
        <v>47</v>
      </c>
      <c r="AE162" s="47" t="s">
        <v>48</v>
      </c>
      <c r="AF162" s="47" t="s">
        <v>49</v>
      </c>
      <c r="AG162" s="47" t="s">
        <v>50</v>
      </c>
      <c r="AH162" s="47" t="s">
        <v>51</v>
      </c>
      <c r="AI162" s="47" t="s">
        <v>52</v>
      </c>
      <c r="AJ162" s="47" t="s">
        <v>53</v>
      </c>
      <c r="AK162" s="47" t="s">
        <v>54</v>
      </c>
      <c r="AL162" s="47" t="s">
        <v>55</v>
      </c>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row>
    <row r="163" spans="1:131">
      <c r="A163" s="27"/>
      <c r="B163" s="543" t="s">
        <v>1654</v>
      </c>
      <c r="C163" s="544">
        <v>30476.164152772992</v>
      </c>
      <c r="D163" s="544">
        <v>28062.842721773708</v>
      </c>
      <c r="E163" s="544">
        <v>0</v>
      </c>
      <c r="F163" s="544">
        <v>28062.842721773708</v>
      </c>
      <c r="G163" s="544">
        <v>18710.996770156129</v>
      </c>
      <c r="H163" s="544">
        <v>28349.393748832848</v>
      </c>
      <c r="I163" s="544">
        <v>8066.3203220202449</v>
      </c>
      <c r="J163" s="544">
        <v>-0.34841967412087183</v>
      </c>
      <c r="K163" s="544">
        <v>15.486516580717948</v>
      </c>
      <c r="L163" s="49">
        <v>1.6280674101184109</v>
      </c>
      <c r="M163" s="38">
        <v>289.52540636578902</v>
      </c>
      <c r="N163" s="48">
        <v>3394.8966172353134</v>
      </c>
      <c r="O163" s="48">
        <v>2476.9159136481353</v>
      </c>
      <c r="P163" s="48">
        <v>2244.4673338712341</v>
      </c>
      <c r="Q163" s="48">
        <v>1799.1751265473558</v>
      </c>
      <c r="R163" s="48">
        <v>741.2800966578211</v>
      </c>
      <c r="S163" s="48">
        <v>207.05938700861032</v>
      </c>
      <c r="T163" s="48">
        <v>50.420663594562996</v>
      </c>
      <c r="U163" s="48">
        <v>42.38589702299997</v>
      </c>
      <c r="V163" s="48">
        <v>402.20561911572179</v>
      </c>
      <c r="W163" s="48">
        <v>1381.468718857011</v>
      </c>
      <c r="X163" s="48">
        <v>2185.1792736614343</v>
      </c>
      <c r="Y163" s="48">
        <v>3956.4239955095268</v>
      </c>
      <c r="Z163" s="48"/>
      <c r="AA163" s="48">
        <v>2157.9446504385678</v>
      </c>
      <c r="AB163" s="48">
        <v>1616.6905876070493</v>
      </c>
      <c r="AC163" s="48">
        <v>1252.3048171573182</v>
      </c>
      <c r="AD163" s="48">
        <v>1073.9753282541526</v>
      </c>
      <c r="AE163" s="48">
        <v>421.92051252967389</v>
      </c>
      <c r="AF163" s="48">
        <v>104.74307370749743</v>
      </c>
      <c r="AG163" s="48">
        <v>28.211359454066354</v>
      </c>
      <c r="AH163" s="48">
        <v>18.86393090390516</v>
      </c>
      <c r="AI163" s="48">
        <v>230.96776117121564</v>
      </c>
      <c r="AJ163" s="48">
        <v>712.24833313386966</v>
      </c>
      <c r="AK163" s="48">
        <v>1429.7125776790351</v>
      </c>
      <c r="AL163" s="48">
        <v>2546.7025780069162</v>
      </c>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row>
    <row r="164" spans="1:131">
      <c r="A164" s="27"/>
      <c r="B164" s="543" t="s">
        <v>1655</v>
      </c>
      <c r="C164" s="544">
        <v>19983.540947737809</v>
      </c>
      <c r="D164" s="544">
        <v>15038.312145501186</v>
      </c>
      <c r="E164" s="544">
        <v>3007.6624291002377</v>
      </c>
      <c r="F164" s="544">
        <v>18045.974574601423</v>
      </c>
      <c r="G164" s="544">
        <v>13034.508703114763</v>
      </c>
      <c r="H164" s="544">
        <v>18588.995254896483</v>
      </c>
      <c r="I164" s="544">
        <v>7910.6469512553458</v>
      </c>
      <c r="J164" s="544">
        <v>5.3641078902889969</v>
      </c>
      <c r="K164" s="544">
        <v>18.305220360298364</v>
      </c>
      <c r="L164" s="49">
        <v>1.4545482631602482</v>
      </c>
      <c r="M164" s="38">
        <v>189.8448500447106</v>
      </c>
      <c r="N164" s="48">
        <v>459.98325501490098</v>
      </c>
      <c r="O164" s="48">
        <v>335.60369366591067</v>
      </c>
      <c r="P164" s="48">
        <v>304.10863905760755</v>
      </c>
      <c r="Q164" s="48">
        <v>243.77485513095243</v>
      </c>
      <c r="R164" s="48">
        <v>100.43794264819303</v>
      </c>
      <c r="S164" s="48">
        <v>28.055007723673775</v>
      </c>
      <c r="T164" s="48">
        <v>6.8316251053104855</v>
      </c>
      <c r="U164" s="48">
        <v>5.7429739628547063</v>
      </c>
      <c r="V164" s="48">
        <v>54.495871516935075</v>
      </c>
      <c r="W164" s="48">
        <v>187.17874199026528</v>
      </c>
      <c r="X164" s="48">
        <v>296.07554762843995</v>
      </c>
      <c r="Y164" s="48">
        <v>536.0660405487065</v>
      </c>
      <c r="Z164" s="48"/>
      <c r="AA164" s="48">
        <v>292.38545863557971</v>
      </c>
      <c r="AB164" s="48">
        <v>219.04955663864862</v>
      </c>
      <c r="AC164" s="48">
        <v>169.67799347479689</v>
      </c>
      <c r="AD164" s="48">
        <v>145.51567337515777</v>
      </c>
      <c r="AE164" s="48">
        <v>57.16709302005308</v>
      </c>
      <c r="AF164" s="48">
        <v>14.191907859473064</v>
      </c>
      <c r="AG164" s="48">
        <v>3.8224294914301868</v>
      </c>
      <c r="AH164" s="48">
        <v>2.5559224088010088</v>
      </c>
      <c r="AI164" s="48">
        <v>31.294414695184237</v>
      </c>
      <c r="AJ164" s="48">
        <v>96.50435450392574</v>
      </c>
      <c r="AK164" s="48">
        <v>193.71542623059594</v>
      </c>
      <c r="AL164" s="48">
        <v>345.05926791386128</v>
      </c>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row>
    <row r="165" spans="1:131">
      <c r="A165" s="27"/>
      <c r="B165" s="543" t="s">
        <v>1656</v>
      </c>
      <c r="C165" s="545"/>
      <c r="D165" s="545"/>
      <c r="E165" s="545"/>
      <c r="F165" s="545"/>
      <c r="G165" s="545"/>
      <c r="H165" s="545"/>
      <c r="I165" s="545"/>
      <c r="J165" s="545"/>
      <c r="K165" s="545"/>
      <c r="L165" s="50"/>
      <c r="M165" s="546"/>
      <c r="N165" s="546"/>
      <c r="O165" s="546"/>
      <c r="P165" s="546"/>
      <c r="Q165" s="546"/>
      <c r="R165" s="546"/>
      <c r="S165" s="546"/>
      <c r="T165" s="546"/>
      <c r="U165" s="546"/>
      <c r="V165" s="546"/>
      <c r="W165" s="546"/>
      <c r="X165" s="546"/>
      <c r="Y165" s="546"/>
      <c r="Z165" s="546"/>
      <c r="AA165" s="546"/>
      <c r="AB165" s="546"/>
      <c r="AC165" s="546"/>
      <c r="AD165" s="546"/>
      <c r="AE165" s="546"/>
      <c r="AF165" s="546"/>
      <c r="AG165" s="546"/>
      <c r="AH165" s="546"/>
      <c r="AI165" s="546"/>
      <c r="AJ165" s="546"/>
      <c r="AK165" s="546"/>
      <c r="AL165" s="546"/>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row>
    <row r="166" spans="1:131">
      <c r="A166" s="27"/>
      <c r="B166" s="27" t="s">
        <v>99</v>
      </c>
      <c r="C166" s="546">
        <v>0</v>
      </c>
      <c r="D166" s="546">
        <v>0</v>
      </c>
      <c r="E166" s="546">
        <v>0</v>
      </c>
      <c r="F166" s="546">
        <v>0</v>
      </c>
      <c r="G166" s="546">
        <v>0</v>
      </c>
      <c r="H166" s="546">
        <v>0</v>
      </c>
      <c r="I166" s="546">
        <v>0</v>
      </c>
      <c r="J166" s="546">
        <v>0</v>
      </c>
      <c r="K166" s="546">
        <v>0</v>
      </c>
      <c r="L166" s="50">
        <v>0</v>
      </c>
      <c r="M166" s="546">
        <v>0</v>
      </c>
      <c r="N166" s="546">
        <v>0</v>
      </c>
      <c r="O166" s="546">
        <v>0</v>
      </c>
      <c r="P166" s="546">
        <v>0</v>
      </c>
      <c r="Q166" s="546">
        <v>0</v>
      </c>
      <c r="R166" s="546">
        <v>0</v>
      </c>
      <c r="S166" s="546">
        <v>0</v>
      </c>
      <c r="T166" s="546">
        <v>0</v>
      </c>
      <c r="U166" s="546">
        <v>0</v>
      </c>
      <c r="V166" s="546">
        <v>0</v>
      </c>
      <c r="W166" s="546">
        <v>0</v>
      </c>
      <c r="X166" s="546">
        <v>0</v>
      </c>
      <c r="Y166" s="546">
        <v>0</v>
      </c>
      <c r="Z166" s="546"/>
      <c r="AA166" s="546">
        <v>0</v>
      </c>
      <c r="AB166" s="546">
        <v>0</v>
      </c>
      <c r="AC166" s="546">
        <v>0</v>
      </c>
      <c r="AD166" s="546">
        <v>0</v>
      </c>
      <c r="AE166" s="546">
        <v>0</v>
      </c>
      <c r="AF166" s="546">
        <v>0</v>
      </c>
      <c r="AG166" s="546">
        <v>0</v>
      </c>
      <c r="AH166" s="546">
        <v>0</v>
      </c>
      <c r="AI166" s="546">
        <v>0</v>
      </c>
      <c r="AJ166" s="546">
        <v>0</v>
      </c>
      <c r="AK166" s="546">
        <v>0</v>
      </c>
      <c r="AL166" s="546">
        <v>0</v>
      </c>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row>
    <row r="167" spans="1:131">
      <c r="A167" s="27"/>
      <c r="B167" s="27" t="s">
        <v>102</v>
      </c>
      <c r="C167" s="38">
        <v>717.60736655826236</v>
      </c>
      <c r="D167" s="38">
        <v>444.2906023738596</v>
      </c>
      <c r="E167" s="38">
        <v>88.858120474771923</v>
      </c>
      <c r="F167" s="38">
        <v>533.14872284863156</v>
      </c>
      <c r="G167" s="38">
        <v>385.09040558029801</v>
      </c>
      <c r="H167" s="38">
        <v>667.52934160751761</v>
      </c>
      <c r="I167" s="38">
        <v>6508.2704411937293</v>
      </c>
      <c r="J167" s="38">
        <v>-0.85007175170955207</v>
      </c>
      <c r="K167" s="38">
        <v>9.7968778952292404</v>
      </c>
      <c r="L167" s="49">
        <v>1.7334354009719055</v>
      </c>
      <c r="M167" s="38">
        <v>6.8173134706967451</v>
      </c>
      <c r="N167" s="48">
        <v>79.937974117064826</v>
      </c>
      <c r="O167" s="48">
        <v>58.322730415453606</v>
      </c>
      <c r="P167" s="48">
        <v>52.849377129989946</v>
      </c>
      <c r="Q167" s="48">
        <v>42.364298803046722</v>
      </c>
      <c r="R167" s="48">
        <v>17.454560730743136</v>
      </c>
      <c r="S167" s="48">
        <v>4.875526351924349</v>
      </c>
      <c r="T167" s="48">
        <v>1.1872307630592094</v>
      </c>
      <c r="U167" s="48">
        <v>0.9980400351373333</v>
      </c>
      <c r="V167" s="48">
        <v>9.4705394583690357</v>
      </c>
      <c r="W167" s="48">
        <v>32.528769839671384</v>
      </c>
      <c r="X167" s="48">
        <v>51.453350105649648</v>
      </c>
      <c r="Y167" s="48">
        <v>93.159985297794691</v>
      </c>
      <c r="Z167" s="48"/>
      <c r="AA167" s="48">
        <v>50.812069721668337</v>
      </c>
      <c r="AB167" s="48">
        <v>38.067424407367994</v>
      </c>
      <c r="AC167" s="48">
        <v>29.487410471462525</v>
      </c>
      <c r="AD167" s="48">
        <v>25.28837301156495</v>
      </c>
      <c r="AE167" s="48">
        <v>9.9347564337680137</v>
      </c>
      <c r="AF167" s="48">
        <v>2.4663340475417432</v>
      </c>
      <c r="AG167" s="48">
        <v>0.66427911542204532</v>
      </c>
      <c r="AH167" s="48">
        <v>0.44417977639934375</v>
      </c>
      <c r="AI167" s="48">
        <v>5.4384851723163088</v>
      </c>
      <c r="AJ167" s="48">
        <v>16.770963961001058</v>
      </c>
      <c r="AK167" s="48">
        <v>33.664744442916565</v>
      </c>
      <c r="AL167" s="48">
        <v>59.96596294892958</v>
      </c>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row>
    <row r="168" spans="1:131">
      <c r="A168" s="27"/>
      <c r="B168" s="27" t="s">
        <v>105</v>
      </c>
      <c r="C168" s="38">
        <v>13551.058891990171</v>
      </c>
      <c r="D168" s="38">
        <v>9472.1420453467872</v>
      </c>
      <c r="E168" s="38">
        <v>1894.4284090693577</v>
      </c>
      <c r="F168" s="38">
        <v>11366.570454416145</v>
      </c>
      <c r="G168" s="38">
        <v>8210.0116510846128</v>
      </c>
      <c r="H168" s="38">
        <v>12605.402120715942</v>
      </c>
      <c r="I168" s="38">
        <v>7347.8506716209804</v>
      </c>
      <c r="J168" s="38">
        <v>2.8702575167236666</v>
      </c>
      <c r="K168" s="38">
        <v>14.890685496914481</v>
      </c>
      <c r="L168" s="49">
        <v>1.5439572444234633</v>
      </c>
      <c r="M168" s="38">
        <v>128.7358806942641</v>
      </c>
      <c r="N168" s="48">
        <v>1509.522122330085</v>
      </c>
      <c r="O168" s="48">
        <v>1101.3470477484448</v>
      </c>
      <c r="P168" s="48">
        <v>997.99006429980273</v>
      </c>
      <c r="Q168" s="48">
        <v>799.99333166174426</v>
      </c>
      <c r="R168" s="48">
        <v>329.6061208659786</v>
      </c>
      <c r="S168" s="48">
        <v>92.067818424509966</v>
      </c>
      <c r="T168" s="48">
        <v>22.419270952803934</v>
      </c>
      <c r="U168" s="48">
        <v>18.846656156242084</v>
      </c>
      <c r="V168" s="48">
        <v>178.83851799737062</v>
      </c>
      <c r="W168" s="48">
        <v>614.26247321778612</v>
      </c>
      <c r="X168" s="48">
        <v>971.62795417769428</v>
      </c>
      <c r="Y168" s="48">
        <v>1759.2021848968286</v>
      </c>
      <c r="Z168" s="48"/>
      <c r="AA168" s="48">
        <v>959.51822864451401</v>
      </c>
      <c r="AB168" s="48">
        <v>718.85258436619711</v>
      </c>
      <c r="AC168" s="48">
        <v>556.8304542183572</v>
      </c>
      <c r="AD168" s="48">
        <v>477.53722708545956</v>
      </c>
      <c r="AE168" s="48">
        <v>187.60463699983256</v>
      </c>
      <c r="AF168" s="48">
        <v>46.573432050805422</v>
      </c>
      <c r="AG168" s="48">
        <v>12.544025930191493</v>
      </c>
      <c r="AH168" s="48">
        <v>8.3877431993026299</v>
      </c>
      <c r="AI168" s="48">
        <v>102.6985455942782</v>
      </c>
      <c r="AJ168" s="48">
        <v>316.69730677509506</v>
      </c>
      <c r="AK168" s="48">
        <v>635.71383989230969</v>
      </c>
      <c r="AL168" s="48">
        <v>1132.3773045045386</v>
      </c>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row>
    <row r="169" spans="1:131">
      <c r="A169" s="27"/>
      <c r="B169" s="27" t="s">
        <v>108</v>
      </c>
      <c r="C169" s="38">
        <v>4219.451076731496</v>
      </c>
      <c r="D169" s="38">
        <v>3567.2363679851778</v>
      </c>
      <c r="E169" s="38">
        <v>713.44727359703563</v>
      </c>
      <c r="F169" s="38">
        <v>4280.6836415822136</v>
      </c>
      <c r="G169" s="38">
        <v>3091.9143740795566</v>
      </c>
      <c r="H169" s="38">
        <v>3924.9978894510573</v>
      </c>
      <c r="I169" s="38">
        <v>8887.1248933422394</v>
      </c>
      <c r="J169" s="38">
        <v>9.6910552578760143</v>
      </c>
      <c r="K169" s="38">
        <v>24.229598500728116</v>
      </c>
      <c r="L169" s="49">
        <v>1.2694393875702021</v>
      </c>
      <c r="M169" s="38">
        <v>40.085040935838961</v>
      </c>
      <c r="N169" s="48">
        <v>470.02634961468004</v>
      </c>
      <c r="O169" s="48">
        <v>342.93113353850521</v>
      </c>
      <c r="P169" s="48">
        <v>310.74842821812098</v>
      </c>
      <c r="Q169" s="48">
        <v>249.09734003542636</v>
      </c>
      <c r="R169" s="48">
        <v>102.63086543054585</v>
      </c>
      <c r="S169" s="48">
        <v>28.667549796661323</v>
      </c>
      <c r="T169" s="48">
        <v>6.9807841376335986</v>
      </c>
      <c r="U169" s="48">
        <v>5.8683638116463746</v>
      </c>
      <c r="V169" s="48">
        <v>55.685713075241921</v>
      </c>
      <c r="W169" s="48">
        <v>191.26552948172511</v>
      </c>
      <c r="X169" s="48">
        <v>302.53994541052327</v>
      </c>
      <c r="Y169" s="48">
        <v>547.77029694992109</v>
      </c>
      <c r="Z169" s="48"/>
      <c r="AA169" s="48">
        <v>298.76928845691043</v>
      </c>
      <c r="AB169" s="48">
        <v>223.83219904003417</v>
      </c>
      <c r="AC169" s="48">
        <v>173.38267646355672</v>
      </c>
      <c r="AD169" s="48">
        <v>148.69280571100751</v>
      </c>
      <c r="AE169" s="48">
        <v>58.415256984578626</v>
      </c>
      <c r="AF169" s="48">
        <v>14.501768428591864</v>
      </c>
      <c r="AG169" s="48">
        <v>3.9058869229016326</v>
      </c>
      <c r="AH169" s="48">
        <v>2.6117274196604852</v>
      </c>
      <c r="AI169" s="48">
        <v>31.977684713824956</v>
      </c>
      <c r="AJ169" s="48">
        <v>98.611392860228833</v>
      </c>
      <c r="AK169" s="48">
        <v>197.94493313081426</v>
      </c>
      <c r="AL169" s="48">
        <v>352.59315709875597</v>
      </c>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row>
    <row r="170" spans="1:131">
      <c r="A170" s="27"/>
      <c r="B170" s="27" t="s">
        <v>111</v>
      </c>
      <c r="C170" s="38">
        <v>1495.423612457877</v>
      </c>
      <c r="D170" s="38">
        <v>1554.6431297953627</v>
      </c>
      <c r="E170" s="38">
        <v>310.92862595907258</v>
      </c>
      <c r="F170" s="38">
        <v>1865.5717557544353</v>
      </c>
      <c r="G170" s="38">
        <v>1347.4922723702969</v>
      </c>
      <c r="H170" s="38">
        <v>1391.0659031219636</v>
      </c>
      <c r="I170" s="38">
        <v>10928.280417846609</v>
      </c>
      <c r="J170" s="38">
        <v>18.735778280205185</v>
      </c>
      <c r="K170" s="38">
        <v>36.613469809431031</v>
      </c>
      <c r="L170" s="49">
        <v>1.0328216129804129</v>
      </c>
      <c r="M170" s="38">
        <v>14.206614943910783</v>
      </c>
      <c r="N170" s="48">
        <v>166.58292486605882</v>
      </c>
      <c r="O170" s="48">
        <v>121.53886968104779</v>
      </c>
      <c r="P170" s="48">
        <v>110.13293640354746</v>
      </c>
      <c r="Q170" s="48">
        <v>88.283057989139891</v>
      </c>
      <c r="R170" s="48">
        <v>36.373598541806622</v>
      </c>
      <c r="S170" s="48">
        <v>10.160120380030035</v>
      </c>
      <c r="T170" s="48">
        <v>2.4740728694442407</v>
      </c>
      <c r="U170" s="48">
        <v>2.079817884090077</v>
      </c>
      <c r="V170" s="48">
        <v>19.73567857404268</v>
      </c>
      <c r="W170" s="48">
        <v>67.786776960995439</v>
      </c>
      <c r="X170" s="48">
        <v>107.2237525334871</v>
      </c>
      <c r="Y170" s="48">
        <v>194.13630383801254</v>
      </c>
      <c r="Z170" s="48"/>
      <c r="AA170" s="48">
        <v>105.88738689246657</v>
      </c>
      <c r="AB170" s="48">
        <v>79.328791728075899</v>
      </c>
      <c r="AC170" s="48">
        <v>61.448881302255373</v>
      </c>
      <c r="AD170" s="48">
        <v>52.698497652708262</v>
      </c>
      <c r="AE170" s="48">
        <v>20.703061377879948</v>
      </c>
      <c r="AF170" s="48">
        <v>5.1395990938497231</v>
      </c>
      <c r="AG170" s="48">
        <v>1.3842927494308352</v>
      </c>
      <c r="AH170" s="48">
        <v>0.92562723957197501</v>
      </c>
      <c r="AI170" s="48">
        <v>11.333271537735186</v>
      </c>
      <c r="AJ170" s="48">
        <v>34.949049688893986</v>
      </c>
      <c r="AK170" s="48">
        <v>70.154037003200401</v>
      </c>
      <c r="AL170" s="48">
        <v>124.96320567010628</v>
      </c>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row>
    <row r="171" spans="1:131">
      <c r="A171" s="27"/>
      <c r="B171" s="27" t="s">
        <v>114</v>
      </c>
      <c r="C171" s="38">
        <v>2967.0252265751005</v>
      </c>
      <c r="D171" s="38">
        <v>3365.8206947085155</v>
      </c>
      <c r="E171" s="38">
        <v>673.16413894170319</v>
      </c>
      <c r="F171" s="38">
        <v>4038.9848336502187</v>
      </c>
      <c r="G171" s="38">
        <v>2917.3366474791842</v>
      </c>
      <c r="H171" s="38">
        <v>2759.9722192480749</v>
      </c>
      <c r="I171" s="38">
        <v>11924.909443259952</v>
      </c>
      <c r="J171" s="38">
        <v>23.152018680635408</v>
      </c>
      <c r="K171" s="38">
        <v>42.660106356753282</v>
      </c>
      <c r="L171" s="50">
        <v>0.94610839515463996</v>
      </c>
      <c r="M171" s="38">
        <v>28.186919459926248</v>
      </c>
      <c r="N171" s="48">
        <v>330.51219485688256</v>
      </c>
      <c r="O171" s="48">
        <v>241.14163327968052</v>
      </c>
      <c r="P171" s="48">
        <v>218.51146248054908</v>
      </c>
      <c r="Q171" s="48">
        <v>175.15977275659662</v>
      </c>
      <c r="R171" s="48">
        <v>72.167768086446117</v>
      </c>
      <c r="S171" s="48">
        <v>20.158390720500975</v>
      </c>
      <c r="T171" s="48">
        <v>4.9087339231998897</v>
      </c>
      <c r="U171" s="48">
        <v>4.1265044080953537</v>
      </c>
      <c r="V171" s="48">
        <v>39.156969105576266</v>
      </c>
      <c r="W171" s="48">
        <v>134.49371508914737</v>
      </c>
      <c r="X171" s="48">
        <v>212.7394378453171</v>
      </c>
      <c r="Y171" s="48">
        <v>385.180029312702</v>
      </c>
      <c r="Z171" s="48"/>
      <c r="AA171" s="48">
        <v>210.08799477874732</v>
      </c>
      <c r="AB171" s="48">
        <v>157.39388109839231</v>
      </c>
      <c r="AC171" s="48">
        <v>121.91888602651463</v>
      </c>
      <c r="AD171" s="48">
        <v>104.5575117549499</v>
      </c>
      <c r="AE171" s="48">
        <v>41.076324369749592</v>
      </c>
      <c r="AF171" s="48">
        <v>10.197324717155487</v>
      </c>
      <c r="AG171" s="48">
        <v>2.7465338077520727</v>
      </c>
      <c r="AH171" s="48">
        <v>1.836509298994691</v>
      </c>
      <c r="AI171" s="48">
        <v>22.486004816266103</v>
      </c>
      <c r="AJ171" s="48">
        <v>69.341363348772177</v>
      </c>
      <c r="AK171" s="48">
        <v>139.19052487907788</v>
      </c>
      <c r="AL171" s="48">
        <v>247.93575581403476</v>
      </c>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row>
    <row r="172" spans="1:131">
      <c r="A172" s="27"/>
      <c r="B172" s="27" t="s">
        <v>117</v>
      </c>
      <c r="C172" s="38">
        <v>7525.5979784600831</v>
      </c>
      <c r="D172" s="38">
        <v>9658.7098815640093</v>
      </c>
      <c r="E172" s="38">
        <v>1931.7419763128019</v>
      </c>
      <c r="F172" s="38">
        <v>11590.451857876811</v>
      </c>
      <c r="G172" s="38">
        <v>8371.7199639169248</v>
      </c>
      <c r="H172" s="38">
        <v>7000.4262746882905</v>
      </c>
      <c r="I172" s="38">
        <v>13491.600078240801</v>
      </c>
      <c r="J172" s="38">
        <v>30.094303423254214</v>
      </c>
      <c r="K172" s="38">
        <v>52.165357167498811</v>
      </c>
      <c r="L172" s="50">
        <v>0.83635999581828169</v>
      </c>
      <c r="M172" s="38">
        <v>71.493636861152225</v>
      </c>
      <c r="N172" s="48">
        <v>838.31505145054177</v>
      </c>
      <c r="O172" s="48">
        <v>611.63449898500278</v>
      </c>
      <c r="P172" s="48">
        <v>554.23506533922387</v>
      </c>
      <c r="Q172" s="48">
        <v>444.27732530140167</v>
      </c>
      <c r="R172" s="48">
        <v>183.04718300230064</v>
      </c>
      <c r="S172" s="48">
        <v>51.12998133498369</v>
      </c>
      <c r="T172" s="48">
        <v>12.450570948422126</v>
      </c>
      <c r="U172" s="48">
        <v>10.466514727788741</v>
      </c>
      <c r="V172" s="48">
        <v>99.31820090512123</v>
      </c>
      <c r="W172" s="48">
        <v>341.13145426768574</v>
      </c>
      <c r="X172" s="48">
        <v>539.59483358876287</v>
      </c>
      <c r="Y172" s="48">
        <v>976.97519521426761</v>
      </c>
      <c r="Z172" s="48"/>
      <c r="AA172" s="48">
        <v>532.86968194426117</v>
      </c>
      <c r="AB172" s="48">
        <v>399.2157069669816</v>
      </c>
      <c r="AC172" s="48">
        <v>309.23650867517148</v>
      </c>
      <c r="AD172" s="48">
        <v>265.20091303846237</v>
      </c>
      <c r="AE172" s="48">
        <v>104.1864763638651</v>
      </c>
      <c r="AF172" s="48">
        <v>25.864615369553185</v>
      </c>
      <c r="AG172" s="48">
        <v>6.9663409283682727</v>
      </c>
      <c r="AH172" s="48">
        <v>4.6581439699760363</v>
      </c>
      <c r="AI172" s="48">
        <v>57.033769336794883</v>
      </c>
      <c r="AJ172" s="48">
        <v>175.8782564998786</v>
      </c>
      <c r="AK172" s="48">
        <v>353.04449833071635</v>
      </c>
      <c r="AL172" s="48">
        <v>628.86719197055163</v>
      </c>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row>
    <row r="173" spans="1:131">
      <c r="A173" s="27"/>
      <c r="B173" s="27" t="s">
        <v>120</v>
      </c>
      <c r="C173" s="38">
        <v>5062.696675098332</v>
      </c>
      <c r="D173" s="38">
        <v>7578.7633383442153</v>
      </c>
      <c r="E173" s="38">
        <v>1515.7526676688431</v>
      </c>
      <c r="F173" s="38">
        <v>9094.5160060130584</v>
      </c>
      <c r="G173" s="38">
        <v>6568.9191537394108</v>
      </c>
      <c r="H173" s="38">
        <v>4709.3978347734555</v>
      </c>
      <c r="I173" s="38">
        <v>15736.269684994906</v>
      </c>
      <c r="J173" s="38">
        <v>40.040833526422709</v>
      </c>
      <c r="K173" s="38">
        <v>65.783966434104983</v>
      </c>
      <c r="L173" s="50">
        <v>0.7179620067672926</v>
      </c>
      <c r="M173" s="38">
        <v>48.095925222636808</v>
      </c>
      <c r="N173" s="48">
        <v>563.95981233799523</v>
      </c>
      <c r="O173" s="48">
        <v>411.46496972728664</v>
      </c>
      <c r="P173" s="48">
        <v>372.85063998196119</v>
      </c>
      <c r="Q173" s="48">
        <v>298.87875276659872</v>
      </c>
      <c r="R173" s="48">
        <v>123.14135932112212</v>
      </c>
      <c r="S173" s="48">
        <v>34.396680136696553</v>
      </c>
      <c r="T173" s="48">
        <v>8.3758744918434687</v>
      </c>
      <c r="U173" s="48">
        <v>7.0411400481276498</v>
      </c>
      <c r="V173" s="48">
        <v>66.814348432945906</v>
      </c>
      <c r="W173" s="48">
        <v>229.48941522463122</v>
      </c>
      <c r="X173" s="48">
        <v>363.00171464501477</v>
      </c>
      <c r="Y173" s="48">
        <v>657.24067198669468</v>
      </c>
      <c r="Z173" s="48"/>
      <c r="AA173" s="48">
        <v>358.47750235416402</v>
      </c>
      <c r="AB173" s="48">
        <v>268.56444339620896</v>
      </c>
      <c r="AC173" s="48">
        <v>208.0327236147632</v>
      </c>
      <c r="AD173" s="48">
        <v>178.40865065019057</v>
      </c>
      <c r="AE173" s="48">
        <v>70.089384124327424</v>
      </c>
      <c r="AF173" s="48">
        <v>17.399906639834686</v>
      </c>
      <c r="AG173" s="48">
        <v>4.686467594548315</v>
      </c>
      <c r="AH173" s="48">
        <v>3.1336739029145724</v>
      </c>
      <c r="AI173" s="48">
        <v>38.368336339008195</v>
      </c>
      <c r="AJ173" s="48">
        <v>118.3186063024626</v>
      </c>
      <c r="AK173" s="48">
        <v>237.50367917293556</v>
      </c>
      <c r="AL173" s="48">
        <v>423.05792190605553</v>
      </c>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row>
    <row r="174" spans="1:131">
      <c r="A174" s="27"/>
      <c r="B174" s="27" t="s">
        <v>123</v>
      </c>
      <c r="C174" s="546">
        <v>0</v>
      </c>
      <c r="D174" s="546">
        <v>0</v>
      </c>
      <c r="E174" s="546">
        <v>0</v>
      </c>
      <c r="F174" s="546">
        <v>0</v>
      </c>
      <c r="G174" s="546">
        <v>0</v>
      </c>
      <c r="H174" s="546">
        <v>0</v>
      </c>
      <c r="I174" s="546">
        <v>0</v>
      </c>
      <c r="J174" s="546">
        <v>0</v>
      </c>
      <c r="K174" s="546">
        <v>0</v>
      </c>
      <c r="L174" s="547">
        <v>0</v>
      </c>
      <c r="M174" s="546">
        <v>0</v>
      </c>
      <c r="N174" s="546">
        <v>0</v>
      </c>
      <c r="O174" s="546">
        <v>0</v>
      </c>
      <c r="P174" s="546">
        <v>0</v>
      </c>
      <c r="Q174" s="546">
        <v>0</v>
      </c>
      <c r="R174" s="546">
        <v>0</v>
      </c>
      <c r="S174" s="546">
        <v>0</v>
      </c>
      <c r="T174" s="546">
        <v>0</v>
      </c>
      <c r="U174" s="546">
        <v>0</v>
      </c>
      <c r="V174" s="546">
        <v>0</v>
      </c>
      <c r="W174" s="546">
        <v>0</v>
      </c>
      <c r="X174" s="546">
        <v>0</v>
      </c>
      <c r="Y174" s="546">
        <v>0</v>
      </c>
      <c r="Z174" s="546"/>
      <c r="AA174" s="546">
        <v>0</v>
      </c>
      <c r="AB174" s="546">
        <v>0</v>
      </c>
      <c r="AC174" s="546">
        <v>0</v>
      </c>
      <c r="AD174" s="546">
        <v>0</v>
      </c>
      <c r="AE174" s="546">
        <v>0</v>
      </c>
      <c r="AF174" s="546">
        <v>0</v>
      </c>
      <c r="AG174" s="546">
        <v>0</v>
      </c>
      <c r="AH174" s="546">
        <v>0</v>
      </c>
      <c r="AI174" s="546">
        <v>0</v>
      </c>
      <c r="AJ174" s="546">
        <v>0</v>
      </c>
      <c r="AK174" s="546">
        <v>0</v>
      </c>
      <c r="AL174" s="546">
        <v>0</v>
      </c>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row>
    <row r="175" spans="1:131">
      <c r="A175" s="27"/>
      <c r="B175" s="27" t="s">
        <v>126</v>
      </c>
      <c r="C175" s="546">
        <v>0</v>
      </c>
      <c r="D175" s="546">
        <v>0</v>
      </c>
      <c r="E175" s="546">
        <v>0</v>
      </c>
      <c r="F175" s="546">
        <v>0</v>
      </c>
      <c r="G175" s="546">
        <v>0</v>
      </c>
      <c r="H175" s="546">
        <v>0</v>
      </c>
      <c r="I175" s="546">
        <v>0</v>
      </c>
      <c r="J175" s="546">
        <v>0</v>
      </c>
      <c r="K175" s="546">
        <v>0</v>
      </c>
      <c r="L175" s="547">
        <v>0</v>
      </c>
      <c r="M175" s="546">
        <v>0</v>
      </c>
      <c r="N175" s="546">
        <v>0</v>
      </c>
      <c r="O175" s="546">
        <v>0</v>
      </c>
      <c r="P175" s="546">
        <v>0</v>
      </c>
      <c r="Q175" s="546">
        <v>0</v>
      </c>
      <c r="R175" s="546">
        <v>0</v>
      </c>
      <c r="S175" s="546">
        <v>0</v>
      </c>
      <c r="T175" s="546">
        <v>0</v>
      </c>
      <c r="U175" s="546">
        <v>0</v>
      </c>
      <c r="V175" s="546">
        <v>0</v>
      </c>
      <c r="W175" s="546">
        <v>0</v>
      </c>
      <c r="X175" s="546">
        <v>0</v>
      </c>
      <c r="Y175" s="546">
        <v>0</v>
      </c>
      <c r="Z175" s="546"/>
      <c r="AA175" s="546">
        <v>0</v>
      </c>
      <c r="AB175" s="546">
        <v>0</v>
      </c>
      <c r="AC175" s="546">
        <v>0</v>
      </c>
      <c r="AD175" s="546">
        <v>0</v>
      </c>
      <c r="AE175" s="546">
        <v>0</v>
      </c>
      <c r="AF175" s="546">
        <v>0</v>
      </c>
      <c r="AG175" s="546">
        <v>0</v>
      </c>
      <c r="AH175" s="546">
        <v>0</v>
      </c>
      <c r="AI175" s="546">
        <v>0</v>
      </c>
      <c r="AJ175" s="546">
        <v>0</v>
      </c>
      <c r="AK175" s="546">
        <v>0</v>
      </c>
      <c r="AL175" s="546">
        <v>0</v>
      </c>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row>
    <row r="176" spans="1:131">
      <c r="A176" s="27"/>
      <c r="B176" s="27" t="s">
        <v>129</v>
      </c>
      <c r="C176" s="546">
        <v>0</v>
      </c>
      <c r="D176" s="546">
        <v>0</v>
      </c>
      <c r="E176" s="546">
        <v>0</v>
      </c>
      <c r="F176" s="546">
        <v>0</v>
      </c>
      <c r="G176" s="546">
        <v>0</v>
      </c>
      <c r="H176" s="546">
        <v>0</v>
      </c>
      <c r="I176" s="546">
        <v>0</v>
      </c>
      <c r="J176" s="546">
        <v>0</v>
      </c>
      <c r="K176" s="546">
        <v>0</v>
      </c>
      <c r="L176" s="547">
        <v>0</v>
      </c>
      <c r="M176" s="546">
        <v>0</v>
      </c>
      <c r="N176" s="546">
        <v>0</v>
      </c>
      <c r="O176" s="546">
        <v>0</v>
      </c>
      <c r="P176" s="546">
        <v>0</v>
      </c>
      <c r="Q176" s="546">
        <v>0</v>
      </c>
      <c r="R176" s="546">
        <v>0</v>
      </c>
      <c r="S176" s="546">
        <v>0</v>
      </c>
      <c r="T176" s="546">
        <v>0</v>
      </c>
      <c r="U176" s="546">
        <v>0</v>
      </c>
      <c r="V176" s="546">
        <v>0</v>
      </c>
      <c r="W176" s="546">
        <v>0</v>
      </c>
      <c r="X176" s="546">
        <v>0</v>
      </c>
      <c r="Y176" s="546">
        <v>0</v>
      </c>
      <c r="Z176" s="546"/>
      <c r="AA176" s="546">
        <v>0</v>
      </c>
      <c r="AB176" s="546">
        <v>0</v>
      </c>
      <c r="AC176" s="546">
        <v>0</v>
      </c>
      <c r="AD176" s="546">
        <v>0</v>
      </c>
      <c r="AE176" s="546">
        <v>0</v>
      </c>
      <c r="AF176" s="546">
        <v>0</v>
      </c>
      <c r="AG176" s="546">
        <v>0</v>
      </c>
      <c r="AH176" s="546">
        <v>0</v>
      </c>
      <c r="AI176" s="546">
        <v>0</v>
      </c>
      <c r="AJ176" s="546">
        <v>0</v>
      </c>
      <c r="AK176" s="546">
        <v>0</v>
      </c>
      <c r="AL176" s="546">
        <v>0</v>
      </c>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row>
    <row r="177" spans="1:131">
      <c r="A177" s="27"/>
      <c r="B177" s="27" t="s">
        <v>132</v>
      </c>
      <c r="C177" s="38">
        <v>1664.3743091900324</v>
      </c>
      <c r="D177" s="38">
        <v>3487.8113721086211</v>
      </c>
      <c r="E177" s="38">
        <v>697.56227442172417</v>
      </c>
      <c r="F177" s="38">
        <v>4185.3736465303455</v>
      </c>
      <c r="G177" s="38">
        <v>3023.0724861082699</v>
      </c>
      <c r="H177" s="38">
        <v>1548.2264237763884</v>
      </c>
      <c r="I177" s="38">
        <v>22028.622372480801</v>
      </c>
      <c r="J177" s="38">
        <v>67.923366990372159</v>
      </c>
      <c r="K177" s="38">
        <v>103.96022736832138</v>
      </c>
      <c r="L177" s="50">
        <v>0.51223808221157463</v>
      </c>
      <c r="M177" s="38">
        <v>15.811656801604993</v>
      </c>
      <c r="N177" s="48">
        <v>185.40321162984941</v>
      </c>
      <c r="O177" s="48">
        <v>135.27014725456544</v>
      </c>
      <c r="P177" s="48">
        <v>122.57558889581014</v>
      </c>
      <c r="Q177" s="48">
        <v>98.257144283253808</v>
      </c>
      <c r="R177" s="48">
        <v>40.483032661409325</v>
      </c>
      <c r="S177" s="48">
        <v>11.307995405399808</v>
      </c>
      <c r="T177" s="48">
        <v>2.7535898782546786</v>
      </c>
      <c r="U177" s="48">
        <v>2.3147925612756786</v>
      </c>
      <c r="V177" s="48">
        <v>21.965385673615643</v>
      </c>
      <c r="W177" s="48">
        <v>75.445224441280871</v>
      </c>
      <c r="X177" s="48">
        <v>119.33772983453704</v>
      </c>
      <c r="Y177" s="48">
        <v>216.06952966191699</v>
      </c>
      <c r="Z177" s="48"/>
      <c r="AA177" s="48">
        <v>117.85038362569716</v>
      </c>
      <c r="AB177" s="48">
        <v>88.291238570378894</v>
      </c>
      <c r="AC177" s="48">
        <v>68.391282922063937</v>
      </c>
      <c r="AD177" s="48">
        <v>58.652294169622422</v>
      </c>
      <c r="AE177" s="48">
        <v>23.042061922703773</v>
      </c>
      <c r="AF177" s="48">
        <v>5.7202632217904759</v>
      </c>
      <c r="AG177" s="48">
        <v>1.5406880494309534</v>
      </c>
      <c r="AH177" s="48">
        <v>1.0302032043602476</v>
      </c>
      <c r="AI177" s="48">
        <v>12.613687405589484</v>
      </c>
      <c r="AJ177" s="48">
        <v>38.897540434844188</v>
      </c>
      <c r="AK177" s="48">
        <v>78.079933940713119</v>
      </c>
      <c r="AL177" s="48">
        <v>139.08135954166872</v>
      </c>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row>
    <row r="178" spans="1:131">
      <c r="A178" s="27"/>
      <c r="B178" s="27" t="s">
        <v>135</v>
      </c>
      <c r="C178" s="546">
        <v>0</v>
      </c>
      <c r="D178" s="546">
        <v>0</v>
      </c>
      <c r="E178" s="546">
        <v>0</v>
      </c>
      <c r="F178" s="546">
        <v>0</v>
      </c>
      <c r="G178" s="546">
        <v>0</v>
      </c>
      <c r="H178" s="546">
        <v>0</v>
      </c>
      <c r="I178" s="546">
        <v>0</v>
      </c>
      <c r="J178" s="546">
        <v>0</v>
      </c>
      <c r="K178" s="546">
        <v>0</v>
      </c>
      <c r="L178" s="547">
        <v>0</v>
      </c>
      <c r="M178" s="546">
        <v>0</v>
      </c>
      <c r="N178" s="546">
        <v>0</v>
      </c>
      <c r="O178" s="546">
        <v>0</v>
      </c>
      <c r="P178" s="546">
        <v>0</v>
      </c>
      <c r="Q178" s="546">
        <v>0</v>
      </c>
      <c r="R178" s="546">
        <v>0</v>
      </c>
      <c r="S178" s="546">
        <v>0</v>
      </c>
      <c r="T178" s="546">
        <v>0</v>
      </c>
      <c r="U178" s="546">
        <v>0</v>
      </c>
      <c r="V178" s="546">
        <v>0</v>
      </c>
      <c r="W178" s="546">
        <v>0</v>
      </c>
      <c r="X178" s="546">
        <v>0</v>
      </c>
      <c r="Y178" s="546">
        <v>0</v>
      </c>
      <c r="Z178" s="546"/>
      <c r="AA178" s="546">
        <v>0</v>
      </c>
      <c r="AB178" s="546">
        <v>0</v>
      </c>
      <c r="AC178" s="546">
        <v>0</v>
      </c>
      <c r="AD178" s="546">
        <v>0</v>
      </c>
      <c r="AE178" s="546">
        <v>0</v>
      </c>
      <c r="AF178" s="546">
        <v>0</v>
      </c>
      <c r="AG178" s="546">
        <v>0</v>
      </c>
      <c r="AH178" s="546">
        <v>0</v>
      </c>
      <c r="AI178" s="546">
        <v>0</v>
      </c>
      <c r="AJ178" s="546">
        <v>0</v>
      </c>
      <c r="AK178" s="546">
        <v>0</v>
      </c>
      <c r="AL178" s="546">
        <v>0</v>
      </c>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row>
    <row r="179" spans="1:131">
      <c r="A179" s="27"/>
      <c r="B179" s="27" t="s">
        <v>138</v>
      </c>
      <c r="C179" s="38">
        <v>1472.8615451179683</v>
      </c>
      <c r="D179" s="38">
        <v>3567.2363679851778</v>
      </c>
      <c r="E179" s="38">
        <v>713.44727359703563</v>
      </c>
      <c r="F179" s="38">
        <v>4280.6836415822136</v>
      </c>
      <c r="G179" s="38">
        <v>3091.9143740795566</v>
      </c>
      <c r="H179" s="38">
        <v>1370.0783232021149</v>
      </c>
      <c r="I179" s="38">
        <v>25459.819237290725</v>
      </c>
      <c r="J179" s="38">
        <v>83.127610324463831</v>
      </c>
      <c r="K179" s="38">
        <v>124.77760257492093</v>
      </c>
      <c r="L179" s="50">
        <v>0.44311651534980767</v>
      </c>
      <c r="M179" s="38">
        <v>13.992273936876764</v>
      </c>
      <c r="N179" s="48">
        <v>164.06962018289312</v>
      </c>
      <c r="O179" s="48">
        <v>119.70516307155192</v>
      </c>
      <c r="P179" s="48">
        <v>108.47131577192278</v>
      </c>
      <c r="Q179" s="48">
        <v>86.951095404939252</v>
      </c>
      <c r="R179" s="48">
        <v>35.82481519181912</v>
      </c>
      <c r="S179" s="48">
        <v>10.006830490605962</v>
      </c>
      <c r="T179" s="48">
        <v>2.4367455207122672</v>
      </c>
      <c r="U179" s="48">
        <v>2.0484388214855613</v>
      </c>
      <c r="V179" s="48">
        <v>19.437918323852109</v>
      </c>
      <c r="W179" s="48">
        <v>66.764050147129211</v>
      </c>
      <c r="X179" s="48">
        <v>105.60602394812521</v>
      </c>
      <c r="Y179" s="48">
        <v>191.20729006303606</v>
      </c>
      <c r="Z179" s="48"/>
      <c r="AA179" s="48">
        <v>104.28982060180982</v>
      </c>
      <c r="AB179" s="48">
        <v>78.131925819277853</v>
      </c>
      <c r="AC179" s="48">
        <v>60.521776910995399</v>
      </c>
      <c r="AD179" s="48">
        <v>51.903413876547866</v>
      </c>
      <c r="AE179" s="48">
        <v>20.390705827881469</v>
      </c>
      <c r="AF179" s="48">
        <v>5.0620558613572388</v>
      </c>
      <c r="AG179" s="48">
        <v>1.363407358849452</v>
      </c>
      <c r="AH179" s="48">
        <v>0.91166192303096372</v>
      </c>
      <c r="AI179" s="48">
        <v>11.162281837234481</v>
      </c>
      <c r="AJ179" s="48">
        <v>34.42175908977697</v>
      </c>
      <c r="AK179" s="48">
        <v>69.095594369389673</v>
      </c>
      <c r="AL179" s="48">
        <v>123.07783470374459</v>
      </c>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row>
    <row r="180" spans="1:131">
      <c r="A180" s="27"/>
      <c r="B180" s="27" t="s">
        <v>141</v>
      </c>
      <c r="C180" s="546">
        <v>0</v>
      </c>
      <c r="D180" s="546">
        <v>0</v>
      </c>
      <c r="E180" s="546">
        <v>0</v>
      </c>
      <c r="F180" s="546">
        <v>0</v>
      </c>
      <c r="G180" s="546">
        <v>0</v>
      </c>
      <c r="H180" s="546">
        <v>0</v>
      </c>
      <c r="I180" s="546">
        <v>0</v>
      </c>
      <c r="J180" s="546">
        <v>0</v>
      </c>
      <c r="K180" s="546">
        <v>0</v>
      </c>
      <c r="L180" s="547">
        <v>0</v>
      </c>
      <c r="M180" s="546">
        <v>0</v>
      </c>
      <c r="N180" s="546">
        <v>0</v>
      </c>
      <c r="O180" s="546">
        <v>0</v>
      </c>
      <c r="P180" s="546">
        <v>0</v>
      </c>
      <c r="Q180" s="546">
        <v>0</v>
      </c>
      <c r="R180" s="546">
        <v>0</v>
      </c>
      <c r="S180" s="546">
        <v>0</v>
      </c>
      <c r="T180" s="546">
        <v>0</v>
      </c>
      <c r="U180" s="546">
        <v>0</v>
      </c>
      <c r="V180" s="546">
        <v>0</v>
      </c>
      <c r="W180" s="546">
        <v>0</v>
      </c>
      <c r="X180" s="546">
        <v>0</v>
      </c>
      <c r="Y180" s="546">
        <v>0</v>
      </c>
      <c r="Z180" s="546"/>
      <c r="AA180" s="546">
        <v>0</v>
      </c>
      <c r="AB180" s="546">
        <v>0</v>
      </c>
      <c r="AC180" s="546">
        <v>0</v>
      </c>
      <c r="AD180" s="546">
        <v>0</v>
      </c>
      <c r="AE180" s="546">
        <v>0</v>
      </c>
      <c r="AF180" s="546">
        <v>0</v>
      </c>
      <c r="AG180" s="546">
        <v>0</v>
      </c>
      <c r="AH180" s="546">
        <v>0</v>
      </c>
      <c r="AI180" s="546">
        <v>0</v>
      </c>
      <c r="AJ180" s="546">
        <v>0</v>
      </c>
      <c r="AK180" s="546">
        <v>0</v>
      </c>
      <c r="AL180" s="546">
        <v>0</v>
      </c>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row>
    <row r="181" spans="1:131">
      <c r="A181" s="27"/>
      <c r="B181" s="27" t="s">
        <v>144</v>
      </c>
      <c r="C181" s="38">
        <v>85.632917184081805</v>
      </c>
      <c r="D181" s="38">
        <v>235.52932235113522</v>
      </c>
      <c r="E181" s="38">
        <v>47.105864470227047</v>
      </c>
      <c r="F181" s="38">
        <v>282.63518682136225</v>
      </c>
      <c r="G181" s="38">
        <v>204.14584910335225</v>
      </c>
      <c r="H181" s="38">
        <v>79.65704853613741</v>
      </c>
      <c r="I181" s="38">
        <v>28912.762965120291</v>
      </c>
      <c r="J181" s="38">
        <v>98.428217874929899</v>
      </c>
      <c r="K181" s="38">
        <v>145.72691792511569</v>
      </c>
      <c r="L181" s="50">
        <v>0.39019675827848793</v>
      </c>
      <c r="M181" s="38">
        <v>0.81351790276905278</v>
      </c>
      <c r="N181" s="48">
        <v>9.5390909241371578</v>
      </c>
      <c r="O181" s="48">
        <v>6.9597188885749519</v>
      </c>
      <c r="P181" s="48">
        <v>6.3065773094113027</v>
      </c>
      <c r="Q181" s="48">
        <v>5.0553807834530602</v>
      </c>
      <c r="R181" s="48">
        <v>2.0828729235444663</v>
      </c>
      <c r="S181" s="48">
        <v>0.58180219961447277</v>
      </c>
      <c r="T181" s="48">
        <v>0.14167362035181852</v>
      </c>
      <c r="U181" s="48">
        <v>0.11909727193188516</v>
      </c>
      <c r="V181" s="48">
        <v>1.1301304291463827</v>
      </c>
      <c r="W181" s="48">
        <v>3.8816957344521366</v>
      </c>
      <c r="X181" s="48">
        <v>6.1399877896639916</v>
      </c>
      <c r="Y181" s="48">
        <v>11.116888813638782</v>
      </c>
      <c r="Z181" s="48"/>
      <c r="AA181" s="48">
        <v>6.0634630596063479</v>
      </c>
      <c r="AB181" s="48">
        <v>4.5426297911655755</v>
      </c>
      <c r="AC181" s="48">
        <v>3.5187668027802577</v>
      </c>
      <c r="AD181" s="48">
        <v>3.0176908052179159</v>
      </c>
      <c r="AE181" s="48">
        <v>1.1855259778298397</v>
      </c>
      <c r="AF181" s="48">
        <v>0.29431049496378903</v>
      </c>
      <c r="AG181" s="48">
        <v>7.9269195285542993E-2</v>
      </c>
      <c r="AH181" s="48">
        <v>5.3004486547673715E-2</v>
      </c>
      <c r="AI181" s="48">
        <v>0.6489807268861254</v>
      </c>
      <c r="AJ181" s="48">
        <v>2.0012985302221309</v>
      </c>
      <c r="AK181" s="48">
        <v>4.0172528979599011</v>
      </c>
      <c r="AL181" s="48">
        <v>7.1558077276962999</v>
      </c>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row>
    <row r="182" spans="1:131">
      <c r="A182" s="27"/>
      <c r="B182" s="27" t="s">
        <v>147</v>
      </c>
      <c r="C182" s="38">
        <v>219.89627550774671</v>
      </c>
      <c r="D182" s="38">
        <v>632.00584958170327</v>
      </c>
      <c r="E182" s="38">
        <v>126.40116991634066</v>
      </c>
      <c r="F182" s="38">
        <v>758.40701949804395</v>
      </c>
      <c r="G182" s="38">
        <v>547.79324082966127</v>
      </c>
      <c r="H182" s="38">
        <v>204.55087677770371</v>
      </c>
      <c r="I182" s="38">
        <v>30212.633094682937</v>
      </c>
      <c r="J182" s="38">
        <v>104.18817352051848</v>
      </c>
      <c r="K182" s="38">
        <v>153.61334510289754</v>
      </c>
      <c r="L182" s="50">
        <v>0.37350226282362703</v>
      </c>
      <c r="M182" s="38">
        <v>2.08902794346286</v>
      </c>
      <c r="N182" s="48">
        <v>24.495376718725552</v>
      </c>
      <c r="O182" s="48">
        <v>17.871822104211038</v>
      </c>
      <c r="P182" s="48">
        <v>16.194623599708464</v>
      </c>
      <c r="Q182" s="48">
        <v>12.981683237125637</v>
      </c>
      <c r="R182" s="48">
        <v>5.3485974004456764</v>
      </c>
      <c r="S182" s="48">
        <v>1.4940065220762915</v>
      </c>
      <c r="T182" s="48">
        <v>0.36380287484652551</v>
      </c>
      <c r="U182" s="48">
        <v>0.30582919958988736</v>
      </c>
      <c r="V182" s="48">
        <v>2.9020554289076177</v>
      </c>
      <c r="W182" s="48">
        <v>9.9677841504038049</v>
      </c>
      <c r="X182" s="48">
        <v>15.766839330111406</v>
      </c>
      <c r="Y182" s="48">
        <v>28.5469948442597</v>
      </c>
      <c r="Z182" s="48"/>
      <c r="AA182" s="48">
        <v>15.570331915938675</v>
      </c>
      <c r="AB182" s="48">
        <v>11.664992913186998</v>
      </c>
      <c r="AC182" s="48">
        <v>9.0358210341982197</v>
      </c>
      <c r="AD182" s="48">
        <v>7.749110862063973</v>
      </c>
      <c r="AE182" s="48">
        <v>3.0443053397569075</v>
      </c>
      <c r="AF182" s="48">
        <v>0.7557582272510619</v>
      </c>
      <c r="AG182" s="48">
        <v>0.20355491064629253</v>
      </c>
      <c r="AH182" s="48">
        <v>0.13610991614332787</v>
      </c>
      <c r="AI182" s="48">
        <v>1.6665138758708204</v>
      </c>
      <c r="AJ182" s="48">
        <v>5.1391229850193607</v>
      </c>
      <c r="AK182" s="48">
        <v>10.315880610900109</v>
      </c>
      <c r="AL182" s="48">
        <v>18.375357506359379</v>
      </c>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row>
    <row r="183" spans="1:131">
      <c r="A183" s="27"/>
      <c r="B183" s="27" t="s">
        <v>150</v>
      </c>
      <c r="C183" s="546">
        <v>0</v>
      </c>
      <c r="D183" s="546">
        <v>0</v>
      </c>
      <c r="E183" s="546">
        <v>0</v>
      </c>
      <c r="F183" s="546">
        <v>0</v>
      </c>
      <c r="G183" s="546">
        <v>0</v>
      </c>
      <c r="H183" s="546">
        <v>0</v>
      </c>
      <c r="I183" s="546">
        <v>0</v>
      </c>
      <c r="J183" s="546">
        <v>0</v>
      </c>
      <c r="K183" s="546">
        <v>0</v>
      </c>
      <c r="L183" s="547">
        <v>0</v>
      </c>
      <c r="M183" s="546">
        <v>0</v>
      </c>
      <c r="N183" s="546">
        <v>0</v>
      </c>
      <c r="O183" s="546">
        <v>0</v>
      </c>
      <c r="P183" s="546">
        <v>0</v>
      </c>
      <c r="Q183" s="546">
        <v>0</v>
      </c>
      <c r="R183" s="546">
        <v>0</v>
      </c>
      <c r="S183" s="546">
        <v>0</v>
      </c>
      <c r="T183" s="546">
        <v>0</v>
      </c>
      <c r="U183" s="546">
        <v>0</v>
      </c>
      <c r="V183" s="546">
        <v>0</v>
      </c>
      <c r="W183" s="546">
        <v>0</v>
      </c>
      <c r="X183" s="546">
        <v>0</v>
      </c>
      <c r="Y183" s="546">
        <v>0</v>
      </c>
      <c r="Z183" s="546"/>
      <c r="AA183" s="546">
        <v>0</v>
      </c>
      <c r="AB183" s="546">
        <v>0</v>
      </c>
      <c r="AC183" s="546">
        <v>0</v>
      </c>
      <c r="AD183" s="546">
        <v>0</v>
      </c>
      <c r="AE183" s="546">
        <v>0</v>
      </c>
      <c r="AF183" s="546">
        <v>0</v>
      </c>
      <c r="AG183" s="546">
        <v>0</v>
      </c>
      <c r="AH183" s="546">
        <v>0</v>
      </c>
      <c r="AI183" s="546">
        <v>0</v>
      </c>
      <c r="AJ183" s="546">
        <v>0</v>
      </c>
      <c r="AK183" s="546">
        <v>0</v>
      </c>
      <c r="AL183" s="546">
        <v>0</v>
      </c>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row>
    <row r="184" spans="1:131">
      <c r="A184" s="27"/>
      <c r="B184" s="27" t="s">
        <v>153</v>
      </c>
      <c r="C184" s="546">
        <v>0</v>
      </c>
      <c r="D184" s="546">
        <v>0</v>
      </c>
      <c r="E184" s="546">
        <v>0</v>
      </c>
      <c r="F184" s="546">
        <v>0</v>
      </c>
      <c r="G184" s="546">
        <v>0</v>
      </c>
      <c r="H184" s="546">
        <v>0</v>
      </c>
      <c r="I184" s="546">
        <v>0</v>
      </c>
      <c r="J184" s="546">
        <v>0</v>
      </c>
      <c r="K184" s="546">
        <v>0</v>
      </c>
      <c r="L184" s="547">
        <v>0</v>
      </c>
      <c r="M184" s="546">
        <v>0</v>
      </c>
      <c r="N184" s="546">
        <v>0</v>
      </c>
      <c r="O184" s="546">
        <v>0</v>
      </c>
      <c r="P184" s="546">
        <v>0</v>
      </c>
      <c r="Q184" s="546">
        <v>0</v>
      </c>
      <c r="R184" s="546">
        <v>0</v>
      </c>
      <c r="S184" s="546">
        <v>0</v>
      </c>
      <c r="T184" s="546">
        <v>0</v>
      </c>
      <c r="U184" s="546">
        <v>0</v>
      </c>
      <c r="V184" s="546">
        <v>0</v>
      </c>
      <c r="W184" s="546">
        <v>0</v>
      </c>
      <c r="X184" s="546">
        <v>0</v>
      </c>
      <c r="Y184" s="546">
        <v>0</v>
      </c>
      <c r="Z184" s="546"/>
      <c r="AA184" s="546">
        <v>0</v>
      </c>
      <c r="AB184" s="546">
        <v>0</v>
      </c>
      <c r="AC184" s="546">
        <v>0</v>
      </c>
      <c r="AD184" s="546">
        <v>0</v>
      </c>
      <c r="AE184" s="546">
        <v>0</v>
      </c>
      <c r="AF184" s="546">
        <v>0</v>
      </c>
      <c r="AG184" s="546">
        <v>0</v>
      </c>
      <c r="AH184" s="546">
        <v>0</v>
      </c>
      <c r="AI184" s="546">
        <v>0</v>
      </c>
      <c r="AJ184" s="546">
        <v>0</v>
      </c>
      <c r="AK184" s="546">
        <v>0</v>
      </c>
      <c r="AL184" s="546">
        <v>0</v>
      </c>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row>
    <row r="185" spans="1:131">
      <c r="A185" s="27"/>
      <c r="B185" s="27" t="s">
        <v>156</v>
      </c>
      <c r="C185" s="38">
        <v>50.378797065966225</v>
      </c>
      <c r="D185" s="38">
        <v>169.97517278288436</v>
      </c>
      <c r="E185" s="38">
        <v>33.995034556576876</v>
      </c>
      <c r="F185" s="38">
        <v>203.97020733946124</v>
      </c>
      <c r="G185" s="38">
        <v>147.32656481098093</v>
      </c>
      <c r="H185" s="38">
        <v>46.863127113248275</v>
      </c>
      <c r="I185" s="38">
        <v>35466.885284181437</v>
      </c>
      <c r="J185" s="38">
        <v>127.47069911592601</v>
      </c>
      <c r="K185" s="38">
        <v>185.49135839344265</v>
      </c>
      <c r="L185" s="50">
        <v>0.31809013651661111</v>
      </c>
      <c r="M185" s="38">
        <v>0.47860162517914356</v>
      </c>
      <c r="N185" s="48">
        <v>5.6119532262091179</v>
      </c>
      <c r="O185" s="48">
        <v>4.0944799856575047</v>
      </c>
      <c r="P185" s="48">
        <v>3.7102295343818961</v>
      </c>
      <c r="Q185" s="48">
        <v>2.9741367099906526</v>
      </c>
      <c r="R185" s="48">
        <v>1.2253772939192622</v>
      </c>
      <c r="S185" s="48">
        <v>0.34228070128572929</v>
      </c>
      <c r="T185" s="48">
        <v>8.3348165682153835E-2</v>
      </c>
      <c r="U185" s="48">
        <v>7.0066248950374027E-2</v>
      </c>
      <c r="V185" s="48">
        <v>0.66486829387872881</v>
      </c>
      <c r="W185" s="48">
        <v>2.2836447491028884</v>
      </c>
      <c r="X185" s="48">
        <v>3.6122230681228369</v>
      </c>
      <c r="Y185" s="48">
        <v>6.5401892632396068</v>
      </c>
      <c r="Z185" s="48"/>
      <c r="AA185" s="48">
        <v>3.5672027187890119</v>
      </c>
      <c r="AB185" s="48">
        <v>2.6724796015414052</v>
      </c>
      <c r="AC185" s="48">
        <v>2.0701296243201921</v>
      </c>
      <c r="AD185" s="48">
        <v>1.7753410450457694</v>
      </c>
      <c r="AE185" s="48">
        <v>0.69745811094034471</v>
      </c>
      <c r="AF185" s="48">
        <v>0.17314613571194531</v>
      </c>
      <c r="AG185" s="48">
        <v>4.6634948734587331E-2</v>
      </c>
      <c r="AH185" s="48">
        <v>3.1183128628337446E-2</v>
      </c>
      <c r="AI185" s="48">
        <v>0.38180257562914105</v>
      </c>
      <c r="AJ185" s="48">
        <v>1.1773861715552891</v>
      </c>
      <c r="AK185" s="48">
        <v>2.3633945352337893</v>
      </c>
      <c r="AL185" s="48">
        <v>4.2098412294156651</v>
      </c>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row>
    <row r="186" spans="1:131">
      <c r="A186" s="27"/>
      <c r="B186" s="27" t="s">
        <v>159</v>
      </c>
      <c r="C186" s="38">
        <v>48.820467224768407</v>
      </c>
      <c r="D186" s="38">
        <v>169.97517278288436</v>
      </c>
      <c r="E186" s="38">
        <v>33.995034556576876</v>
      </c>
      <c r="F186" s="38">
        <v>203.97020733946124</v>
      </c>
      <c r="G186" s="38">
        <v>147.32656481098093</v>
      </c>
      <c r="H186" s="38">
        <v>45.413544874577553</v>
      </c>
      <c r="I186" s="38">
        <v>36598.974116068726</v>
      </c>
      <c r="J186" s="38">
        <v>132.48718600198973</v>
      </c>
      <c r="K186" s="38">
        <v>192.35984158142327</v>
      </c>
      <c r="L186" s="50">
        <v>0.30825089102459458</v>
      </c>
      <c r="M186" s="38">
        <v>0.46379739724996405</v>
      </c>
      <c r="N186" s="48">
        <v>5.4383628530932819</v>
      </c>
      <c r="O186" s="48">
        <v>3.9678284830921973</v>
      </c>
      <c r="P186" s="48">
        <v>3.5954637650930792</v>
      </c>
      <c r="Q186" s="48">
        <v>2.8821399522889619</v>
      </c>
      <c r="R186" s="48">
        <v>1.1874736099281527</v>
      </c>
      <c r="S186" s="48">
        <v>0.33169318705466794</v>
      </c>
      <c r="T186" s="48">
        <v>8.0770018895093193E-2</v>
      </c>
      <c r="U186" s="48">
        <v>6.789894181008653E-2</v>
      </c>
      <c r="V186" s="48">
        <v>0.64430241769353813</v>
      </c>
      <c r="W186" s="48">
        <v>2.2130064654106039</v>
      </c>
      <c r="X186" s="48">
        <v>3.5004888599251247</v>
      </c>
      <c r="Y186" s="48">
        <v>6.3378864555198691</v>
      </c>
      <c r="Z186" s="48"/>
      <c r="AA186" s="48">
        <v>3.4568610915561879</v>
      </c>
      <c r="AB186" s="48">
        <v>2.589813778702855</v>
      </c>
      <c r="AC186" s="48">
        <v>2.006095845099507</v>
      </c>
      <c r="AD186" s="48">
        <v>1.7204257415863478</v>
      </c>
      <c r="AE186" s="48">
        <v>0.67588415819509262</v>
      </c>
      <c r="AF186" s="48">
        <v>0.16779033513944039</v>
      </c>
      <c r="AG186" s="48">
        <v>4.5192424567909027E-2</v>
      </c>
      <c r="AH186" s="48">
        <v>3.0218564114821579E-2</v>
      </c>
      <c r="AI186" s="48">
        <v>0.36999256066848174</v>
      </c>
      <c r="AJ186" s="48">
        <v>1.1409669612405644</v>
      </c>
      <c r="AK186" s="48">
        <v>2.290289410751436</v>
      </c>
      <c r="AL186" s="48">
        <v>4.0796213433411079</v>
      </c>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row>
    <row r="187" spans="1:131">
      <c r="A187" s="27"/>
      <c r="B187" s="27" t="s">
        <v>162</v>
      </c>
      <c r="C187" s="38">
        <v>241.77286588606404</v>
      </c>
      <c r="D187" s="38">
        <v>1256.7462869351004</v>
      </c>
      <c r="E187" s="38">
        <v>251.34925738702015</v>
      </c>
      <c r="F187" s="38">
        <v>1508.0955443221205</v>
      </c>
      <c r="G187" s="38">
        <v>1089.2891606564531</v>
      </c>
      <c r="H187" s="38">
        <v>224.90081554978559</v>
      </c>
      <c r="I187" s="38">
        <v>54641.851226131585</v>
      </c>
      <c r="J187" s="38">
        <v>212.4383822862942</v>
      </c>
      <c r="K187" s="38">
        <v>301.82757468030866</v>
      </c>
      <c r="L187" s="50">
        <v>0.21120536847348659</v>
      </c>
      <c r="M187" s="38">
        <v>2.2968568778205292</v>
      </c>
      <c r="N187" s="48">
        <v>26.932322598780946</v>
      </c>
      <c r="O187" s="48">
        <v>19.649817345763953</v>
      </c>
      <c r="P187" s="48">
        <v>17.805761150827976</v>
      </c>
      <c r="Q187" s="48">
        <v>14.273178356558256</v>
      </c>
      <c r="R187" s="48">
        <v>5.8807077063519753</v>
      </c>
      <c r="S187" s="48">
        <v>1.6426391836824501</v>
      </c>
      <c r="T187" s="48">
        <v>0.39999615030375946</v>
      </c>
      <c r="U187" s="48">
        <v>0.33625490875530217</v>
      </c>
      <c r="V187" s="48">
        <v>3.1907691769089901</v>
      </c>
      <c r="W187" s="48">
        <v>10.95943864902757</v>
      </c>
      <c r="X187" s="48">
        <v>17.335418355786807</v>
      </c>
      <c r="Y187" s="48">
        <v>31.387019811930447</v>
      </c>
      <c r="Z187" s="48"/>
      <c r="AA187" s="48">
        <v>17.119361214379119</v>
      </c>
      <c r="AB187" s="48">
        <v>12.825495841845179</v>
      </c>
      <c r="AC187" s="48">
        <v>9.9347582946884465</v>
      </c>
      <c r="AD187" s="48">
        <v>8.520038535732418</v>
      </c>
      <c r="AE187" s="48">
        <v>3.3471709556051388</v>
      </c>
      <c r="AF187" s="48">
        <v>0.83094555420527527</v>
      </c>
      <c r="AG187" s="48">
        <v>0.22380576477932237</v>
      </c>
      <c r="AH187" s="48">
        <v>0.14965094076968544</v>
      </c>
      <c r="AI187" s="48">
        <v>1.8323085958497114</v>
      </c>
      <c r="AJ187" s="48">
        <v>5.6503935292223861</v>
      </c>
      <c r="AK187" s="48">
        <v>11.3421658173921</v>
      </c>
      <c r="AL187" s="48">
        <v>20.203447446916833</v>
      </c>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row>
    <row r="188" spans="1:131">
      <c r="A188" s="27"/>
      <c r="B188" s="27"/>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row>
    <row r="189" spans="1:131">
      <c r="A189" s="27"/>
      <c r="B189" s="27"/>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row>
    <row r="190" spans="1:131" ht="13.5" thickBot="1">
      <c r="A190" s="36" t="s">
        <v>30</v>
      </c>
      <c r="B190" s="37"/>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row>
    <row r="191" spans="1:131" ht="13.5" thickBot="1">
      <c r="A191" s="39"/>
      <c r="B191" s="40"/>
      <c r="C191" s="41"/>
      <c r="D191" s="41"/>
      <c r="E191" s="41"/>
      <c r="F191" s="41"/>
      <c r="G191" s="41"/>
      <c r="H191" s="41"/>
      <c r="I191" s="41"/>
      <c r="J191" s="41"/>
      <c r="K191" s="41"/>
      <c r="L191" s="41"/>
      <c r="M191" s="41"/>
      <c r="N191" s="41"/>
      <c r="O191" s="42" t="s">
        <v>1700</v>
      </c>
      <c r="P191" s="43"/>
      <c r="Q191" s="43"/>
      <c r="R191" s="43"/>
      <c r="S191" s="43"/>
      <c r="T191" s="43"/>
      <c r="U191" s="43"/>
      <c r="V191" s="43"/>
      <c r="W191" s="43"/>
      <c r="X191" s="43"/>
      <c r="Y191" s="43"/>
      <c r="Z191" s="44"/>
      <c r="AA191" s="41"/>
      <c r="AB191" s="42" t="s">
        <v>1701</v>
      </c>
      <c r="AC191" s="43"/>
      <c r="AD191" s="43"/>
      <c r="AE191" s="43"/>
      <c r="AF191" s="43"/>
      <c r="AG191" s="43"/>
      <c r="AH191" s="43"/>
      <c r="AI191" s="43"/>
      <c r="AJ191" s="43"/>
      <c r="AK191" s="43"/>
      <c r="AL191" s="43"/>
      <c r="AM191" s="44"/>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row>
    <row r="192" spans="1:131" ht="191.25">
      <c r="A192" s="45" t="s">
        <v>31</v>
      </c>
      <c r="B192" s="46" t="s">
        <v>32</v>
      </c>
      <c r="C192" s="47" t="s">
        <v>33</v>
      </c>
      <c r="D192" s="47" t="s">
        <v>34</v>
      </c>
      <c r="E192" s="47" t="s">
        <v>35</v>
      </c>
      <c r="F192" s="47" t="s">
        <v>36</v>
      </c>
      <c r="G192" s="47" t="s">
        <v>37</v>
      </c>
      <c r="H192" s="47" t="s">
        <v>38</v>
      </c>
      <c r="I192" s="47" t="s">
        <v>39</v>
      </c>
      <c r="J192" s="47" t="s">
        <v>40</v>
      </c>
      <c r="K192" s="47" t="s">
        <v>41</v>
      </c>
      <c r="L192" s="47" t="s">
        <v>42</v>
      </c>
      <c r="M192" s="47" t="s">
        <v>43</v>
      </c>
      <c r="N192" s="47" t="s">
        <v>1702</v>
      </c>
      <c r="O192" s="47" t="s">
        <v>44</v>
      </c>
      <c r="P192" s="47" t="s">
        <v>45</v>
      </c>
      <c r="Q192" s="47" t="s">
        <v>46</v>
      </c>
      <c r="R192" s="47" t="s">
        <v>47</v>
      </c>
      <c r="S192" s="47" t="s">
        <v>48</v>
      </c>
      <c r="T192" s="47" t="s">
        <v>49</v>
      </c>
      <c r="U192" s="47" t="s">
        <v>50</v>
      </c>
      <c r="V192" s="47" t="s">
        <v>51</v>
      </c>
      <c r="W192" s="47" t="s">
        <v>52</v>
      </c>
      <c r="X192" s="47" t="s">
        <v>53</v>
      </c>
      <c r="Y192" s="47" t="s">
        <v>54</v>
      </c>
      <c r="Z192" s="47" t="s">
        <v>55</v>
      </c>
      <c r="AA192" s="47"/>
      <c r="AB192" s="47" t="s">
        <v>44</v>
      </c>
      <c r="AC192" s="47" t="s">
        <v>45</v>
      </c>
      <c r="AD192" s="47" t="s">
        <v>46</v>
      </c>
      <c r="AE192" s="47" t="s">
        <v>47</v>
      </c>
      <c r="AF192" s="47" t="s">
        <v>48</v>
      </c>
      <c r="AG192" s="47" t="s">
        <v>49</v>
      </c>
      <c r="AH192" s="47" t="s">
        <v>50</v>
      </c>
      <c r="AI192" s="47" t="s">
        <v>51</v>
      </c>
      <c r="AJ192" s="47" t="s">
        <v>52</v>
      </c>
      <c r="AK192" s="47" t="s">
        <v>53</v>
      </c>
      <c r="AL192" s="47" t="s">
        <v>54</v>
      </c>
      <c r="AM192" s="47" t="s">
        <v>55</v>
      </c>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row>
    <row r="193" spans="1:131">
      <c r="A193" s="27" t="s">
        <v>232</v>
      </c>
      <c r="B193" s="27"/>
      <c r="C193" s="48">
        <v>717.60736655826236</v>
      </c>
      <c r="D193" s="48">
        <v>444.2906023738596</v>
      </c>
      <c r="E193" s="48">
        <v>88.858120474771923</v>
      </c>
      <c r="F193" s="48">
        <v>533.14872284863156</v>
      </c>
      <c r="G193" s="48">
        <v>385.09040558029801</v>
      </c>
      <c r="H193" s="48">
        <v>667.52934160751761</v>
      </c>
      <c r="I193" s="48">
        <v>6508.2704411937293</v>
      </c>
      <c r="J193" s="48">
        <v>-0.85007175170955207</v>
      </c>
      <c r="K193" s="48">
        <v>9.7968778952292404</v>
      </c>
      <c r="L193" s="49">
        <v>1.7334354009719055</v>
      </c>
      <c r="M193" s="48">
        <v>6.8173134706967451</v>
      </c>
      <c r="N193" s="48">
        <v>0.3752504280546366</v>
      </c>
      <c r="O193" s="48">
        <v>79.937974117064826</v>
      </c>
      <c r="P193" s="48">
        <v>58.322730415453606</v>
      </c>
      <c r="Q193" s="48">
        <v>52.849377129989946</v>
      </c>
      <c r="R193" s="48">
        <v>42.364298803046722</v>
      </c>
      <c r="S193" s="48">
        <v>17.454560730743136</v>
      </c>
      <c r="T193" s="48">
        <v>4.875526351924349</v>
      </c>
      <c r="U193" s="48">
        <v>1.1872307630592094</v>
      </c>
      <c r="V193" s="48">
        <v>0.9980400351373333</v>
      </c>
      <c r="W193" s="48">
        <v>9.4705394583690357</v>
      </c>
      <c r="X193" s="48">
        <v>32.528769839671384</v>
      </c>
      <c r="Y193" s="48">
        <v>51.453350105649648</v>
      </c>
      <c r="Z193" s="48">
        <v>93.159985297794691</v>
      </c>
      <c r="AA193" s="48"/>
      <c r="AB193" s="48">
        <v>50.812069721668337</v>
      </c>
      <c r="AC193" s="48">
        <v>38.067424407367994</v>
      </c>
      <c r="AD193" s="48">
        <v>29.487410471462525</v>
      </c>
      <c r="AE193" s="48">
        <v>25.28837301156495</v>
      </c>
      <c r="AF193" s="48">
        <v>9.9347564337680137</v>
      </c>
      <c r="AG193" s="48">
        <v>2.4663340475417432</v>
      </c>
      <c r="AH193" s="48">
        <v>0.66427911542204532</v>
      </c>
      <c r="AI193" s="48">
        <v>0.44417977639934375</v>
      </c>
      <c r="AJ193" s="48">
        <v>5.4384851723163088</v>
      </c>
      <c r="AK193" s="48">
        <v>16.770963961001058</v>
      </c>
      <c r="AL193" s="48">
        <v>33.664744442916565</v>
      </c>
      <c r="AM193" s="38">
        <v>59.96596294892958</v>
      </c>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row>
    <row r="194" spans="1:131">
      <c r="A194" s="27" t="s">
        <v>235</v>
      </c>
      <c r="B194" s="27"/>
      <c r="C194" s="48">
        <v>4321.9423011033477</v>
      </c>
      <c r="D194" s="48">
        <v>2730.3075374938753</v>
      </c>
      <c r="E194" s="48">
        <v>546.06150749877509</v>
      </c>
      <c r="F194" s="48">
        <v>3276.3690449926503</v>
      </c>
      <c r="G194" s="48">
        <v>2366.5034357123791</v>
      </c>
      <c r="H194" s="48">
        <v>4020.3367930267268</v>
      </c>
      <c r="I194" s="48">
        <v>6640.7626096277472</v>
      </c>
      <c r="J194" s="48">
        <v>-0.26297539784183366</v>
      </c>
      <c r="K194" s="48">
        <v>10.600719613119042</v>
      </c>
      <c r="L194" s="49">
        <v>1.6988510273666688</v>
      </c>
      <c r="M194" s="48">
        <v>41.058713778537786</v>
      </c>
      <c r="N194" s="48">
        <v>2.2600251531626352</v>
      </c>
      <c r="O194" s="48">
        <v>481.44337405292919</v>
      </c>
      <c r="P194" s="48">
        <v>351.26099235483593</v>
      </c>
      <c r="Q194" s="48">
        <v>318.2965633429331</v>
      </c>
      <c r="R194" s="48">
        <v>255.1479591571389</v>
      </c>
      <c r="S194" s="48">
        <v>105.12378758203752</v>
      </c>
      <c r="T194" s="48">
        <v>29.363889729266209</v>
      </c>
      <c r="U194" s="48">
        <v>7.1503486379277668</v>
      </c>
      <c r="V194" s="48">
        <v>6.010907422456766</v>
      </c>
      <c r="W194" s="48">
        <v>57.038329045734976</v>
      </c>
      <c r="X194" s="48">
        <v>195.91140353980222</v>
      </c>
      <c r="Y194" s="48">
        <v>309.88869501388092</v>
      </c>
      <c r="Z194" s="48">
        <v>561.07573582999896</v>
      </c>
      <c r="AA194" s="48"/>
      <c r="AB194" s="48">
        <v>306.02644812574005</v>
      </c>
      <c r="AC194" s="48">
        <v>229.26912334992036</v>
      </c>
      <c r="AD194" s="48">
        <v>177.59417281046632</v>
      </c>
      <c r="AE194" s="48">
        <v>152.30458066359495</v>
      </c>
      <c r="AF194" s="48">
        <v>59.834174066793857</v>
      </c>
      <c r="AG194" s="48">
        <v>14.854018987912193</v>
      </c>
      <c r="AH194" s="48">
        <v>4.0007616176679219</v>
      </c>
      <c r="AI194" s="48">
        <v>2.6751667476912511</v>
      </c>
      <c r="AJ194" s="48">
        <v>32.754428417993161</v>
      </c>
      <c r="AK194" s="48">
        <v>101.00668130118108</v>
      </c>
      <c r="AL194" s="48">
        <v>202.75305110299766</v>
      </c>
      <c r="AM194" s="38">
        <v>361.1577082024462</v>
      </c>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row>
    <row r="195" spans="1:131">
      <c r="A195" s="27" t="s">
        <v>221</v>
      </c>
      <c r="B195" s="27"/>
      <c r="C195" s="48">
        <v>645.08422854274454</v>
      </c>
      <c r="D195" s="48">
        <v>444.29060237385954</v>
      </c>
      <c r="E195" s="48">
        <v>88.858120474771908</v>
      </c>
      <c r="F195" s="48">
        <v>533.14872284863145</v>
      </c>
      <c r="G195" s="48">
        <v>385.09040558029801</v>
      </c>
      <c r="H195" s="48">
        <v>600.06721004803228</v>
      </c>
      <c r="I195" s="48">
        <v>7239.9581411321742</v>
      </c>
      <c r="J195" s="48">
        <v>2.3921665321151466</v>
      </c>
      <c r="K195" s="48">
        <v>14.236091960702645</v>
      </c>
      <c r="L195" s="49">
        <v>1.5582502221622032</v>
      </c>
      <c r="M195" s="48">
        <v>6.1283392645070141</v>
      </c>
      <c r="N195" s="48">
        <v>0.33732671119716895</v>
      </c>
      <c r="O195" s="48">
        <v>71.859248898039226</v>
      </c>
      <c r="P195" s="48">
        <v>52.428494062156126</v>
      </c>
      <c r="Q195" s="48">
        <v>47.508291112415982</v>
      </c>
      <c r="R195" s="48">
        <v>38.082860188836861</v>
      </c>
      <c r="S195" s="48">
        <v>15.690560560361458</v>
      </c>
      <c r="T195" s="48">
        <v>4.3827938536296909</v>
      </c>
      <c r="U195" s="48">
        <v>1.0672463474886635</v>
      </c>
      <c r="V195" s="48">
        <v>0.8971756926203025</v>
      </c>
      <c r="W195" s="48">
        <v>8.5134238095779082</v>
      </c>
      <c r="X195" s="48">
        <v>29.241333597381963</v>
      </c>
      <c r="Y195" s="48">
        <v>46.25334995937213</v>
      </c>
      <c r="Z195" s="48">
        <v>83.745011614233661</v>
      </c>
      <c r="AA195" s="48"/>
      <c r="AB195" s="48">
        <v>45.6768789237357</v>
      </c>
      <c r="AC195" s="48">
        <v>34.220238323657838</v>
      </c>
      <c r="AD195" s="48">
        <v>26.507341371003431</v>
      </c>
      <c r="AE195" s="48">
        <v>22.732668803981795</v>
      </c>
      <c r="AF195" s="48">
        <v>8.9307258934290523</v>
      </c>
      <c r="AG195" s="48">
        <v>2.2170803569335957</v>
      </c>
      <c r="AH195" s="48">
        <v>0.59714545959067411</v>
      </c>
      <c r="AI195" s="48">
        <v>0.39928989269871978</v>
      </c>
      <c r="AJ195" s="48">
        <v>4.8888586925340389</v>
      </c>
      <c r="AK195" s="48">
        <v>15.076049735370399</v>
      </c>
      <c r="AL195" s="48">
        <v>30.262503856674545</v>
      </c>
      <c r="AM195" s="38">
        <v>53.905657537020801</v>
      </c>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row>
    <row r="196" spans="1:131">
      <c r="A196" s="27" t="s">
        <v>224</v>
      </c>
      <c r="B196" s="27"/>
      <c r="C196" s="48">
        <v>3879.632460283558</v>
      </c>
      <c r="D196" s="48">
        <v>2730.3075374938753</v>
      </c>
      <c r="E196" s="48">
        <v>546.06150749877509</v>
      </c>
      <c r="F196" s="48">
        <v>3276.3690449926503</v>
      </c>
      <c r="G196" s="48">
        <v>2366.5034357123791</v>
      </c>
      <c r="H196" s="48">
        <v>3608.8934180164606</v>
      </c>
      <c r="I196" s="48">
        <v>7397.8638770431089</v>
      </c>
      <c r="J196" s="48">
        <v>3.0918749217040449</v>
      </c>
      <c r="K196" s="48">
        <v>15.194120042811599</v>
      </c>
      <c r="L196" s="49">
        <v>1.5249897226242943</v>
      </c>
      <c r="M196" s="48">
        <v>36.856743485918614</v>
      </c>
      <c r="N196" s="48">
        <v>2.0287329941976973</v>
      </c>
      <c r="O196" s="48">
        <v>432.17220676160969</v>
      </c>
      <c r="P196" s="48">
        <v>315.31275825300509</v>
      </c>
      <c r="Q196" s="48">
        <v>285.72192618737517</v>
      </c>
      <c r="R196" s="48">
        <v>229.03598325883095</v>
      </c>
      <c r="S196" s="48">
        <v>94.365364051044509</v>
      </c>
      <c r="T196" s="48">
        <v>26.358773860716578</v>
      </c>
      <c r="U196" s="48">
        <v>6.4185782098402768</v>
      </c>
      <c r="V196" s="48">
        <v>5.3957480056985627</v>
      </c>
      <c r="W196" s="48">
        <v>51.200996549554915</v>
      </c>
      <c r="X196" s="48">
        <v>175.86172779740517</v>
      </c>
      <c r="Y196" s="48">
        <v>278.17452351083932</v>
      </c>
      <c r="Z196" s="48">
        <v>503.65495088813196</v>
      </c>
      <c r="AA196" s="48"/>
      <c r="AB196" s="48">
        <v>274.70754099396601</v>
      </c>
      <c r="AC196" s="48">
        <v>205.80560107478323</v>
      </c>
      <c r="AD196" s="48">
        <v>159.41909206349149</v>
      </c>
      <c r="AE196" s="48">
        <v>136.7176500346873</v>
      </c>
      <c r="AF196" s="48">
        <v>53.71071332547141</v>
      </c>
      <c r="AG196" s="48">
        <v>13.333850897653262</v>
      </c>
      <c r="AH196" s="48">
        <v>3.5913215763659205</v>
      </c>
      <c r="AI196" s="48">
        <v>2.4013887803094009</v>
      </c>
      <c r="AJ196" s="48">
        <v>29.402323042591181</v>
      </c>
      <c r="AK196" s="48">
        <v>90.669604585313024</v>
      </c>
      <c r="AL196" s="48">
        <v>182.00319756233395</v>
      </c>
      <c r="AM196" s="38">
        <v>324.19663901253989</v>
      </c>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row>
    <row r="197" spans="1:131">
      <c r="A197" s="27" t="s">
        <v>237</v>
      </c>
      <c r="B197" s="27"/>
      <c r="C197" s="48">
        <v>4704.3999020605224</v>
      </c>
      <c r="D197" s="48">
        <v>3567.2363679851774</v>
      </c>
      <c r="E197" s="48">
        <v>713.44727359703552</v>
      </c>
      <c r="F197" s="48">
        <v>4280.6836415822127</v>
      </c>
      <c r="G197" s="48">
        <v>3091.9143740795562</v>
      </c>
      <c r="H197" s="48">
        <v>4376.1046996247242</v>
      </c>
      <c r="I197" s="48">
        <v>7971.0036308426397</v>
      </c>
      <c r="J197" s="48">
        <v>5.6315590682422743</v>
      </c>
      <c r="K197" s="48">
        <v>18.671409679856037</v>
      </c>
      <c r="L197" s="49">
        <v>1.4153382565542305</v>
      </c>
      <c r="M197" s="48">
        <v>44.692084165300656</v>
      </c>
      <c r="N197" s="48">
        <v>2.4600194469228249</v>
      </c>
      <c r="O197" s="48">
        <v>524.04729261750697</v>
      </c>
      <c r="P197" s="48">
        <v>382.34480307844763</v>
      </c>
      <c r="Q197" s="48">
        <v>346.46328365707842</v>
      </c>
      <c r="R197" s="48">
        <v>277.72652905693752</v>
      </c>
      <c r="S197" s="48">
        <v>114.42640867253512</v>
      </c>
      <c r="T197" s="48">
        <v>31.962360980897486</v>
      </c>
      <c r="U197" s="48">
        <v>7.7830977575472282</v>
      </c>
      <c r="V197" s="48">
        <v>6.5428250354664534</v>
      </c>
      <c r="W197" s="48">
        <v>62.085768592502795</v>
      </c>
      <c r="X197" s="48">
        <v>213.24800828319673</v>
      </c>
      <c r="Y197" s="48">
        <v>337.31138569360184</v>
      </c>
      <c r="Z197" s="48">
        <v>610.72648656446404</v>
      </c>
      <c r="AA197" s="48"/>
      <c r="AB197" s="48">
        <v>333.10736060107229</v>
      </c>
      <c r="AC197" s="48">
        <v>249.55762161783565</v>
      </c>
      <c r="AD197" s="48">
        <v>193.30984797339596</v>
      </c>
      <c r="AE197" s="48">
        <v>165.7823275831955</v>
      </c>
      <c r="AF197" s="48">
        <v>65.12902371413827</v>
      </c>
      <c r="AG197" s="48">
        <v>16.168481808306371</v>
      </c>
      <c r="AH197" s="48">
        <v>4.354797276566976</v>
      </c>
      <c r="AI197" s="48">
        <v>2.9118977786032572</v>
      </c>
      <c r="AJ197" s="48">
        <v>35.652935441159826</v>
      </c>
      <c r="AK197" s="48">
        <v>109.9449711532306</v>
      </c>
      <c r="AL197" s="48">
        <v>220.69508737030358</v>
      </c>
      <c r="AM197" s="38">
        <v>393.11729975253155</v>
      </c>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row>
    <row r="198" spans="1:131">
      <c r="A198" s="27" t="s">
        <v>226</v>
      </c>
      <c r="B198" s="27"/>
      <c r="C198" s="48">
        <v>4219.451076731496</v>
      </c>
      <c r="D198" s="48">
        <v>3567.2363679851778</v>
      </c>
      <c r="E198" s="48">
        <v>713.44727359703563</v>
      </c>
      <c r="F198" s="48">
        <v>4280.6836415822136</v>
      </c>
      <c r="G198" s="48">
        <v>3091.9143740795566</v>
      </c>
      <c r="H198" s="48">
        <v>3924.9978894510573</v>
      </c>
      <c r="I198" s="48">
        <v>8887.1248933422394</v>
      </c>
      <c r="J198" s="48">
        <v>9.6910552578760143</v>
      </c>
      <c r="K198" s="48">
        <v>24.229598500728116</v>
      </c>
      <c r="L198" s="49">
        <v>1.2694393875702021</v>
      </c>
      <c r="M198" s="48">
        <v>40.085040935838961</v>
      </c>
      <c r="N198" s="48">
        <v>2.2064305586675435</v>
      </c>
      <c r="O198" s="48">
        <v>470.02634961468004</v>
      </c>
      <c r="P198" s="48">
        <v>342.93113353850521</v>
      </c>
      <c r="Q198" s="48">
        <v>310.74842821812098</v>
      </c>
      <c r="R198" s="48">
        <v>249.09734003542636</v>
      </c>
      <c r="S198" s="48">
        <v>102.63086543054585</v>
      </c>
      <c r="T198" s="48">
        <v>28.667549796661323</v>
      </c>
      <c r="U198" s="48">
        <v>6.9807841376335986</v>
      </c>
      <c r="V198" s="48">
        <v>5.8683638116463746</v>
      </c>
      <c r="W198" s="48">
        <v>55.685713075241921</v>
      </c>
      <c r="X198" s="48">
        <v>191.26552948172511</v>
      </c>
      <c r="Y198" s="48">
        <v>302.53994541052327</v>
      </c>
      <c r="Z198" s="48">
        <v>547.77029694992109</v>
      </c>
      <c r="AA198" s="48"/>
      <c r="AB198" s="48">
        <v>298.76928845691043</v>
      </c>
      <c r="AC198" s="48">
        <v>223.83219904003417</v>
      </c>
      <c r="AD198" s="48">
        <v>173.38267646355672</v>
      </c>
      <c r="AE198" s="48">
        <v>148.69280571100751</v>
      </c>
      <c r="AF198" s="48">
        <v>58.415256984578626</v>
      </c>
      <c r="AG198" s="48">
        <v>14.501768428591864</v>
      </c>
      <c r="AH198" s="48">
        <v>3.9058869229016326</v>
      </c>
      <c r="AI198" s="48">
        <v>2.6117274196604852</v>
      </c>
      <c r="AJ198" s="48">
        <v>31.977684713824956</v>
      </c>
      <c r="AK198" s="48">
        <v>98.611392860228833</v>
      </c>
      <c r="AL198" s="48">
        <v>197.94493313081426</v>
      </c>
      <c r="AM198" s="38">
        <v>352.59315709875597</v>
      </c>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row>
    <row r="199" spans="1:131">
      <c r="A199" s="27" t="s">
        <v>217</v>
      </c>
      <c r="B199" s="27"/>
      <c r="C199" s="48">
        <v>261.56665528837181</v>
      </c>
      <c r="D199" s="48">
        <v>262.65009234084522</v>
      </c>
      <c r="E199" s="48">
        <v>52.530018468169047</v>
      </c>
      <c r="F199" s="48">
        <v>315.18011080901425</v>
      </c>
      <c r="G199" s="48">
        <v>227.65286964167791</v>
      </c>
      <c r="H199" s="48">
        <v>243.31330101661027</v>
      </c>
      <c r="I199" s="48">
        <v>10555.541827925445</v>
      </c>
      <c r="J199" s="48">
        <v>17.084107319762779</v>
      </c>
      <c r="K199" s="48">
        <v>34.352031778886101</v>
      </c>
      <c r="L199" s="49">
        <v>1.0687908366785872</v>
      </c>
      <c r="M199" s="48">
        <v>2.484899076684342</v>
      </c>
      <c r="N199" s="48">
        <v>0.13677813792873331</v>
      </c>
      <c r="O199" s="48">
        <v>29.137254569461664</v>
      </c>
      <c r="P199" s="48">
        <v>21.258535284025708</v>
      </c>
      <c r="Q199" s="48">
        <v>19.263507391604939</v>
      </c>
      <c r="R199" s="48">
        <v>15.441714310565725</v>
      </c>
      <c r="S199" s="48">
        <v>6.3621574730553805</v>
      </c>
      <c r="T199" s="48">
        <v>1.7771209996903368</v>
      </c>
      <c r="U199" s="48">
        <v>0.43274357848115286</v>
      </c>
      <c r="V199" s="48">
        <v>0.3637838823851684</v>
      </c>
      <c r="W199" s="48">
        <v>3.4519954021417028</v>
      </c>
      <c r="X199" s="48">
        <v>11.856680859361429</v>
      </c>
      <c r="Y199" s="48">
        <v>18.754657933717965</v>
      </c>
      <c r="Z199" s="48">
        <v>33.956654985201652</v>
      </c>
      <c r="AA199" s="48"/>
      <c r="AB199" s="48">
        <v>18.520912332771132</v>
      </c>
      <c r="AC199" s="48">
        <v>13.875510957243993</v>
      </c>
      <c r="AD199" s="48">
        <v>10.748110581874236</v>
      </c>
      <c r="AE199" s="48">
        <v>9.2175686239736176</v>
      </c>
      <c r="AF199" s="48">
        <v>3.6212016941082394</v>
      </c>
      <c r="AG199" s="48">
        <v>0.89897453357169455</v>
      </c>
      <c r="AH199" s="48">
        <v>0.24212859914218246</v>
      </c>
      <c r="AI199" s="48">
        <v>0.16190276727054803</v>
      </c>
      <c r="AJ199" s="48">
        <v>1.982318524934884</v>
      </c>
      <c r="AK199" s="48">
        <v>6.1129876220197827</v>
      </c>
      <c r="AL199" s="48">
        <v>12.270741655432218</v>
      </c>
      <c r="AM199" s="38">
        <v>21.857490726336447</v>
      </c>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row>
    <row r="200" spans="1:131">
      <c r="A200" s="27" t="s">
        <v>1207</v>
      </c>
      <c r="B200" s="27"/>
      <c r="C200" s="48">
        <v>192.05259822441437</v>
      </c>
      <c r="D200" s="48">
        <v>196.91489394951594</v>
      </c>
      <c r="E200" s="48">
        <v>39.382978789903191</v>
      </c>
      <c r="F200" s="48">
        <v>236.29787273941912</v>
      </c>
      <c r="G200" s="48">
        <v>170.67666066006808</v>
      </c>
      <c r="H200" s="48">
        <v>178.65026255461106</v>
      </c>
      <c r="I200" s="48">
        <v>10778.137782747113</v>
      </c>
      <c r="J200" s="48">
        <v>18.070469570499039</v>
      </c>
      <c r="K200" s="48">
        <v>35.702541147357046</v>
      </c>
      <c r="L200" s="49">
        <v>1.0467175878863941</v>
      </c>
      <c r="M200" s="48">
        <v>1.8245113218905495</v>
      </c>
      <c r="N200" s="48">
        <v>0.10042792626051654</v>
      </c>
      <c r="O200" s="48">
        <v>21.39372634872727</v>
      </c>
      <c r="P200" s="48">
        <v>15.608858595685186</v>
      </c>
      <c r="Q200" s="48">
        <v>14.144030099686063</v>
      </c>
      <c r="R200" s="48">
        <v>11.337918249226886</v>
      </c>
      <c r="S200" s="48">
        <v>4.6713480036898254</v>
      </c>
      <c r="T200" s="48">
        <v>1.3048326246838342</v>
      </c>
      <c r="U200" s="48">
        <v>0.31773747506389777</v>
      </c>
      <c r="V200" s="48">
        <v>0.2671045348926871</v>
      </c>
      <c r="W200" s="48">
        <v>2.5345917479777436</v>
      </c>
      <c r="X200" s="48">
        <v>8.7056446963684344</v>
      </c>
      <c r="Y200" s="48">
        <v>13.770412673624866</v>
      </c>
      <c r="Z200" s="48">
        <v>24.932321016714507</v>
      </c>
      <c r="AA200" s="48"/>
      <c r="AB200" s="48">
        <v>13.59878739541089</v>
      </c>
      <c r="AC200" s="48">
        <v>10.187949714355305</v>
      </c>
      <c r="AD200" s="48">
        <v>7.8916884913198464</v>
      </c>
      <c r="AE200" s="48">
        <v>6.7679039654129491</v>
      </c>
      <c r="AF200" s="48">
        <v>2.658829709319817</v>
      </c>
      <c r="AG200" s="48">
        <v>0.66006270837420578</v>
      </c>
      <c r="AH200" s="48">
        <v>0.17778040751573243</v>
      </c>
      <c r="AI200" s="48">
        <v>0.11887542423842637</v>
      </c>
      <c r="AJ200" s="48">
        <v>1.4554967750090653</v>
      </c>
      <c r="AK200" s="48">
        <v>4.4883976301499757</v>
      </c>
      <c r="AL200" s="48">
        <v>9.0096645326147407</v>
      </c>
      <c r="AM200" s="38">
        <v>16.048635404352222</v>
      </c>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row>
    <row r="201" spans="1:131">
      <c r="A201" s="27" t="s">
        <v>234</v>
      </c>
      <c r="B201" s="27"/>
      <c r="C201" s="48">
        <v>325.2989796945879</v>
      </c>
      <c r="D201" s="48">
        <v>337.57430889025602</v>
      </c>
      <c r="E201" s="48">
        <v>67.514861778051213</v>
      </c>
      <c r="F201" s="48">
        <v>405.08917066830725</v>
      </c>
      <c r="G201" s="48">
        <v>292.5936916726601</v>
      </c>
      <c r="H201" s="48">
        <v>302.59808338170905</v>
      </c>
      <c r="I201" s="48">
        <v>10908.675884523256</v>
      </c>
      <c r="J201" s="48">
        <v>18.648907107595836</v>
      </c>
      <c r="K201" s="48">
        <v>36.494527369803585</v>
      </c>
      <c r="L201" s="49">
        <v>1.0341920963909277</v>
      </c>
      <c r="M201" s="48">
        <v>3.0903600208454214</v>
      </c>
      <c r="N201" s="48">
        <v>0.17010497253057383</v>
      </c>
      <c r="O201" s="48">
        <v>36.236725862850136</v>
      </c>
      <c r="P201" s="48">
        <v>26.438308163060373</v>
      </c>
      <c r="Q201" s="48">
        <v>23.957179453625933</v>
      </c>
      <c r="R201" s="48">
        <v>19.204182981291716</v>
      </c>
      <c r="S201" s="48">
        <v>7.912336273748342</v>
      </c>
      <c r="T201" s="48">
        <v>2.2101274619876685</v>
      </c>
      <c r="U201" s="48">
        <v>0.53818421309897735</v>
      </c>
      <c r="V201" s="48">
        <v>0.45242206289163839</v>
      </c>
      <c r="W201" s="48">
        <v>4.2930953144203219</v>
      </c>
      <c r="X201" s="48">
        <v>14.74563407886375</v>
      </c>
      <c r="Y201" s="48">
        <v>23.324345695491569</v>
      </c>
      <c r="Z201" s="48">
        <v>42.230402833072063</v>
      </c>
      <c r="AA201" s="48"/>
      <c r="AB201" s="48">
        <v>23.033646541150688</v>
      </c>
      <c r="AC201" s="48">
        <v>17.256364547523447</v>
      </c>
      <c r="AD201" s="48">
        <v>13.366953834668413</v>
      </c>
      <c r="AE201" s="48">
        <v>11.463485914661861</v>
      </c>
      <c r="AF201" s="48">
        <v>4.5035297601792266</v>
      </c>
      <c r="AG201" s="48">
        <v>1.1180152080925079</v>
      </c>
      <c r="AH201" s="48">
        <v>0.3011247216087079</v>
      </c>
      <c r="AI201" s="48">
        <v>0.20135137234818995</v>
      </c>
      <c r="AJ201" s="48">
        <v>2.4653226263877892</v>
      </c>
      <c r="AK201" s="48">
        <v>7.6024546559130286</v>
      </c>
      <c r="AL201" s="48">
        <v>15.260583334703947</v>
      </c>
      <c r="AM201" s="38">
        <v>27.183202782947596</v>
      </c>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row>
    <row r="202" spans="1:131">
      <c r="A202" s="27" t="s">
        <v>228</v>
      </c>
      <c r="B202" s="27"/>
      <c r="C202" s="48">
        <v>253.0973747146395</v>
      </c>
      <c r="D202" s="48">
        <v>262.65009234084528</v>
      </c>
      <c r="E202" s="48">
        <v>52.530018468169061</v>
      </c>
      <c r="F202" s="48">
        <v>315.18011080901431</v>
      </c>
      <c r="G202" s="48">
        <v>227.652869641678</v>
      </c>
      <c r="H202" s="48">
        <v>235.43504676681391</v>
      </c>
      <c r="I202" s="48">
        <v>10908.757049731923</v>
      </c>
      <c r="J202" s="48">
        <v>18.649266765065647</v>
      </c>
      <c r="K202" s="48">
        <v>36.495019806311646</v>
      </c>
      <c r="L202" s="49">
        <v>1.0341844016171855</v>
      </c>
      <c r="M202" s="48">
        <v>2.4044403979791187</v>
      </c>
      <c r="N202" s="48">
        <v>0.13234939136241747</v>
      </c>
      <c r="O202" s="48">
        <v>28.193817861808796</v>
      </c>
      <c r="P202" s="48">
        <v>20.570204045059082</v>
      </c>
      <c r="Q202" s="48">
        <v>18.639773266344207</v>
      </c>
      <c r="R202" s="48">
        <v>14.941726225725874</v>
      </c>
      <c r="S202" s="48">
        <v>6.1561568395489079</v>
      </c>
      <c r="T202" s="48">
        <v>1.71957950479583</v>
      </c>
      <c r="U202" s="48">
        <v>0.41873175125265083</v>
      </c>
      <c r="V202" s="48">
        <v>0.35200490480591662</v>
      </c>
      <c r="W202" s="48">
        <v>3.3402230603355965</v>
      </c>
      <c r="X202" s="48">
        <v>11.472772762358678</v>
      </c>
      <c r="Y202" s="48">
        <v>18.14739987198255</v>
      </c>
      <c r="Z202" s="48">
        <v>32.857170656444083</v>
      </c>
      <c r="AA202" s="48"/>
      <c r="AB202" s="48">
        <v>17.921222732218634</v>
      </c>
      <c r="AC202" s="48">
        <v>13.426235053665085</v>
      </c>
      <c r="AD202" s="48">
        <v>10.400096940551963</v>
      </c>
      <c r="AE202" s="48">
        <v>8.9191124817027401</v>
      </c>
      <c r="AF202" s="48">
        <v>3.5039506128201241</v>
      </c>
      <c r="AG202" s="48">
        <v>0.86986658957529761</v>
      </c>
      <c r="AH202" s="48">
        <v>0.23428870441707272</v>
      </c>
      <c r="AI202" s="48">
        <v>0.15666050900117409</v>
      </c>
      <c r="AJ202" s="48">
        <v>1.9181329285113975</v>
      </c>
      <c r="AK202" s="48">
        <v>5.9150548723061007</v>
      </c>
      <c r="AL202" s="48">
        <v>11.873426662001327</v>
      </c>
      <c r="AM202" s="38">
        <v>21.149765877406423</v>
      </c>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row>
    <row r="203" spans="1:131">
      <c r="A203" s="27" t="s">
        <v>1205</v>
      </c>
      <c r="B203" s="27"/>
      <c r="C203" s="48">
        <v>185.72248912736737</v>
      </c>
      <c r="D203" s="48">
        <v>196.91489394951594</v>
      </c>
      <c r="E203" s="48">
        <v>39.382978789903191</v>
      </c>
      <c r="F203" s="48">
        <v>236.29787273941912</v>
      </c>
      <c r="G203" s="48">
        <v>170.67666066006808</v>
      </c>
      <c r="H203" s="48">
        <v>172.76189831147099</v>
      </c>
      <c r="I203" s="48">
        <v>11145.4965681498</v>
      </c>
      <c r="J203" s="48">
        <v>19.698301660654625</v>
      </c>
      <c r="K203" s="48">
        <v>37.93133942751404</v>
      </c>
      <c r="L203" s="49">
        <v>1.012217473926069</v>
      </c>
      <c r="M203" s="48">
        <v>1.7643749018517556</v>
      </c>
      <c r="N203" s="48">
        <v>9.7117792810114484E-2</v>
      </c>
      <c r="O203" s="48">
        <v>20.688582950346539</v>
      </c>
      <c r="P203" s="48">
        <v>15.094386108957295</v>
      </c>
      <c r="Q203" s="48">
        <v>13.677838783188959</v>
      </c>
      <c r="R203" s="48">
        <v>10.964217189649746</v>
      </c>
      <c r="S203" s="48">
        <v>4.5173790245298742</v>
      </c>
      <c r="T203" s="48">
        <v>1.2618249645740589</v>
      </c>
      <c r="U203" s="48">
        <v>0.30726475613184512</v>
      </c>
      <c r="V203" s="48">
        <v>0.25830069229009445</v>
      </c>
      <c r="W203" s="48">
        <v>2.4510508720431914</v>
      </c>
      <c r="X203" s="48">
        <v>8.4187041332225654</v>
      </c>
      <c r="Y203" s="48">
        <v>13.316535895381294</v>
      </c>
      <c r="Z203" s="48">
        <v>24.110544516226955</v>
      </c>
      <c r="AA203" s="48"/>
      <c r="AB203" s="48">
        <v>13.150567435897967</v>
      </c>
      <c r="AC203" s="48">
        <v>9.8521519497671886</v>
      </c>
      <c r="AD203" s="48">
        <v>7.6315761597408072</v>
      </c>
      <c r="AE203" s="48">
        <v>6.5448318963262269</v>
      </c>
      <c r="AF203" s="48">
        <v>2.5711939143028837</v>
      </c>
      <c r="AG203" s="48">
        <v>0.63830685089802253</v>
      </c>
      <c r="AH203" s="48">
        <v>0.17192071394586433</v>
      </c>
      <c r="AI203" s="48">
        <v>0.11495725592753639</v>
      </c>
      <c r="AJ203" s="48">
        <v>1.4075231809968589</v>
      </c>
      <c r="AK203" s="48">
        <v>4.3404587481329928</v>
      </c>
      <c r="AL203" s="48">
        <v>8.7127033878735265</v>
      </c>
      <c r="AM203" s="38">
        <v>15.519667747015076</v>
      </c>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row>
    <row r="204" spans="1:131">
      <c r="A204" s="27" t="s">
        <v>218</v>
      </c>
      <c r="B204" s="27"/>
      <c r="C204" s="48">
        <v>277.68551540849614</v>
      </c>
      <c r="D204" s="48">
        <v>297.93884832438431</v>
      </c>
      <c r="E204" s="48">
        <v>59.587769664876866</v>
      </c>
      <c r="F204" s="48">
        <v>357.52661798926118</v>
      </c>
      <c r="G204" s="48">
        <v>258.23952009414489</v>
      </c>
      <c r="H204" s="48">
        <v>258.30731109074827</v>
      </c>
      <c r="I204" s="48">
        <v>11278.705585268357</v>
      </c>
      <c r="J204" s="48">
        <v>20.288574498490732</v>
      </c>
      <c r="K204" s="48">
        <v>38.739530329848918</v>
      </c>
      <c r="L204" s="49">
        <v>1.0002625120917923</v>
      </c>
      <c r="M204" s="48">
        <v>2.6380292246595975</v>
      </c>
      <c r="N204" s="48">
        <v>0.14520699393231559</v>
      </c>
      <c r="O204" s="48">
        <v>30.932817272864423</v>
      </c>
      <c r="P204" s="48">
        <v>22.568577484260135</v>
      </c>
      <c r="Q204" s="48">
        <v>20.450607409097366</v>
      </c>
      <c r="R204" s="48">
        <v>16.393299032679945</v>
      </c>
      <c r="S204" s="48">
        <v>6.7542209272342912</v>
      </c>
      <c r="T204" s="48">
        <v>1.8866348242983069</v>
      </c>
      <c r="U204" s="48">
        <v>0.45941109541571629</v>
      </c>
      <c r="V204" s="48">
        <v>0.38620180682457222</v>
      </c>
      <c r="W204" s="48">
        <v>3.6647221771241258</v>
      </c>
      <c r="X204" s="48">
        <v>12.58734043082057</v>
      </c>
      <c r="Y204" s="48">
        <v>19.910400463288855</v>
      </c>
      <c r="Z204" s="48">
        <v>36.049209830353284</v>
      </c>
      <c r="AA204" s="48"/>
      <c r="AB204" s="48">
        <v>19.662250455017237</v>
      </c>
      <c r="AC204" s="48">
        <v>14.730579505520879</v>
      </c>
      <c r="AD204" s="48">
        <v>11.410455294100103</v>
      </c>
      <c r="AE204" s="48">
        <v>9.7855947706308637</v>
      </c>
      <c r="AF204" s="48">
        <v>3.8443556871496565</v>
      </c>
      <c r="AG204" s="48">
        <v>0.95437320333799469</v>
      </c>
      <c r="AH204" s="48">
        <v>0.25704960280127542</v>
      </c>
      <c r="AI204" s="48">
        <v>0.17187991078610007</v>
      </c>
      <c r="AJ204" s="48">
        <v>2.1044775018951904</v>
      </c>
      <c r="AK204" s="48">
        <v>6.4896961603721053</v>
      </c>
      <c r="AL204" s="48">
        <v>13.02691743057464</v>
      </c>
      <c r="AM204" s="38">
        <v>23.204443132048517</v>
      </c>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row>
    <row r="205" spans="1:131">
      <c r="A205" s="27" t="s">
        <v>229</v>
      </c>
      <c r="B205" s="27"/>
      <c r="C205" s="48">
        <v>268.72982198388451</v>
      </c>
      <c r="D205" s="48">
        <v>297.93884832438431</v>
      </c>
      <c r="E205" s="48">
        <v>59.587769664876866</v>
      </c>
      <c r="F205" s="48">
        <v>357.52661798926118</v>
      </c>
      <c r="G205" s="48">
        <v>258.23952009414489</v>
      </c>
      <c r="H205" s="48">
        <v>249.97658817183242</v>
      </c>
      <c r="I205" s="48">
        <v>11654.579869344561</v>
      </c>
      <c r="J205" s="48">
        <v>21.954140277223352</v>
      </c>
      <c r="K205" s="48">
        <v>41.01999289449391</v>
      </c>
      <c r="L205" s="50">
        <v>0.96800283736857895</v>
      </c>
      <c r="M205" s="48">
        <v>2.552949594393461</v>
      </c>
      <c r="N205" s="48">
        <v>0.1405238929111686</v>
      </c>
      <c r="O205" s="48">
        <v>29.935196536875438</v>
      </c>
      <c r="P205" s="48">
        <v>21.840713588726022</v>
      </c>
      <c r="Q205" s="48">
        <v>19.791050607823301</v>
      </c>
      <c r="R205" s="48">
        <v>15.864595329360416</v>
      </c>
      <c r="S205" s="48">
        <v>6.5363891405909618</v>
      </c>
      <c r="T205" s="48">
        <v>1.8257885714220765</v>
      </c>
      <c r="U205" s="48">
        <v>0.44459453244030989</v>
      </c>
      <c r="V205" s="48">
        <v>0.37374633187167833</v>
      </c>
      <c r="W205" s="48">
        <v>3.5465304584944448</v>
      </c>
      <c r="X205" s="48">
        <v>12.181383491497263</v>
      </c>
      <c r="Y205" s="48">
        <v>19.268265988798348</v>
      </c>
      <c r="Z205" s="48">
        <v>34.886579251782379</v>
      </c>
      <c r="AA205" s="48"/>
      <c r="AB205" s="48">
        <v>19.028119118155733</v>
      </c>
      <c r="AC205" s="48">
        <v>14.255500516167602</v>
      </c>
      <c r="AD205" s="48">
        <v>11.04245432257348</v>
      </c>
      <c r="AE205" s="48">
        <v>9.4699975144530164</v>
      </c>
      <c r="AF205" s="48">
        <v>3.7203705707541288</v>
      </c>
      <c r="AG205" s="48">
        <v>0.92359351427432046</v>
      </c>
      <c r="AH205" s="48">
        <v>0.24875944249449844</v>
      </c>
      <c r="AI205" s="48">
        <v>0.1663365759651049</v>
      </c>
      <c r="AJ205" s="48">
        <v>2.036605559427322</v>
      </c>
      <c r="AK205" s="48">
        <v>6.2803956171094386</v>
      </c>
      <c r="AL205" s="48">
        <v>12.606783601828358</v>
      </c>
      <c r="AM205" s="38">
        <v>22.456071800998878</v>
      </c>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row>
    <row r="206" spans="1:131">
      <c r="A206" s="27" t="s">
        <v>236</v>
      </c>
      <c r="B206" s="27"/>
      <c r="C206" s="48">
        <v>2401.6643306206706</v>
      </c>
      <c r="D206" s="48">
        <v>2730.3075374938753</v>
      </c>
      <c r="E206" s="48">
        <v>546.06150749877509</v>
      </c>
      <c r="F206" s="48">
        <v>3276.3690449926503</v>
      </c>
      <c r="G206" s="48">
        <v>2366.5034357123791</v>
      </c>
      <c r="H206" s="48">
        <v>2234.0648718122029</v>
      </c>
      <c r="I206" s="48">
        <v>11950.459715874749</v>
      </c>
      <c r="J206" s="48">
        <v>23.265236481127097</v>
      </c>
      <c r="K206" s="48">
        <v>42.81512212314901</v>
      </c>
      <c r="L206" s="50">
        <v>0.94403618355182795</v>
      </c>
      <c r="M206" s="48">
        <v>22.815956686396252</v>
      </c>
      <c r="N206" s="48">
        <v>1.2558755805857362</v>
      </c>
      <c r="O206" s="48">
        <v>267.53373787091107</v>
      </c>
      <c r="P206" s="48">
        <v>195.19256327454079</v>
      </c>
      <c r="Q206" s="48">
        <v>176.8745275809701</v>
      </c>
      <c r="R206" s="48">
        <v>141.78341815945203</v>
      </c>
      <c r="S206" s="48">
        <v>58.416340003213413</v>
      </c>
      <c r="T206" s="48">
        <v>16.317248509554076</v>
      </c>
      <c r="U206" s="48">
        <v>3.9733842052516963</v>
      </c>
      <c r="V206" s="48">
        <v>3.3402070054225481</v>
      </c>
      <c r="W206" s="48">
        <v>31.695684672230652</v>
      </c>
      <c r="X206" s="48">
        <v>108.86619882066864</v>
      </c>
      <c r="Y206" s="48">
        <v>172.20235103264253</v>
      </c>
      <c r="Z206" s="48">
        <v>311.78472261780257</v>
      </c>
      <c r="AA206" s="48"/>
      <c r="AB206" s="48">
        <v>170.05613529419304</v>
      </c>
      <c r="AC206" s="48">
        <v>127.40278266130599</v>
      </c>
      <c r="AD206" s="48">
        <v>98.68747901981331</v>
      </c>
      <c r="AE206" s="48">
        <v>84.634280905720018</v>
      </c>
      <c r="AF206" s="48">
        <v>33.249310517560964</v>
      </c>
      <c r="AG206" s="48">
        <v>8.2542442920914443</v>
      </c>
      <c r="AH206" s="48">
        <v>2.2231871235338687</v>
      </c>
      <c r="AI206" s="48">
        <v>1.4865660179573397</v>
      </c>
      <c r="AJ206" s="48">
        <v>18.201340258818313</v>
      </c>
      <c r="AK206" s="48">
        <v>56.128501200371694</v>
      </c>
      <c r="AL206" s="48">
        <v>112.66804062475973</v>
      </c>
      <c r="AM206" s="38">
        <v>200.69207895188475</v>
      </c>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row>
    <row r="207" spans="1:131">
      <c r="A207" s="27" t="s">
        <v>223</v>
      </c>
      <c r="B207" s="27"/>
      <c r="C207" s="48">
        <v>296.63107397054569</v>
      </c>
      <c r="D207" s="48">
        <v>337.57430889025602</v>
      </c>
      <c r="E207" s="48">
        <v>67.514861778051213</v>
      </c>
      <c r="F207" s="48">
        <v>405.08917066830725</v>
      </c>
      <c r="G207" s="48">
        <v>292.5936916726601</v>
      </c>
      <c r="H207" s="48">
        <v>275.93075926403969</v>
      </c>
      <c r="I207" s="48">
        <v>11962.944702842331</v>
      </c>
      <c r="J207" s="48">
        <v>23.320559678063109</v>
      </c>
      <c r="K207" s="48">
        <v>42.890869644609893</v>
      </c>
      <c r="L207" s="50">
        <v>0.94305095125816285</v>
      </c>
      <c r="M207" s="48">
        <v>2.818013179136535</v>
      </c>
      <c r="N207" s="48">
        <v>0.15511398387061642</v>
      </c>
      <c r="O207" s="48">
        <v>33.043260449096074</v>
      </c>
      <c r="P207" s="48">
        <v>24.108356416413688</v>
      </c>
      <c r="Q207" s="48">
        <v>21.845884291755695</v>
      </c>
      <c r="R207" s="48">
        <v>17.511759267784182</v>
      </c>
      <c r="S207" s="48">
        <v>7.2150389426417396</v>
      </c>
      <c r="T207" s="48">
        <v>2.0153536395248208</v>
      </c>
      <c r="U207" s="48">
        <v>0.49075518550788344</v>
      </c>
      <c r="V207" s="48">
        <v>0.41255107080112752</v>
      </c>
      <c r="W207" s="48">
        <v>3.9147539748511688</v>
      </c>
      <c r="X207" s="48">
        <v>13.446132776981484</v>
      </c>
      <c r="Y207" s="48">
        <v>21.268820823876219</v>
      </c>
      <c r="Z207" s="48">
        <v>38.50872744311701</v>
      </c>
      <c r="AA207" s="48"/>
      <c r="AB207" s="48">
        <v>21.003740366398535</v>
      </c>
      <c r="AC207" s="48">
        <v>15.735597920918694</v>
      </c>
      <c r="AD207" s="48">
        <v>12.188952684127841</v>
      </c>
      <c r="AE207" s="48">
        <v>10.453233334776872</v>
      </c>
      <c r="AF207" s="48">
        <v>4.1066432814345024</v>
      </c>
      <c r="AG207" s="48">
        <v>1.0194869107897215</v>
      </c>
      <c r="AH207" s="48">
        <v>0.27458724172370558</v>
      </c>
      <c r="AI207" s="48">
        <v>0.18360670507224625</v>
      </c>
      <c r="AJ207" s="48">
        <v>2.2480589980204693</v>
      </c>
      <c r="AK207" s="48">
        <v>6.9324665312910483</v>
      </c>
      <c r="AL207" s="48">
        <v>13.915700652489802</v>
      </c>
      <c r="AM207" s="38">
        <v>24.787605061151151</v>
      </c>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row>
    <row r="208" spans="1:131">
      <c r="A208" s="27" t="s">
        <v>233</v>
      </c>
      <c r="B208" s="27"/>
      <c r="C208" s="48">
        <v>249.66123195769964</v>
      </c>
      <c r="D208" s="48">
        <v>315.42921929554086</v>
      </c>
      <c r="E208" s="48">
        <v>63.085843859108174</v>
      </c>
      <c r="F208" s="48">
        <v>378.51506315464906</v>
      </c>
      <c r="G208" s="48">
        <v>273.39935920630529</v>
      </c>
      <c r="H208" s="48">
        <v>232.23869424996269</v>
      </c>
      <c r="I208" s="48">
        <v>13281.164749665753</v>
      </c>
      <c r="J208" s="48">
        <v>29.161827069431883</v>
      </c>
      <c r="K208" s="48">
        <v>50.888627395272962</v>
      </c>
      <c r="L208" s="50">
        <v>0.84944856829279158</v>
      </c>
      <c r="M208" s="48">
        <v>2.3717968335512962</v>
      </c>
      <c r="N208" s="48">
        <v>0.13055256749955396</v>
      </c>
      <c r="O208" s="48">
        <v>27.811048253291272</v>
      </c>
      <c r="P208" s="48">
        <v>20.290935412905561</v>
      </c>
      <c r="Q208" s="48">
        <v>18.38671287023238</v>
      </c>
      <c r="R208" s="48">
        <v>14.738871872121486</v>
      </c>
      <c r="S208" s="48">
        <v>6.0725785971485209</v>
      </c>
      <c r="T208" s="48">
        <v>1.6962338629571965</v>
      </c>
      <c r="U208" s="48">
        <v>0.41304689547020829</v>
      </c>
      <c r="V208" s="48">
        <v>0.34722595715614396</v>
      </c>
      <c r="W208" s="48">
        <v>3.2948749673801627</v>
      </c>
      <c r="X208" s="48">
        <v>11.317014192860109</v>
      </c>
      <c r="Y208" s="48">
        <v>17.901024117600624</v>
      </c>
      <c r="Z208" s="48">
        <v>32.411089660574525</v>
      </c>
      <c r="AA208" s="48"/>
      <c r="AB208" s="48">
        <v>17.677917641613689</v>
      </c>
      <c r="AC208" s="48">
        <v>13.243955563865404</v>
      </c>
      <c r="AD208" s="48">
        <v>10.258901411305397</v>
      </c>
      <c r="AE208" s="48">
        <v>8.7980233404704826</v>
      </c>
      <c r="AF208" s="48">
        <v>3.4563796945816723</v>
      </c>
      <c r="AG208" s="48">
        <v>0.85805696181980173</v>
      </c>
      <c r="AH208" s="48">
        <v>0.23110791506426645</v>
      </c>
      <c r="AI208" s="48">
        <v>0.15453362849160807</v>
      </c>
      <c r="AJ208" s="48">
        <v>1.892091652593054</v>
      </c>
      <c r="AK208" s="48">
        <v>5.8347499186127161</v>
      </c>
      <c r="AL208" s="48">
        <v>11.712228668261993</v>
      </c>
      <c r="AM208" s="38">
        <v>20.862628901321383</v>
      </c>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row>
    <row r="209" spans="1:131">
      <c r="A209" s="27" t="s">
        <v>225</v>
      </c>
      <c r="B209" s="27"/>
      <c r="C209" s="48">
        <v>2138.5339132289205</v>
      </c>
      <c r="D209" s="48">
        <v>2730.3075374938753</v>
      </c>
      <c r="E209" s="48">
        <v>546.06150749877509</v>
      </c>
      <c r="F209" s="48">
        <v>3276.3690449926503</v>
      </c>
      <c r="G209" s="48">
        <v>2366.5034357123791</v>
      </c>
      <c r="H209" s="48">
        <v>1989.2969353836063</v>
      </c>
      <c r="I209" s="48">
        <v>13420.873364033159</v>
      </c>
      <c r="J209" s="48">
        <v>29.780900778228975</v>
      </c>
      <c r="K209" s="48">
        <v>51.736251929647075</v>
      </c>
      <c r="L209" s="50">
        <v>0.84060597815476068</v>
      </c>
      <c r="M209" s="48">
        <v>20.316201774962785</v>
      </c>
      <c r="N209" s="48">
        <v>1.1182797219562208</v>
      </c>
      <c r="O209" s="48">
        <v>238.22228780071953</v>
      </c>
      <c r="P209" s="48">
        <v>173.80693498695987</v>
      </c>
      <c r="Q209" s="48">
        <v>157.49585435217566</v>
      </c>
      <c r="R209" s="48">
        <v>126.24938639495305</v>
      </c>
      <c r="S209" s="48">
        <v>52.016146715764492</v>
      </c>
      <c r="T209" s="48">
        <v>14.529503088072019</v>
      </c>
      <c r="U209" s="48">
        <v>3.5380534926889342</v>
      </c>
      <c r="V209" s="48">
        <v>2.9742482607696088</v>
      </c>
      <c r="W209" s="48">
        <v>28.22305170225771</v>
      </c>
      <c r="X209" s="48">
        <v>96.938633435986972</v>
      </c>
      <c r="Y209" s="48">
        <v>153.33556939070098</v>
      </c>
      <c r="Z209" s="48">
        <v>277.62505960711388</v>
      </c>
      <c r="AA209" s="48"/>
      <c r="AB209" s="48">
        <v>151.42449668863287</v>
      </c>
      <c r="AC209" s="48">
        <v>113.44431771217788</v>
      </c>
      <c r="AD209" s="48">
        <v>87.875111440072416</v>
      </c>
      <c r="AE209" s="48">
        <v>75.361605546204871</v>
      </c>
      <c r="AF209" s="48">
        <v>29.606459664955466</v>
      </c>
      <c r="AG209" s="48">
        <v>7.3498952878864356</v>
      </c>
      <c r="AH209" s="48">
        <v>1.9796109716557873</v>
      </c>
      <c r="AI209" s="48">
        <v>1.3236953237482045</v>
      </c>
      <c r="AJ209" s="48">
        <v>16.20717054978391</v>
      </c>
      <c r="AK209" s="48">
        <v>49.978967412437925</v>
      </c>
      <c r="AL209" s="48">
        <v>100.32393900392995</v>
      </c>
      <c r="AM209" s="38">
        <v>178.70391439927218</v>
      </c>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row>
    <row r="210" spans="1:131">
      <c r="A210" s="27" t="s">
        <v>238</v>
      </c>
      <c r="B210" s="27"/>
      <c r="C210" s="48">
        <v>2784.1219315778467</v>
      </c>
      <c r="D210" s="48">
        <v>3567.2363679851774</v>
      </c>
      <c r="E210" s="48">
        <v>713.44727359703552</v>
      </c>
      <c r="F210" s="48">
        <v>4280.6836415822127</v>
      </c>
      <c r="G210" s="48">
        <v>3091.9143740795562</v>
      </c>
      <c r="H210" s="48">
        <v>2589.8327784102007</v>
      </c>
      <c r="I210" s="48">
        <v>13468.802596231293</v>
      </c>
      <c r="J210" s="48">
        <v>29.9932837273481</v>
      </c>
      <c r="K210" s="48">
        <v>52.027042825461216</v>
      </c>
      <c r="L210" s="50">
        <v>0.83761465069069962</v>
      </c>
      <c r="M210" s="48">
        <v>26.449327073159179</v>
      </c>
      <c r="N210" s="48">
        <v>1.4558698743459266</v>
      </c>
      <c r="O210" s="48">
        <v>310.13765643548908</v>
      </c>
      <c r="P210" s="48">
        <v>226.27637399815256</v>
      </c>
      <c r="Q210" s="48">
        <v>205.0412478951155</v>
      </c>
      <c r="R210" s="48">
        <v>164.36198805925076</v>
      </c>
      <c r="S210" s="48">
        <v>67.718961093711044</v>
      </c>
      <c r="T210" s="48">
        <v>18.915719761185365</v>
      </c>
      <c r="U210" s="48">
        <v>4.6061333248711609</v>
      </c>
      <c r="V210" s="48">
        <v>3.8721246184322378</v>
      </c>
      <c r="W210" s="48">
        <v>36.743124218998489</v>
      </c>
      <c r="X210" s="48">
        <v>126.20280356406322</v>
      </c>
      <c r="Y210" s="48">
        <v>199.62504171236358</v>
      </c>
      <c r="Z210" s="48">
        <v>361.43547335226788</v>
      </c>
      <c r="AA210" s="48"/>
      <c r="AB210" s="48">
        <v>197.1370477695254</v>
      </c>
      <c r="AC210" s="48">
        <v>147.69128092922136</v>
      </c>
      <c r="AD210" s="48">
        <v>114.40315418274301</v>
      </c>
      <c r="AE210" s="48">
        <v>98.112027825320638</v>
      </c>
      <c r="AF210" s="48">
        <v>38.544160164905399</v>
      </c>
      <c r="AG210" s="48">
        <v>9.5687071124856296</v>
      </c>
      <c r="AH210" s="48">
        <v>2.5772227824329241</v>
      </c>
      <c r="AI210" s="48">
        <v>1.7232970488693466</v>
      </c>
      <c r="AJ210" s="48">
        <v>21.099847281984992</v>
      </c>
      <c r="AK210" s="48">
        <v>65.066791052421252</v>
      </c>
      <c r="AL210" s="48">
        <v>130.61007689206573</v>
      </c>
      <c r="AM210" s="38">
        <v>232.65167050197022</v>
      </c>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row>
    <row r="211" spans="1:131">
      <c r="A211" s="27" t="s">
        <v>246</v>
      </c>
      <c r="B211" s="27"/>
      <c r="C211" s="48">
        <v>2125.4980617136061</v>
      </c>
      <c r="D211" s="48">
        <v>2730.3075374938753</v>
      </c>
      <c r="E211" s="48">
        <v>546.06150749877509</v>
      </c>
      <c r="F211" s="48">
        <v>3276.3690449926503</v>
      </c>
      <c r="G211" s="48">
        <v>2366.5034357123791</v>
      </c>
      <c r="H211" s="48">
        <v>1977.1707870400539</v>
      </c>
      <c r="I211" s="48">
        <v>13503.184665807918</v>
      </c>
      <c r="J211" s="48">
        <v>30.14563679036641</v>
      </c>
      <c r="K211" s="48">
        <v>52.23564188606791</v>
      </c>
      <c r="L211" s="50">
        <v>0.83548190009066015</v>
      </c>
      <c r="M211" s="48">
        <v>20.192360395569544</v>
      </c>
      <c r="N211" s="48">
        <v>1.1114630293062562</v>
      </c>
      <c r="O211" s="48">
        <v>236.77015727700021</v>
      </c>
      <c r="P211" s="48">
        <v>172.74746083842933</v>
      </c>
      <c r="Q211" s="48">
        <v>156.53580758419497</v>
      </c>
      <c r="R211" s="48">
        <v>125.47980858056187</v>
      </c>
      <c r="S211" s="48">
        <v>51.699072125181218</v>
      </c>
      <c r="T211" s="48">
        <v>14.440935661726449</v>
      </c>
      <c r="U211" s="48">
        <v>3.5164865959946034</v>
      </c>
      <c r="V211" s="48">
        <v>2.9561181490808335</v>
      </c>
      <c r="W211" s="48">
        <v>28.051012573477109</v>
      </c>
      <c r="X211" s="48">
        <v>96.347725046013863</v>
      </c>
      <c r="Y211" s="48">
        <v>152.40088245296835</v>
      </c>
      <c r="Z211" s="48">
        <v>275.93274178527292</v>
      </c>
      <c r="AA211" s="48"/>
      <c r="AB211" s="48">
        <v>150.50145906813808</v>
      </c>
      <c r="AC211" s="48">
        <v>112.75279569711701</v>
      </c>
      <c r="AD211" s="48">
        <v>87.339451520190735</v>
      </c>
      <c r="AE211" s="48">
        <v>74.902224147678112</v>
      </c>
      <c r="AF211" s="48">
        <v>29.425987702505374</v>
      </c>
      <c r="AG211" s="48">
        <v>7.3050925643788478</v>
      </c>
      <c r="AH211" s="48">
        <v>1.9675438659975806</v>
      </c>
      <c r="AI211" s="48">
        <v>1.315626480142239</v>
      </c>
      <c r="AJ211" s="48">
        <v>16.108376573469847</v>
      </c>
      <c r="AK211" s="48">
        <v>49.674310846532194</v>
      </c>
      <c r="AL211" s="48">
        <v>99.712394822097437</v>
      </c>
      <c r="AM211" s="38">
        <v>177.61458975545719</v>
      </c>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row>
    <row r="212" spans="1:131">
      <c r="A212" s="27" t="s">
        <v>222</v>
      </c>
      <c r="B212" s="27"/>
      <c r="C212" s="48">
        <v>227.78283998200996</v>
      </c>
      <c r="D212" s="48">
        <v>315.42921929554086</v>
      </c>
      <c r="E212" s="48">
        <v>63.085843859108174</v>
      </c>
      <c r="F212" s="48">
        <v>378.51506315464906</v>
      </c>
      <c r="G212" s="48">
        <v>273.39935920630529</v>
      </c>
      <c r="H212" s="48">
        <v>211.88707960446598</v>
      </c>
      <c r="I212" s="48">
        <v>14556.811889326707</v>
      </c>
      <c r="J212" s="48">
        <v>34.814446340205663</v>
      </c>
      <c r="K212" s="48">
        <v>58.628091548408534</v>
      </c>
      <c r="L212" s="50">
        <v>0.77500942291740138</v>
      </c>
      <c r="M212" s="48">
        <v>2.1639507839094114</v>
      </c>
      <c r="N212" s="48">
        <v>0.11911194364782247</v>
      </c>
      <c r="O212" s="48">
        <v>25.373901684041712</v>
      </c>
      <c r="P212" s="48">
        <v>18.512793748555499</v>
      </c>
      <c r="Q212" s="48">
        <v>16.775442637505339</v>
      </c>
      <c r="R212" s="48">
        <v>13.447270394514515</v>
      </c>
      <c r="S212" s="48">
        <v>5.5404244704953713</v>
      </c>
      <c r="T212" s="48">
        <v>1.547588961042655</v>
      </c>
      <c r="U212" s="48">
        <v>0.37685063939721875</v>
      </c>
      <c r="V212" s="48">
        <v>0.31679774234991692</v>
      </c>
      <c r="W212" s="48">
        <v>3.0061374430077579</v>
      </c>
      <c r="X212" s="48">
        <v>10.3252780287616</v>
      </c>
      <c r="Y212" s="48">
        <v>16.332315915129293</v>
      </c>
      <c r="Z212" s="48">
        <v>29.570830809038391</v>
      </c>
      <c r="AA212" s="48"/>
      <c r="AB212" s="48">
        <v>16.128760776351108</v>
      </c>
      <c r="AC212" s="48">
        <v>12.083357064599978</v>
      </c>
      <c r="AD212" s="48">
        <v>9.3598901208599337</v>
      </c>
      <c r="AE212" s="48">
        <v>8.0270321787882661</v>
      </c>
      <c r="AF212" s="48">
        <v>3.1534891369171776</v>
      </c>
      <c r="AG212" s="48">
        <v>0.78286344298246879</v>
      </c>
      <c r="AH212" s="48">
        <v>0.21085539321771435</v>
      </c>
      <c r="AI212" s="48">
        <v>0.14099148872463838</v>
      </c>
      <c r="AJ212" s="48">
        <v>1.7262832789630822</v>
      </c>
      <c r="AK212" s="48">
        <v>5.3234372698745203</v>
      </c>
      <c r="AL212" s="48">
        <v>10.68585894436124</v>
      </c>
      <c r="AM212" s="38">
        <v>19.034388412530568</v>
      </c>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row>
    <row r="213" spans="1:131">
      <c r="A213" s="27" t="s">
        <v>227</v>
      </c>
      <c r="B213" s="27"/>
      <c r="C213" s="48">
        <v>2478.352529676858</v>
      </c>
      <c r="D213" s="48">
        <v>3567.2363679851778</v>
      </c>
      <c r="E213" s="48">
        <v>713.44727359703563</v>
      </c>
      <c r="F213" s="48">
        <v>4280.6836415822136</v>
      </c>
      <c r="G213" s="48">
        <v>3091.9143740795566</v>
      </c>
      <c r="H213" s="48">
        <v>2305.4014068181987</v>
      </c>
      <c r="I213" s="48">
        <v>15130.530564652761</v>
      </c>
      <c r="J213" s="48">
        <v>37.35669579095331</v>
      </c>
      <c r="K213" s="48">
        <v>62.108893553617094</v>
      </c>
      <c r="L213" s="50">
        <v>0.74562265570646735</v>
      </c>
      <c r="M213" s="48">
        <v>23.544499224883111</v>
      </c>
      <c r="N213" s="48">
        <v>1.2959772864260666</v>
      </c>
      <c r="O213" s="48">
        <v>276.07643065378977</v>
      </c>
      <c r="P213" s="48">
        <v>201.42531027245994</v>
      </c>
      <c r="Q213" s="48">
        <v>182.5223563829214</v>
      </c>
      <c r="R213" s="48">
        <v>146.31074317154841</v>
      </c>
      <c r="S213" s="48">
        <v>60.281648095265822</v>
      </c>
      <c r="T213" s="48">
        <v>16.83827902401676</v>
      </c>
      <c r="U213" s="48">
        <v>4.1002594204822556</v>
      </c>
      <c r="V213" s="48">
        <v>3.4468640667174197</v>
      </c>
      <c r="W213" s="48">
        <v>32.707768227944705</v>
      </c>
      <c r="X213" s="48">
        <v>112.34243512030687</v>
      </c>
      <c r="Y213" s="48">
        <v>177.70099129038491</v>
      </c>
      <c r="Z213" s="48">
        <v>321.74040566890284</v>
      </c>
      <c r="AA213" s="48"/>
      <c r="AB213" s="48">
        <v>175.48624415157724</v>
      </c>
      <c r="AC213" s="48">
        <v>131.47091567742879</v>
      </c>
      <c r="AD213" s="48">
        <v>101.83869584013762</v>
      </c>
      <c r="AE213" s="48">
        <v>87.33676122252507</v>
      </c>
      <c r="AF213" s="48">
        <v>34.311003324062668</v>
      </c>
      <c r="AG213" s="48">
        <v>8.5178128188250355</v>
      </c>
      <c r="AH213" s="48">
        <v>2.2941763181914991</v>
      </c>
      <c r="AI213" s="48">
        <v>1.5340339630992881</v>
      </c>
      <c r="AJ213" s="48">
        <v>18.782532221017679</v>
      </c>
      <c r="AK213" s="48">
        <v>57.920755687353711</v>
      </c>
      <c r="AL213" s="48">
        <v>116.26567457241021</v>
      </c>
      <c r="AM213" s="38">
        <v>207.10043248548817</v>
      </c>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row>
    <row r="214" spans="1:131">
      <c r="A214" s="27" t="s">
        <v>243</v>
      </c>
      <c r="B214" s="27"/>
      <c r="C214" s="48">
        <v>292.170021134612</v>
      </c>
      <c r="D214" s="48">
        <v>444.29060237385954</v>
      </c>
      <c r="E214" s="48">
        <v>88.858120474771908</v>
      </c>
      <c r="F214" s="48">
        <v>533.14872284863145</v>
      </c>
      <c r="G214" s="48">
        <v>385.09040558029801</v>
      </c>
      <c r="H214" s="48">
        <v>271.78101972509165</v>
      </c>
      <c r="I214" s="48">
        <v>15985.15410313852</v>
      </c>
      <c r="J214" s="48">
        <v>41.143684631915598</v>
      </c>
      <c r="K214" s="48">
        <v>67.293970237357726</v>
      </c>
      <c r="L214" s="50">
        <v>0.70575900044962459</v>
      </c>
      <c r="M214" s="48">
        <v>2.7756329068467416</v>
      </c>
      <c r="N214" s="48">
        <v>0.15278121519477739</v>
      </c>
      <c r="O214" s="48">
        <v>32.546320837335877</v>
      </c>
      <c r="P214" s="48">
        <v>23.745789372032419</v>
      </c>
      <c r="Q214" s="48">
        <v>21.517342703820464</v>
      </c>
      <c r="R214" s="48">
        <v>17.248398850758239</v>
      </c>
      <c r="S214" s="48">
        <v>7.1065315313796287</v>
      </c>
      <c r="T214" s="48">
        <v>1.9850446130675856</v>
      </c>
      <c r="U214" s="48">
        <v>0.48337468830388353</v>
      </c>
      <c r="V214" s="48">
        <v>0.40634669005392504</v>
      </c>
      <c r="W214" s="48">
        <v>3.8558797507595064</v>
      </c>
      <c r="X214" s="48">
        <v>13.24391556502799</v>
      </c>
      <c r="Y214" s="48">
        <v>20.948957728674198</v>
      </c>
      <c r="Z214" s="48">
        <v>37.929592339471832</v>
      </c>
      <c r="AA214" s="48"/>
      <c r="AB214" s="48">
        <v>20.687863832384298</v>
      </c>
      <c r="AC214" s="48">
        <v>15.498949302853829</v>
      </c>
      <c r="AD214" s="48">
        <v>12.005642280363503</v>
      </c>
      <c r="AE214" s="48">
        <v>10.296026520303304</v>
      </c>
      <c r="AF214" s="48">
        <v>4.0448832223429507</v>
      </c>
      <c r="AG214" s="48">
        <v>1.0041547848809322</v>
      </c>
      <c r="AH214" s="48">
        <v>0.27045770742709185</v>
      </c>
      <c r="AI214" s="48">
        <v>0.18084543262227928</v>
      </c>
      <c r="AJ214" s="48">
        <v>2.2142503014661048</v>
      </c>
      <c r="AK214" s="48">
        <v>6.8282087437792045</v>
      </c>
      <c r="AL214" s="48">
        <v>13.706421580581246</v>
      </c>
      <c r="AM214" s="38">
        <v>24.414822754921722</v>
      </c>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row>
    <row r="215" spans="1:131">
      <c r="A215" s="27" t="s">
        <v>248</v>
      </c>
      <c r="B215" s="27"/>
      <c r="C215" s="48">
        <v>2292.1741242868616</v>
      </c>
      <c r="D215" s="48">
        <v>3567.2363679851778</v>
      </c>
      <c r="E215" s="48">
        <v>713.44727359703563</v>
      </c>
      <c r="F215" s="48">
        <v>4280.6836415822136</v>
      </c>
      <c r="G215" s="48">
        <v>3091.9143740795566</v>
      </c>
      <c r="H215" s="48">
        <v>2132.2154082301649</v>
      </c>
      <c r="I215" s="48">
        <v>16359.485216650706</v>
      </c>
      <c r="J215" s="48">
        <v>42.802412347521617</v>
      </c>
      <c r="K215" s="48">
        <v>69.565070249545158</v>
      </c>
      <c r="L215" s="50">
        <v>0.68961010890377972</v>
      </c>
      <c r="M215" s="48">
        <v>21.775793090906951</v>
      </c>
      <c r="N215" s="48">
        <v>1.1986210864023679</v>
      </c>
      <c r="O215" s="48">
        <v>255.33706084686958</v>
      </c>
      <c r="P215" s="48">
        <v>186.29387008279431</v>
      </c>
      <c r="Q215" s="48">
        <v>168.81094089521932</v>
      </c>
      <c r="R215" s="48">
        <v>135.31961074429205</v>
      </c>
      <c r="S215" s="48">
        <v>55.753179694476671</v>
      </c>
      <c r="T215" s="48">
        <v>15.573356499612204</v>
      </c>
      <c r="U215" s="48">
        <v>3.792240383057329</v>
      </c>
      <c r="V215" s="48">
        <v>3.1879292913563053</v>
      </c>
      <c r="W215" s="48">
        <v>30.250700454241699</v>
      </c>
      <c r="X215" s="48">
        <v>103.90306453929635</v>
      </c>
      <c r="Y215" s="48">
        <v>164.35176562595566</v>
      </c>
      <c r="Z215" s="48">
        <v>297.57067397832003</v>
      </c>
      <c r="AA215" s="48"/>
      <c r="AB215" s="48">
        <v>162.30339437020245</v>
      </c>
      <c r="AC215" s="48">
        <v>121.59457841592636</v>
      </c>
      <c r="AD215" s="48">
        <v>94.188385494262079</v>
      </c>
      <c r="AE215" s="48">
        <v>80.775862907362182</v>
      </c>
      <c r="AF215" s="48">
        <v>31.733497577921803</v>
      </c>
      <c r="AG215" s="48">
        <v>7.87793903612872</v>
      </c>
      <c r="AH215" s="48">
        <v>2.1218335689297234</v>
      </c>
      <c r="AI215" s="48">
        <v>1.4187945071930048</v>
      </c>
      <c r="AJ215" s="48">
        <v>17.371553816524415</v>
      </c>
      <c r="AK215" s="48">
        <v>53.569641871329686</v>
      </c>
      <c r="AL215" s="48">
        <v>107.53158301994412</v>
      </c>
      <c r="AM215" s="38">
        <v>191.54266666564567</v>
      </c>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row>
    <row r="216" spans="1:131">
      <c r="A216" s="27" t="s">
        <v>239</v>
      </c>
      <c r="B216" s="27"/>
      <c r="C216" s="48">
        <v>128.17856451481882</v>
      </c>
      <c r="D216" s="48">
        <v>262.65009234084522</v>
      </c>
      <c r="E216" s="48">
        <v>52.530018468169047</v>
      </c>
      <c r="F216" s="48">
        <v>315.18011080901425</v>
      </c>
      <c r="G216" s="48">
        <v>227.65286964167791</v>
      </c>
      <c r="H216" s="48">
        <v>119.23366002936227</v>
      </c>
      <c r="I216" s="48">
        <v>21540.089648669506</v>
      </c>
      <c r="J216" s="48">
        <v>65.758591635838528</v>
      </c>
      <c r="K216" s="48">
        <v>100.99625607405254</v>
      </c>
      <c r="L216" s="50">
        <v>0.52375206259000473</v>
      </c>
      <c r="M216" s="48">
        <v>1.2177041307595051</v>
      </c>
      <c r="N216" s="48">
        <v>6.7026989190905231E-2</v>
      </c>
      <c r="O216" s="48">
        <v>14.27846932744135</v>
      </c>
      <c r="P216" s="48">
        <v>10.41756845263747</v>
      </c>
      <c r="Q216" s="48">
        <v>9.4399216224801883</v>
      </c>
      <c r="R216" s="48">
        <v>7.5670837010708274</v>
      </c>
      <c r="S216" s="48">
        <v>3.1177223687568376</v>
      </c>
      <c r="T216" s="48">
        <v>0.87086336925597307</v>
      </c>
      <c r="U216" s="48">
        <v>0.21206239240077143</v>
      </c>
      <c r="V216" s="48">
        <v>0.17826926672419596</v>
      </c>
      <c r="W216" s="48">
        <v>1.6916216437086073</v>
      </c>
      <c r="X216" s="48">
        <v>5.8102678676215778</v>
      </c>
      <c r="Y216" s="48">
        <v>9.1905641766918915</v>
      </c>
      <c r="Z216" s="48">
        <v>16.640176428182549</v>
      </c>
      <c r="AA216" s="48"/>
      <c r="AB216" s="48">
        <v>9.0760190885269392</v>
      </c>
      <c r="AC216" s="48">
        <v>6.7995787706516637</v>
      </c>
      <c r="AD216" s="48">
        <v>5.267022220826707</v>
      </c>
      <c r="AE216" s="48">
        <v>4.5169928607115413</v>
      </c>
      <c r="AF216" s="48">
        <v>1.7745397801478058</v>
      </c>
      <c r="AG216" s="48">
        <v>0.44053499526367662</v>
      </c>
      <c r="AH216" s="48">
        <v>0.11865310672651577</v>
      </c>
      <c r="AI216" s="48">
        <v>7.9339104890248646E-2</v>
      </c>
      <c r="AJ216" s="48">
        <v>0.97141871029836258</v>
      </c>
      <c r="AK216" s="48">
        <v>2.9956187550874924</v>
      </c>
      <c r="AL216" s="48">
        <v>6.0131749178482377</v>
      </c>
      <c r="AM216" s="38">
        <v>10.711081586867396</v>
      </c>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row>
    <row r="217" spans="1:131">
      <c r="A217" s="27" t="s">
        <v>247</v>
      </c>
      <c r="B217" s="27"/>
      <c r="C217" s="48">
        <v>1306.1854825447131</v>
      </c>
      <c r="D217" s="48">
        <v>2730.3075374938753</v>
      </c>
      <c r="E217" s="48">
        <v>546.06150749877509</v>
      </c>
      <c r="F217" s="48">
        <v>3276.3690449926503</v>
      </c>
      <c r="G217" s="48">
        <v>2366.5034357123791</v>
      </c>
      <c r="H217" s="48">
        <v>1215.0337020120046</v>
      </c>
      <c r="I217" s="48">
        <v>21973.137213422622</v>
      </c>
      <c r="J217" s="48">
        <v>67.677502385981981</v>
      </c>
      <c r="K217" s="48">
        <v>103.62359399518033</v>
      </c>
      <c r="L217" s="50">
        <v>0.51342993366339562</v>
      </c>
      <c r="M217" s="48">
        <v>12.408841241539333</v>
      </c>
      <c r="N217" s="48">
        <v>0.68302902713284885</v>
      </c>
      <c r="O217" s="48">
        <v>145.50271661302372</v>
      </c>
      <c r="P217" s="48">
        <v>106.15875382718694</v>
      </c>
      <c r="Q217" s="48">
        <v>96.196182460898441</v>
      </c>
      <c r="R217" s="48">
        <v>77.111293241209083</v>
      </c>
      <c r="S217" s="48">
        <v>31.770707622523666</v>
      </c>
      <c r="T217" s="48">
        <v>8.874409652720205</v>
      </c>
      <c r="U217" s="48">
        <v>2.1609917336495412</v>
      </c>
      <c r="V217" s="48">
        <v>1.8166276792100895</v>
      </c>
      <c r="W217" s="48">
        <v>17.23823044308752</v>
      </c>
      <c r="X217" s="48">
        <v>59.208710653846715</v>
      </c>
      <c r="Y217" s="48">
        <v>93.655140775137895</v>
      </c>
      <c r="Z217" s="48">
        <v>169.56935786998895</v>
      </c>
      <c r="AA217" s="48"/>
      <c r="AB217" s="48">
        <v>92.487885299745457</v>
      </c>
      <c r="AC217" s="48">
        <v>69.290143100468498</v>
      </c>
      <c r="AD217" s="48">
        <v>53.672842936924056</v>
      </c>
      <c r="AE217" s="48">
        <v>46.029775116863796</v>
      </c>
      <c r="AF217" s="48">
        <v>18.08319595246504</v>
      </c>
      <c r="AG217" s="48">
        <v>4.4892093896073666</v>
      </c>
      <c r="AH217" s="48">
        <v>1.2091176559173091</v>
      </c>
      <c r="AI217" s="48">
        <v>0.80849389598019794</v>
      </c>
      <c r="AJ217" s="48">
        <v>9.8991045941799136</v>
      </c>
      <c r="AK217" s="48">
        <v>30.526428064979484</v>
      </c>
      <c r="AL217" s="48">
        <v>61.27640617154298</v>
      </c>
      <c r="AM217" s="38">
        <v>109.14975779355611</v>
      </c>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row>
    <row r="218" spans="1:131">
      <c r="A218" s="27" t="s">
        <v>1209</v>
      </c>
      <c r="B218" s="27"/>
      <c r="C218" s="48">
        <v>93.874050204446334</v>
      </c>
      <c r="D218" s="48">
        <v>196.91489394951594</v>
      </c>
      <c r="E218" s="48">
        <v>39.382978789903191</v>
      </c>
      <c r="F218" s="48">
        <v>236.29787273941912</v>
      </c>
      <c r="G218" s="48">
        <v>170.67666066006808</v>
      </c>
      <c r="H218" s="48">
        <v>87.323076444363011</v>
      </c>
      <c r="I218" s="48">
        <v>22050.495964424339</v>
      </c>
      <c r="J218" s="48">
        <v>68.020292765139288</v>
      </c>
      <c r="K218" s="48">
        <v>104.09293638751957</v>
      </c>
      <c r="L218" s="50">
        <v>0.51162869080431528</v>
      </c>
      <c r="M218" s="48">
        <v>0.89180916589110426</v>
      </c>
      <c r="N218" s="48">
        <v>4.9088511578958161E-2</v>
      </c>
      <c r="O218" s="48">
        <v>10.457113102806781</v>
      </c>
      <c r="P218" s="48">
        <v>7.6295076921234033</v>
      </c>
      <c r="Q218" s="48">
        <v>6.9135091321161859</v>
      </c>
      <c r="R218" s="48">
        <v>5.5419000668668437</v>
      </c>
      <c r="S218" s="48">
        <v>2.2833242615567642</v>
      </c>
      <c r="T218" s="48">
        <v>0.63779362763340319</v>
      </c>
      <c r="U218" s="48">
        <v>0.155307993548356</v>
      </c>
      <c r="V218" s="48">
        <v>0.13055894452962355</v>
      </c>
      <c r="W218" s="48">
        <v>1.2388918202471437</v>
      </c>
      <c r="X218" s="48">
        <v>4.2552620211574563</v>
      </c>
      <c r="Y218" s="48">
        <v>6.7308873850761284</v>
      </c>
      <c r="Z218" s="48">
        <v>12.186754964395467</v>
      </c>
      <c r="AA218" s="48"/>
      <c r="AB218" s="48">
        <v>6.6469980748956701</v>
      </c>
      <c r="AC218" s="48">
        <v>4.9798029904715229</v>
      </c>
      <c r="AD218" s="48">
        <v>3.8574055674391521</v>
      </c>
      <c r="AE218" s="48">
        <v>3.3081070628664957</v>
      </c>
      <c r="AF218" s="48">
        <v>1.2996185207872526</v>
      </c>
      <c r="AG218" s="48">
        <v>0.32263432203921155</v>
      </c>
      <c r="AH218" s="48">
        <v>8.6897897007348249E-2</v>
      </c>
      <c r="AI218" s="48">
        <v>5.8105527580486975E-2</v>
      </c>
      <c r="AJ218" s="48">
        <v>0.7114372760005776</v>
      </c>
      <c r="AK218" s="48">
        <v>2.1938993190702591</v>
      </c>
      <c r="AL218" s="48">
        <v>4.4038649228353837</v>
      </c>
      <c r="AM218" s="38">
        <v>7.8444677113954171</v>
      </c>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row>
    <row r="219" spans="1:131">
      <c r="A219" s="27" t="s">
        <v>240</v>
      </c>
      <c r="B219" s="27"/>
      <c r="C219" s="48">
        <v>136.13621192605405</v>
      </c>
      <c r="D219" s="48">
        <v>297.93884832438431</v>
      </c>
      <c r="E219" s="48">
        <v>59.587769664876866</v>
      </c>
      <c r="F219" s="48">
        <v>357.52661798926118</v>
      </c>
      <c r="G219" s="48">
        <v>258.23952009414489</v>
      </c>
      <c r="H219" s="48">
        <v>126.63598529065867</v>
      </c>
      <c r="I219" s="48">
        <v>23005.878665752207</v>
      </c>
      <c r="J219" s="48">
        <v>72.253763370439373</v>
      </c>
      <c r="K219" s="48">
        <v>109.88932783430955</v>
      </c>
      <c r="L219" s="50">
        <v>0.49038189524396464</v>
      </c>
      <c r="M219" s="48">
        <v>1.2933022634150506</v>
      </c>
      <c r="N219" s="48">
        <v>7.1188193125719418E-2</v>
      </c>
      <c r="O219" s="48">
        <v>15.164912586577547</v>
      </c>
      <c r="P219" s="48">
        <v>11.064317282617635</v>
      </c>
      <c r="Q219" s="48">
        <v>10.025975680315328</v>
      </c>
      <c r="R219" s="48">
        <v>8.0368672741070579</v>
      </c>
      <c r="S219" s="48">
        <v>3.3112784085720577</v>
      </c>
      <c r="T219" s="48">
        <v>0.92492875579022615</v>
      </c>
      <c r="U219" s="48">
        <v>0.22522775865601025</v>
      </c>
      <c r="V219" s="48">
        <v>0.18933667081176939</v>
      </c>
      <c r="W219" s="48">
        <v>1.7966417665723722</v>
      </c>
      <c r="X219" s="48">
        <v>6.1709838986551189</v>
      </c>
      <c r="Y219" s="48">
        <v>9.7611374976311218</v>
      </c>
      <c r="Z219" s="48">
        <v>17.673240399350014</v>
      </c>
      <c r="AA219" s="48"/>
      <c r="AB219" s="48">
        <v>9.639481162529087</v>
      </c>
      <c r="AC219" s="48">
        <v>7.2217137087872105</v>
      </c>
      <c r="AD219" s="48">
        <v>5.5940121968740231</v>
      </c>
      <c r="AE219" s="48">
        <v>4.797419129180585</v>
      </c>
      <c r="AF219" s="48">
        <v>1.8847076693036759</v>
      </c>
      <c r="AG219" s="48">
        <v>0.46788451488022087</v>
      </c>
      <c r="AH219" s="48">
        <v>0.12601938977978022</v>
      </c>
      <c r="AI219" s="48">
        <v>8.4264675909314121E-2</v>
      </c>
      <c r="AJ219" s="48">
        <v>1.0317268251106293</v>
      </c>
      <c r="AK219" s="48">
        <v>3.1815942957069518</v>
      </c>
      <c r="AL219" s="48">
        <v>6.3864879284865141</v>
      </c>
      <c r="AM219" s="38">
        <v>11.376052449849798</v>
      </c>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row>
    <row r="220" spans="1:131">
      <c r="A220" s="27" t="s">
        <v>249</v>
      </c>
      <c r="B220" s="27"/>
      <c r="C220" s="48">
        <v>1472.8615451179683</v>
      </c>
      <c r="D220" s="48">
        <v>3567.2363679851778</v>
      </c>
      <c r="E220" s="48">
        <v>713.44727359703563</v>
      </c>
      <c r="F220" s="48">
        <v>4280.6836415822136</v>
      </c>
      <c r="G220" s="48">
        <v>3091.9143740795566</v>
      </c>
      <c r="H220" s="48">
        <v>1370.0783232021149</v>
      </c>
      <c r="I220" s="48">
        <v>25459.819237290725</v>
      </c>
      <c r="J220" s="48">
        <v>83.127610324463831</v>
      </c>
      <c r="K220" s="48">
        <v>124.77760257492093</v>
      </c>
      <c r="L220" s="50">
        <v>0.44311651534980767</v>
      </c>
      <c r="M220" s="48">
        <v>13.992273936876764</v>
      </c>
      <c r="N220" s="48">
        <v>0.77018708422896076</v>
      </c>
      <c r="O220" s="48">
        <v>164.06962018289312</v>
      </c>
      <c r="P220" s="48">
        <v>119.70516307155192</v>
      </c>
      <c r="Q220" s="48">
        <v>108.47131577192278</v>
      </c>
      <c r="R220" s="48">
        <v>86.951095404939252</v>
      </c>
      <c r="S220" s="48">
        <v>35.82481519181912</v>
      </c>
      <c r="T220" s="48">
        <v>10.006830490605962</v>
      </c>
      <c r="U220" s="48">
        <v>2.4367455207122672</v>
      </c>
      <c r="V220" s="48">
        <v>2.0484388214855613</v>
      </c>
      <c r="W220" s="48">
        <v>19.437918323852109</v>
      </c>
      <c r="X220" s="48">
        <v>66.764050147129211</v>
      </c>
      <c r="Y220" s="48">
        <v>105.60602394812521</v>
      </c>
      <c r="Z220" s="48">
        <v>191.20729006303606</v>
      </c>
      <c r="AA220" s="48"/>
      <c r="AB220" s="48">
        <v>104.28982060180982</v>
      </c>
      <c r="AC220" s="48">
        <v>78.131925819277853</v>
      </c>
      <c r="AD220" s="48">
        <v>60.521776910995399</v>
      </c>
      <c r="AE220" s="48">
        <v>51.903413876547866</v>
      </c>
      <c r="AF220" s="48">
        <v>20.390705827881469</v>
      </c>
      <c r="AG220" s="48">
        <v>5.0620558613572388</v>
      </c>
      <c r="AH220" s="48">
        <v>1.363407358849452</v>
      </c>
      <c r="AI220" s="48">
        <v>0.91166192303096372</v>
      </c>
      <c r="AJ220" s="48">
        <v>11.162281837234481</v>
      </c>
      <c r="AK220" s="48">
        <v>34.42175908977697</v>
      </c>
      <c r="AL220" s="48">
        <v>69.095594369389673</v>
      </c>
      <c r="AM220" s="38">
        <v>123.07783470374459</v>
      </c>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row>
    <row r="221" spans="1:131">
      <c r="A221" s="27" t="s">
        <v>220</v>
      </c>
      <c r="B221" s="27"/>
      <c r="C221" s="48">
        <v>85.632917184081805</v>
      </c>
      <c r="D221" s="48">
        <v>235.52932235113522</v>
      </c>
      <c r="E221" s="48">
        <v>47.105864470227047</v>
      </c>
      <c r="F221" s="48">
        <v>282.63518682136225</v>
      </c>
      <c r="G221" s="48">
        <v>204.14584910335225</v>
      </c>
      <c r="H221" s="48">
        <v>79.65704853613741</v>
      </c>
      <c r="I221" s="48">
        <v>28912.762965120291</v>
      </c>
      <c r="J221" s="48">
        <v>98.428217874929899</v>
      </c>
      <c r="K221" s="48">
        <v>145.72691792511569</v>
      </c>
      <c r="L221" s="50">
        <v>0.39019675827848793</v>
      </c>
      <c r="M221" s="48">
        <v>0.81351790276905278</v>
      </c>
      <c r="N221" s="48">
        <v>4.477906767179906E-2</v>
      </c>
      <c r="O221" s="48">
        <v>9.5390909241371578</v>
      </c>
      <c r="P221" s="48">
        <v>6.9597188885749519</v>
      </c>
      <c r="Q221" s="48">
        <v>6.3065773094113027</v>
      </c>
      <c r="R221" s="48">
        <v>5.0553807834530602</v>
      </c>
      <c r="S221" s="48">
        <v>2.0828729235444663</v>
      </c>
      <c r="T221" s="48">
        <v>0.58180219961447277</v>
      </c>
      <c r="U221" s="48">
        <v>0.14167362035181852</v>
      </c>
      <c r="V221" s="48">
        <v>0.11909727193188516</v>
      </c>
      <c r="W221" s="48">
        <v>1.1301304291463827</v>
      </c>
      <c r="X221" s="48">
        <v>3.8816957344521366</v>
      </c>
      <c r="Y221" s="48">
        <v>6.1399877896639916</v>
      </c>
      <c r="Z221" s="48">
        <v>11.116888813638782</v>
      </c>
      <c r="AA221" s="48"/>
      <c r="AB221" s="48">
        <v>6.0634630596063479</v>
      </c>
      <c r="AC221" s="48">
        <v>4.5426297911655755</v>
      </c>
      <c r="AD221" s="48">
        <v>3.5187668027802577</v>
      </c>
      <c r="AE221" s="48">
        <v>3.0176908052179159</v>
      </c>
      <c r="AF221" s="48">
        <v>1.1855259778298397</v>
      </c>
      <c r="AG221" s="48">
        <v>0.29431049496378903</v>
      </c>
      <c r="AH221" s="48">
        <v>7.9269195285542993E-2</v>
      </c>
      <c r="AI221" s="48">
        <v>5.3004486547673715E-2</v>
      </c>
      <c r="AJ221" s="48">
        <v>0.6489807268861254</v>
      </c>
      <c r="AK221" s="48">
        <v>2.0012985302221309</v>
      </c>
      <c r="AL221" s="48">
        <v>4.0172528979599011</v>
      </c>
      <c r="AM221" s="38">
        <v>7.1558077276962999</v>
      </c>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row>
    <row r="222" spans="1:131">
      <c r="A222" s="27" t="s">
        <v>231</v>
      </c>
      <c r="B222" s="27"/>
      <c r="C222" s="48">
        <v>83.00733285651711</v>
      </c>
      <c r="D222" s="48">
        <v>235.52932235113522</v>
      </c>
      <c r="E222" s="48">
        <v>47.105864470227047</v>
      </c>
      <c r="F222" s="48">
        <v>282.63518682136225</v>
      </c>
      <c r="G222" s="48">
        <v>204.14584910335225</v>
      </c>
      <c r="H222" s="48">
        <v>77.214689860361489</v>
      </c>
      <c r="I222" s="48">
        <v>29827.295388888593</v>
      </c>
      <c r="J222" s="48">
        <v>102.48067363766859</v>
      </c>
      <c r="K222" s="48">
        <v>151.27546712071552</v>
      </c>
      <c r="L222" s="50">
        <v>0.37823296530153921</v>
      </c>
      <c r="M222" s="48">
        <v>0.78857469254170331</v>
      </c>
      <c r="N222" s="48">
        <v>4.3406100101054085E-2</v>
      </c>
      <c r="O222" s="48">
        <v>9.2466135865288948</v>
      </c>
      <c r="P222" s="48">
        <v>6.7463274797687234</v>
      </c>
      <c r="Q222" s="48">
        <v>6.1132118246343401</v>
      </c>
      <c r="R222" s="48">
        <v>4.9003781397106678</v>
      </c>
      <c r="S222" s="48">
        <v>2.0190101160610867</v>
      </c>
      <c r="T222" s="48">
        <v>0.5639636068480175</v>
      </c>
      <c r="U222" s="48">
        <v>0.13732977630846471</v>
      </c>
      <c r="V222" s="48">
        <v>0.11544563958158383</v>
      </c>
      <c r="W222" s="48">
        <v>1.095479586451253</v>
      </c>
      <c r="X222" s="48">
        <v>3.7626793582746965</v>
      </c>
      <c r="Y222" s="48">
        <v>5.9517300934170505</v>
      </c>
      <c r="Z222" s="48">
        <v>10.776034735555418</v>
      </c>
      <c r="AA222" s="48"/>
      <c r="AB222" s="48">
        <v>5.8775516822577645</v>
      </c>
      <c r="AC222" s="48">
        <v>4.4033485664004113</v>
      </c>
      <c r="AD222" s="48">
        <v>3.4108781628326725</v>
      </c>
      <c r="AE222" s="48">
        <v>2.9251656181267882</v>
      </c>
      <c r="AF222" s="48">
        <v>1.1491766564512444</v>
      </c>
      <c r="AG222" s="48">
        <v>0.28528666337629788</v>
      </c>
      <c r="AH222" s="48">
        <v>7.6838728548634078E-2</v>
      </c>
      <c r="AI222" s="48">
        <v>5.1379320037568468E-2</v>
      </c>
      <c r="AJ222" s="48">
        <v>0.62908237843046289</v>
      </c>
      <c r="AK222" s="48">
        <v>1.9399368689764451</v>
      </c>
      <c r="AL222" s="48">
        <v>3.8940802139548296</v>
      </c>
      <c r="AM222" s="38">
        <v>6.936404053983801</v>
      </c>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row>
    <row r="223" spans="1:131">
      <c r="A223" s="27" t="s">
        <v>219</v>
      </c>
      <c r="B223" s="27"/>
      <c r="C223" s="48">
        <v>69.514057063957438</v>
      </c>
      <c r="D223" s="48">
        <v>198.23826361528401</v>
      </c>
      <c r="E223" s="48">
        <v>39.647652723056808</v>
      </c>
      <c r="F223" s="48">
        <v>237.88591633834082</v>
      </c>
      <c r="G223" s="48">
        <v>171.82369586315451</v>
      </c>
      <c r="H223" s="48">
        <v>64.663038461999307</v>
      </c>
      <c r="I223" s="48">
        <v>29977.830602040107</v>
      </c>
      <c r="J223" s="48">
        <v>103.14772193051898</v>
      </c>
      <c r="K223" s="48">
        <v>152.18877758859335</v>
      </c>
      <c r="L223" s="50">
        <v>0.37633364907654454</v>
      </c>
      <c r="M223" s="48">
        <v>0.66038775479379674</v>
      </c>
      <c r="N223" s="48">
        <v>3.6350211668216788E-2</v>
      </c>
      <c r="O223" s="48">
        <v>7.7435282207343965</v>
      </c>
      <c r="P223" s="48">
        <v>5.6496766883405245</v>
      </c>
      <c r="Q223" s="48">
        <v>5.1194772919188756</v>
      </c>
      <c r="R223" s="48">
        <v>4.1037960613388398</v>
      </c>
      <c r="S223" s="48">
        <v>1.6908094693655553</v>
      </c>
      <c r="T223" s="48">
        <v>0.47228837500650273</v>
      </c>
      <c r="U223" s="48">
        <v>0.11500610341725512</v>
      </c>
      <c r="V223" s="48">
        <v>9.6679347492481346E-2</v>
      </c>
      <c r="W223" s="48">
        <v>0.91740365416395953</v>
      </c>
      <c r="X223" s="48">
        <v>3.1510361629929946</v>
      </c>
      <c r="Y223" s="48">
        <v>4.9842452600930995</v>
      </c>
      <c r="Z223" s="48">
        <v>9.0243339684871504</v>
      </c>
      <c r="AA223" s="48"/>
      <c r="AB223" s="48">
        <v>4.9221249373602447</v>
      </c>
      <c r="AC223" s="48">
        <v>3.6875612428886897</v>
      </c>
      <c r="AD223" s="48">
        <v>2.85642209055439</v>
      </c>
      <c r="AE223" s="48">
        <v>2.4496646585606703</v>
      </c>
      <c r="AF223" s="48">
        <v>0.96237198478842267</v>
      </c>
      <c r="AG223" s="48">
        <v>0.23891182519748883</v>
      </c>
      <c r="AH223" s="48">
        <v>6.434819162645003E-2</v>
      </c>
      <c r="AI223" s="48">
        <v>4.3027343032121683E-2</v>
      </c>
      <c r="AJ223" s="48">
        <v>0.52682174992581887</v>
      </c>
      <c r="AK223" s="48">
        <v>1.6245899918698075</v>
      </c>
      <c r="AL223" s="48">
        <v>3.2610771228174791</v>
      </c>
      <c r="AM223" s="38">
        <v>5.808855321984228</v>
      </c>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row>
    <row r="224" spans="1:131">
      <c r="A224" s="27" t="s">
        <v>230</v>
      </c>
      <c r="B224" s="27"/>
      <c r="C224" s="48">
        <v>67.374885587272161</v>
      </c>
      <c r="D224" s="48">
        <v>198.23826361528404</v>
      </c>
      <c r="E224" s="48">
        <v>39.647652723056808</v>
      </c>
      <c r="F224" s="48">
        <v>237.88591633834085</v>
      </c>
      <c r="G224" s="48">
        <v>171.82369586315451</v>
      </c>
      <c r="H224" s="48">
        <v>62.67314845534294</v>
      </c>
      <c r="I224" s="48">
        <v>30929.635114920824</v>
      </c>
      <c r="J224" s="48">
        <v>107.36533694665026</v>
      </c>
      <c r="K224" s="48">
        <v>157.96345984923076</v>
      </c>
      <c r="L224" s="50">
        <v>0.36475265032861182</v>
      </c>
      <c r="M224" s="48">
        <v>0.64006549612735997</v>
      </c>
      <c r="N224" s="48">
        <v>3.5231598552302998E-2</v>
      </c>
      <c r="O224" s="48">
        <v>7.5052349114622601</v>
      </c>
      <c r="P224" s="48">
        <v>5.47581793610179</v>
      </c>
      <c r="Q224" s="48">
        <v>4.9619344831552485</v>
      </c>
      <c r="R224" s="48">
        <v>3.9775090360761292</v>
      </c>
      <c r="S224" s="48">
        <v>1.6387778150190342</v>
      </c>
      <c r="T224" s="48">
        <v>0.45775454022177126</v>
      </c>
      <c r="U224" s="48">
        <v>0.1114669951208057</v>
      </c>
      <c r="V224" s="48">
        <v>9.3704212515822186E-2</v>
      </c>
      <c r="W224" s="48">
        <v>0.88917218829240519</v>
      </c>
      <c r="X224" s="48">
        <v>3.0540686291361134</v>
      </c>
      <c r="Y224" s="48">
        <v>4.8308639766012567</v>
      </c>
      <c r="Z224" s="48">
        <v>8.7466261402171313</v>
      </c>
      <c r="AA224" s="48"/>
      <c r="AB224" s="48">
        <v>4.7706552963206663</v>
      </c>
      <c r="AC224" s="48">
        <v>3.5740831038978973</v>
      </c>
      <c r="AD224" s="48">
        <v>2.7685207808111572</v>
      </c>
      <c r="AE224" s="48">
        <v>2.3742805853765141</v>
      </c>
      <c r="AF224" s="48">
        <v>0.93275669851724041</v>
      </c>
      <c r="AG224" s="48">
        <v>0.23155973867727511</v>
      </c>
      <c r="AH224" s="48">
        <v>6.2367990471208411E-2</v>
      </c>
      <c r="AI224" s="48">
        <v>4.170325307363771E-2</v>
      </c>
      <c r="AJ224" s="48">
        <v>0.5106097475145388</v>
      </c>
      <c r="AK224" s="48">
        <v>1.5745961241731086</v>
      </c>
      <c r="AL224" s="48">
        <v>3.1607232741278004</v>
      </c>
      <c r="AM224" s="38">
        <v>5.6300981303913487</v>
      </c>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row>
    <row r="225" spans="1:131">
      <c r="A225" s="27" t="s">
        <v>1208</v>
      </c>
      <c r="B225" s="27"/>
      <c r="C225" s="48">
        <v>50.378797065966225</v>
      </c>
      <c r="D225" s="48">
        <v>169.97517278288436</v>
      </c>
      <c r="E225" s="48">
        <v>33.995034556576876</v>
      </c>
      <c r="F225" s="48">
        <v>203.97020733946124</v>
      </c>
      <c r="G225" s="48">
        <v>147.32656481098093</v>
      </c>
      <c r="H225" s="48">
        <v>46.863127113248275</v>
      </c>
      <c r="I225" s="48">
        <v>35466.885284181437</v>
      </c>
      <c r="J225" s="48">
        <v>127.47069911592601</v>
      </c>
      <c r="K225" s="48">
        <v>185.49135839344265</v>
      </c>
      <c r="L225" s="50">
        <v>0.31809013651661111</v>
      </c>
      <c r="M225" s="48">
        <v>0.47860162517914356</v>
      </c>
      <c r="N225" s="48">
        <v>2.6344023270762556E-2</v>
      </c>
      <c r="O225" s="48">
        <v>5.6119532262091179</v>
      </c>
      <c r="P225" s="48">
        <v>4.0944799856575047</v>
      </c>
      <c r="Q225" s="48">
        <v>3.7102295343818961</v>
      </c>
      <c r="R225" s="48">
        <v>2.9741367099906526</v>
      </c>
      <c r="S225" s="48">
        <v>1.2253772939192622</v>
      </c>
      <c r="T225" s="48">
        <v>0.34228070128572929</v>
      </c>
      <c r="U225" s="48">
        <v>8.3348165682153835E-2</v>
      </c>
      <c r="V225" s="48">
        <v>7.0066248950374027E-2</v>
      </c>
      <c r="W225" s="48">
        <v>0.66486829387872881</v>
      </c>
      <c r="X225" s="48">
        <v>2.2836447491028884</v>
      </c>
      <c r="Y225" s="48">
        <v>3.6122230681228369</v>
      </c>
      <c r="Z225" s="48">
        <v>6.5401892632396068</v>
      </c>
      <c r="AA225" s="48"/>
      <c r="AB225" s="48">
        <v>3.5672027187890119</v>
      </c>
      <c r="AC225" s="48">
        <v>2.6724796015414052</v>
      </c>
      <c r="AD225" s="48">
        <v>2.0701296243201921</v>
      </c>
      <c r="AE225" s="48">
        <v>1.7753410450457694</v>
      </c>
      <c r="AF225" s="48">
        <v>0.69745811094034471</v>
      </c>
      <c r="AG225" s="48">
        <v>0.17314613571194531</v>
      </c>
      <c r="AH225" s="48">
        <v>4.6634948734587331E-2</v>
      </c>
      <c r="AI225" s="48">
        <v>3.1183128628337446E-2</v>
      </c>
      <c r="AJ225" s="48">
        <v>0.38180257562914105</v>
      </c>
      <c r="AK225" s="48">
        <v>1.1773861715552891</v>
      </c>
      <c r="AL225" s="48">
        <v>2.3633945352337893</v>
      </c>
      <c r="AM225" s="38">
        <v>4.2098412294156651</v>
      </c>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row>
    <row r="226" spans="1:131">
      <c r="A226" s="27" t="s">
        <v>1206</v>
      </c>
      <c r="B226" s="27"/>
      <c r="C226" s="48">
        <v>48.820467224768407</v>
      </c>
      <c r="D226" s="48">
        <v>169.97517278288436</v>
      </c>
      <c r="E226" s="48">
        <v>33.995034556576876</v>
      </c>
      <c r="F226" s="48">
        <v>203.97020733946124</v>
      </c>
      <c r="G226" s="48">
        <v>147.32656481098093</v>
      </c>
      <c r="H226" s="48">
        <v>45.413544874577553</v>
      </c>
      <c r="I226" s="48">
        <v>36598.974116068726</v>
      </c>
      <c r="J226" s="48">
        <v>132.48718600198973</v>
      </c>
      <c r="K226" s="48">
        <v>192.35984158142327</v>
      </c>
      <c r="L226" s="50">
        <v>0.30825089102459458</v>
      </c>
      <c r="M226" s="48">
        <v>0.46379739724996405</v>
      </c>
      <c r="N226" s="48">
        <v>2.5529143202342411E-2</v>
      </c>
      <c r="O226" s="48">
        <v>5.4383628530932819</v>
      </c>
      <c r="P226" s="48">
        <v>3.9678284830921973</v>
      </c>
      <c r="Q226" s="48">
        <v>3.5954637650930792</v>
      </c>
      <c r="R226" s="48">
        <v>2.8821399522889619</v>
      </c>
      <c r="S226" s="48">
        <v>1.1874736099281527</v>
      </c>
      <c r="T226" s="48">
        <v>0.33169318705466794</v>
      </c>
      <c r="U226" s="48">
        <v>8.0770018895093193E-2</v>
      </c>
      <c r="V226" s="48">
        <v>6.789894181008653E-2</v>
      </c>
      <c r="W226" s="48">
        <v>0.64430241769353813</v>
      </c>
      <c r="X226" s="48">
        <v>2.2130064654106039</v>
      </c>
      <c r="Y226" s="48">
        <v>3.5004888599251247</v>
      </c>
      <c r="Z226" s="48">
        <v>6.3378864555198691</v>
      </c>
      <c r="AA226" s="48"/>
      <c r="AB226" s="48">
        <v>3.4568610915561879</v>
      </c>
      <c r="AC226" s="48">
        <v>2.589813778702855</v>
      </c>
      <c r="AD226" s="48">
        <v>2.006095845099507</v>
      </c>
      <c r="AE226" s="48">
        <v>1.7204257415863478</v>
      </c>
      <c r="AF226" s="48">
        <v>0.67588415819509262</v>
      </c>
      <c r="AG226" s="48">
        <v>0.16779033513944039</v>
      </c>
      <c r="AH226" s="48">
        <v>4.5192424567909027E-2</v>
      </c>
      <c r="AI226" s="48">
        <v>3.0218564114821579E-2</v>
      </c>
      <c r="AJ226" s="48">
        <v>0.36999256066848174</v>
      </c>
      <c r="AK226" s="48">
        <v>1.1409669612405644</v>
      </c>
      <c r="AL226" s="48">
        <v>2.290289410751436</v>
      </c>
      <c r="AM226" s="38">
        <v>4.0796213433411079</v>
      </c>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row>
    <row r="227" spans="1:131">
      <c r="A227" s="27" t="s">
        <v>245</v>
      </c>
      <c r="B227" s="27"/>
      <c r="C227" s="48">
        <v>79.110639428020434</v>
      </c>
      <c r="D227" s="48">
        <v>337.57430889025602</v>
      </c>
      <c r="E227" s="48">
        <v>67.514861778051213</v>
      </c>
      <c r="F227" s="48">
        <v>405.08917066830725</v>
      </c>
      <c r="G227" s="48">
        <v>292.5936916726601</v>
      </c>
      <c r="H227" s="48">
        <v>73.589926068921883</v>
      </c>
      <c r="I227" s="48">
        <v>44855.927858895411</v>
      </c>
      <c r="J227" s="48">
        <v>169.07521602492761</v>
      </c>
      <c r="K227" s="48">
        <v>242.45551108113341</v>
      </c>
      <c r="L227" s="50">
        <v>0.251508929150977</v>
      </c>
      <c r="M227" s="48">
        <v>0.75155586882383207</v>
      </c>
      <c r="N227" s="48">
        <v>4.1368445604760183E-2</v>
      </c>
      <c r="O227" s="48">
        <v>8.8125408707995838</v>
      </c>
      <c r="P227" s="48">
        <v>6.429628110541401</v>
      </c>
      <c r="Q227" s="48">
        <v>5.8262334153263655</v>
      </c>
      <c r="R227" s="48">
        <v>4.6703349539216887</v>
      </c>
      <c r="S227" s="48">
        <v>1.9242297734024094</v>
      </c>
      <c r="T227" s="48">
        <v>0.53748891834652546</v>
      </c>
      <c r="U227" s="48">
        <v>0.1308829719303127</v>
      </c>
      <c r="V227" s="48">
        <v>0.11002616337839397</v>
      </c>
      <c r="W227" s="48">
        <v>1.0440534297651245</v>
      </c>
      <c r="X227" s="48">
        <v>3.5860442656344684</v>
      </c>
      <c r="Y227" s="48">
        <v>5.672332277042285</v>
      </c>
      <c r="Z227" s="48">
        <v>10.270164925090908</v>
      </c>
      <c r="AA227" s="48"/>
      <c r="AB227" s="48">
        <v>5.6016360947097024</v>
      </c>
      <c r="AC227" s="48">
        <v>4.1966379201044726</v>
      </c>
      <c r="AD227" s="48">
        <v>3.2507580136226335</v>
      </c>
      <c r="AE227" s="48">
        <v>2.7878467422014284</v>
      </c>
      <c r="AF227" s="48">
        <v>1.0952297463256557</v>
      </c>
      <c r="AG227" s="48">
        <v>0.27189417589163484</v>
      </c>
      <c r="AH227" s="48">
        <v>7.3231613872307089E-2</v>
      </c>
      <c r="AI227" s="48">
        <v>4.8967370974018938E-2</v>
      </c>
      <c r="AJ227" s="48">
        <v>0.59955075651640466</v>
      </c>
      <c r="AK227" s="48">
        <v>1.8488685381567369</v>
      </c>
      <c r="AL227" s="48">
        <v>3.7112766439860665</v>
      </c>
      <c r="AM227" s="38">
        <v>6.6107817364799049</v>
      </c>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row>
    <row r="228" spans="1:131">
      <c r="A228" s="27" t="s">
        <v>244</v>
      </c>
      <c r="B228" s="27"/>
      <c r="C228" s="48">
        <v>61.203904418075837</v>
      </c>
      <c r="D228" s="48">
        <v>315.42921929554086</v>
      </c>
      <c r="E228" s="48">
        <v>63.085843859108174</v>
      </c>
      <c r="F228" s="48">
        <v>378.51506315464906</v>
      </c>
      <c r="G228" s="48">
        <v>273.39935920630529</v>
      </c>
      <c r="H228" s="48">
        <v>56.932807443094461</v>
      </c>
      <c r="I228" s="48">
        <v>54176.1507662156</v>
      </c>
      <c r="J228" s="48">
        <v>210.37478075238644</v>
      </c>
      <c r="K228" s="48">
        <v>299.00212875285848</v>
      </c>
      <c r="L228" s="50">
        <v>0.20824045677493103</v>
      </c>
      <c r="M228" s="48">
        <v>0.58144080104660956</v>
      </c>
      <c r="N228" s="48">
        <v>3.2004676096971697E-2</v>
      </c>
      <c r="O228" s="48">
        <v>6.8178175911161496</v>
      </c>
      <c r="P228" s="48">
        <v>4.9742783924707856</v>
      </c>
      <c r="Q228" s="48">
        <v>4.5074624051481678</v>
      </c>
      <c r="R228" s="48">
        <v>3.6132021708698034</v>
      </c>
      <c r="S228" s="48">
        <v>1.4886793480779699</v>
      </c>
      <c r="T228" s="48">
        <v>0.41582801785070689</v>
      </c>
      <c r="U228" s="48">
        <v>0.10125754211941412</v>
      </c>
      <c r="V228" s="48">
        <v>8.5121683196933876E-2</v>
      </c>
      <c r="W228" s="48">
        <v>0.80773138461166272</v>
      </c>
      <c r="X228" s="48">
        <v>2.7743412524503341</v>
      </c>
      <c r="Y228" s="48">
        <v>4.3883968707842067</v>
      </c>
      <c r="Z228" s="48">
        <v>7.9455076710011072</v>
      </c>
      <c r="AA228" s="48"/>
      <c r="AB228" s="48">
        <v>4.3337028066546512</v>
      </c>
      <c r="AC228" s="48">
        <v>3.2467267107990541</v>
      </c>
      <c r="AD228" s="48">
        <v>2.5149472206336867</v>
      </c>
      <c r="AE228" s="48">
        <v>2.1568161599450479</v>
      </c>
      <c r="AF228" s="48">
        <v>0.84732391489439152</v>
      </c>
      <c r="AG228" s="48">
        <v>0.21035078560127271</v>
      </c>
      <c r="AH228" s="48">
        <v>5.6655599401394863E-2</v>
      </c>
      <c r="AI228" s="48">
        <v>3.7883580696186386E-2</v>
      </c>
      <c r="AJ228" s="48">
        <v>0.46384212617826515</v>
      </c>
      <c r="AK228" s="48">
        <v>1.4303761682256453</v>
      </c>
      <c r="AL228" s="48">
        <v>2.8712272158314454</v>
      </c>
      <c r="AM228" s="38">
        <v>5.114427799517558</v>
      </c>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row>
    <row r="229" spans="1:131">
      <c r="A229" s="27" t="s">
        <v>242</v>
      </c>
      <c r="B229" s="27"/>
      <c r="C229" s="48">
        <v>42.262161721607704</v>
      </c>
      <c r="D229" s="48">
        <v>235.52932235113522</v>
      </c>
      <c r="E229" s="48">
        <v>47.105864470227047</v>
      </c>
      <c r="F229" s="48">
        <v>282.63518682136225</v>
      </c>
      <c r="G229" s="48">
        <v>204.14584910335225</v>
      </c>
      <c r="H229" s="48">
        <v>39.312908846295656</v>
      </c>
      <c r="I229" s="48">
        <v>58583.94686160289</v>
      </c>
      <c r="J229" s="48">
        <v>229.90650890493009</v>
      </c>
      <c r="K229" s="48">
        <v>325.74461796789939</v>
      </c>
      <c r="L229" s="50">
        <v>0.1925726583174015</v>
      </c>
      <c r="M229" s="48">
        <v>0.40149309752394924</v>
      </c>
      <c r="N229" s="48">
        <v>2.2099681546761254E-2</v>
      </c>
      <c r="O229" s="48">
        <v>4.7077994837707635</v>
      </c>
      <c r="P229" s="48">
        <v>3.4348095904942313</v>
      </c>
      <c r="Q229" s="48">
        <v>3.1124665481991416</v>
      </c>
      <c r="R229" s="48">
        <v>2.4949672072402138</v>
      </c>
      <c r="S229" s="48">
        <v>1.0279541470152933</v>
      </c>
      <c r="T229" s="48">
        <v>0.28713512815682296</v>
      </c>
      <c r="U229" s="48">
        <v>6.9919765107654228E-2</v>
      </c>
      <c r="V229" s="48">
        <v>5.8777726282145809E-2</v>
      </c>
      <c r="W229" s="48">
        <v>0.55774994632522834</v>
      </c>
      <c r="X229" s="48">
        <v>1.9157218774976619</v>
      </c>
      <c r="Y229" s="48">
        <v>3.0302501125549925</v>
      </c>
      <c r="Z229" s="48">
        <v>5.486485434954548</v>
      </c>
      <c r="AA229" s="48"/>
      <c r="AB229" s="48">
        <v>2.9924830876334161</v>
      </c>
      <c r="AC229" s="48">
        <v>2.2419107183156872</v>
      </c>
      <c r="AD229" s="48">
        <v>1.7366066294348708</v>
      </c>
      <c r="AE229" s="48">
        <v>1.4893120663140891</v>
      </c>
      <c r="AF229" s="48">
        <v>0.58508914851642313</v>
      </c>
      <c r="AG229" s="48">
        <v>0.14525019284100932</v>
      </c>
      <c r="AH229" s="48">
        <v>3.9121492772431959E-2</v>
      </c>
      <c r="AI229" s="48">
        <v>2.6159148328827143E-2</v>
      </c>
      <c r="AJ229" s="48">
        <v>0.32028954911005164</v>
      </c>
      <c r="AK229" s="48">
        <v>0.98769497663669248</v>
      </c>
      <c r="AL229" s="48">
        <v>1.9826230056511298</v>
      </c>
      <c r="AM229" s="38">
        <v>3.5315847384543804</v>
      </c>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row>
    <row r="230" spans="1:131">
      <c r="A230" s="27" t="s">
        <v>241</v>
      </c>
      <c r="B230" s="27"/>
      <c r="C230" s="48">
        <v>34.304514310372483</v>
      </c>
      <c r="D230" s="48">
        <v>198.23826361528401</v>
      </c>
      <c r="E230" s="48">
        <v>39.647652723056808</v>
      </c>
      <c r="F230" s="48">
        <v>237.88591633834082</v>
      </c>
      <c r="G230" s="48">
        <v>171.82369586315451</v>
      </c>
      <c r="H230" s="48">
        <v>31.910583584999237</v>
      </c>
      <c r="I230" s="48">
        <v>60746.542226769649</v>
      </c>
      <c r="J230" s="48">
        <v>239.48935345179805</v>
      </c>
      <c r="K230" s="48">
        <v>338.86527554323317</v>
      </c>
      <c r="L230" s="50">
        <v>0.18571701315523892</v>
      </c>
      <c r="M230" s="48">
        <v>0.32589496486840236</v>
      </c>
      <c r="N230" s="48">
        <v>1.7938477611947067E-2</v>
      </c>
      <c r="O230" s="48">
        <v>3.8213562246345671</v>
      </c>
      <c r="P230" s="48">
        <v>2.7880607605140657</v>
      </c>
      <c r="Q230" s="48">
        <v>2.5264124903640015</v>
      </c>
      <c r="R230" s="48">
        <v>2.0251836342039837</v>
      </c>
      <c r="S230" s="48">
        <v>0.83439810720007357</v>
      </c>
      <c r="T230" s="48">
        <v>0.23306974162256988</v>
      </c>
      <c r="U230" s="48">
        <v>5.6754398852415414E-2</v>
      </c>
      <c r="V230" s="48">
        <v>4.7710322194572392E-2</v>
      </c>
      <c r="W230" s="48">
        <v>0.45272982346146357</v>
      </c>
      <c r="X230" s="48">
        <v>1.5550058464641214</v>
      </c>
      <c r="Y230" s="48">
        <v>2.4596767916157636</v>
      </c>
      <c r="Z230" s="48">
        <v>4.4534214637870804</v>
      </c>
      <c r="AA230" s="48"/>
      <c r="AB230" s="48">
        <v>2.4290210136312691</v>
      </c>
      <c r="AC230" s="48">
        <v>1.8197757801801409</v>
      </c>
      <c r="AD230" s="48">
        <v>1.4096166533875543</v>
      </c>
      <c r="AE230" s="48">
        <v>1.2088857978450458</v>
      </c>
      <c r="AF230" s="48">
        <v>0.47492125936055302</v>
      </c>
      <c r="AG230" s="48">
        <v>0.11790067322446508</v>
      </c>
      <c r="AH230" s="48">
        <v>3.1755209719167503E-2</v>
      </c>
      <c r="AI230" s="48">
        <v>2.1233577309761661E-2</v>
      </c>
      <c r="AJ230" s="48">
        <v>0.25998143429778497</v>
      </c>
      <c r="AK230" s="48">
        <v>0.80171943601723328</v>
      </c>
      <c r="AL230" s="48">
        <v>1.6093099950128531</v>
      </c>
      <c r="AM230" s="38">
        <v>2.8666138754719785</v>
      </c>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row>
    <row r="231" spans="1:131">
      <c r="A231" s="27" t="s">
        <v>1210</v>
      </c>
      <c r="B231" s="27"/>
      <c r="C231" s="48">
        <v>24.891646007987582</v>
      </c>
      <c r="D231" s="48">
        <v>169.97517278288436</v>
      </c>
      <c r="E231" s="48">
        <v>33.995034556576876</v>
      </c>
      <c r="F231" s="48">
        <v>203.97020733946124</v>
      </c>
      <c r="G231" s="48">
        <v>147.32656481098093</v>
      </c>
      <c r="H231" s="48">
        <v>23.154589606474346</v>
      </c>
      <c r="I231" s="48">
        <v>71782.276500329215</v>
      </c>
      <c r="J231" s="48">
        <v>288.39065404064377</v>
      </c>
      <c r="K231" s="48">
        <v>405.8200525801218</v>
      </c>
      <c r="L231" s="50">
        <v>0.15716506820193318</v>
      </c>
      <c r="M231" s="48">
        <v>0.23647214555773571</v>
      </c>
      <c r="N231" s="48">
        <v>1.3016311223615993E-2</v>
      </c>
      <c r="O231" s="48">
        <v>2.772808428459884</v>
      </c>
      <c r="P231" s="48">
        <v>2.0230404917434672</v>
      </c>
      <c r="Q231" s="48">
        <v>1.8331862917903015</v>
      </c>
      <c r="R231" s="48">
        <v>1.4694903903225678</v>
      </c>
      <c r="S231" s="48">
        <v>0.60544633065622855</v>
      </c>
      <c r="T231" s="48">
        <v>0.16911737770582488</v>
      </c>
      <c r="U231" s="48">
        <v>4.1181472293962983E-2</v>
      </c>
      <c r="V231" s="48">
        <v>3.4619013703256075E-2</v>
      </c>
      <c r="W231" s="48">
        <v>0.32850459274551086</v>
      </c>
      <c r="X231" s="48">
        <v>1.1283254069809834</v>
      </c>
      <c r="Y231" s="48">
        <v>1.784762303789557</v>
      </c>
      <c r="Z231" s="48">
        <v>3.2314403170968031</v>
      </c>
      <c r="AA231" s="48"/>
      <c r="AB231" s="48">
        <v>1.7625182117500795</v>
      </c>
      <c r="AC231" s="48">
        <v>1.3204447124458252</v>
      </c>
      <c r="AD231" s="48">
        <v>1.022829777609702</v>
      </c>
      <c r="AE231" s="48">
        <v>0.87717776942680703</v>
      </c>
      <c r="AF231" s="48">
        <v>0.34460688650811516</v>
      </c>
      <c r="AG231" s="48">
        <v>8.5549726646893268E-2</v>
      </c>
      <c r="AH231" s="48">
        <v>2.3041849014020965E-2</v>
      </c>
      <c r="AI231" s="48">
        <v>1.5407263460891295E-2</v>
      </c>
      <c r="AJ231" s="48">
        <v>0.18864472974720503</v>
      </c>
      <c r="AK231" s="48">
        <v>0.5817344101860783</v>
      </c>
      <c r="AL231" s="48">
        <v>1.1677289569106055</v>
      </c>
      <c r="AM231" s="38">
        <v>2.0800392969930113</v>
      </c>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row>
    <row r="232" spans="1:131">
      <c r="A232" s="27"/>
      <c r="B232" s="27"/>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row>
  </sheetData>
  <mergeCells count="3">
    <mergeCell ref="I6:N6"/>
    <mergeCell ref="O6:P6"/>
    <mergeCell ref="R6:T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2:U174"/>
  <sheetViews>
    <sheetView topLeftCell="B103" workbookViewId="0">
      <selection activeCell="H136" sqref="H136"/>
    </sheetView>
  </sheetViews>
  <sheetFormatPr defaultRowHeight="12.75"/>
  <cols>
    <col min="3" max="3" width="15.7109375" customWidth="1"/>
    <col min="4" max="4" width="7.7109375" customWidth="1"/>
    <col min="5" max="5" width="11.42578125" customWidth="1"/>
    <col min="6" max="6" width="88.28515625" customWidth="1"/>
    <col min="7" max="7" width="43.85546875" customWidth="1"/>
    <col min="8" max="8" width="11" customWidth="1"/>
    <col min="20" max="20" width="11" customWidth="1"/>
  </cols>
  <sheetData>
    <row r="2" spans="1:21">
      <c r="A2" t="s">
        <v>21</v>
      </c>
      <c r="B2" t="s">
        <v>22</v>
      </c>
    </row>
    <row r="3" spans="1:21">
      <c r="A3" s="26" t="s">
        <v>79</v>
      </c>
      <c r="B3" s="26"/>
      <c r="C3" s="26"/>
      <c r="D3" s="26"/>
      <c r="E3" s="26"/>
      <c r="F3">
        <v>2</v>
      </c>
      <c r="G3">
        <v>3</v>
      </c>
      <c r="H3">
        <v>4</v>
      </c>
      <c r="I3">
        <v>5</v>
      </c>
      <c r="J3">
        <v>6</v>
      </c>
      <c r="K3">
        <v>7</v>
      </c>
      <c r="L3">
        <v>8</v>
      </c>
      <c r="M3">
        <v>9</v>
      </c>
      <c r="N3">
        <v>10</v>
      </c>
      <c r="O3">
        <v>11</v>
      </c>
      <c r="P3">
        <v>12</v>
      </c>
      <c r="Q3">
        <v>13</v>
      </c>
      <c r="R3">
        <v>14</v>
      </c>
      <c r="S3">
        <v>15</v>
      </c>
      <c r="T3">
        <v>16</v>
      </c>
      <c r="U3">
        <v>17</v>
      </c>
    </row>
    <row r="4" spans="1:21">
      <c r="F4" s="12" t="s">
        <v>2</v>
      </c>
      <c r="G4" s="13"/>
      <c r="H4" s="13"/>
      <c r="I4" s="13"/>
      <c r="J4" s="13"/>
      <c r="K4" s="13"/>
      <c r="L4" s="14"/>
      <c r="M4" s="28"/>
      <c r="N4" s="631" t="s">
        <v>3</v>
      </c>
      <c r="O4" s="632"/>
      <c r="P4" s="632"/>
      <c r="Q4" s="632"/>
      <c r="R4" s="632"/>
      <c r="S4" s="633"/>
      <c r="T4" s="634" t="s">
        <v>4</v>
      </c>
      <c r="U4" s="635"/>
    </row>
    <row r="5" spans="1:21" ht="25.5">
      <c r="A5" s="27" t="s">
        <v>23</v>
      </c>
      <c r="B5" s="27" t="s">
        <v>213</v>
      </c>
      <c r="C5" t="s">
        <v>290</v>
      </c>
      <c r="D5" t="s">
        <v>291</v>
      </c>
      <c r="E5" t="s">
        <v>292</v>
      </c>
      <c r="F5" s="29" t="s">
        <v>5</v>
      </c>
      <c r="G5" s="29" t="s">
        <v>6</v>
      </c>
      <c r="H5" s="29" t="s">
        <v>7</v>
      </c>
      <c r="I5" s="29" t="s">
        <v>8</v>
      </c>
      <c r="J5" s="29" t="s">
        <v>9</v>
      </c>
      <c r="K5" s="29" t="s">
        <v>10</v>
      </c>
      <c r="L5" s="29" t="s">
        <v>11</v>
      </c>
      <c r="M5" s="29" t="s">
        <v>12</v>
      </c>
      <c r="N5" s="29" t="s">
        <v>13</v>
      </c>
      <c r="O5" s="29" t="s">
        <v>14</v>
      </c>
      <c r="P5" s="29" t="s">
        <v>15</v>
      </c>
      <c r="Q5" s="29" t="s">
        <v>16</v>
      </c>
      <c r="R5" s="29" t="s">
        <v>17</v>
      </c>
      <c r="S5" s="29" t="s">
        <v>18</v>
      </c>
      <c r="T5" s="30" t="s">
        <v>19</v>
      </c>
      <c r="U5" s="29" t="s">
        <v>11</v>
      </c>
    </row>
    <row r="6" spans="1:21">
      <c r="A6" t="s">
        <v>85</v>
      </c>
      <c r="B6" t="s">
        <v>77</v>
      </c>
      <c r="C6" t="s">
        <v>63</v>
      </c>
      <c r="D6" t="s">
        <v>59</v>
      </c>
      <c r="E6" t="str">
        <f t="shared" ref="E6:E19" si="0">B6&amp;D6&amp;G6</f>
        <v>Electric ZonalHZ1WALL R0 - R11</v>
      </c>
      <c r="F6" s="31" t="str">
        <f>Composite!B5</f>
        <v>Multi Family Weatherization - Insulate Walls - R-0 to R-11 - Heating Zone 1 (Zonal Heating System)</v>
      </c>
      <c r="G6" s="31" t="str">
        <f>Composite!C5</f>
        <v>WALL R0 - R11</v>
      </c>
      <c r="H6" s="31">
        <f>VLOOKUP($F6&amp;$G6,Composite!$A$5:$Q$841,H$3,FALSE)*VLOOKUP($C6,[2]!ExistingSat,MATCH($A6,[2]SATS!$C$10:$F$10,0)+1,FALSE)</f>
        <v>663.2848325572653</v>
      </c>
      <c r="I6">
        <f>VLOOKUP($F6&amp;$G6,Composite!$A$5:$Q$841,I$3,FALSE)</f>
        <v>45</v>
      </c>
      <c r="J6" s="31">
        <f>VLOOKUP($F6&amp;$G6,Composite!$A$5:$Q$841,J$3,FALSE)*VLOOKUP($C6,[2]!ExistingSat,MATCH($A6,[2]SATS!$C$10:$F$10,0)+1,FALSE)</f>
        <v>504.28054205609425</v>
      </c>
      <c r="K6" s="31">
        <f>VLOOKUP($F6&amp;$G6,Composite!$A$5:$Q$841,K$3,FALSE)*VLOOKUP($C6,[2]!ExistingSat,MATCH($A6,[2]SATS!$C$10:$F$10,0)+1,FALSE)</f>
        <v>0</v>
      </c>
      <c r="L6" t="str">
        <f>VLOOKUP($F6&amp;$G6,Composite!$A$5:$Q$841,L$3,FALSE)</f>
        <v>ResSHWX</v>
      </c>
      <c r="M6" s="31">
        <f>VLOOKUP($F6&amp;$G6,Composite!$A$5:$Q$841,M$3,FALSE)*VLOOKUP($C6,[2]!ExistingSat,MATCH($A6,[2]SATS!$C$10:$F$10,0)+1,FALSE)</f>
        <v>0</v>
      </c>
      <c r="N6" s="31">
        <f>VLOOKUP($F6&amp;$G6,Composite!$A$5:$Q$841,N$3,FALSE)*VLOOKUP($C6,[2]!ExistingSat,MATCH($A6,[2]SATS!$C$10:$F$10,0)+1,FALSE)</f>
        <v>0</v>
      </c>
      <c r="O6">
        <f>VLOOKUP($F6&amp;$G6,Composite!$A$5:$Q$841,O$3,FALSE)</f>
        <v>0</v>
      </c>
      <c r="P6" s="31">
        <f>VLOOKUP($F6&amp;$G6,Composite!$A$5:$Q$841,P$3,FALSE)*VLOOKUP($C6,[2]!ExistingSat,MATCH($A6,[2]SATS!$C$10:$F$10,0)+1,FALSE)</f>
        <v>0</v>
      </c>
      <c r="Q6">
        <f>VLOOKUP($F6&amp;$G6,Composite!$A$5:$Q$841,Q$3,FALSE)</f>
        <v>0</v>
      </c>
      <c r="R6" s="31">
        <f>VLOOKUP($F6&amp;$G6,Composite!$A$5:$Q$841,R$3,FALSE)*VLOOKUP($C6,[2]!ExistingSat,MATCH($A6,[2]SATS!$C$10:$F$10,0)+1,FALSE)</f>
        <v>0</v>
      </c>
      <c r="S6">
        <f>VLOOKUP($F6&amp;$G6,Composite!$A$5:$Q$841,S$3,FALSE)</f>
        <v>0</v>
      </c>
      <c r="T6" s="31">
        <f>VLOOKUP($F6&amp;$G6,Composite!$A$5:$Q$841,T$3,FALSE)*VLOOKUP($C6,[2]!ExistingSat,MATCH($A6,[2]SATS!$C$10:$F$10,0)+1,FALSE)</f>
        <v>0</v>
      </c>
    </row>
    <row r="7" spans="1:21">
      <c r="A7" t="s">
        <v>85</v>
      </c>
      <c r="B7" t="s">
        <v>77</v>
      </c>
      <c r="C7" t="s">
        <v>26</v>
      </c>
      <c r="D7" t="s">
        <v>59</v>
      </c>
      <c r="E7" t="str">
        <f t="shared" si="0"/>
        <v>Electric ZonalHZ1FLOOR R0 - R19</v>
      </c>
      <c r="F7" s="31" t="str">
        <f>Composite!B6</f>
        <v>Multi Family Weatherization - Insulate Floors - R-0 to R-19 - Heating Zone 1 (Zonal Heating System)</v>
      </c>
      <c r="G7" s="31" t="str">
        <f>Composite!C6</f>
        <v>FLOOR R0 - R19</v>
      </c>
      <c r="H7" s="31">
        <f>VLOOKUP($F7&amp;$G7,Composite!$A$5:$Q$841,H$3,FALSE)*VLOOKUP($C7,[2]!ExistingSat,MATCH($A7,[2]SATS!$C$10:$F$10,0)+1,FALSE)</f>
        <v>240.80670695046672</v>
      </c>
      <c r="I7">
        <f>VLOOKUP($F7&amp;$G7,Composite!$A$5:$Q$841,I$3,FALSE)</f>
        <v>45</v>
      </c>
      <c r="J7" s="31">
        <f>VLOOKUP($F7&amp;$G7,Composite!$A$5:$Q$841,J$3,FALSE)*VLOOKUP($C7,[2]!ExistingSat,MATCH($A7,[2]SATS!$C$10:$F$10,0)+1,FALSE)</f>
        <v>358.01976642494196</v>
      </c>
      <c r="K7" s="31">
        <f>VLOOKUP($F7&amp;$G7,Composite!$A$5:$Q$841,K$3,FALSE)*VLOOKUP($C7,[2]!ExistingSat,MATCH($A7,[2]SATS!$C$10:$F$10,0)+1,FALSE)</f>
        <v>0</v>
      </c>
      <c r="L7" t="str">
        <f>VLOOKUP($F7&amp;$G7,Composite!$A$5:$Q$841,L$3,FALSE)</f>
        <v>ResSHWX</v>
      </c>
      <c r="M7" s="31">
        <f>VLOOKUP($F7&amp;$G7,Composite!$A$5:$Q$841,M$3,FALSE)*VLOOKUP($C7,[2]!ExistingSat,MATCH($A7,[2]SATS!$C$10:$F$10,0)+1,FALSE)</f>
        <v>0</v>
      </c>
      <c r="N7" s="31">
        <f>VLOOKUP($F7&amp;$G7,Composite!$A$5:$Q$841,N$3,FALSE)*VLOOKUP($C7,[2]!ExistingSat,MATCH($A7,[2]SATS!$C$10:$F$10,0)+1,FALSE)</f>
        <v>0</v>
      </c>
      <c r="O7">
        <f>VLOOKUP($F7&amp;$G7,Composite!$A$5:$Q$841,O$3,FALSE)</f>
        <v>0</v>
      </c>
      <c r="P7" s="31">
        <f>VLOOKUP($F7&amp;$G7,Composite!$A$5:$Q$841,P$3,FALSE)*VLOOKUP($C7,[2]!ExistingSat,MATCH($A7,[2]SATS!$C$10:$F$10,0)+1,FALSE)</f>
        <v>0</v>
      </c>
      <c r="Q7">
        <f>VLOOKUP($F7&amp;$G7,Composite!$A$5:$Q$841,Q$3,FALSE)</f>
        <v>0</v>
      </c>
      <c r="R7" s="31">
        <f>VLOOKUP($F7&amp;$G7,Composite!$A$5:$Q$841,R$3,FALSE)*VLOOKUP($C7,[2]!ExistingSat,MATCH($A7,[2]SATS!$C$10:$F$10,0)+1,FALSE)</f>
        <v>0</v>
      </c>
      <c r="S7">
        <f>VLOOKUP($F7&amp;$G7,Composite!$A$5:$Q$841,S$3,FALSE)</f>
        <v>0</v>
      </c>
      <c r="T7" s="31">
        <f>VLOOKUP($F7&amp;$G7,Composite!$A$5:$Q$841,T$3,FALSE)*VLOOKUP($C7,[2]!ExistingSat,MATCH($A7,[2]SATS!$C$10:$F$10,0)+1,FALSE)</f>
        <v>0</v>
      </c>
    </row>
    <row r="8" spans="1:21">
      <c r="A8" t="s">
        <v>85</v>
      </c>
      <c r="B8" t="s">
        <v>77</v>
      </c>
      <c r="C8" t="s">
        <v>26</v>
      </c>
      <c r="D8" t="s">
        <v>59</v>
      </c>
      <c r="E8" t="str">
        <f t="shared" si="0"/>
        <v>Electric ZonalHZ1FLOOR R0 - R30</v>
      </c>
      <c r="F8" s="31" t="str">
        <f>Composite!B7</f>
        <v>Multi Family Weatherization - Insulate Floors - R-0 to R-30 - Heating Zone 1 (Zonal Heating System)</v>
      </c>
      <c r="G8" s="31" t="str">
        <f>Composite!C7</f>
        <v>FLOOR R0 - R30</v>
      </c>
      <c r="H8" s="31">
        <f>VLOOKUP($F8&amp;$G8,Composite!$A$5:$Q$841,H$3,FALSE)*VLOOKUP($C8,[2]!ExistingSat,MATCH($A8,[2]SATS!$C$10:$F$10,0)+1,FALSE)</f>
        <v>313.4486796948209</v>
      </c>
      <c r="I8">
        <f>VLOOKUP($F8&amp;$G8,Composite!$A$5:$Q$841,I$3,FALSE)</f>
        <v>45</v>
      </c>
      <c r="J8" s="31">
        <f>VLOOKUP($F8&amp;$G8,Composite!$A$5:$Q$841,J$3,FALSE)*VLOOKUP($C8,[2]!ExistingSat,MATCH($A8,[2]SATS!$C$10:$F$10,0)+1,FALSE)</f>
        <v>383.15497685936549</v>
      </c>
      <c r="K8" s="31">
        <f>VLOOKUP($F8&amp;$G8,Composite!$A$5:$Q$841,K$3,FALSE)*VLOOKUP($C8,[2]!ExistingSat,MATCH($A8,[2]SATS!$C$10:$F$10,0)+1,FALSE)</f>
        <v>0</v>
      </c>
      <c r="L8" t="str">
        <f>VLOOKUP($F8&amp;$G8,Composite!$A$5:$Q$841,L$3,FALSE)</f>
        <v>ResSHWX</v>
      </c>
      <c r="M8" s="31">
        <f>VLOOKUP($F8&amp;$G8,Composite!$A$5:$Q$841,M$3,FALSE)*VLOOKUP($C8,[2]!ExistingSat,MATCH($A8,[2]SATS!$C$10:$F$10,0)+1,FALSE)</f>
        <v>0</v>
      </c>
      <c r="N8" s="31">
        <f>VLOOKUP($F8&amp;$G8,Composite!$A$5:$Q$841,N$3,FALSE)*VLOOKUP($C8,[2]!ExistingSat,MATCH($A8,[2]SATS!$C$10:$F$10,0)+1,FALSE)</f>
        <v>0</v>
      </c>
      <c r="O8">
        <f>VLOOKUP($F8&amp;$G8,Composite!$A$5:$Q$841,O$3,FALSE)</f>
        <v>0</v>
      </c>
      <c r="P8" s="31">
        <f>VLOOKUP($F8&amp;$G8,Composite!$A$5:$Q$841,P$3,FALSE)*VLOOKUP($C8,[2]!ExistingSat,MATCH($A8,[2]SATS!$C$10:$F$10,0)+1,FALSE)</f>
        <v>0</v>
      </c>
      <c r="Q8">
        <f>VLOOKUP($F8&amp;$G8,Composite!$A$5:$Q$841,Q$3,FALSE)</f>
        <v>0</v>
      </c>
      <c r="R8" s="31">
        <f>VLOOKUP($F8&amp;$G8,Composite!$A$5:$Q$841,R$3,FALSE)*VLOOKUP($C8,[2]!ExistingSat,MATCH($A8,[2]SATS!$C$10:$F$10,0)+1,FALSE)</f>
        <v>0</v>
      </c>
      <c r="S8">
        <f>VLOOKUP($F8&amp;$G8,Composite!$A$5:$Q$841,S$3,FALSE)</f>
        <v>0</v>
      </c>
      <c r="T8" s="31">
        <f>VLOOKUP($F8&amp;$G8,Composite!$A$5:$Q$841,T$3,FALSE)*VLOOKUP($C8,[2]!ExistingSat,MATCH($A8,[2]SATS!$C$10:$F$10,0)+1,FALSE)</f>
        <v>0</v>
      </c>
    </row>
    <row r="9" spans="1:21">
      <c r="A9" t="s">
        <v>85</v>
      </c>
      <c r="B9" t="s">
        <v>77</v>
      </c>
      <c r="C9" t="s">
        <v>28</v>
      </c>
      <c r="D9" t="s">
        <v>59</v>
      </c>
      <c r="E9" t="str">
        <f t="shared" si="0"/>
        <v>Electric ZonalHZ1ATTIC R0 - R19</v>
      </c>
      <c r="F9" s="31" t="str">
        <f>Composite!B8</f>
        <v>Multi Family Weatherization - Insulate Attic - R-0 to R-19 - Heating Zone 1 (Zonal Heating System)</v>
      </c>
      <c r="G9" s="31" t="str">
        <f>Composite!C8</f>
        <v>ATTIC R0 - R19</v>
      </c>
      <c r="H9" s="31">
        <f>VLOOKUP($F9&amp;$G9,Composite!$A$5:$Q$841,H$3,FALSE)*VLOOKUP($C9,[2]!ExistingSat,MATCH($A9,[2]SATS!$C$10:$F$10,0)+1,FALSE)</f>
        <v>197.67104377129746</v>
      </c>
      <c r="I9">
        <f>VLOOKUP($F9&amp;$G9,Composite!$A$5:$Q$841,I$3,FALSE)</f>
        <v>45</v>
      </c>
      <c r="J9" s="31">
        <f>VLOOKUP($F9&amp;$G9,Composite!$A$5:$Q$841,J$3,FALSE)*VLOOKUP($C9,[2]!ExistingSat,MATCH($A9,[2]SATS!$C$10:$F$10,0)+1,FALSE)</f>
        <v>223.50315070635102</v>
      </c>
      <c r="K9" s="31">
        <f>VLOOKUP($F9&amp;$G9,Composite!$A$5:$Q$841,K$3,FALSE)*VLOOKUP($C9,[2]!ExistingSat,MATCH($A9,[2]SATS!$C$10:$F$10,0)+1,FALSE)</f>
        <v>0</v>
      </c>
      <c r="L9" t="str">
        <f>VLOOKUP($F9&amp;$G9,Composite!$A$5:$Q$841,L$3,FALSE)</f>
        <v>ResSHWX</v>
      </c>
      <c r="M9" s="31">
        <f>VLOOKUP($F9&amp;$G9,Composite!$A$5:$Q$841,M$3,FALSE)*VLOOKUP($C9,[2]!ExistingSat,MATCH($A9,[2]SATS!$C$10:$F$10,0)+1,FALSE)</f>
        <v>0</v>
      </c>
      <c r="N9" s="31">
        <f>VLOOKUP($F9&amp;$G9,Composite!$A$5:$Q$841,N$3,FALSE)*VLOOKUP($C9,[2]!ExistingSat,MATCH($A9,[2]SATS!$C$10:$F$10,0)+1,FALSE)</f>
        <v>0</v>
      </c>
      <c r="O9">
        <f>VLOOKUP($F9&amp;$G9,Composite!$A$5:$Q$841,O$3,FALSE)</f>
        <v>0</v>
      </c>
      <c r="P9" s="31">
        <f>VLOOKUP($F9&amp;$G9,Composite!$A$5:$Q$841,P$3,FALSE)*VLOOKUP($C9,[2]!ExistingSat,MATCH($A9,[2]SATS!$C$10:$F$10,0)+1,FALSE)</f>
        <v>0</v>
      </c>
      <c r="Q9">
        <f>VLOOKUP($F9&amp;$G9,Composite!$A$5:$Q$841,Q$3,FALSE)</f>
        <v>0</v>
      </c>
      <c r="R9" s="31">
        <f>VLOOKUP($F9&amp;$G9,Composite!$A$5:$Q$841,R$3,FALSE)*VLOOKUP($C9,[2]!ExistingSat,MATCH($A9,[2]SATS!$C$10:$F$10,0)+1,FALSE)</f>
        <v>0</v>
      </c>
      <c r="S9">
        <f>VLOOKUP($F9&amp;$G9,Composite!$A$5:$Q$841,S$3,FALSE)</f>
        <v>0</v>
      </c>
      <c r="T9" s="31">
        <f>VLOOKUP($F9&amp;$G9,Composite!$A$5:$Q$841,T$3,FALSE)*VLOOKUP($C9,[2]!ExistingSat,MATCH($A9,[2]SATS!$C$10:$F$10,0)+1,FALSE)</f>
        <v>0</v>
      </c>
    </row>
    <row r="10" spans="1:21">
      <c r="A10" t="s">
        <v>85</v>
      </c>
      <c r="B10" t="s">
        <v>77</v>
      </c>
      <c r="C10" t="s">
        <v>28</v>
      </c>
      <c r="D10" t="s">
        <v>59</v>
      </c>
      <c r="E10" t="str">
        <f t="shared" si="0"/>
        <v>Electric ZonalHZ1ATTIC R0 - R38</v>
      </c>
      <c r="F10" s="31" t="str">
        <f>Composite!B9</f>
        <v>Multi Family Weatherization - Insulate Attic - R-0 to R-38 - Heating Zone 1 (Zonal Heating System)</v>
      </c>
      <c r="G10" s="31" t="str">
        <f>Composite!C9</f>
        <v>ATTIC R0 - R38</v>
      </c>
      <c r="H10" s="31">
        <f>VLOOKUP($F10&amp;$G10,Composite!$A$5:$Q$841,H$3,FALSE)*VLOOKUP($C10,[2]!ExistingSat,MATCH($A10,[2]SATS!$C$10:$F$10,0)+1,FALSE)</f>
        <v>269.19575419151482</v>
      </c>
      <c r="I10">
        <f>VLOOKUP($F10&amp;$G10,Composite!$A$5:$Q$841,I$3,FALSE)</f>
        <v>45</v>
      </c>
      <c r="J10" s="31">
        <f>VLOOKUP($F10&amp;$G10,Composite!$A$5:$Q$841,J$3,FALSE)*VLOOKUP($C10,[2]!ExistingSat,MATCH($A10,[2]SATS!$C$10:$F$10,0)+1,FALSE)</f>
        <v>298.11418524056876</v>
      </c>
      <c r="K10" s="31">
        <f>VLOOKUP($F10&amp;$G10,Composite!$A$5:$Q$841,K$3,FALSE)*VLOOKUP($C10,[2]!ExistingSat,MATCH($A10,[2]SATS!$C$10:$F$10,0)+1,FALSE)</f>
        <v>0</v>
      </c>
      <c r="L10" t="str">
        <f>VLOOKUP($F10&amp;$G10,Composite!$A$5:$Q$841,L$3,FALSE)</f>
        <v>ResSHWX</v>
      </c>
      <c r="M10" s="31">
        <f>VLOOKUP($F10&amp;$G10,Composite!$A$5:$Q$841,M$3,FALSE)*VLOOKUP($C10,[2]!ExistingSat,MATCH($A10,[2]SATS!$C$10:$F$10,0)+1,FALSE)</f>
        <v>0</v>
      </c>
      <c r="N10" s="31">
        <f>VLOOKUP($F10&amp;$G10,Composite!$A$5:$Q$841,N$3,FALSE)*VLOOKUP($C10,[2]!ExistingSat,MATCH($A10,[2]SATS!$C$10:$F$10,0)+1,FALSE)</f>
        <v>0</v>
      </c>
      <c r="O10">
        <f>VLOOKUP($F10&amp;$G10,Composite!$A$5:$Q$841,O$3,FALSE)</f>
        <v>0</v>
      </c>
      <c r="P10" s="31">
        <f>VLOOKUP($F10&amp;$G10,Composite!$A$5:$Q$841,P$3,FALSE)*VLOOKUP($C10,[2]!ExistingSat,MATCH($A10,[2]SATS!$C$10:$F$10,0)+1,FALSE)</f>
        <v>0</v>
      </c>
      <c r="Q10">
        <f>VLOOKUP($F10&amp;$G10,Composite!$A$5:$Q$841,Q$3,FALSE)</f>
        <v>0</v>
      </c>
      <c r="R10" s="31">
        <f>VLOOKUP($F10&amp;$G10,Composite!$A$5:$Q$841,R$3,FALSE)*VLOOKUP($C10,[2]!ExistingSat,MATCH($A10,[2]SATS!$C$10:$F$10,0)+1,FALSE)</f>
        <v>0</v>
      </c>
      <c r="S10">
        <f>VLOOKUP($F10&amp;$G10,Composite!$A$5:$Q$841,S$3,FALSE)</f>
        <v>0</v>
      </c>
      <c r="T10" s="31">
        <f>VLOOKUP($F10&amp;$G10,Composite!$A$5:$Q$841,T$3,FALSE)*VLOOKUP($C10,[2]!ExistingSat,MATCH($A10,[2]SATS!$C$10:$F$10,0)+1,FALSE)</f>
        <v>0</v>
      </c>
    </row>
    <row r="11" spans="1:21">
      <c r="A11" t="s">
        <v>85</v>
      </c>
      <c r="B11" t="s">
        <v>77</v>
      </c>
      <c r="C11" t="s">
        <v>28</v>
      </c>
      <c r="D11" t="s">
        <v>59</v>
      </c>
      <c r="E11" t="str">
        <f t="shared" si="0"/>
        <v>Electric ZonalHZ1ATTIC R0 - R49</v>
      </c>
      <c r="F11" s="31" t="str">
        <f>Composite!B10</f>
        <v>Multi Family Weatherization - Insulate Attic - R-0 to R-49 - Heating Zone 1 (Zonal Heating System)</v>
      </c>
      <c r="G11" s="31" t="str">
        <f>Composite!C10</f>
        <v>ATTIC R0 - R49</v>
      </c>
      <c r="H11" s="31">
        <f>VLOOKUP($F11&amp;$G11,Composite!$A$5:$Q$841,H$3,FALSE)*VLOOKUP($C11,[2]!ExistingSat,MATCH($A11,[2]SATS!$C$10:$F$10,0)+1,FALSE)</f>
        <v>285.77890907345244</v>
      </c>
      <c r="I11">
        <f>VLOOKUP($F11&amp;$G11,Composite!$A$5:$Q$841,I$3,FALSE)</f>
        <v>45</v>
      </c>
      <c r="J11" s="31">
        <f>VLOOKUP($F11&amp;$G11,Composite!$A$5:$Q$841,J$3,FALSE)*VLOOKUP($C11,[2]!ExistingSat,MATCH($A11,[2]SATS!$C$10:$F$10,0)+1,FALSE)</f>
        <v>338.16777381701564</v>
      </c>
      <c r="K11" s="31">
        <f>VLOOKUP($F11&amp;$G11,Composite!$A$5:$Q$841,K$3,FALSE)*VLOOKUP($C11,[2]!ExistingSat,MATCH($A11,[2]SATS!$C$10:$F$10,0)+1,FALSE)</f>
        <v>0</v>
      </c>
      <c r="L11" t="str">
        <f>VLOOKUP($F11&amp;$G11,Composite!$A$5:$Q$841,L$3,FALSE)</f>
        <v>ResSHWX</v>
      </c>
      <c r="M11" s="31">
        <f>VLOOKUP($F11&amp;$G11,Composite!$A$5:$Q$841,M$3,FALSE)*VLOOKUP($C11,[2]!ExistingSat,MATCH($A11,[2]SATS!$C$10:$F$10,0)+1,FALSE)</f>
        <v>0</v>
      </c>
      <c r="N11" s="31">
        <f>VLOOKUP($F11&amp;$G11,Composite!$A$5:$Q$841,N$3,FALSE)*VLOOKUP($C11,[2]!ExistingSat,MATCH($A11,[2]SATS!$C$10:$F$10,0)+1,FALSE)</f>
        <v>0</v>
      </c>
      <c r="O11">
        <f>VLOOKUP($F11&amp;$G11,Composite!$A$5:$Q$841,O$3,FALSE)</f>
        <v>0</v>
      </c>
      <c r="P11" s="31">
        <f>VLOOKUP($F11&amp;$G11,Composite!$A$5:$Q$841,P$3,FALSE)*VLOOKUP($C11,[2]!ExistingSat,MATCH($A11,[2]SATS!$C$10:$F$10,0)+1,FALSE)</f>
        <v>0</v>
      </c>
      <c r="Q11">
        <f>VLOOKUP($F11&amp;$G11,Composite!$A$5:$Q$841,Q$3,FALSE)</f>
        <v>0</v>
      </c>
      <c r="R11" s="31">
        <f>VLOOKUP($F11&amp;$G11,Composite!$A$5:$Q$841,R$3,FALSE)*VLOOKUP($C11,[2]!ExistingSat,MATCH($A11,[2]SATS!$C$10:$F$10,0)+1,FALSE)</f>
        <v>0</v>
      </c>
      <c r="S11">
        <f>VLOOKUP($F11&amp;$G11,Composite!$A$5:$Q$841,S$3,FALSE)</f>
        <v>0</v>
      </c>
      <c r="T11" s="31">
        <f>VLOOKUP($F11&amp;$G11,Composite!$A$5:$Q$841,T$3,FALSE)*VLOOKUP($C11,[2]!ExistingSat,MATCH($A11,[2]SATS!$C$10:$F$10,0)+1,FALSE)</f>
        <v>0</v>
      </c>
    </row>
    <row r="12" spans="1:21">
      <c r="A12" t="s">
        <v>85</v>
      </c>
      <c r="B12" t="s">
        <v>77</v>
      </c>
      <c r="C12" t="s">
        <v>28</v>
      </c>
      <c r="D12" t="s">
        <v>59</v>
      </c>
      <c r="E12" t="str">
        <f t="shared" si="0"/>
        <v>Electric ZonalHZ1ATTIC R19 - R30</v>
      </c>
      <c r="F12" s="31" t="str">
        <f>Composite!B11</f>
        <v>Multi Family Weatherization - Insulate Attic - R-19 to R-30 - Heating Zone 1 (Zonal Heating System)</v>
      </c>
      <c r="G12" s="31" t="str">
        <f>Composite!C11</f>
        <v>ATTIC R19 - R30</v>
      </c>
      <c r="H12" s="31">
        <f>VLOOKUP($F12&amp;$G12,Composite!$A$5:$Q$841,H$3,FALSE)*VLOOKUP($C12,[2]!ExistingSat,MATCH($A12,[2]SATS!$C$10:$F$10,0)+1,FALSE)</f>
        <v>51.836929089592481</v>
      </c>
      <c r="I12">
        <f>VLOOKUP($F12&amp;$G12,Composite!$A$5:$Q$841,I$3,FALSE)</f>
        <v>45</v>
      </c>
      <c r="J12" s="31">
        <f>VLOOKUP($F12&amp;$G12,Composite!$A$5:$Q$841,J$3,FALSE)*VLOOKUP($C12,[2]!ExistingSat,MATCH($A12,[2]SATS!$C$10:$F$10,0)+1,FALSE)</f>
        <v>192.92591787684046</v>
      </c>
      <c r="K12" s="31">
        <f>VLOOKUP($F12&amp;$G12,Composite!$A$5:$Q$841,K$3,FALSE)*VLOOKUP($C12,[2]!ExistingSat,MATCH($A12,[2]SATS!$C$10:$F$10,0)+1,FALSE)</f>
        <v>0</v>
      </c>
      <c r="L12" t="str">
        <f>VLOOKUP($F12&amp;$G12,Composite!$A$5:$Q$841,L$3,FALSE)</f>
        <v>ResSHWX</v>
      </c>
      <c r="M12" s="31">
        <f>VLOOKUP($F12&amp;$G12,Composite!$A$5:$Q$841,M$3,FALSE)*VLOOKUP($C12,[2]!ExistingSat,MATCH($A12,[2]SATS!$C$10:$F$10,0)+1,FALSE)</f>
        <v>0</v>
      </c>
      <c r="N12" s="31">
        <f>VLOOKUP($F12&amp;$G12,Composite!$A$5:$Q$841,N$3,FALSE)*VLOOKUP($C12,[2]!ExistingSat,MATCH($A12,[2]SATS!$C$10:$F$10,0)+1,FALSE)</f>
        <v>0</v>
      </c>
      <c r="O12">
        <f>VLOOKUP($F12&amp;$G12,Composite!$A$5:$Q$841,O$3,FALSE)</f>
        <v>0</v>
      </c>
      <c r="P12" s="31">
        <f>VLOOKUP($F12&amp;$G12,Composite!$A$5:$Q$841,P$3,FALSE)*VLOOKUP($C12,[2]!ExistingSat,MATCH($A12,[2]SATS!$C$10:$F$10,0)+1,FALSE)</f>
        <v>0</v>
      </c>
      <c r="Q12">
        <f>VLOOKUP($F12&amp;$G12,Composite!$A$5:$Q$841,Q$3,FALSE)</f>
        <v>0</v>
      </c>
      <c r="R12" s="31">
        <f>VLOOKUP($F12&amp;$G12,Composite!$A$5:$Q$841,R$3,FALSE)*VLOOKUP($C12,[2]!ExistingSat,MATCH($A12,[2]SATS!$C$10:$F$10,0)+1,FALSE)</f>
        <v>0</v>
      </c>
      <c r="S12">
        <f>VLOOKUP($F12&amp;$G12,Composite!$A$5:$Q$841,S$3,FALSE)</f>
        <v>0</v>
      </c>
      <c r="T12" s="31">
        <f>VLOOKUP($F12&amp;$G12,Composite!$A$5:$Q$841,T$3,FALSE)*VLOOKUP($C12,[2]!ExistingSat,MATCH($A12,[2]SATS!$C$10:$F$10,0)+1,FALSE)</f>
        <v>0</v>
      </c>
    </row>
    <row r="13" spans="1:21">
      <c r="A13" t="s">
        <v>85</v>
      </c>
      <c r="B13" t="s">
        <v>77</v>
      </c>
      <c r="C13" t="s">
        <v>28</v>
      </c>
      <c r="D13" t="s">
        <v>59</v>
      </c>
      <c r="E13" t="str">
        <f t="shared" si="0"/>
        <v>Electric ZonalHZ1ATTIC R19 - R38</v>
      </c>
      <c r="F13" s="31" t="str">
        <f>Composite!B12</f>
        <v>Multi Family Weatherization - Insulate Attic - R-19 to R-38 - Heating Zone 1 (Zonal Heating System)</v>
      </c>
      <c r="G13" s="31" t="str">
        <f>Composite!C12</f>
        <v>ATTIC R19 - R38</v>
      </c>
      <c r="H13" s="31">
        <f>VLOOKUP($F13&amp;$G13,Composite!$A$5:$Q$841,H$3,FALSE)*VLOOKUP($C13,[2]!ExistingSat,MATCH($A13,[2]SATS!$C$10:$F$10,0)+1,FALSE)</f>
        <v>71.524710420217417</v>
      </c>
      <c r="I13">
        <f>VLOOKUP($F13&amp;$G13,Composite!$A$5:$Q$841,I$3,FALSE)</f>
        <v>45</v>
      </c>
      <c r="J13" s="31">
        <f>VLOOKUP($F13&amp;$G13,Composite!$A$5:$Q$841,J$3,FALSE)*VLOOKUP($C13,[2]!ExistingSat,MATCH($A13,[2]SATS!$C$10:$F$10,0)+1,FALSE)</f>
        <v>225.005207173061</v>
      </c>
      <c r="K13" s="31">
        <f>VLOOKUP($F13&amp;$G13,Composite!$A$5:$Q$841,K$3,FALSE)*VLOOKUP($C13,[2]!ExistingSat,MATCH($A13,[2]SATS!$C$10:$F$10,0)+1,FALSE)</f>
        <v>0</v>
      </c>
      <c r="L13" t="str">
        <f>VLOOKUP($F13&amp;$G13,Composite!$A$5:$Q$841,L$3,FALSE)</f>
        <v>ResSHWX</v>
      </c>
      <c r="M13" s="31">
        <f>VLOOKUP($F13&amp;$G13,Composite!$A$5:$Q$841,M$3,FALSE)*VLOOKUP($C13,[2]!ExistingSat,MATCH($A13,[2]SATS!$C$10:$F$10,0)+1,FALSE)</f>
        <v>0</v>
      </c>
      <c r="N13" s="31">
        <f>VLOOKUP($F13&amp;$G13,Composite!$A$5:$Q$841,N$3,FALSE)*VLOOKUP($C13,[2]!ExistingSat,MATCH($A13,[2]SATS!$C$10:$F$10,0)+1,FALSE)</f>
        <v>0</v>
      </c>
      <c r="O13">
        <f>VLOOKUP($F13&amp;$G13,Composite!$A$5:$Q$841,O$3,FALSE)</f>
        <v>0</v>
      </c>
      <c r="P13" s="31">
        <f>VLOOKUP($F13&amp;$G13,Composite!$A$5:$Q$841,P$3,FALSE)*VLOOKUP($C13,[2]!ExistingSat,MATCH($A13,[2]SATS!$C$10:$F$10,0)+1,FALSE)</f>
        <v>0</v>
      </c>
      <c r="Q13">
        <f>VLOOKUP($F13&amp;$G13,Composite!$A$5:$Q$841,Q$3,FALSE)</f>
        <v>0</v>
      </c>
      <c r="R13" s="31">
        <f>VLOOKUP($F13&amp;$G13,Composite!$A$5:$Q$841,R$3,FALSE)*VLOOKUP($C13,[2]!ExistingSat,MATCH($A13,[2]SATS!$C$10:$F$10,0)+1,FALSE)</f>
        <v>0</v>
      </c>
      <c r="S13">
        <f>VLOOKUP($F13&amp;$G13,Composite!$A$5:$Q$841,S$3,FALSE)</f>
        <v>0</v>
      </c>
      <c r="T13" s="31">
        <f>VLOOKUP($F13&amp;$G13,Composite!$A$5:$Q$841,T$3,FALSE)*VLOOKUP($C13,[2]!ExistingSat,MATCH($A13,[2]SATS!$C$10:$F$10,0)+1,FALSE)</f>
        <v>0</v>
      </c>
    </row>
    <row r="14" spans="1:21">
      <c r="A14" t="s">
        <v>85</v>
      </c>
      <c r="B14" t="s">
        <v>77</v>
      </c>
      <c r="C14" t="s">
        <v>28</v>
      </c>
      <c r="D14" t="s">
        <v>59</v>
      </c>
      <c r="E14" t="str">
        <f t="shared" si="0"/>
        <v>Electric ZonalHZ1ATTIC R19 - R49</v>
      </c>
      <c r="F14" s="31" t="str">
        <f>Composite!B13</f>
        <v>Multi Family Weatherization - Insulate Attic - R-19 to R-49 - Heating Zone 1 (Zonal Heating System)</v>
      </c>
      <c r="G14" s="31" t="str">
        <f>Composite!C13</f>
        <v>ATTIC R19 - R49</v>
      </c>
      <c r="H14" s="31">
        <f>VLOOKUP($F14&amp;$G14,Composite!$A$5:$Q$841,H$3,FALSE)*VLOOKUP($C14,[2]!ExistingSat,MATCH($A14,[2]SATS!$C$10:$F$10,0)+1,FALSE)</f>
        <v>88.10786530215492</v>
      </c>
      <c r="I14">
        <f>VLOOKUP($F14&amp;$G14,Composite!$A$5:$Q$841,I$3,FALSE)</f>
        <v>45</v>
      </c>
      <c r="J14" s="31">
        <f>VLOOKUP($F14&amp;$G14,Composite!$A$5:$Q$841,J$3,FALSE)*VLOOKUP($C14,[2]!ExistingSat,MATCH($A14,[2]SATS!$C$10:$F$10,0)+1,FALSE)</f>
        <v>267.33145763319703</v>
      </c>
      <c r="K14" s="31">
        <f>VLOOKUP($F14&amp;$G14,Composite!$A$5:$Q$841,K$3,FALSE)*VLOOKUP($C14,[2]!ExistingSat,MATCH($A14,[2]SATS!$C$10:$F$10,0)+1,FALSE)</f>
        <v>0</v>
      </c>
      <c r="L14" t="str">
        <f>VLOOKUP($F14&amp;$G14,Composite!$A$5:$Q$841,L$3,FALSE)</f>
        <v>ResSHWX</v>
      </c>
      <c r="M14" s="31">
        <f>VLOOKUP($F14&amp;$G14,Composite!$A$5:$Q$841,M$3,FALSE)*VLOOKUP($C14,[2]!ExistingSat,MATCH($A14,[2]SATS!$C$10:$F$10,0)+1,FALSE)</f>
        <v>0</v>
      </c>
      <c r="N14" s="31">
        <f>VLOOKUP($F14&amp;$G14,Composite!$A$5:$Q$841,N$3,FALSE)*VLOOKUP($C14,[2]!ExistingSat,MATCH($A14,[2]SATS!$C$10:$F$10,0)+1,FALSE)</f>
        <v>0</v>
      </c>
      <c r="O14">
        <f>VLOOKUP($F14&amp;$G14,Composite!$A$5:$Q$841,O$3,FALSE)</f>
        <v>0</v>
      </c>
      <c r="P14" s="31">
        <f>VLOOKUP($F14&amp;$G14,Composite!$A$5:$Q$841,P$3,FALSE)*VLOOKUP($C14,[2]!ExistingSat,MATCH($A14,[2]SATS!$C$10:$F$10,0)+1,FALSE)</f>
        <v>0</v>
      </c>
      <c r="Q14">
        <f>VLOOKUP($F14&amp;$G14,Composite!$A$5:$Q$841,Q$3,FALSE)</f>
        <v>0</v>
      </c>
      <c r="R14" s="31">
        <f>VLOOKUP($F14&amp;$G14,Composite!$A$5:$Q$841,R$3,FALSE)*VLOOKUP($C14,[2]!ExistingSat,MATCH($A14,[2]SATS!$C$10:$F$10,0)+1,FALSE)</f>
        <v>0</v>
      </c>
      <c r="S14">
        <f>VLOOKUP($F14&amp;$G14,Composite!$A$5:$Q$841,S$3,FALSE)</f>
        <v>0</v>
      </c>
      <c r="T14" s="31">
        <f>VLOOKUP($F14&amp;$G14,Composite!$A$5:$Q$841,T$3,FALSE)*VLOOKUP($C14,[2]!ExistingSat,MATCH($A14,[2]SATS!$C$10:$F$10,0)+1,FALSE)</f>
        <v>0</v>
      </c>
    </row>
    <row r="15" spans="1:21">
      <c r="A15" t="s">
        <v>85</v>
      </c>
      <c r="B15" t="s">
        <v>77</v>
      </c>
      <c r="C15" t="s">
        <v>27</v>
      </c>
      <c r="D15" t="s">
        <v>59</v>
      </c>
      <c r="E15" t="str">
        <f t="shared" si="0"/>
        <v>Electric ZonalHZ1WINDOW CL22 Prime Window Replacement of Single Pane Base</v>
      </c>
      <c r="F15" s="31" t="str">
        <f>Composite!B14</f>
        <v>Windows - Single Pane to Class 22 - Heating Zone 1 (Zonal Heating System)</v>
      </c>
      <c r="G15" s="31" t="str">
        <f>Composite!C14</f>
        <v>WINDOW CL22 Prime Window Replacement of Single Pane Base</v>
      </c>
      <c r="H15" s="31">
        <f>VLOOKUP($F15&amp;$G15,Composite!$A$5:$Q$841,H$3,FALSE)*VLOOKUP($C15,[2]!ExistingSat,MATCH($A15,[2]SATS!$C$10:$F$10,0)+1,FALSE)</f>
        <v>4361.0950925694779</v>
      </c>
      <c r="I15">
        <f>VLOOKUP($F15&amp;$G15,Composite!$A$5:$Q$841,I$3,FALSE)</f>
        <v>45</v>
      </c>
      <c r="J15" s="31">
        <f>VLOOKUP($F15&amp;$G15,Composite!$A$5:$Q$841,J$3,FALSE)*VLOOKUP($C15,[2]!ExistingSat,MATCH($A15,[2]SATS!$C$10:$F$10,0)+1,FALSE)</f>
        <v>4048.8992557534643</v>
      </c>
      <c r="K15" s="31">
        <f>VLOOKUP($F15&amp;$G15,Composite!$A$5:$Q$841,K$3,FALSE)*VLOOKUP($C15,[2]!ExistingSat,MATCH($A15,[2]SATS!$C$10:$F$10,0)+1,FALSE)</f>
        <v>0</v>
      </c>
      <c r="L15" t="str">
        <f>VLOOKUP($F15&amp;$G15,Composite!$A$5:$Q$841,L$3,FALSE)</f>
        <v>ResSHWX</v>
      </c>
      <c r="M15" s="31">
        <f>VLOOKUP($F15&amp;$G15,Composite!$A$5:$Q$841,M$3,FALSE)*VLOOKUP($C15,[2]!ExistingSat,MATCH($A15,[2]SATS!$C$10:$F$10,0)+1,FALSE)</f>
        <v>0</v>
      </c>
      <c r="N15" s="31">
        <f>VLOOKUP($F15&amp;$G15,Composite!$A$5:$Q$841,N$3,FALSE)*VLOOKUP($C15,[2]!ExistingSat,MATCH($A15,[2]SATS!$C$10:$F$10,0)+1,FALSE)</f>
        <v>0</v>
      </c>
      <c r="O15">
        <f>VLOOKUP($F15&amp;$G15,Composite!$A$5:$Q$841,O$3,FALSE)</f>
        <v>0</v>
      </c>
      <c r="P15" s="31">
        <f>VLOOKUP($F15&amp;$G15,Composite!$A$5:$Q$841,P$3,FALSE)*VLOOKUP($C15,[2]!ExistingSat,MATCH($A15,[2]SATS!$C$10:$F$10,0)+1,FALSE)</f>
        <v>0</v>
      </c>
      <c r="Q15">
        <f>VLOOKUP($F15&amp;$G15,Composite!$A$5:$Q$841,Q$3,FALSE)</f>
        <v>0</v>
      </c>
      <c r="R15" s="31">
        <f>VLOOKUP($F15&amp;$G15,Composite!$A$5:$Q$841,R$3,FALSE)*VLOOKUP($C15,[2]!ExistingSat,MATCH($A15,[2]SATS!$C$10:$F$10,0)+1,FALSE)</f>
        <v>0</v>
      </c>
      <c r="S15">
        <f>VLOOKUP($F15&amp;$G15,Composite!$A$5:$Q$841,S$3,FALSE)</f>
        <v>0</v>
      </c>
      <c r="T15" s="31">
        <f>VLOOKUP($F15&amp;$G15,Composite!$A$5:$Q$841,T$3,FALSE)*VLOOKUP($C15,[2]!ExistingSat,MATCH($A15,[2]SATS!$C$10:$F$10,0)+1,FALSE)</f>
        <v>0</v>
      </c>
    </row>
    <row r="16" spans="1:21">
      <c r="A16" t="s">
        <v>85</v>
      </c>
      <c r="B16" t="s">
        <v>77</v>
      </c>
      <c r="C16" t="s">
        <v>27</v>
      </c>
      <c r="D16" t="s">
        <v>59</v>
      </c>
      <c r="E16" t="str">
        <f t="shared" si="0"/>
        <v>Electric ZonalHZ1WINDOW CL22 Prime Window Replacement of Double Pane Base</v>
      </c>
      <c r="F16" s="31" t="str">
        <f>Composite!B15</f>
        <v>Windows - Double Pane to Class 22 - Heating Zone 1 (Zonal Heating System)</v>
      </c>
      <c r="G16" s="31" t="str">
        <f>Composite!C15</f>
        <v>WINDOW CL22 Prime Window Replacement of Double Pane Base</v>
      </c>
      <c r="H16" s="31">
        <f>VLOOKUP($F16&amp;$G16,Composite!$A$5:$Q$841,H$3,FALSE)*VLOOKUP($C16,[2]!ExistingSat,MATCH($A16,[2]SATS!$C$10:$F$10,0)+1,FALSE)</f>
        <v>2560.9148859943498</v>
      </c>
      <c r="I16">
        <f>VLOOKUP($F16&amp;$G16,Composite!$A$5:$Q$841,I$3,FALSE)</f>
        <v>45</v>
      </c>
      <c r="J16" s="31">
        <f>VLOOKUP($F16&amp;$G16,Composite!$A$5:$Q$841,J$3,FALSE)*VLOOKUP($C16,[2]!ExistingSat,MATCH($A16,[2]SATS!$C$10:$F$10,0)+1,FALSE)</f>
        <v>4048.8992557534643</v>
      </c>
      <c r="K16" s="31">
        <f>VLOOKUP($F16&amp;$G16,Composite!$A$5:$Q$841,K$3,FALSE)*VLOOKUP($C16,[2]!ExistingSat,MATCH($A16,[2]SATS!$C$10:$F$10,0)+1,FALSE)</f>
        <v>0</v>
      </c>
      <c r="L16" t="str">
        <f>VLOOKUP($F16&amp;$G16,Composite!$A$5:$Q$841,L$3,FALSE)</f>
        <v>ResSHWX</v>
      </c>
      <c r="M16" s="31">
        <f>VLOOKUP($F16&amp;$G16,Composite!$A$5:$Q$841,M$3,FALSE)*VLOOKUP($C16,[2]!ExistingSat,MATCH($A16,[2]SATS!$C$10:$F$10,0)+1,FALSE)</f>
        <v>0</v>
      </c>
      <c r="N16" s="31">
        <f>VLOOKUP($F16&amp;$G16,Composite!$A$5:$Q$841,N$3,FALSE)*VLOOKUP($C16,[2]!ExistingSat,MATCH($A16,[2]SATS!$C$10:$F$10,0)+1,FALSE)</f>
        <v>0</v>
      </c>
      <c r="O16">
        <f>VLOOKUP($F16&amp;$G16,Composite!$A$5:$Q$841,O$3,FALSE)</f>
        <v>0</v>
      </c>
      <c r="P16" s="31">
        <f>VLOOKUP($F16&amp;$G16,Composite!$A$5:$Q$841,P$3,FALSE)*VLOOKUP($C16,[2]!ExistingSat,MATCH($A16,[2]SATS!$C$10:$F$10,0)+1,FALSE)</f>
        <v>0</v>
      </c>
      <c r="Q16">
        <f>VLOOKUP($F16&amp;$G16,Composite!$A$5:$Q$841,Q$3,FALSE)</f>
        <v>0</v>
      </c>
      <c r="R16" s="31">
        <f>VLOOKUP($F16&amp;$G16,Composite!$A$5:$Q$841,R$3,FALSE)*VLOOKUP($C16,[2]!ExistingSat,MATCH($A16,[2]SATS!$C$10:$F$10,0)+1,FALSE)</f>
        <v>0</v>
      </c>
      <c r="S16">
        <f>VLOOKUP($F16&amp;$G16,Composite!$A$5:$Q$841,S$3,FALSE)</f>
        <v>0</v>
      </c>
      <c r="T16" s="31">
        <f>VLOOKUP($F16&amp;$G16,Composite!$A$5:$Q$841,T$3,FALSE)*VLOOKUP($C16,[2]!ExistingSat,MATCH($A16,[2]SATS!$C$10:$F$10,0)+1,FALSE)</f>
        <v>0</v>
      </c>
    </row>
    <row r="17" spans="1:20">
      <c r="A17" t="s">
        <v>85</v>
      </c>
      <c r="B17" t="s">
        <v>77</v>
      </c>
      <c r="C17" t="s">
        <v>27</v>
      </c>
      <c r="D17" t="s">
        <v>59</v>
      </c>
      <c r="E17" t="str">
        <f t="shared" si="0"/>
        <v>Electric ZonalHZ1WINDOW CL30 Prime Window Replacement of Single Pane Base</v>
      </c>
      <c r="F17" s="31" t="str">
        <f>Composite!B16</f>
        <v>Windows - Single Pane to Class 30 - Heating Zone 1 (Zonal Heating System)</v>
      </c>
      <c r="G17" s="31" t="str">
        <f>Composite!C16</f>
        <v>WINDOW CL30 Prime Window Replacement of Single Pane Base</v>
      </c>
      <c r="H17" s="31">
        <f>VLOOKUP($F17&amp;$G17,Composite!$A$5:$Q$841,H$3,FALSE)*VLOOKUP($C17,[2]!ExistingSat,MATCH($A17,[2]SATS!$C$10:$F$10,0)+1,FALSE)</f>
        <v>4010.8082961174505</v>
      </c>
      <c r="I17">
        <f>VLOOKUP($F17&amp;$G17,Composite!$A$5:$Q$841,I$3,FALSE)</f>
        <v>45</v>
      </c>
      <c r="J17" s="31">
        <f>VLOOKUP($F17&amp;$G17,Composite!$A$5:$Q$841,J$3,FALSE)*VLOOKUP($C17,[2]!ExistingSat,MATCH($A17,[2]SATS!$C$10:$F$10,0)+1,FALSE)</f>
        <v>3098.9648613559325</v>
      </c>
      <c r="K17" s="31">
        <f>VLOOKUP($F17&amp;$G17,Composite!$A$5:$Q$841,K$3,FALSE)*VLOOKUP($C17,[2]!ExistingSat,MATCH($A17,[2]SATS!$C$10:$F$10,0)+1,FALSE)</f>
        <v>0</v>
      </c>
      <c r="L17" t="str">
        <f>VLOOKUP($F17&amp;$G17,Composite!$A$5:$Q$841,L$3,FALSE)</f>
        <v>ResSHWX</v>
      </c>
      <c r="M17" s="31">
        <f>VLOOKUP($F17&amp;$G17,Composite!$A$5:$Q$841,M$3,FALSE)*VLOOKUP($C17,[2]!ExistingSat,MATCH($A17,[2]SATS!$C$10:$F$10,0)+1,FALSE)</f>
        <v>0</v>
      </c>
      <c r="N17" s="31">
        <f>VLOOKUP($F17&amp;$G17,Composite!$A$5:$Q$841,N$3,FALSE)*VLOOKUP($C17,[2]!ExistingSat,MATCH($A17,[2]SATS!$C$10:$F$10,0)+1,FALSE)</f>
        <v>0</v>
      </c>
      <c r="O17">
        <f>VLOOKUP($F17&amp;$G17,Composite!$A$5:$Q$841,O$3,FALSE)</f>
        <v>0</v>
      </c>
      <c r="P17" s="31">
        <f>VLOOKUP($F17&amp;$G17,Composite!$A$5:$Q$841,P$3,FALSE)*VLOOKUP($C17,[2]!ExistingSat,MATCH($A17,[2]SATS!$C$10:$F$10,0)+1,FALSE)</f>
        <v>0</v>
      </c>
      <c r="Q17">
        <f>VLOOKUP($F17&amp;$G17,Composite!$A$5:$Q$841,Q$3,FALSE)</f>
        <v>0</v>
      </c>
      <c r="R17" s="31">
        <f>VLOOKUP($F17&amp;$G17,Composite!$A$5:$Q$841,R$3,FALSE)*VLOOKUP($C17,[2]!ExistingSat,MATCH($A17,[2]SATS!$C$10:$F$10,0)+1,FALSE)</f>
        <v>0</v>
      </c>
      <c r="S17">
        <f>VLOOKUP($F17&amp;$G17,Composite!$A$5:$Q$841,S$3,FALSE)</f>
        <v>0</v>
      </c>
      <c r="T17" s="31">
        <f>VLOOKUP($F17&amp;$G17,Composite!$A$5:$Q$841,T$3,FALSE)*VLOOKUP($C17,[2]!ExistingSat,MATCH($A17,[2]SATS!$C$10:$F$10,0)+1,FALSE)</f>
        <v>0</v>
      </c>
    </row>
    <row r="18" spans="1:20">
      <c r="A18" t="s">
        <v>85</v>
      </c>
      <c r="B18" t="s">
        <v>77</v>
      </c>
      <c r="C18" t="s">
        <v>27</v>
      </c>
      <c r="D18" t="s">
        <v>59</v>
      </c>
      <c r="E18" t="str">
        <f t="shared" si="0"/>
        <v>Electric ZonalHZ1WINDOW CL30 Prime Window Replacement of Double Pane Base</v>
      </c>
      <c r="F18" s="31" t="str">
        <f>Composite!B17</f>
        <v>Windows - Double Pane to Class 30 - Heating Zone 1 (Zonal Heating System)</v>
      </c>
      <c r="G18" s="31" t="str">
        <f>Composite!C17</f>
        <v>WINDOW CL30 Prime Window Replacement of Double Pane Base</v>
      </c>
      <c r="H18" s="31">
        <f>VLOOKUP($F18&amp;$G18,Composite!$A$5:$Q$841,H$3,FALSE)*VLOOKUP($C18,[2]!ExistingSat,MATCH($A18,[2]SATS!$C$10:$F$10,0)+1,FALSE)</f>
        <v>2210.628089542321</v>
      </c>
      <c r="I18">
        <f>VLOOKUP($F18&amp;$G18,Composite!$A$5:$Q$841,I$3,FALSE)</f>
        <v>45</v>
      </c>
      <c r="J18" s="31">
        <f>VLOOKUP($F18&amp;$G18,Composite!$A$5:$Q$841,J$3,FALSE)*VLOOKUP($C18,[2]!ExistingSat,MATCH($A18,[2]SATS!$C$10:$F$10,0)+1,FALSE)</f>
        <v>3098.9648613559325</v>
      </c>
      <c r="K18" s="31">
        <f>VLOOKUP($F18&amp;$G18,Composite!$A$5:$Q$841,K$3,FALSE)*VLOOKUP($C18,[2]!ExistingSat,MATCH($A18,[2]SATS!$C$10:$F$10,0)+1,FALSE)</f>
        <v>0</v>
      </c>
      <c r="L18" t="str">
        <f>VLOOKUP($F18&amp;$G18,Composite!$A$5:$Q$841,L$3,FALSE)</f>
        <v>ResSHWX</v>
      </c>
      <c r="M18" s="31">
        <f>VLOOKUP($F18&amp;$G18,Composite!$A$5:$Q$841,M$3,FALSE)*VLOOKUP($C18,[2]!ExistingSat,MATCH($A18,[2]SATS!$C$10:$F$10,0)+1,FALSE)</f>
        <v>0</v>
      </c>
      <c r="N18" s="31">
        <f>VLOOKUP($F18&amp;$G18,Composite!$A$5:$Q$841,N$3,FALSE)*VLOOKUP($C18,[2]!ExistingSat,MATCH($A18,[2]SATS!$C$10:$F$10,0)+1,FALSE)</f>
        <v>0</v>
      </c>
      <c r="O18">
        <f>VLOOKUP($F18&amp;$G18,Composite!$A$5:$Q$841,O$3,FALSE)</f>
        <v>0</v>
      </c>
      <c r="P18" s="31">
        <f>VLOOKUP($F18&amp;$G18,Composite!$A$5:$Q$841,P$3,FALSE)*VLOOKUP($C18,[2]!ExistingSat,MATCH($A18,[2]SATS!$C$10:$F$10,0)+1,FALSE)</f>
        <v>0</v>
      </c>
      <c r="Q18">
        <f>VLOOKUP($F18&amp;$G18,Composite!$A$5:$Q$841,Q$3,FALSE)</f>
        <v>0</v>
      </c>
      <c r="R18" s="31">
        <f>VLOOKUP($F18&amp;$G18,Composite!$A$5:$Q$841,R$3,FALSE)*VLOOKUP($C18,[2]!ExistingSat,MATCH($A18,[2]SATS!$C$10:$F$10,0)+1,FALSE)</f>
        <v>0</v>
      </c>
      <c r="S18">
        <f>VLOOKUP($F18&amp;$G18,Composite!$A$5:$Q$841,S$3,FALSE)</f>
        <v>0</v>
      </c>
      <c r="T18" s="31">
        <f>VLOOKUP($F18&amp;$G18,Composite!$A$5:$Q$841,T$3,FALSE)*VLOOKUP($C18,[2]!ExistingSat,MATCH($A18,[2]SATS!$C$10:$F$10,0)+1,FALSE)</f>
        <v>0</v>
      </c>
    </row>
    <row r="19" spans="1:20">
      <c r="A19" t="s">
        <v>85</v>
      </c>
      <c r="B19" t="s">
        <v>77</v>
      </c>
      <c r="C19" t="s">
        <v>63</v>
      </c>
      <c r="D19" t="s">
        <v>60</v>
      </c>
      <c r="E19" t="str">
        <f t="shared" si="0"/>
        <v>Electric ZonalHZ2WALL R0 - R11</v>
      </c>
      <c r="F19" s="31" t="str">
        <f>Composite!B18</f>
        <v>Multi Family Weatherization - Insulate Walls - R-0 to R-11 - Heating Zone 2 (Zonal Heating System)</v>
      </c>
      <c r="G19" s="31" t="str">
        <f>Composite!C18</f>
        <v>WALL R0 - R11</v>
      </c>
      <c r="H19" s="31">
        <f>VLOOKUP($F19&amp;$G19,Composite!$A$5:$Q$841,H$3,FALSE)*VLOOKUP($C19,[2]!ExistingSat,MATCH($A19,[2]SATS!$C$10:$F$10,0)+1,FALSE)</f>
        <v>905.41888186643234</v>
      </c>
      <c r="I19">
        <f>VLOOKUP($F19&amp;$G19,Composite!$A$5:$Q$841,I$3,FALSE)</f>
        <v>45</v>
      </c>
      <c r="J19" s="31">
        <f>VLOOKUP($F19&amp;$G19,Composite!$A$5:$Q$841,J$3,FALSE)*VLOOKUP($C19,[2]!ExistingSat,MATCH($A19,[2]SATS!$C$10:$F$10,0)+1,FALSE)</f>
        <v>504.28054205609425</v>
      </c>
      <c r="K19" s="31">
        <f>VLOOKUP($F19&amp;$G19,Composite!$A$5:$Q$841,K$3,FALSE)*VLOOKUP($C19,[2]!ExistingSat,MATCH($A19,[2]SATS!$C$10:$F$10,0)+1,FALSE)</f>
        <v>0</v>
      </c>
      <c r="L19" t="str">
        <f>VLOOKUP($F19&amp;$G19,Composite!$A$5:$Q$841,L$3,FALSE)</f>
        <v>ResSHWX</v>
      </c>
      <c r="M19" s="31">
        <f>VLOOKUP($F19&amp;$G19,Composite!$A$5:$Q$841,M$3,FALSE)*VLOOKUP($C19,[2]!ExistingSat,MATCH($A19,[2]SATS!$C$10:$F$10,0)+1,FALSE)</f>
        <v>0</v>
      </c>
      <c r="N19" s="31">
        <f>VLOOKUP($F19&amp;$G19,Composite!$A$5:$Q$841,N$3,FALSE)*VLOOKUP($C19,[2]!ExistingSat,MATCH($A19,[2]SATS!$C$10:$F$10,0)+1,FALSE)</f>
        <v>0</v>
      </c>
      <c r="O19">
        <f>VLOOKUP($F19&amp;$G19,Composite!$A$5:$Q$841,O$3,FALSE)</f>
        <v>0</v>
      </c>
      <c r="P19" s="31">
        <f>VLOOKUP($F19&amp;$G19,Composite!$A$5:$Q$841,P$3,FALSE)*VLOOKUP($C19,[2]!ExistingSat,MATCH($A19,[2]SATS!$C$10:$F$10,0)+1,FALSE)</f>
        <v>0</v>
      </c>
      <c r="Q19">
        <f>VLOOKUP($F19&amp;$G19,Composite!$A$5:$Q$841,Q$3,FALSE)</f>
        <v>0</v>
      </c>
      <c r="R19" s="31">
        <f>VLOOKUP($F19&amp;$G19,Composite!$A$5:$Q$841,R$3,FALSE)*VLOOKUP($C19,[2]!ExistingSat,MATCH($A19,[2]SATS!$C$10:$F$10,0)+1,FALSE)</f>
        <v>0</v>
      </c>
      <c r="S19">
        <f>VLOOKUP($F19&amp;$G19,Composite!$A$5:$Q$841,S$3,FALSE)</f>
        <v>0</v>
      </c>
      <c r="T19" s="31">
        <f>VLOOKUP($F19&amp;$G19,Composite!$A$5:$Q$841,T$3,FALSE)*VLOOKUP($C19,[2]!ExistingSat,MATCH($A19,[2]SATS!$C$10:$F$10,0)+1,FALSE)</f>
        <v>0</v>
      </c>
    </row>
    <row r="20" spans="1:20">
      <c r="A20" t="s">
        <v>85</v>
      </c>
      <c r="B20" t="s">
        <v>77</v>
      </c>
      <c r="C20" t="s">
        <v>26</v>
      </c>
      <c r="D20" t="s">
        <v>60</v>
      </c>
      <c r="E20" t="str">
        <f t="shared" ref="E20:E71" si="1">B20&amp;D20&amp;G20</f>
        <v>Electric ZonalHZ2FLOOR R0 - R19</v>
      </c>
      <c r="F20" s="31" t="str">
        <f>Composite!B19</f>
        <v>Multi Family Weatherization - Insulate Floors - R-0 to R-19 - Heating Zone 2 (Zonal Heating System)</v>
      </c>
      <c r="G20" s="31" t="str">
        <f>Composite!C19</f>
        <v>FLOOR R0 - R19</v>
      </c>
      <c r="H20" s="31">
        <f>VLOOKUP($F20&amp;$G20,Composite!$A$5:$Q$841,H$3,FALSE)*VLOOKUP($C20,[2]!ExistingSat,MATCH($A20,[2]SATS!$C$10:$F$10,0)+1,FALSE)</f>
        <v>297.45544678945583</v>
      </c>
      <c r="I20">
        <f>VLOOKUP($F20&amp;$G20,Composite!$A$5:$Q$841,I$3,FALSE)</f>
        <v>45</v>
      </c>
      <c r="J20" s="31">
        <f>VLOOKUP($F20&amp;$G20,Composite!$A$5:$Q$841,J$3,FALSE)*VLOOKUP($C20,[2]!ExistingSat,MATCH($A20,[2]SATS!$C$10:$F$10,0)+1,FALSE)</f>
        <v>358.01976642494196</v>
      </c>
      <c r="K20" s="31">
        <f>VLOOKUP($F20&amp;$G20,Composite!$A$5:$Q$841,K$3,FALSE)*VLOOKUP($C20,[2]!ExistingSat,MATCH($A20,[2]SATS!$C$10:$F$10,0)+1,FALSE)</f>
        <v>0</v>
      </c>
      <c r="L20" t="str">
        <f>VLOOKUP($F20&amp;$G20,Composite!$A$5:$Q$841,L$3,FALSE)</f>
        <v>ResSHWX</v>
      </c>
      <c r="M20" s="31">
        <f>VLOOKUP($F20&amp;$G20,Composite!$A$5:$Q$841,M$3,FALSE)*VLOOKUP($C20,[2]!ExistingSat,MATCH($A20,[2]SATS!$C$10:$F$10,0)+1,FALSE)</f>
        <v>0</v>
      </c>
      <c r="N20" s="31">
        <f>VLOOKUP($F20&amp;$G20,Composite!$A$5:$Q$841,N$3,FALSE)*VLOOKUP($C20,[2]!ExistingSat,MATCH($A20,[2]SATS!$C$10:$F$10,0)+1,FALSE)</f>
        <v>0</v>
      </c>
      <c r="O20">
        <f>VLOOKUP($F20&amp;$G20,Composite!$A$5:$Q$841,O$3,FALSE)</f>
        <v>0</v>
      </c>
      <c r="P20" s="31">
        <f>VLOOKUP($F20&amp;$G20,Composite!$A$5:$Q$841,P$3,FALSE)*VLOOKUP($C20,[2]!ExistingSat,MATCH($A20,[2]SATS!$C$10:$F$10,0)+1,FALSE)</f>
        <v>0</v>
      </c>
      <c r="Q20">
        <f>VLOOKUP($F20&amp;$G20,Composite!$A$5:$Q$841,Q$3,FALSE)</f>
        <v>0</v>
      </c>
      <c r="R20" s="31">
        <f>VLOOKUP($F20&amp;$G20,Composite!$A$5:$Q$841,R$3,FALSE)*VLOOKUP($C20,[2]!ExistingSat,MATCH($A20,[2]SATS!$C$10:$F$10,0)+1,FALSE)</f>
        <v>0</v>
      </c>
      <c r="S20">
        <f>VLOOKUP($F20&amp;$G20,Composite!$A$5:$Q$841,S$3,FALSE)</f>
        <v>0</v>
      </c>
      <c r="T20" s="31">
        <f>VLOOKUP($F20&amp;$G20,Composite!$A$5:$Q$841,T$3,FALSE)*VLOOKUP($C20,[2]!ExistingSat,MATCH($A20,[2]SATS!$C$10:$F$10,0)+1,FALSE)</f>
        <v>0</v>
      </c>
    </row>
    <row r="21" spans="1:20">
      <c r="A21" t="s">
        <v>85</v>
      </c>
      <c r="B21" t="s">
        <v>77</v>
      </c>
      <c r="C21" t="s">
        <v>26</v>
      </c>
      <c r="D21" t="s">
        <v>60</v>
      </c>
      <c r="E21" t="str">
        <f t="shared" si="1"/>
        <v>Electric ZonalHZ2FLOOR R0 - R30</v>
      </c>
      <c r="F21" s="31" t="str">
        <f>Composite!B20</f>
        <v>Multi Family Weatherization - Insulate Floors - R-0 to R-30 - Heating Zone 2 (Zonal Heating System)</v>
      </c>
      <c r="G21" s="31" t="str">
        <f>Composite!C20</f>
        <v>FLOOR R0 - R30</v>
      </c>
      <c r="H21" s="31">
        <f>VLOOKUP($F21&amp;$G21,Composite!$A$5:$Q$841,H$3,FALSE)*VLOOKUP($C21,[2]!ExistingSat,MATCH($A21,[2]SATS!$C$10:$F$10,0)+1,FALSE)</f>
        <v>388.24386765131925</v>
      </c>
      <c r="I21">
        <f>VLOOKUP($F21&amp;$G21,Composite!$A$5:$Q$841,I$3,FALSE)</f>
        <v>45</v>
      </c>
      <c r="J21" s="31">
        <f>VLOOKUP($F21&amp;$G21,Composite!$A$5:$Q$841,J$3,FALSE)*VLOOKUP($C21,[2]!ExistingSat,MATCH($A21,[2]SATS!$C$10:$F$10,0)+1,FALSE)</f>
        <v>383.15497685936549</v>
      </c>
      <c r="K21" s="31">
        <f>VLOOKUP($F21&amp;$G21,Composite!$A$5:$Q$841,K$3,FALSE)*VLOOKUP($C21,[2]!ExistingSat,MATCH($A21,[2]SATS!$C$10:$F$10,0)+1,FALSE)</f>
        <v>0</v>
      </c>
      <c r="L21" t="str">
        <f>VLOOKUP($F21&amp;$G21,Composite!$A$5:$Q$841,L$3,FALSE)</f>
        <v>ResSHWX</v>
      </c>
      <c r="M21" s="31">
        <f>VLOOKUP($F21&amp;$G21,Composite!$A$5:$Q$841,M$3,FALSE)*VLOOKUP($C21,[2]!ExistingSat,MATCH($A21,[2]SATS!$C$10:$F$10,0)+1,FALSE)</f>
        <v>0</v>
      </c>
      <c r="N21" s="31">
        <f>VLOOKUP($F21&amp;$G21,Composite!$A$5:$Q$841,N$3,FALSE)*VLOOKUP($C21,[2]!ExistingSat,MATCH($A21,[2]SATS!$C$10:$F$10,0)+1,FALSE)</f>
        <v>0</v>
      </c>
      <c r="O21">
        <f>VLOOKUP($F21&amp;$G21,Composite!$A$5:$Q$841,O$3,FALSE)</f>
        <v>0</v>
      </c>
      <c r="P21" s="31">
        <f>VLOOKUP($F21&amp;$G21,Composite!$A$5:$Q$841,P$3,FALSE)*VLOOKUP($C21,[2]!ExistingSat,MATCH($A21,[2]SATS!$C$10:$F$10,0)+1,FALSE)</f>
        <v>0</v>
      </c>
      <c r="Q21">
        <f>VLOOKUP($F21&amp;$G21,Composite!$A$5:$Q$841,Q$3,FALSE)</f>
        <v>0</v>
      </c>
      <c r="R21" s="31">
        <f>VLOOKUP($F21&amp;$G21,Composite!$A$5:$Q$841,R$3,FALSE)*VLOOKUP($C21,[2]!ExistingSat,MATCH($A21,[2]SATS!$C$10:$F$10,0)+1,FALSE)</f>
        <v>0</v>
      </c>
      <c r="S21">
        <f>VLOOKUP($F21&amp;$G21,Composite!$A$5:$Q$841,S$3,FALSE)</f>
        <v>0</v>
      </c>
      <c r="T21" s="31">
        <f>VLOOKUP($F21&amp;$G21,Composite!$A$5:$Q$841,T$3,FALSE)*VLOOKUP($C21,[2]!ExistingSat,MATCH($A21,[2]SATS!$C$10:$F$10,0)+1,FALSE)</f>
        <v>0</v>
      </c>
    </row>
    <row r="22" spans="1:20">
      <c r="A22" t="s">
        <v>85</v>
      </c>
      <c r="B22" t="s">
        <v>77</v>
      </c>
      <c r="C22" t="s">
        <v>28</v>
      </c>
      <c r="D22" t="s">
        <v>60</v>
      </c>
      <c r="E22" t="str">
        <f t="shared" si="1"/>
        <v>Electric ZonalHZ2ATTIC R0 - R19</v>
      </c>
      <c r="F22" s="31" t="str">
        <f>Composite!B21</f>
        <v>Multi Family Weatherization - Insulate Attic - R-0 to R-19 - Heating Zone 2 (Zonal Heating System)</v>
      </c>
      <c r="G22" s="31" t="str">
        <f>Composite!C21</f>
        <v>ATTIC R0 - R19</v>
      </c>
      <c r="H22" s="31">
        <f>VLOOKUP($F22&amp;$G22,Composite!$A$5:$Q$841,H$3,FALSE)*VLOOKUP($C22,[2]!ExistingSat,MATCH($A22,[2]SATS!$C$10:$F$10,0)+1,FALSE)</f>
        <v>196.65265880340124</v>
      </c>
      <c r="I22">
        <f>VLOOKUP($F22&amp;$G22,Composite!$A$5:$Q$841,I$3,FALSE)</f>
        <v>45</v>
      </c>
      <c r="J22" s="31">
        <f>VLOOKUP($F22&amp;$G22,Composite!$A$5:$Q$841,J$3,FALSE)*VLOOKUP($C22,[2]!ExistingSat,MATCH($A22,[2]SATS!$C$10:$F$10,0)+1,FALSE)</f>
        <v>223.50315070635102</v>
      </c>
      <c r="K22" s="31">
        <f>VLOOKUP($F22&amp;$G22,Composite!$A$5:$Q$841,K$3,FALSE)*VLOOKUP($C22,[2]!ExistingSat,MATCH($A22,[2]SATS!$C$10:$F$10,0)+1,FALSE)</f>
        <v>0</v>
      </c>
      <c r="L22" t="str">
        <f>VLOOKUP($F22&amp;$G22,Composite!$A$5:$Q$841,L$3,FALSE)</f>
        <v>ResSHWX</v>
      </c>
      <c r="M22" s="31">
        <f>VLOOKUP($F22&amp;$G22,Composite!$A$5:$Q$841,M$3,FALSE)*VLOOKUP($C22,[2]!ExistingSat,MATCH($A22,[2]SATS!$C$10:$F$10,0)+1,FALSE)</f>
        <v>0</v>
      </c>
      <c r="N22" s="31">
        <f>VLOOKUP($F22&amp;$G22,Composite!$A$5:$Q$841,N$3,FALSE)*VLOOKUP($C22,[2]!ExistingSat,MATCH($A22,[2]SATS!$C$10:$F$10,0)+1,FALSE)</f>
        <v>0</v>
      </c>
      <c r="O22">
        <f>VLOOKUP($F22&amp;$G22,Composite!$A$5:$Q$841,O$3,FALSE)</f>
        <v>0</v>
      </c>
      <c r="P22" s="31">
        <f>VLOOKUP($F22&amp;$G22,Composite!$A$5:$Q$841,P$3,FALSE)*VLOOKUP($C22,[2]!ExistingSat,MATCH($A22,[2]SATS!$C$10:$F$10,0)+1,FALSE)</f>
        <v>0</v>
      </c>
      <c r="Q22">
        <f>VLOOKUP($F22&amp;$G22,Composite!$A$5:$Q$841,Q$3,FALSE)</f>
        <v>0</v>
      </c>
      <c r="R22" s="31">
        <f>VLOOKUP($F22&amp;$G22,Composite!$A$5:$Q$841,R$3,FALSE)*VLOOKUP($C22,[2]!ExistingSat,MATCH($A22,[2]SATS!$C$10:$F$10,0)+1,FALSE)</f>
        <v>0</v>
      </c>
      <c r="S22">
        <f>VLOOKUP($F22&amp;$G22,Composite!$A$5:$Q$841,S$3,FALSE)</f>
        <v>0</v>
      </c>
      <c r="T22" s="31">
        <f>VLOOKUP($F22&amp;$G22,Composite!$A$5:$Q$841,T$3,FALSE)*VLOOKUP($C22,[2]!ExistingSat,MATCH($A22,[2]SATS!$C$10:$F$10,0)+1,FALSE)</f>
        <v>0</v>
      </c>
    </row>
    <row r="23" spans="1:20">
      <c r="A23" t="s">
        <v>85</v>
      </c>
      <c r="B23" t="s">
        <v>77</v>
      </c>
      <c r="C23" t="s">
        <v>28</v>
      </c>
      <c r="D23" t="s">
        <v>60</v>
      </c>
      <c r="E23" t="str">
        <f t="shared" si="1"/>
        <v>Electric ZonalHZ2ATTIC R0 - R38</v>
      </c>
      <c r="F23" s="31" t="str">
        <f>Composite!B22</f>
        <v>Multi Family Weatherization - Insulate Attic - R-0 to R-38 - Heating Zone 2 (Zonal Heating System)</v>
      </c>
      <c r="G23" s="31" t="str">
        <f>Composite!C22</f>
        <v>ATTIC R0 - R38</v>
      </c>
      <c r="H23" s="31">
        <f>VLOOKUP($F23&amp;$G23,Composite!$A$5:$Q$841,H$3,FALSE)*VLOOKUP($C23,[2]!ExistingSat,MATCH($A23,[2]SATS!$C$10:$F$10,0)+1,FALSE)</f>
        <v>268.38831470337141</v>
      </c>
      <c r="I23">
        <f>VLOOKUP($F23&amp;$G23,Composite!$A$5:$Q$841,I$3,FALSE)</f>
        <v>45</v>
      </c>
      <c r="J23" s="31">
        <f>VLOOKUP($F23&amp;$G23,Composite!$A$5:$Q$841,J$3,FALSE)*VLOOKUP($C23,[2]!ExistingSat,MATCH($A23,[2]SATS!$C$10:$F$10,0)+1,FALSE)</f>
        <v>298.11418524056876</v>
      </c>
      <c r="K23" s="31">
        <f>VLOOKUP($F23&amp;$G23,Composite!$A$5:$Q$841,K$3,FALSE)*VLOOKUP($C23,[2]!ExistingSat,MATCH($A23,[2]SATS!$C$10:$F$10,0)+1,FALSE)</f>
        <v>0</v>
      </c>
      <c r="L23" t="str">
        <f>VLOOKUP($F23&amp;$G23,Composite!$A$5:$Q$841,L$3,FALSE)</f>
        <v>ResSHWX</v>
      </c>
      <c r="M23" s="31">
        <f>VLOOKUP($F23&amp;$G23,Composite!$A$5:$Q$841,M$3,FALSE)*VLOOKUP($C23,[2]!ExistingSat,MATCH($A23,[2]SATS!$C$10:$F$10,0)+1,FALSE)</f>
        <v>0</v>
      </c>
      <c r="N23" s="31">
        <f>VLOOKUP($F23&amp;$G23,Composite!$A$5:$Q$841,N$3,FALSE)*VLOOKUP($C23,[2]!ExistingSat,MATCH($A23,[2]SATS!$C$10:$F$10,0)+1,FALSE)</f>
        <v>0</v>
      </c>
      <c r="O23">
        <f>VLOOKUP($F23&amp;$G23,Composite!$A$5:$Q$841,O$3,FALSE)</f>
        <v>0</v>
      </c>
      <c r="P23" s="31">
        <f>VLOOKUP($F23&amp;$G23,Composite!$A$5:$Q$841,P$3,FALSE)*VLOOKUP($C23,[2]!ExistingSat,MATCH($A23,[2]SATS!$C$10:$F$10,0)+1,FALSE)</f>
        <v>0</v>
      </c>
      <c r="Q23">
        <f>VLOOKUP($F23&amp;$G23,Composite!$A$5:$Q$841,Q$3,FALSE)</f>
        <v>0</v>
      </c>
      <c r="R23" s="31">
        <f>VLOOKUP($F23&amp;$G23,Composite!$A$5:$Q$841,R$3,FALSE)*VLOOKUP($C23,[2]!ExistingSat,MATCH($A23,[2]SATS!$C$10:$F$10,0)+1,FALSE)</f>
        <v>0</v>
      </c>
      <c r="S23">
        <f>VLOOKUP($F23&amp;$G23,Composite!$A$5:$Q$841,S$3,FALSE)</f>
        <v>0</v>
      </c>
      <c r="T23" s="31">
        <f>VLOOKUP($F23&amp;$G23,Composite!$A$5:$Q$841,T$3,FALSE)*VLOOKUP($C23,[2]!ExistingSat,MATCH($A23,[2]SATS!$C$10:$F$10,0)+1,FALSE)</f>
        <v>0</v>
      </c>
    </row>
    <row r="24" spans="1:20">
      <c r="A24" t="s">
        <v>85</v>
      </c>
      <c r="B24" t="s">
        <v>77</v>
      </c>
      <c r="C24" t="s">
        <v>28</v>
      </c>
      <c r="D24" t="s">
        <v>60</v>
      </c>
      <c r="E24" t="str">
        <f t="shared" si="1"/>
        <v>Electric ZonalHZ2ATTIC R0 - R49</v>
      </c>
      <c r="F24" s="31" t="str">
        <f>Composite!B23</f>
        <v>Multi Family Weatherization - Insulate Attic - R-0 to R-49 - Heating Zone 2 (Zonal Heating System)</v>
      </c>
      <c r="G24" s="31" t="str">
        <f>Composite!C23</f>
        <v>ATTIC R0 - R49</v>
      </c>
      <c r="H24" s="31">
        <f>VLOOKUP($F24&amp;$G24,Composite!$A$5:$Q$841,H$3,FALSE)*VLOOKUP($C24,[2]!ExistingSat,MATCH($A24,[2]SATS!$C$10:$F$10,0)+1,FALSE)</f>
        <v>285.05234919631124</v>
      </c>
      <c r="I24">
        <f>VLOOKUP($F24&amp;$G24,Composite!$A$5:$Q$841,I$3,FALSE)</f>
        <v>45</v>
      </c>
      <c r="J24" s="31">
        <f>VLOOKUP($F24&amp;$G24,Composite!$A$5:$Q$841,J$3,FALSE)*VLOOKUP($C24,[2]!ExistingSat,MATCH($A24,[2]SATS!$C$10:$F$10,0)+1,FALSE)</f>
        <v>338.16777381701564</v>
      </c>
      <c r="K24" s="31">
        <f>VLOOKUP($F24&amp;$G24,Composite!$A$5:$Q$841,K$3,FALSE)*VLOOKUP($C24,[2]!ExistingSat,MATCH($A24,[2]SATS!$C$10:$F$10,0)+1,FALSE)</f>
        <v>0</v>
      </c>
      <c r="L24" t="str">
        <f>VLOOKUP($F24&amp;$G24,Composite!$A$5:$Q$841,L$3,FALSE)</f>
        <v>ResSHWX</v>
      </c>
      <c r="M24" s="31">
        <f>VLOOKUP($F24&amp;$G24,Composite!$A$5:$Q$841,M$3,FALSE)*VLOOKUP($C24,[2]!ExistingSat,MATCH($A24,[2]SATS!$C$10:$F$10,0)+1,FALSE)</f>
        <v>0</v>
      </c>
      <c r="N24" s="31">
        <f>VLOOKUP($F24&amp;$G24,Composite!$A$5:$Q$841,N$3,FALSE)*VLOOKUP($C24,[2]!ExistingSat,MATCH($A24,[2]SATS!$C$10:$F$10,0)+1,FALSE)</f>
        <v>0</v>
      </c>
      <c r="O24">
        <f>VLOOKUP($F24&amp;$G24,Composite!$A$5:$Q$841,O$3,FALSE)</f>
        <v>0</v>
      </c>
      <c r="P24" s="31">
        <f>VLOOKUP($F24&amp;$G24,Composite!$A$5:$Q$841,P$3,FALSE)*VLOOKUP($C24,[2]!ExistingSat,MATCH($A24,[2]SATS!$C$10:$F$10,0)+1,FALSE)</f>
        <v>0</v>
      </c>
      <c r="Q24">
        <f>VLOOKUP($F24&amp;$G24,Composite!$A$5:$Q$841,Q$3,FALSE)</f>
        <v>0</v>
      </c>
      <c r="R24" s="31">
        <f>VLOOKUP($F24&amp;$G24,Composite!$A$5:$Q$841,R$3,FALSE)*VLOOKUP($C24,[2]!ExistingSat,MATCH($A24,[2]SATS!$C$10:$F$10,0)+1,FALSE)</f>
        <v>0</v>
      </c>
      <c r="S24">
        <f>VLOOKUP($F24&amp;$G24,Composite!$A$5:$Q$841,S$3,FALSE)</f>
        <v>0</v>
      </c>
      <c r="T24" s="31">
        <f>VLOOKUP($F24&amp;$G24,Composite!$A$5:$Q$841,T$3,FALSE)*VLOOKUP($C24,[2]!ExistingSat,MATCH($A24,[2]SATS!$C$10:$F$10,0)+1,FALSE)</f>
        <v>0</v>
      </c>
    </row>
    <row r="25" spans="1:20">
      <c r="A25" t="s">
        <v>85</v>
      </c>
      <c r="B25" t="s">
        <v>77</v>
      </c>
      <c r="C25" t="s">
        <v>28</v>
      </c>
      <c r="D25" t="s">
        <v>60</v>
      </c>
      <c r="E25" t="str">
        <f t="shared" si="1"/>
        <v>Electric ZonalHZ2ATTIC R19 - R30</v>
      </c>
      <c r="F25" s="31" t="str">
        <f>Composite!B24</f>
        <v>Multi Family Weatherization - Insulate Attic - R-19 to R-30 - Heating Zone 2 (Zonal Heating System)</v>
      </c>
      <c r="G25" s="31" t="str">
        <f>Composite!C24</f>
        <v>ATTIC R19 - R30</v>
      </c>
      <c r="H25" s="31">
        <f>VLOOKUP($F25&amp;$G25,Composite!$A$5:$Q$841,H$3,FALSE)*VLOOKUP($C25,[2]!ExistingSat,MATCH($A25,[2]SATS!$C$10:$F$10,0)+1,FALSE)</f>
        <v>51.965518259205048</v>
      </c>
      <c r="I25">
        <f>VLOOKUP($F25&amp;$G25,Composite!$A$5:$Q$841,I$3,FALSE)</f>
        <v>45</v>
      </c>
      <c r="J25" s="31">
        <f>VLOOKUP($F25&amp;$G25,Composite!$A$5:$Q$841,J$3,FALSE)*VLOOKUP($C25,[2]!ExistingSat,MATCH($A25,[2]SATS!$C$10:$F$10,0)+1,FALSE)</f>
        <v>192.92591787684046</v>
      </c>
      <c r="K25" s="31">
        <f>VLOOKUP($F25&amp;$G25,Composite!$A$5:$Q$841,K$3,FALSE)*VLOOKUP($C25,[2]!ExistingSat,MATCH($A25,[2]SATS!$C$10:$F$10,0)+1,FALSE)</f>
        <v>0</v>
      </c>
      <c r="L25" t="str">
        <f>VLOOKUP($F25&amp;$G25,Composite!$A$5:$Q$841,L$3,FALSE)</f>
        <v>ResSHWX</v>
      </c>
      <c r="M25" s="31">
        <f>VLOOKUP($F25&amp;$G25,Composite!$A$5:$Q$841,M$3,FALSE)*VLOOKUP($C25,[2]!ExistingSat,MATCH($A25,[2]SATS!$C$10:$F$10,0)+1,FALSE)</f>
        <v>0</v>
      </c>
      <c r="N25" s="31">
        <f>VLOOKUP($F25&amp;$G25,Composite!$A$5:$Q$841,N$3,FALSE)*VLOOKUP($C25,[2]!ExistingSat,MATCH($A25,[2]SATS!$C$10:$F$10,0)+1,FALSE)</f>
        <v>0</v>
      </c>
      <c r="O25">
        <f>VLOOKUP($F25&amp;$G25,Composite!$A$5:$Q$841,O$3,FALSE)</f>
        <v>0</v>
      </c>
      <c r="P25" s="31">
        <f>VLOOKUP($F25&amp;$G25,Composite!$A$5:$Q$841,P$3,FALSE)*VLOOKUP($C25,[2]!ExistingSat,MATCH($A25,[2]SATS!$C$10:$F$10,0)+1,FALSE)</f>
        <v>0</v>
      </c>
      <c r="Q25">
        <f>VLOOKUP($F25&amp;$G25,Composite!$A$5:$Q$841,Q$3,FALSE)</f>
        <v>0</v>
      </c>
      <c r="R25" s="31">
        <f>VLOOKUP($F25&amp;$G25,Composite!$A$5:$Q$841,R$3,FALSE)*VLOOKUP($C25,[2]!ExistingSat,MATCH($A25,[2]SATS!$C$10:$F$10,0)+1,FALSE)</f>
        <v>0</v>
      </c>
      <c r="S25">
        <f>VLOOKUP($F25&amp;$G25,Composite!$A$5:$Q$841,S$3,FALSE)</f>
        <v>0</v>
      </c>
      <c r="T25" s="31">
        <f>VLOOKUP($F25&amp;$G25,Composite!$A$5:$Q$841,T$3,FALSE)*VLOOKUP($C25,[2]!ExistingSat,MATCH($A25,[2]SATS!$C$10:$F$10,0)+1,FALSE)</f>
        <v>0</v>
      </c>
    </row>
    <row r="26" spans="1:20">
      <c r="A26" t="s">
        <v>85</v>
      </c>
      <c r="B26" t="s">
        <v>77</v>
      </c>
      <c r="C26" t="s">
        <v>28</v>
      </c>
      <c r="D26" t="s">
        <v>60</v>
      </c>
      <c r="E26" t="str">
        <f t="shared" si="1"/>
        <v>Electric ZonalHZ2ATTIC R19 - R38</v>
      </c>
      <c r="F26" s="31" t="str">
        <f>Composite!B25</f>
        <v>Multi Family Weatherization - Insulate Attic - R-19 to R-38 - Heating Zone 2 (Zonal Heating System)</v>
      </c>
      <c r="G26" s="31" t="str">
        <f>Composite!C25</f>
        <v>ATTIC R19 - R38</v>
      </c>
      <c r="H26" s="31">
        <f>VLOOKUP($F26&amp;$G26,Composite!$A$5:$Q$841,H$3,FALSE)*VLOOKUP($C26,[2]!ExistingSat,MATCH($A26,[2]SATS!$C$10:$F$10,0)+1,FALSE)</f>
        <v>71.735655899970155</v>
      </c>
      <c r="I26">
        <f>VLOOKUP($F26&amp;$G26,Composite!$A$5:$Q$841,I$3,FALSE)</f>
        <v>45</v>
      </c>
      <c r="J26" s="31">
        <f>VLOOKUP($F26&amp;$G26,Composite!$A$5:$Q$841,J$3,FALSE)*VLOOKUP($C26,[2]!ExistingSat,MATCH($A26,[2]SATS!$C$10:$F$10,0)+1,FALSE)</f>
        <v>225.005207173061</v>
      </c>
      <c r="K26" s="31">
        <f>VLOOKUP($F26&amp;$G26,Composite!$A$5:$Q$841,K$3,FALSE)*VLOOKUP($C26,[2]!ExistingSat,MATCH($A26,[2]SATS!$C$10:$F$10,0)+1,FALSE)</f>
        <v>0</v>
      </c>
      <c r="L26" t="str">
        <f>VLOOKUP($F26&amp;$G26,Composite!$A$5:$Q$841,L$3,FALSE)</f>
        <v>ResSHWX</v>
      </c>
      <c r="M26" s="31">
        <f>VLOOKUP($F26&amp;$G26,Composite!$A$5:$Q$841,M$3,FALSE)*VLOOKUP($C26,[2]!ExistingSat,MATCH($A26,[2]SATS!$C$10:$F$10,0)+1,FALSE)</f>
        <v>0</v>
      </c>
      <c r="N26" s="31">
        <f>VLOOKUP($F26&amp;$G26,Composite!$A$5:$Q$841,N$3,FALSE)*VLOOKUP($C26,[2]!ExistingSat,MATCH($A26,[2]SATS!$C$10:$F$10,0)+1,FALSE)</f>
        <v>0</v>
      </c>
      <c r="O26">
        <f>VLOOKUP($F26&amp;$G26,Composite!$A$5:$Q$841,O$3,FALSE)</f>
        <v>0</v>
      </c>
      <c r="P26" s="31">
        <f>VLOOKUP($F26&amp;$G26,Composite!$A$5:$Q$841,P$3,FALSE)*VLOOKUP($C26,[2]!ExistingSat,MATCH($A26,[2]SATS!$C$10:$F$10,0)+1,FALSE)</f>
        <v>0</v>
      </c>
      <c r="Q26">
        <f>VLOOKUP($F26&amp;$G26,Composite!$A$5:$Q$841,Q$3,FALSE)</f>
        <v>0</v>
      </c>
      <c r="R26" s="31">
        <f>VLOOKUP($F26&amp;$G26,Composite!$A$5:$Q$841,R$3,FALSE)*VLOOKUP($C26,[2]!ExistingSat,MATCH($A26,[2]SATS!$C$10:$F$10,0)+1,FALSE)</f>
        <v>0</v>
      </c>
      <c r="S26">
        <f>VLOOKUP($F26&amp;$G26,Composite!$A$5:$Q$841,S$3,FALSE)</f>
        <v>0</v>
      </c>
      <c r="T26" s="31">
        <f>VLOOKUP($F26&amp;$G26,Composite!$A$5:$Q$841,T$3,FALSE)*VLOOKUP($C26,[2]!ExistingSat,MATCH($A26,[2]SATS!$C$10:$F$10,0)+1,FALSE)</f>
        <v>0</v>
      </c>
    </row>
    <row r="27" spans="1:20">
      <c r="A27" t="s">
        <v>85</v>
      </c>
      <c r="B27" t="s">
        <v>77</v>
      </c>
      <c r="C27" t="s">
        <v>28</v>
      </c>
      <c r="D27" t="s">
        <v>60</v>
      </c>
      <c r="E27" t="str">
        <f t="shared" si="1"/>
        <v>Electric ZonalHZ2ATTIC R19 - R49</v>
      </c>
      <c r="F27" s="31" t="str">
        <f>Composite!B26</f>
        <v>Multi Family Weatherization - Insulate Attic - R-19 to R-49 - Heating Zone 2 (Zonal Heating System)</v>
      </c>
      <c r="G27" s="31" t="str">
        <f>Composite!C26</f>
        <v>ATTIC R19 - R49</v>
      </c>
      <c r="H27" s="31">
        <f>VLOOKUP($F27&amp;$G27,Composite!$A$5:$Q$841,H$3,FALSE)*VLOOKUP($C27,[2]!ExistingSat,MATCH($A27,[2]SATS!$C$10:$F$10,0)+1,FALSE)</f>
        <v>88.39969039290996</v>
      </c>
      <c r="I27">
        <f>VLOOKUP($F27&amp;$G27,Composite!$A$5:$Q$841,I$3,FALSE)</f>
        <v>45</v>
      </c>
      <c r="J27" s="31">
        <f>VLOOKUP($F27&amp;$G27,Composite!$A$5:$Q$841,J$3,FALSE)*VLOOKUP($C27,[2]!ExistingSat,MATCH($A27,[2]SATS!$C$10:$F$10,0)+1,FALSE)</f>
        <v>267.33145763319703</v>
      </c>
      <c r="K27" s="31">
        <f>VLOOKUP($F27&amp;$G27,Composite!$A$5:$Q$841,K$3,FALSE)*VLOOKUP($C27,[2]!ExistingSat,MATCH($A27,[2]SATS!$C$10:$F$10,0)+1,FALSE)</f>
        <v>0</v>
      </c>
      <c r="L27" t="str">
        <f>VLOOKUP($F27&amp;$G27,Composite!$A$5:$Q$841,L$3,FALSE)</f>
        <v>ResSHWX</v>
      </c>
      <c r="M27" s="31">
        <f>VLOOKUP($F27&amp;$G27,Composite!$A$5:$Q$841,M$3,FALSE)*VLOOKUP($C27,[2]!ExistingSat,MATCH($A27,[2]SATS!$C$10:$F$10,0)+1,FALSE)</f>
        <v>0</v>
      </c>
      <c r="N27" s="31">
        <f>VLOOKUP($F27&amp;$G27,Composite!$A$5:$Q$841,N$3,FALSE)*VLOOKUP($C27,[2]!ExistingSat,MATCH($A27,[2]SATS!$C$10:$F$10,0)+1,FALSE)</f>
        <v>0</v>
      </c>
      <c r="O27">
        <f>VLOOKUP($F27&amp;$G27,Composite!$A$5:$Q$841,O$3,FALSE)</f>
        <v>0</v>
      </c>
      <c r="P27" s="31">
        <f>VLOOKUP($F27&amp;$G27,Composite!$A$5:$Q$841,P$3,FALSE)*VLOOKUP($C27,[2]!ExistingSat,MATCH($A27,[2]SATS!$C$10:$F$10,0)+1,FALSE)</f>
        <v>0</v>
      </c>
      <c r="Q27">
        <f>VLOOKUP($F27&amp;$G27,Composite!$A$5:$Q$841,Q$3,FALSE)</f>
        <v>0</v>
      </c>
      <c r="R27" s="31">
        <f>VLOOKUP($F27&amp;$G27,Composite!$A$5:$Q$841,R$3,FALSE)*VLOOKUP($C27,[2]!ExistingSat,MATCH($A27,[2]SATS!$C$10:$F$10,0)+1,FALSE)</f>
        <v>0</v>
      </c>
      <c r="S27">
        <f>VLOOKUP($F27&amp;$G27,Composite!$A$5:$Q$841,S$3,FALSE)</f>
        <v>0</v>
      </c>
      <c r="T27" s="31">
        <f>VLOOKUP($F27&amp;$G27,Composite!$A$5:$Q$841,T$3,FALSE)*VLOOKUP($C27,[2]!ExistingSat,MATCH($A27,[2]SATS!$C$10:$F$10,0)+1,FALSE)</f>
        <v>0</v>
      </c>
    </row>
    <row r="28" spans="1:20">
      <c r="A28" t="s">
        <v>85</v>
      </c>
      <c r="B28" t="s">
        <v>77</v>
      </c>
      <c r="C28" t="s">
        <v>27</v>
      </c>
      <c r="D28" t="s">
        <v>60</v>
      </c>
      <c r="E28" t="str">
        <f t="shared" si="1"/>
        <v>Electric ZonalHZ2WINDOW CL22 Prime Window Replacement of Single Pane Base</v>
      </c>
      <c r="F28" s="31" t="str">
        <f>Composite!B27</f>
        <v>Windows - Single Pane to Class 22 - Heating Zone 2 (Zonal Heating System)</v>
      </c>
      <c r="G28" s="31" t="str">
        <f>Composite!C27</f>
        <v>WINDOW CL22 Prime Window Replacement of Single Pane Base</v>
      </c>
      <c r="H28" s="31">
        <f>VLOOKUP($F28&amp;$G28,Composite!$A$5:$Q$841,H$3,FALSE)*VLOOKUP($C28,[2]!ExistingSat,MATCH($A28,[2]SATS!$C$10:$F$10,0)+1,FALSE)</f>
        <v>5895.2730733208491</v>
      </c>
      <c r="I28">
        <f>VLOOKUP($F28&amp;$G28,Composite!$A$5:$Q$841,I$3,FALSE)</f>
        <v>45</v>
      </c>
      <c r="J28" s="31">
        <f>VLOOKUP($F28&amp;$G28,Composite!$A$5:$Q$841,J$3,FALSE)*VLOOKUP($C28,[2]!ExistingSat,MATCH($A28,[2]SATS!$C$10:$F$10,0)+1,FALSE)</f>
        <v>4048.8992557534643</v>
      </c>
      <c r="K28" s="31">
        <f>VLOOKUP($F28&amp;$G28,Composite!$A$5:$Q$841,K$3,FALSE)*VLOOKUP($C28,[2]!ExistingSat,MATCH($A28,[2]SATS!$C$10:$F$10,0)+1,FALSE)</f>
        <v>0</v>
      </c>
      <c r="L28" t="str">
        <f>VLOOKUP($F28&amp;$G28,Composite!$A$5:$Q$841,L$3,FALSE)</f>
        <v>ResSHWX</v>
      </c>
      <c r="M28" s="31">
        <f>VLOOKUP($F28&amp;$G28,Composite!$A$5:$Q$841,M$3,FALSE)*VLOOKUP($C28,[2]!ExistingSat,MATCH($A28,[2]SATS!$C$10:$F$10,0)+1,FALSE)</f>
        <v>0</v>
      </c>
      <c r="N28" s="31">
        <f>VLOOKUP($F28&amp;$G28,Composite!$A$5:$Q$841,N$3,FALSE)*VLOOKUP($C28,[2]!ExistingSat,MATCH($A28,[2]SATS!$C$10:$F$10,0)+1,FALSE)</f>
        <v>0</v>
      </c>
      <c r="O28">
        <f>VLOOKUP($F28&amp;$G28,Composite!$A$5:$Q$841,O$3,FALSE)</f>
        <v>0</v>
      </c>
      <c r="P28" s="31">
        <f>VLOOKUP($F28&amp;$G28,Composite!$A$5:$Q$841,P$3,FALSE)*VLOOKUP($C28,[2]!ExistingSat,MATCH($A28,[2]SATS!$C$10:$F$10,0)+1,FALSE)</f>
        <v>0</v>
      </c>
      <c r="Q28">
        <f>VLOOKUP($F28&amp;$G28,Composite!$A$5:$Q$841,Q$3,FALSE)</f>
        <v>0</v>
      </c>
      <c r="R28" s="31">
        <f>VLOOKUP($F28&amp;$G28,Composite!$A$5:$Q$841,R$3,FALSE)*VLOOKUP($C28,[2]!ExistingSat,MATCH($A28,[2]SATS!$C$10:$F$10,0)+1,FALSE)</f>
        <v>0</v>
      </c>
      <c r="S28">
        <f>VLOOKUP($F28&amp;$G28,Composite!$A$5:$Q$841,S$3,FALSE)</f>
        <v>0</v>
      </c>
      <c r="T28" s="31">
        <f>VLOOKUP($F28&amp;$G28,Composite!$A$5:$Q$841,T$3,FALSE)*VLOOKUP($C28,[2]!ExistingSat,MATCH($A28,[2]SATS!$C$10:$F$10,0)+1,FALSE)</f>
        <v>0</v>
      </c>
    </row>
    <row r="29" spans="1:20">
      <c r="A29" t="s">
        <v>85</v>
      </c>
      <c r="B29" t="s">
        <v>77</v>
      </c>
      <c r="C29" t="s">
        <v>27</v>
      </c>
      <c r="D29" t="s">
        <v>60</v>
      </c>
      <c r="E29" t="str">
        <f t="shared" si="1"/>
        <v>Electric ZonalHZ2WINDOW CL22 Prime Window Replacement of Double Pane Base</v>
      </c>
      <c r="F29" s="31" t="str">
        <f>Composite!B28</f>
        <v>Windows - Double Pane to Class 22 - Heating Zone 2 (Zonal Heating System)</v>
      </c>
      <c r="G29" s="31" t="str">
        <f>Composite!C28</f>
        <v>WINDOW CL22 Prime Window Replacement of Double Pane Base</v>
      </c>
      <c r="H29" s="31">
        <f>VLOOKUP($F29&amp;$G29,Composite!$A$5:$Q$841,H$3,FALSE)*VLOOKUP($C29,[2]!ExistingSat,MATCH($A29,[2]SATS!$C$10:$F$10,0)+1,FALSE)</f>
        <v>3515.5043409514387</v>
      </c>
      <c r="I29">
        <f>VLOOKUP($F29&amp;$G29,Composite!$A$5:$Q$841,I$3,FALSE)</f>
        <v>45</v>
      </c>
      <c r="J29" s="31">
        <f>VLOOKUP($F29&amp;$G29,Composite!$A$5:$Q$841,J$3,FALSE)*VLOOKUP($C29,[2]!ExistingSat,MATCH($A29,[2]SATS!$C$10:$F$10,0)+1,FALSE)</f>
        <v>4048.8992557534643</v>
      </c>
      <c r="K29" s="31">
        <f>VLOOKUP($F29&amp;$G29,Composite!$A$5:$Q$841,K$3,FALSE)*VLOOKUP($C29,[2]!ExistingSat,MATCH($A29,[2]SATS!$C$10:$F$10,0)+1,FALSE)</f>
        <v>0</v>
      </c>
      <c r="L29" t="str">
        <f>VLOOKUP($F29&amp;$G29,Composite!$A$5:$Q$841,L$3,FALSE)</f>
        <v>ResSHWX</v>
      </c>
      <c r="M29" s="31">
        <f>VLOOKUP($F29&amp;$G29,Composite!$A$5:$Q$841,M$3,FALSE)*VLOOKUP($C29,[2]!ExistingSat,MATCH($A29,[2]SATS!$C$10:$F$10,0)+1,FALSE)</f>
        <v>0</v>
      </c>
      <c r="N29" s="31">
        <f>VLOOKUP($F29&amp;$G29,Composite!$A$5:$Q$841,N$3,FALSE)*VLOOKUP($C29,[2]!ExistingSat,MATCH($A29,[2]SATS!$C$10:$F$10,0)+1,FALSE)</f>
        <v>0</v>
      </c>
      <c r="O29">
        <f>VLOOKUP($F29&amp;$G29,Composite!$A$5:$Q$841,O$3,FALSE)</f>
        <v>0</v>
      </c>
      <c r="P29" s="31">
        <f>VLOOKUP($F29&amp;$G29,Composite!$A$5:$Q$841,P$3,FALSE)*VLOOKUP($C29,[2]!ExistingSat,MATCH($A29,[2]SATS!$C$10:$F$10,0)+1,FALSE)</f>
        <v>0</v>
      </c>
      <c r="Q29">
        <f>VLOOKUP($F29&amp;$G29,Composite!$A$5:$Q$841,Q$3,FALSE)</f>
        <v>0</v>
      </c>
      <c r="R29" s="31">
        <f>VLOOKUP($F29&amp;$G29,Composite!$A$5:$Q$841,R$3,FALSE)*VLOOKUP($C29,[2]!ExistingSat,MATCH($A29,[2]SATS!$C$10:$F$10,0)+1,FALSE)</f>
        <v>0</v>
      </c>
      <c r="S29">
        <f>VLOOKUP($F29&amp;$G29,Composite!$A$5:$Q$841,S$3,FALSE)</f>
        <v>0</v>
      </c>
      <c r="T29" s="31">
        <f>VLOOKUP($F29&amp;$G29,Composite!$A$5:$Q$841,T$3,FALSE)*VLOOKUP($C29,[2]!ExistingSat,MATCH($A29,[2]SATS!$C$10:$F$10,0)+1,FALSE)</f>
        <v>0</v>
      </c>
    </row>
    <row r="30" spans="1:20">
      <c r="A30" t="s">
        <v>85</v>
      </c>
      <c r="B30" t="s">
        <v>77</v>
      </c>
      <c r="C30" t="s">
        <v>27</v>
      </c>
      <c r="D30" t="s">
        <v>60</v>
      </c>
      <c r="E30" t="str">
        <f t="shared" si="1"/>
        <v>Electric ZonalHZ2WINDOW CL30 Prime Window Replacement of Single Pane Base</v>
      </c>
      <c r="F30" s="31" t="str">
        <f>Composite!B29</f>
        <v>Windows - Single Pane to Class 30 - Heating Zone 2 (Zonal Heating System)</v>
      </c>
      <c r="G30" s="31" t="str">
        <f>Composite!C29</f>
        <v>WINDOW CL30 Prime Window Replacement of Single Pane Base</v>
      </c>
      <c r="H30" s="31">
        <f>VLOOKUP($F30&amp;$G30,Composite!$A$5:$Q$841,H$3,FALSE)*VLOOKUP($C30,[2]!ExistingSat,MATCH($A30,[2]SATS!$C$10:$F$10,0)+1,FALSE)</f>
        <v>5408.2347028251897</v>
      </c>
      <c r="I30">
        <f>VLOOKUP($F30&amp;$G30,Composite!$A$5:$Q$841,I$3,FALSE)</f>
        <v>45</v>
      </c>
      <c r="J30" s="31">
        <f>VLOOKUP($F30&amp;$G30,Composite!$A$5:$Q$841,J$3,FALSE)*VLOOKUP($C30,[2]!ExistingSat,MATCH($A30,[2]SATS!$C$10:$F$10,0)+1,FALSE)</f>
        <v>3098.9648613559325</v>
      </c>
      <c r="K30" s="31">
        <f>VLOOKUP($F30&amp;$G30,Composite!$A$5:$Q$841,K$3,FALSE)*VLOOKUP($C30,[2]!ExistingSat,MATCH($A30,[2]SATS!$C$10:$F$10,0)+1,FALSE)</f>
        <v>0</v>
      </c>
      <c r="L30" t="str">
        <f>VLOOKUP($F30&amp;$G30,Composite!$A$5:$Q$841,L$3,FALSE)</f>
        <v>ResSHWX</v>
      </c>
      <c r="M30" s="31">
        <f>VLOOKUP($F30&amp;$G30,Composite!$A$5:$Q$841,M$3,FALSE)*VLOOKUP($C30,[2]!ExistingSat,MATCH($A30,[2]SATS!$C$10:$F$10,0)+1,FALSE)</f>
        <v>0</v>
      </c>
      <c r="N30" s="31">
        <f>VLOOKUP($F30&amp;$G30,Composite!$A$5:$Q$841,N$3,FALSE)*VLOOKUP($C30,[2]!ExistingSat,MATCH($A30,[2]SATS!$C$10:$F$10,0)+1,FALSE)</f>
        <v>0</v>
      </c>
      <c r="O30">
        <f>VLOOKUP($F30&amp;$G30,Composite!$A$5:$Q$841,O$3,FALSE)</f>
        <v>0</v>
      </c>
      <c r="P30" s="31">
        <f>VLOOKUP($F30&amp;$G30,Composite!$A$5:$Q$841,P$3,FALSE)*VLOOKUP($C30,[2]!ExistingSat,MATCH($A30,[2]SATS!$C$10:$F$10,0)+1,FALSE)</f>
        <v>0</v>
      </c>
      <c r="Q30">
        <f>VLOOKUP($F30&amp;$G30,Composite!$A$5:$Q$841,Q$3,FALSE)</f>
        <v>0</v>
      </c>
      <c r="R30" s="31">
        <f>VLOOKUP($F30&amp;$G30,Composite!$A$5:$Q$841,R$3,FALSE)*VLOOKUP($C30,[2]!ExistingSat,MATCH($A30,[2]SATS!$C$10:$F$10,0)+1,FALSE)</f>
        <v>0</v>
      </c>
      <c r="S30">
        <f>VLOOKUP($F30&amp;$G30,Composite!$A$5:$Q$841,S$3,FALSE)</f>
        <v>0</v>
      </c>
      <c r="T30" s="31">
        <f>VLOOKUP($F30&amp;$G30,Composite!$A$5:$Q$841,T$3,FALSE)*VLOOKUP($C30,[2]!ExistingSat,MATCH($A30,[2]SATS!$C$10:$F$10,0)+1,FALSE)</f>
        <v>0</v>
      </c>
    </row>
    <row r="31" spans="1:20">
      <c r="A31" t="s">
        <v>85</v>
      </c>
      <c r="B31" t="s">
        <v>77</v>
      </c>
      <c r="C31" t="s">
        <v>27</v>
      </c>
      <c r="D31" t="s">
        <v>60</v>
      </c>
      <c r="E31" t="str">
        <f t="shared" si="1"/>
        <v>Electric ZonalHZ2WINDOW CL30 Prime Window Replacement of Double Pane Base</v>
      </c>
      <c r="F31" s="31" t="str">
        <f>Composite!B30</f>
        <v>Windows - Double Pane to Class 30 - Heating Zone 2 (Zonal Heating System)</v>
      </c>
      <c r="G31" s="31" t="str">
        <f>Composite!C30</f>
        <v>WINDOW CL30 Prime Window Replacement of Double Pane Base</v>
      </c>
      <c r="H31" s="31">
        <f>VLOOKUP($F31&amp;$G31,Composite!$A$5:$Q$841,H$3,FALSE)*VLOOKUP($C31,[2]!ExistingSat,MATCH($A31,[2]SATS!$C$10:$F$10,0)+1,FALSE)</f>
        <v>3028.4659704557794</v>
      </c>
      <c r="I31">
        <f>VLOOKUP($F31&amp;$G31,Composite!$A$5:$Q$841,I$3,FALSE)</f>
        <v>45</v>
      </c>
      <c r="J31" s="31">
        <f>VLOOKUP($F31&amp;$G31,Composite!$A$5:$Q$841,J$3,FALSE)*VLOOKUP($C31,[2]!ExistingSat,MATCH($A31,[2]SATS!$C$10:$F$10,0)+1,FALSE)</f>
        <v>3098.9648613559325</v>
      </c>
      <c r="K31" s="31">
        <f>VLOOKUP($F31&amp;$G31,Composite!$A$5:$Q$841,K$3,FALSE)*VLOOKUP($C31,[2]!ExistingSat,MATCH($A31,[2]SATS!$C$10:$F$10,0)+1,FALSE)</f>
        <v>0</v>
      </c>
      <c r="L31" t="str">
        <f>VLOOKUP($F31&amp;$G31,Composite!$A$5:$Q$841,L$3,FALSE)</f>
        <v>ResSHWX</v>
      </c>
      <c r="M31" s="31">
        <f>VLOOKUP($F31&amp;$G31,Composite!$A$5:$Q$841,M$3,FALSE)*VLOOKUP($C31,[2]!ExistingSat,MATCH($A31,[2]SATS!$C$10:$F$10,0)+1,FALSE)</f>
        <v>0</v>
      </c>
      <c r="N31" s="31">
        <f>VLOOKUP($F31&amp;$G31,Composite!$A$5:$Q$841,N$3,FALSE)*VLOOKUP($C31,[2]!ExistingSat,MATCH($A31,[2]SATS!$C$10:$F$10,0)+1,FALSE)</f>
        <v>0</v>
      </c>
      <c r="O31">
        <f>VLOOKUP($F31&amp;$G31,Composite!$A$5:$Q$841,O$3,FALSE)</f>
        <v>0</v>
      </c>
      <c r="P31" s="31">
        <f>VLOOKUP($F31&amp;$G31,Composite!$A$5:$Q$841,P$3,FALSE)*VLOOKUP($C31,[2]!ExistingSat,MATCH($A31,[2]SATS!$C$10:$F$10,0)+1,FALSE)</f>
        <v>0</v>
      </c>
      <c r="Q31">
        <f>VLOOKUP($F31&amp;$G31,Composite!$A$5:$Q$841,Q$3,FALSE)</f>
        <v>0</v>
      </c>
      <c r="R31" s="31">
        <f>VLOOKUP($F31&amp;$G31,Composite!$A$5:$Q$841,R$3,FALSE)*VLOOKUP($C31,[2]!ExistingSat,MATCH($A31,[2]SATS!$C$10:$F$10,0)+1,FALSE)</f>
        <v>0</v>
      </c>
      <c r="S31">
        <f>VLOOKUP($F31&amp;$G31,Composite!$A$5:$Q$841,S$3,FALSE)</f>
        <v>0</v>
      </c>
      <c r="T31" s="31">
        <f>VLOOKUP($F31&amp;$G31,Composite!$A$5:$Q$841,T$3,FALSE)*VLOOKUP($C31,[2]!ExistingSat,MATCH($A31,[2]SATS!$C$10:$F$10,0)+1,FALSE)</f>
        <v>0</v>
      </c>
    </row>
    <row r="32" spans="1:20">
      <c r="A32" t="s">
        <v>85</v>
      </c>
      <c r="B32" t="s">
        <v>77</v>
      </c>
      <c r="C32" t="s">
        <v>63</v>
      </c>
      <c r="D32" t="s">
        <v>61</v>
      </c>
      <c r="E32" t="str">
        <f t="shared" si="1"/>
        <v>Electric ZonalHZ3WALL R0 - R11</v>
      </c>
      <c r="F32" s="31" t="str">
        <f>Composite!B31</f>
        <v>Multi Family Weatherization - Insulate Walls - R-0 to R-11 - Heating Zone 3 (Zonal Heating System)</v>
      </c>
      <c r="G32" s="31" t="str">
        <f>Composite!C31</f>
        <v>WALL R0 - R11</v>
      </c>
      <c r="H32" s="31">
        <f>VLOOKUP($F32&amp;$G32,Composite!$A$5:$Q$841,H$3,FALSE)*VLOOKUP($C32,[2]!ExistingSat,MATCH($A32,[2]SATS!$C$10:$F$10,0)+1,FALSE)</f>
        <v>1086.8559590907855</v>
      </c>
      <c r="I32">
        <f>VLOOKUP($F32&amp;$G32,Composite!$A$5:$Q$841,I$3,FALSE)</f>
        <v>45</v>
      </c>
      <c r="J32" s="31">
        <f>VLOOKUP($F32&amp;$G32,Composite!$A$5:$Q$841,J$3,FALSE)*VLOOKUP($C32,[2]!ExistingSat,MATCH($A32,[2]SATS!$C$10:$F$10,0)+1,FALSE)</f>
        <v>504.28054205609425</v>
      </c>
      <c r="K32" s="31">
        <f>VLOOKUP($F32&amp;$G32,Composite!$A$5:$Q$841,K$3,FALSE)*VLOOKUP($C32,[2]!ExistingSat,MATCH($A32,[2]SATS!$C$10:$F$10,0)+1,FALSE)</f>
        <v>0</v>
      </c>
      <c r="L32" t="str">
        <f>VLOOKUP($F32&amp;$G32,Composite!$A$5:$Q$841,L$3,FALSE)</f>
        <v>ResSHWX</v>
      </c>
      <c r="M32" s="31">
        <f>VLOOKUP($F32&amp;$G32,Composite!$A$5:$Q$841,M$3,FALSE)*VLOOKUP($C32,[2]!ExistingSat,MATCH($A32,[2]SATS!$C$10:$F$10,0)+1,FALSE)</f>
        <v>0</v>
      </c>
      <c r="N32" s="31">
        <f>VLOOKUP($F32&amp;$G32,Composite!$A$5:$Q$841,N$3,FALSE)*VLOOKUP($C32,[2]!ExistingSat,MATCH($A32,[2]SATS!$C$10:$F$10,0)+1,FALSE)</f>
        <v>0</v>
      </c>
      <c r="O32">
        <f>VLOOKUP($F32&amp;$G32,Composite!$A$5:$Q$841,O$3,FALSE)</f>
        <v>0</v>
      </c>
      <c r="P32" s="31">
        <f>VLOOKUP($F32&amp;$G32,Composite!$A$5:$Q$841,P$3,FALSE)*VLOOKUP($C32,[2]!ExistingSat,MATCH($A32,[2]SATS!$C$10:$F$10,0)+1,FALSE)</f>
        <v>0</v>
      </c>
      <c r="Q32">
        <f>VLOOKUP($F32&amp;$G32,Composite!$A$5:$Q$841,Q$3,FALSE)</f>
        <v>0</v>
      </c>
      <c r="R32" s="31">
        <f>VLOOKUP($F32&amp;$G32,Composite!$A$5:$Q$841,R$3,FALSE)*VLOOKUP($C32,[2]!ExistingSat,MATCH($A32,[2]SATS!$C$10:$F$10,0)+1,FALSE)</f>
        <v>0</v>
      </c>
      <c r="S32">
        <f>VLOOKUP($F32&amp;$G32,Composite!$A$5:$Q$841,S$3,FALSE)</f>
        <v>0</v>
      </c>
      <c r="T32" s="31">
        <f>VLOOKUP($F32&amp;$G32,Composite!$A$5:$Q$841,T$3,FALSE)*VLOOKUP($C32,[2]!ExistingSat,MATCH($A32,[2]SATS!$C$10:$F$10,0)+1,FALSE)</f>
        <v>0</v>
      </c>
    </row>
    <row r="33" spans="1:20">
      <c r="A33" t="s">
        <v>85</v>
      </c>
      <c r="B33" t="s">
        <v>77</v>
      </c>
      <c r="C33" t="s">
        <v>26</v>
      </c>
      <c r="D33" t="s">
        <v>61</v>
      </c>
      <c r="E33" t="str">
        <f t="shared" si="1"/>
        <v>Electric ZonalHZ3FLOOR R0 - R19</v>
      </c>
      <c r="F33" s="31" t="str">
        <f>Composite!B32</f>
        <v>Multi Family Weatherization - Insulate Floors - R-0 to R-19 - Heating Zone 3 (Zonal Heating System)</v>
      </c>
      <c r="G33" s="31" t="str">
        <f>Composite!C32</f>
        <v>FLOOR R0 - R19</v>
      </c>
      <c r="H33" s="31">
        <f>VLOOKUP($F33&amp;$G33,Composite!$A$5:$Q$841,H$3,FALSE)*VLOOKUP($C33,[2]!ExistingSat,MATCH($A33,[2]SATS!$C$10:$F$10,0)+1,FALSE)</f>
        <v>345.02068528283496</v>
      </c>
      <c r="I33">
        <f>VLOOKUP($F33&amp;$G33,Composite!$A$5:$Q$841,I$3,FALSE)</f>
        <v>45</v>
      </c>
      <c r="J33" s="31">
        <f>VLOOKUP($F33&amp;$G33,Composite!$A$5:$Q$841,J$3,FALSE)*VLOOKUP($C33,[2]!ExistingSat,MATCH($A33,[2]SATS!$C$10:$F$10,0)+1,FALSE)</f>
        <v>358.01976642494196</v>
      </c>
      <c r="K33" s="31">
        <f>VLOOKUP($F33&amp;$G33,Composite!$A$5:$Q$841,K$3,FALSE)*VLOOKUP($C33,[2]!ExistingSat,MATCH($A33,[2]SATS!$C$10:$F$10,0)+1,FALSE)</f>
        <v>0</v>
      </c>
      <c r="L33" t="str">
        <f>VLOOKUP($F33&amp;$G33,Composite!$A$5:$Q$841,L$3,FALSE)</f>
        <v>ResSHWX</v>
      </c>
      <c r="M33" s="31">
        <f>VLOOKUP($F33&amp;$G33,Composite!$A$5:$Q$841,M$3,FALSE)*VLOOKUP($C33,[2]!ExistingSat,MATCH($A33,[2]SATS!$C$10:$F$10,0)+1,FALSE)</f>
        <v>0</v>
      </c>
      <c r="N33" s="31">
        <f>VLOOKUP($F33&amp;$G33,Composite!$A$5:$Q$841,N$3,FALSE)*VLOOKUP($C33,[2]!ExistingSat,MATCH($A33,[2]SATS!$C$10:$F$10,0)+1,FALSE)</f>
        <v>0</v>
      </c>
      <c r="O33">
        <f>VLOOKUP($F33&amp;$G33,Composite!$A$5:$Q$841,O$3,FALSE)</f>
        <v>0</v>
      </c>
      <c r="P33" s="31">
        <f>VLOOKUP($F33&amp;$G33,Composite!$A$5:$Q$841,P$3,FALSE)*VLOOKUP($C33,[2]!ExistingSat,MATCH($A33,[2]SATS!$C$10:$F$10,0)+1,FALSE)</f>
        <v>0</v>
      </c>
      <c r="Q33">
        <f>VLOOKUP($F33&amp;$G33,Composite!$A$5:$Q$841,Q$3,FALSE)</f>
        <v>0</v>
      </c>
      <c r="R33" s="31">
        <f>VLOOKUP($F33&amp;$G33,Composite!$A$5:$Q$841,R$3,FALSE)*VLOOKUP($C33,[2]!ExistingSat,MATCH($A33,[2]SATS!$C$10:$F$10,0)+1,FALSE)</f>
        <v>0</v>
      </c>
      <c r="S33">
        <f>VLOOKUP($F33&amp;$G33,Composite!$A$5:$Q$841,S$3,FALSE)</f>
        <v>0</v>
      </c>
      <c r="T33" s="31">
        <f>VLOOKUP($F33&amp;$G33,Composite!$A$5:$Q$841,T$3,FALSE)*VLOOKUP($C33,[2]!ExistingSat,MATCH($A33,[2]SATS!$C$10:$F$10,0)+1,FALSE)</f>
        <v>0</v>
      </c>
    </row>
    <row r="34" spans="1:20">
      <c r="A34" t="s">
        <v>85</v>
      </c>
      <c r="B34" t="s">
        <v>77</v>
      </c>
      <c r="C34" t="s">
        <v>26</v>
      </c>
      <c r="D34" t="s">
        <v>61</v>
      </c>
      <c r="E34" t="str">
        <f t="shared" si="1"/>
        <v>Electric ZonalHZ3FLOOR R0 - R30</v>
      </c>
      <c r="F34" s="31" t="str">
        <f>Composite!B33</f>
        <v>Multi Family Weatherization - Insulate Floors - R-0 to R-30 - Heating Zone 3 (Zonal Heating System)</v>
      </c>
      <c r="G34" s="31" t="str">
        <f>Composite!C33</f>
        <v>FLOOR R0 - R30</v>
      </c>
      <c r="H34" s="31">
        <f>VLOOKUP($F34&amp;$G34,Composite!$A$5:$Q$841,H$3,FALSE)*VLOOKUP($C34,[2]!ExistingSat,MATCH($A34,[2]SATS!$C$10:$F$10,0)+1,FALSE)</f>
        <v>450.25127092010746</v>
      </c>
      <c r="I34">
        <f>VLOOKUP($F34&amp;$G34,Composite!$A$5:$Q$841,I$3,FALSE)</f>
        <v>45</v>
      </c>
      <c r="J34" s="31">
        <f>VLOOKUP($F34&amp;$G34,Composite!$A$5:$Q$841,J$3,FALSE)*VLOOKUP($C34,[2]!ExistingSat,MATCH($A34,[2]SATS!$C$10:$F$10,0)+1,FALSE)</f>
        <v>383.15497685936549</v>
      </c>
      <c r="K34" s="31">
        <f>VLOOKUP($F34&amp;$G34,Composite!$A$5:$Q$841,K$3,FALSE)*VLOOKUP($C34,[2]!ExistingSat,MATCH($A34,[2]SATS!$C$10:$F$10,0)+1,FALSE)</f>
        <v>0</v>
      </c>
      <c r="L34" t="str">
        <f>VLOOKUP($F34&amp;$G34,Composite!$A$5:$Q$841,L$3,FALSE)</f>
        <v>ResSHWX</v>
      </c>
      <c r="M34" s="31">
        <f>VLOOKUP($F34&amp;$G34,Composite!$A$5:$Q$841,M$3,FALSE)*VLOOKUP($C34,[2]!ExistingSat,MATCH($A34,[2]SATS!$C$10:$F$10,0)+1,FALSE)</f>
        <v>0</v>
      </c>
      <c r="N34" s="31">
        <f>VLOOKUP($F34&amp;$G34,Composite!$A$5:$Q$841,N$3,FALSE)*VLOOKUP($C34,[2]!ExistingSat,MATCH($A34,[2]SATS!$C$10:$F$10,0)+1,FALSE)</f>
        <v>0</v>
      </c>
      <c r="O34">
        <f>VLOOKUP($F34&amp;$G34,Composite!$A$5:$Q$841,O$3,FALSE)</f>
        <v>0</v>
      </c>
      <c r="P34" s="31">
        <f>VLOOKUP($F34&amp;$G34,Composite!$A$5:$Q$841,P$3,FALSE)*VLOOKUP($C34,[2]!ExistingSat,MATCH($A34,[2]SATS!$C$10:$F$10,0)+1,FALSE)</f>
        <v>0</v>
      </c>
      <c r="Q34">
        <f>VLOOKUP($F34&amp;$G34,Composite!$A$5:$Q$841,Q$3,FALSE)</f>
        <v>0</v>
      </c>
      <c r="R34" s="31">
        <f>VLOOKUP($F34&amp;$G34,Composite!$A$5:$Q$841,R$3,FALSE)*VLOOKUP($C34,[2]!ExistingSat,MATCH($A34,[2]SATS!$C$10:$F$10,0)+1,FALSE)</f>
        <v>0</v>
      </c>
      <c r="S34">
        <f>VLOOKUP($F34&amp;$G34,Composite!$A$5:$Q$841,S$3,FALSE)</f>
        <v>0</v>
      </c>
      <c r="T34" s="31">
        <f>VLOOKUP($F34&amp;$G34,Composite!$A$5:$Q$841,T$3,FALSE)*VLOOKUP($C34,[2]!ExistingSat,MATCH($A34,[2]SATS!$C$10:$F$10,0)+1,FALSE)</f>
        <v>0</v>
      </c>
    </row>
    <row r="35" spans="1:20">
      <c r="A35" t="s">
        <v>85</v>
      </c>
      <c r="B35" t="s">
        <v>77</v>
      </c>
      <c r="C35" t="s">
        <v>28</v>
      </c>
      <c r="D35" t="s">
        <v>61</v>
      </c>
      <c r="E35" t="str">
        <f t="shared" si="1"/>
        <v>Electric ZonalHZ3ATTIC R0 - R19</v>
      </c>
      <c r="F35" s="31" t="str">
        <f>Composite!B34</f>
        <v>Multi Family Weatherization - Insulate Attic - R-0 to R-19 - Heating Zone 3 (Zonal Heating System)</v>
      </c>
      <c r="G35" s="31" t="str">
        <f>Composite!C34</f>
        <v>ATTIC R0 - R19</v>
      </c>
      <c r="H35" s="31">
        <f>VLOOKUP($F35&amp;$G35,Composite!$A$5:$Q$841,H$3,FALSE)*VLOOKUP($C35,[2]!ExistingSat,MATCH($A35,[2]SATS!$C$10:$F$10,0)+1,FALSE)</f>
        <v>174.91498477515054</v>
      </c>
      <c r="I35">
        <f>VLOOKUP($F35&amp;$G35,Composite!$A$5:$Q$841,I$3,FALSE)</f>
        <v>45</v>
      </c>
      <c r="J35" s="31">
        <f>VLOOKUP($F35&amp;$G35,Composite!$A$5:$Q$841,J$3,FALSE)*VLOOKUP($C35,[2]!ExistingSat,MATCH($A35,[2]SATS!$C$10:$F$10,0)+1,FALSE)</f>
        <v>223.50315070635102</v>
      </c>
      <c r="K35" s="31">
        <f>VLOOKUP($F35&amp;$G35,Composite!$A$5:$Q$841,K$3,FALSE)*VLOOKUP($C35,[2]!ExistingSat,MATCH($A35,[2]SATS!$C$10:$F$10,0)+1,FALSE)</f>
        <v>0</v>
      </c>
      <c r="L35" t="str">
        <f>VLOOKUP($F35&amp;$G35,Composite!$A$5:$Q$841,L$3,FALSE)</f>
        <v>ResSHWX</v>
      </c>
      <c r="M35" s="31">
        <f>VLOOKUP($F35&amp;$G35,Composite!$A$5:$Q$841,M$3,FALSE)*VLOOKUP($C35,[2]!ExistingSat,MATCH($A35,[2]SATS!$C$10:$F$10,0)+1,FALSE)</f>
        <v>0</v>
      </c>
      <c r="N35" s="31">
        <f>VLOOKUP($F35&amp;$G35,Composite!$A$5:$Q$841,N$3,FALSE)*VLOOKUP($C35,[2]!ExistingSat,MATCH($A35,[2]SATS!$C$10:$F$10,0)+1,FALSE)</f>
        <v>0</v>
      </c>
      <c r="O35">
        <f>VLOOKUP($F35&amp;$G35,Composite!$A$5:$Q$841,O$3,FALSE)</f>
        <v>0</v>
      </c>
      <c r="P35" s="31">
        <f>VLOOKUP($F35&amp;$G35,Composite!$A$5:$Q$841,P$3,FALSE)*VLOOKUP($C35,[2]!ExistingSat,MATCH($A35,[2]SATS!$C$10:$F$10,0)+1,FALSE)</f>
        <v>0</v>
      </c>
      <c r="Q35">
        <f>VLOOKUP($F35&amp;$G35,Composite!$A$5:$Q$841,Q$3,FALSE)</f>
        <v>0</v>
      </c>
      <c r="R35" s="31">
        <f>VLOOKUP($F35&amp;$G35,Composite!$A$5:$Q$841,R$3,FALSE)*VLOOKUP($C35,[2]!ExistingSat,MATCH($A35,[2]SATS!$C$10:$F$10,0)+1,FALSE)</f>
        <v>0</v>
      </c>
      <c r="S35">
        <f>VLOOKUP($F35&amp;$G35,Composite!$A$5:$Q$841,S$3,FALSE)</f>
        <v>0</v>
      </c>
      <c r="T35" s="31">
        <f>VLOOKUP($F35&amp;$G35,Composite!$A$5:$Q$841,T$3,FALSE)*VLOOKUP($C35,[2]!ExistingSat,MATCH($A35,[2]SATS!$C$10:$F$10,0)+1,FALSE)</f>
        <v>0</v>
      </c>
    </row>
    <row r="36" spans="1:20">
      <c r="A36" t="s">
        <v>85</v>
      </c>
      <c r="B36" t="s">
        <v>77</v>
      </c>
      <c r="C36" t="s">
        <v>28</v>
      </c>
      <c r="D36" t="s">
        <v>61</v>
      </c>
      <c r="E36" t="str">
        <f t="shared" si="1"/>
        <v>Electric ZonalHZ3ATTIC R0 - R38</v>
      </c>
      <c r="F36" s="31" t="str">
        <f>Composite!B35</f>
        <v>Multi Family Weatherization - Insulate Attic - R-0 to R-38 - Heating Zone 3 (Zonal Heating System)</v>
      </c>
      <c r="G36" s="31" t="str">
        <f>Composite!C35</f>
        <v>ATTIC R0 - R38</v>
      </c>
      <c r="H36" s="31">
        <f>VLOOKUP($F36&amp;$G36,Composite!$A$5:$Q$841,H$3,FALSE)*VLOOKUP($C36,[2]!ExistingSat,MATCH($A36,[2]SATS!$C$10:$F$10,0)+1,FALSE)</f>
        <v>238.78418283562516</v>
      </c>
      <c r="I36">
        <f>VLOOKUP($F36&amp;$G36,Composite!$A$5:$Q$841,I$3,FALSE)</f>
        <v>45</v>
      </c>
      <c r="J36" s="31">
        <f>VLOOKUP($F36&amp;$G36,Composite!$A$5:$Q$841,J$3,FALSE)*VLOOKUP($C36,[2]!ExistingSat,MATCH($A36,[2]SATS!$C$10:$F$10,0)+1,FALSE)</f>
        <v>298.11418524056876</v>
      </c>
      <c r="K36" s="31">
        <f>VLOOKUP($F36&amp;$G36,Composite!$A$5:$Q$841,K$3,FALSE)*VLOOKUP($C36,[2]!ExistingSat,MATCH($A36,[2]SATS!$C$10:$F$10,0)+1,FALSE)</f>
        <v>0</v>
      </c>
      <c r="L36" t="str">
        <f>VLOOKUP($F36&amp;$G36,Composite!$A$5:$Q$841,L$3,FALSE)</f>
        <v>ResSHWX</v>
      </c>
      <c r="M36" s="31">
        <f>VLOOKUP($F36&amp;$G36,Composite!$A$5:$Q$841,M$3,FALSE)*VLOOKUP($C36,[2]!ExistingSat,MATCH($A36,[2]SATS!$C$10:$F$10,0)+1,FALSE)</f>
        <v>0</v>
      </c>
      <c r="N36" s="31">
        <f>VLOOKUP($F36&amp;$G36,Composite!$A$5:$Q$841,N$3,FALSE)*VLOOKUP($C36,[2]!ExistingSat,MATCH($A36,[2]SATS!$C$10:$F$10,0)+1,FALSE)</f>
        <v>0</v>
      </c>
      <c r="O36">
        <f>VLOOKUP($F36&amp;$G36,Composite!$A$5:$Q$841,O$3,FALSE)</f>
        <v>0</v>
      </c>
      <c r="P36" s="31">
        <f>VLOOKUP($F36&amp;$G36,Composite!$A$5:$Q$841,P$3,FALSE)*VLOOKUP($C36,[2]!ExistingSat,MATCH($A36,[2]SATS!$C$10:$F$10,0)+1,FALSE)</f>
        <v>0</v>
      </c>
      <c r="Q36">
        <f>VLOOKUP($F36&amp;$G36,Composite!$A$5:$Q$841,Q$3,FALSE)</f>
        <v>0</v>
      </c>
      <c r="R36" s="31">
        <f>VLOOKUP($F36&amp;$G36,Composite!$A$5:$Q$841,R$3,FALSE)*VLOOKUP($C36,[2]!ExistingSat,MATCH($A36,[2]SATS!$C$10:$F$10,0)+1,FALSE)</f>
        <v>0</v>
      </c>
      <c r="S36">
        <f>VLOOKUP($F36&amp;$G36,Composite!$A$5:$Q$841,S$3,FALSE)</f>
        <v>0</v>
      </c>
      <c r="T36" s="31">
        <f>VLOOKUP($F36&amp;$G36,Composite!$A$5:$Q$841,T$3,FALSE)*VLOOKUP($C36,[2]!ExistingSat,MATCH($A36,[2]SATS!$C$10:$F$10,0)+1,FALSE)</f>
        <v>0</v>
      </c>
    </row>
    <row r="37" spans="1:20">
      <c r="A37" t="s">
        <v>85</v>
      </c>
      <c r="B37" t="s">
        <v>77</v>
      </c>
      <c r="C37" t="s">
        <v>28</v>
      </c>
      <c r="D37" t="s">
        <v>61</v>
      </c>
      <c r="E37" t="str">
        <f t="shared" si="1"/>
        <v>Electric ZonalHZ3ATTIC R0 - R49</v>
      </c>
      <c r="F37" s="31" t="str">
        <f>Composite!B36</f>
        <v>Multi Family Weatherization - Insulate Attic - R-0 to R-49 - Heating Zone 3 (Zonal Heating System)</v>
      </c>
      <c r="G37" s="31" t="str">
        <f>Composite!C36</f>
        <v>ATTIC R0 - R49</v>
      </c>
      <c r="H37" s="31">
        <f>VLOOKUP($F37&amp;$G37,Composite!$A$5:$Q$841,H$3,FALSE)*VLOOKUP($C37,[2]!ExistingSat,MATCH($A37,[2]SATS!$C$10:$F$10,0)+1,FALSE)</f>
        <v>253.64703084970049</v>
      </c>
      <c r="I37">
        <f>VLOOKUP($F37&amp;$G37,Composite!$A$5:$Q$841,I$3,FALSE)</f>
        <v>45</v>
      </c>
      <c r="J37" s="31">
        <f>VLOOKUP($F37&amp;$G37,Composite!$A$5:$Q$841,J$3,FALSE)*VLOOKUP($C37,[2]!ExistingSat,MATCH($A37,[2]SATS!$C$10:$F$10,0)+1,FALSE)</f>
        <v>338.16777381701564</v>
      </c>
      <c r="K37" s="31">
        <f>VLOOKUP($F37&amp;$G37,Composite!$A$5:$Q$841,K$3,FALSE)*VLOOKUP($C37,[2]!ExistingSat,MATCH($A37,[2]SATS!$C$10:$F$10,0)+1,FALSE)</f>
        <v>0</v>
      </c>
      <c r="L37" t="str">
        <f>VLOOKUP($F37&amp;$G37,Composite!$A$5:$Q$841,L$3,FALSE)</f>
        <v>ResSHWX</v>
      </c>
      <c r="M37" s="31">
        <f>VLOOKUP($F37&amp;$G37,Composite!$A$5:$Q$841,M$3,FALSE)*VLOOKUP($C37,[2]!ExistingSat,MATCH($A37,[2]SATS!$C$10:$F$10,0)+1,FALSE)</f>
        <v>0</v>
      </c>
      <c r="N37" s="31">
        <f>VLOOKUP($F37&amp;$G37,Composite!$A$5:$Q$841,N$3,FALSE)*VLOOKUP($C37,[2]!ExistingSat,MATCH($A37,[2]SATS!$C$10:$F$10,0)+1,FALSE)</f>
        <v>0</v>
      </c>
      <c r="O37">
        <f>VLOOKUP($F37&amp;$G37,Composite!$A$5:$Q$841,O$3,FALSE)</f>
        <v>0</v>
      </c>
      <c r="P37" s="31">
        <f>VLOOKUP($F37&amp;$G37,Composite!$A$5:$Q$841,P$3,FALSE)*VLOOKUP($C37,[2]!ExistingSat,MATCH($A37,[2]SATS!$C$10:$F$10,0)+1,FALSE)</f>
        <v>0</v>
      </c>
      <c r="Q37">
        <f>VLOOKUP($F37&amp;$G37,Composite!$A$5:$Q$841,Q$3,FALSE)</f>
        <v>0</v>
      </c>
      <c r="R37" s="31">
        <f>VLOOKUP($F37&amp;$G37,Composite!$A$5:$Q$841,R$3,FALSE)*VLOOKUP($C37,[2]!ExistingSat,MATCH($A37,[2]SATS!$C$10:$F$10,0)+1,FALSE)</f>
        <v>0</v>
      </c>
      <c r="S37">
        <f>VLOOKUP($F37&amp;$G37,Composite!$A$5:$Q$841,S$3,FALSE)</f>
        <v>0</v>
      </c>
      <c r="T37" s="31">
        <f>VLOOKUP($F37&amp;$G37,Composite!$A$5:$Q$841,T$3,FALSE)*VLOOKUP($C37,[2]!ExistingSat,MATCH($A37,[2]SATS!$C$10:$F$10,0)+1,FALSE)</f>
        <v>0</v>
      </c>
    </row>
    <row r="38" spans="1:20">
      <c r="A38" t="s">
        <v>85</v>
      </c>
      <c r="B38" t="s">
        <v>77</v>
      </c>
      <c r="C38" t="s">
        <v>28</v>
      </c>
      <c r="D38" t="s">
        <v>61</v>
      </c>
      <c r="E38" t="str">
        <f t="shared" si="1"/>
        <v>Electric ZonalHZ3ATTIC R19 - R30</v>
      </c>
      <c r="F38" s="31" t="str">
        <f>Composite!B37</f>
        <v>Multi Family Weatherization - Insulate Attic - R-19 to R-30 - Heating Zone 3 (Zonal Heating System)</v>
      </c>
      <c r="G38" s="31" t="str">
        <f>Composite!C37</f>
        <v>ATTIC R19 - R30</v>
      </c>
      <c r="H38" s="31">
        <f>VLOOKUP($F38&amp;$G38,Composite!$A$5:$Q$841,H$3,FALSE)*VLOOKUP($C38,[2]!ExistingSat,MATCH($A38,[2]SATS!$C$10:$F$10,0)+1,FALSE)</f>
        <v>46.244446927149909</v>
      </c>
      <c r="I38">
        <f>VLOOKUP($F38&amp;$G38,Composite!$A$5:$Q$841,I$3,FALSE)</f>
        <v>45</v>
      </c>
      <c r="J38" s="31">
        <f>VLOOKUP($F38&amp;$G38,Composite!$A$5:$Q$841,J$3,FALSE)*VLOOKUP($C38,[2]!ExistingSat,MATCH($A38,[2]SATS!$C$10:$F$10,0)+1,FALSE)</f>
        <v>192.92591787684046</v>
      </c>
      <c r="K38" s="31">
        <f>VLOOKUP($F38&amp;$G38,Composite!$A$5:$Q$841,K$3,FALSE)*VLOOKUP($C38,[2]!ExistingSat,MATCH($A38,[2]SATS!$C$10:$F$10,0)+1,FALSE)</f>
        <v>0</v>
      </c>
      <c r="L38" t="str">
        <f>VLOOKUP($F38&amp;$G38,Composite!$A$5:$Q$841,L$3,FALSE)</f>
        <v>ResSHWX</v>
      </c>
      <c r="M38" s="31">
        <f>VLOOKUP($F38&amp;$G38,Composite!$A$5:$Q$841,M$3,FALSE)*VLOOKUP($C38,[2]!ExistingSat,MATCH($A38,[2]SATS!$C$10:$F$10,0)+1,FALSE)</f>
        <v>0</v>
      </c>
      <c r="N38" s="31">
        <f>VLOOKUP($F38&amp;$G38,Composite!$A$5:$Q$841,N$3,FALSE)*VLOOKUP($C38,[2]!ExistingSat,MATCH($A38,[2]SATS!$C$10:$F$10,0)+1,FALSE)</f>
        <v>0</v>
      </c>
      <c r="O38">
        <f>VLOOKUP($F38&amp;$G38,Composite!$A$5:$Q$841,O$3,FALSE)</f>
        <v>0</v>
      </c>
      <c r="P38" s="31">
        <f>VLOOKUP($F38&amp;$G38,Composite!$A$5:$Q$841,P$3,FALSE)*VLOOKUP($C38,[2]!ExistingSat,MATCH($A38,[2]SATS!$C$10:$F$10,0)+1,FALSE)</f>
        <v>0</v>
      </c>
      <c r="Q38">
        <f>VLOOKUP($F38&amp;$G38,Composite!$A$5:$Q$841,Q$3,FALSE)</f>
        <v>0</v>
      </c>
      <c r="R38" s="31">
        <f>VLOOKUP($F38&amp;$G38,Composite!$A$5:$Q$841,R$3,FALSE)*VLOOKUP($C38,[2]!ExistingSat,MATCH($A38,[2]SATS!$C$10:$F$10,0)+1,FALSE)</f>
        <v>0</v>
      </c>
      <c r="S38">
        <f>VLOOKUP($F38&amp;$G38,Composite!$A$5:$Q$841,S$3,FALSE)</f>
        <v>0</v>
      </c>
      <c r="T38" s="31">
        <f>VLOOKUP($F38&amp;$G38,Composite!$A$5:$Q$841,T$3,FALSE)*VLOOKUP($C38,[2]!ExistingSat,MATCH($A38,[2]SATS!$C$10:$F$10,0)+1,FALSE)</f>
        <v>0</v>
      </c>
    </row>
    <row r="39" spans="1:20">
      <c r="A39" t="s">
        <v>85</v>
      </c>
      <c r="B39" t="s">
        <v>77</v>
      </c>
      <c r="C39" t="s">
        <v>28</v>
      </c>
      <c r="D39" t="s">
        <v>61</v>
      </c>
      <c r="E39" t="str">
        <f t="shared" si="1"/>
        <v>Electric ZonalHZ3ATTIC R19 - R38</v>
      </c>
      <c r="F39" s="31" t="str">
        <f>Composite!B38</f>
        <v>Multi Family Weatherization - Insulate Attic - R-19 to R-38 - Heating Zone 3 (Zonal Heating System)</v>
      </c>
      <c r="G39" s="31" t="str">
        <f>Composite!C38</f>
        <v>ATTIC R19 - R38</v>
      </c>
      <c r="H39" s="31">
        <f>VLOOKUP($F39&amp;$G39,Composite!$A$5:$Q$841,H$3,FALSE)*VLOOKUP($C39,[2]!ExistingSat,MATCH($A39,[2]SATS!$C$10:$F$10,0)+1,FALSE)</f>
        <v>63.869198060474609</v>
      </c>
      <c r="I39">
        <f>VLOOKUP($F39&amp;$G39,Composite!$A$5:$Q$841,I$3,FALSE)</f>
        <v>45</v>
      </c>
      <c r="J39" s="31">
        <f>VLOOKUP($F39&amp;$G39,Composite!$A$5:$Q$841,J$3,FALSE)*VLOOKUP($C39,[2]!ExistingSat,MATCH($A39,[2]SATS!$C$10:$F$10,0)+1,FALSE)</f>
        <v>225.005207173061</v>
      </c>
      <c r="K39" s="31">
        <f>VLOOKUP($F39&amp;$G39,Composite!$A$5:$Q$841,K$3,FALSE)*VLOOKUP($C39,[2]!ExistingSat,MATCH($A39,[2]SATS!$C$10:$F$10,0)+1,FALSE)</f>
        <v>0</v>
      </c>
      <c r="L39" t="str">
        <f>VLOOKUP($F39&amp;$G39,Composite!$A$5:$Q$841,L$3,FALSE)</f>
        <v>ResSHWX</v>
      </c>
      <c r="M39" s="31">
        <f>VLOOKUP($F39&amp;$G39,Composite!$A$5:$Q$841,M$3,FALSE)*VLOOKUP($C39,[2]!ExistingSat,MATCH($A39,[2]SATS!$C$10:$F$10,0)+1,FALSE)</f>
        <v>0</v>
      </c>
      <c r="N39" s="31">
        <f>VLOOKUP($F39&amp;$G39,Composite!$A$5:$Q$841,N$3,FALSE)*VLOOKUP($C39,[2]!ExistingSat,MATCH($A39,[2]SATS!$C$10:$F$10,0)+1,FALSE)</f>
        <v>0</v>
      </c>
      <c r="O39">
        <f>VLOOKUP($F39&amp;$G39,Composite!$A$5:$Q$841,O$3,FALSE)</f>
        <v>0</v>
      </c>
      <c r="P39" s="31">
        <f>VLOOKUP($F39&amp;$G39,Composite!$A$5:$Q$841,P$3,FALSE)*VLOOKUP($C39,[2]!ExistingSat,MATCH($A39,[2]SATS!$C$10:$F$10,0)+1,FALSE)</f>
        <v>0</v>
      </c>
      <c r="Q39">
        <f>VLOOKUP($F39&amp;$G39,Composite!$A$5:$Q$841,Q$3,FALSE)</f>
        <v>0</v>
      </c>
      <c r="R39" s="31">
        <f>VLOOKUP($F39&amp;$G39,Composite!$A$5:$Q$841,R$3,FALSE)*VLOOKUP($C39,[2]!ExistingSat,MATCH($A39,[2]SATS!$C$10:$F$10,0)+1,FALSE)</f>
        <v>0</v>
      </c>
      <c r="S39">
        <f>VLOOKUP($F39&amp;$G39,Composite!$A$5:$Q$841,S$3,FALSE)</f>
        <v>0</v>
      </c>
      <c r="T39" s="31">
        <f>VLOOKUP($F39&amp;$G39,Composite!$A$5:$Q$841,T$3,FALSE)*VLOOKUP($C39,[2]!ExistingSat,MATCH($A39,[2]SATS!$C$10:$F$10,0)+1,FALSE)</f>
        <v>0</v>
      </c>
    </row>
    <row r="40" spans="1:20">
      <c r="A40" t="s">
        <v>85</v>
      </c>
      <c r="B40" t="s">
        <v>77</v>
      </c>
      <c r="C40" t="s">
        <v>28</v>
      </c>
      <c r="D40" t="s">
        <v>61</v>
      </c>
      <c r="E40" t="str">
        <f t="shared" si="1"/>
        <v>Electric ZonalHZ3ATTIC R19 - R49</v>
      </c>
      <c r="F40" s="31" t="str">
        <f>Composite!B39</f>
        <v>Multi Family Weatherization - Insulate Attic - R-19 to R-49 - Heating Zone 3 (Zonal Heating System)</v>
      </c>
      <c r="G40" s="31" t="str">
        <f>Composite!C39</f>
        <v>ATTIC R19 - R49</v>
      </c>
      <c r="H40" s="31">
        <f>VLOOKUP($F40&amp;$G40,Composite!$A$5:$Q$841,H$3,FALSE)*VLOOKUP($C40,[2]!ExistingSat,MATCH($A40,[2]SATS!$C$10:$F$10,0)+1,FALSE)</f>
        <v>78.732046074549942</v>
      </c>
      <c r="I40">
        <f>VLOOKUP($F40&amp;$G40,Composite!$A$5:$Q$841,I$3,FALSE)</f>
        <v>45</v>
      </c>
      <c r="J40" s="31">
        <f>VLOOKUP($F40&amp;$G40,Composite!$A$5:$Q$841,J$3,FALSE)*VLOOKUP($C40,[2]!ExistingSat,MATCH($A40,[2]SATS!$C$10:$F$10,0)+1,FALSE)</f>
        <v>267.33145763319703</v>
      </c>
      <c r="K40" s="31">
        <f>VLOOKUP($F40&amp;$G40,Composite!$A$5:$Q$841,K$3,FALSE)*VLOOKUP($C40,[2]!ExistingSat,MATCH($A40,[2]SATS!$C$10:$F$10,0)+1,FALSE)</f>
        <v>0</v>
      </c>
      <c r="L40" t="str">
        <f>VLOOKUP($F40&amp;$G40,Composite!$A$5:$Q$841,L$3,FALSE)</f>
        <v>ResSHWX</v>
      </c>
      <c r="M40" s="31">
        <f>VLOOKUP($F40&amp;$G40,Composite!$A$5:$Q$841,M$3,FALSE)*VLOOKUP($C40,[2]!ExistingSat,MATCH($A40,[2]SATS!$C$10:$F$10,0)+1,FALSE)</f>
        <v>0</v>
      </c>
      <c r="N40" s="31">
        <f>VLOOKUP($F40&amp;$G40,Composite!$A$5:$Q$841,N$3,FALSE)*VLOOKUP($C40,[2]!ExistingSat,MATCH($A40,[2]SATS!$C$10:$F$10,0)+1,FALSE)</f>
        <v>0</v>
      </c>
      <c r="O40">
        <f>VLOOKUP($F40&amp;$G40,Composite!$A$5:$Q$841,O$3,FALSE)</f>
        <v>0</v>
      </c>
      <c r="P40" s="31">
        <f>VLOOKUP($F40&amp;$G40,Composite!$A$5:$Q$841,P$3,FALSE)*VLOOKUP($C40,[2]!ExistingSat,MATCH($A40,[2]SATS!$C$10:$F$10,0)+1,FALSE)</f>
        <v>0</v>
      </c>
      <c r="Q40">
        <f>VLOOKUP($F40&amp;$G40,Composite!$A$5:$Q$841,Q$3,FALSE)</f>
        <v>0</v>
      </c>
      <c r="R40" s="31">
        <f>VLOOKUP($F40&amp;$G40,Composite!$A$5:$Q$841,R$3,FALSE)*VLOOKUP($C40,[2]!ExistingSat,MATCH($A40,[2]SATS!$C$10:$F$10,0)+1,FALSE)</f>
        <v>0</v>
      </c>
      <c r="S40">
        <f>VLOOKUP($F40&amp;$G40,Composite!$A$5:$Q$841,S$3,FALSE)</f>
        <v>0</v>
      </c>
      <c r="T40" s="31">
        <f>VLOOKUP($F40&amp;$G40,Composite!$A$5:$Q$841,T$3,FALSE)*VLOOKUP($C40,[2]!ExistingSat,MATCH($A40,[2]SATS!$C$10:$F$10,0)+1,FALSE)</f>
        <v>0</v>
      </c>
    </row>
    <row r="41" spans="1:20">
      <c r="A41" t="s">
        <v>85</v>
      </c>
      <c r="B41" t="s">
        <v>77</v>
      </c>
      <c r="C41" t="s">
        <v>27</v>
      </c>
      <c r="D41" t="s">
        <v>61</v>
      </c>
      <c r="E41" t="str">
        <f t="shared" si="1"/>
        <v>Electric ZonalHZ3WINDOW CL22 Prime Window Replacement of Single Pane Base</v>
      </c>
      <c r="F41" s="31" t="str">
        <f>Composite!B40</f>
        <v>Windows - Single Pane to Class 22 - Heating Zone 3 (Zonal Heating System)</v>
      </c>
      <c r="G41" s="31" t="str">
        <f>Composite!C40</f>
        <v>WINDOW CL22 Prime Window Replacement of Single Pane Base</v>
      </c>
      <c r="H41" s="31">
        <f>VLOOKUP($F41&amp;$G41,Composite!$A$5:$Q$841,H$3,FALSE)*VLOOKUP($C41,[2]!ExistingSat,MATCH($A41,[2]SATS!$C$10:$F$10,0)+1,FALSE)</f>
        <v>7130.6989341850576</v>
      </c>
      <c r="I41">
        <f>VLOOKUP($F41&amp;$G41,Composite!$A$5:$Q$841,I$3,FALSE)</f>
        <v>45</v>
      </c>
      <c r="J41" s="31">
        <f>VLOOKUP($F41&amp;$G41,Composite!$A$5:$Q$841,J$3,FALSE)*VLOOKUP($C41,[2]!ExistingSat,MATCH($A41,[2]SATS!$C$10:$F$10,0)+1,FALSE)</f>
        <v>4048.8992557534643</v>
      </c>
      <c r="K41" s="31">
        <f>VLOOKUP($F41&amp;$G41,Composite!$A$5:$Q$841,K$3,FALSE)*VLOOKUP($C41,[2]!ExistingSat,MATCH($A41,[2]SATS!$C$10:$F$10,0)+1,FALSE)</f>
        <v>0</v>
      </c>
      <c r="L41" t="str">
        <f>VLOOKUP($F41&amp;$G41,Composite!$A$5:$Q$841,L$3,FALSE)</f>
        <v>ResSHWX</v>
      </c>
      <c r="M41" s="31">
        <f>VLOOKUP($F41&amp;$G41,Composite!$A$5:$Q$841,M$3,FALSE)*VLOOKUP($C41,[2]!ExistingSat,MATCH($A41,[2]SATS!$C$10:$F$10,0)+1,FALSE)</f>
        <v>0</v>
      </c>
      <c r="N41" s="31">
        <f>VLOOKUP($F41&amp;$G41,Composite!$A$5:$Q$841,N$3,FALSE)*VLOOKUP($C41,[2]!ExistingSat,MATCH($A41,[2]SATS!$C$10:$F$10,0)+1,FALSE)</f>
        <v>0</v>
      </c>
      <c r="O41">
        <f>VLOOKUP($F41&amp;$G41,Composite!$A$5:$Q$841,O$3,FALSE)</f>
        <v>0</v>
      </c>
      <c r="P41" s="31">
        <f>VLOOKUP($F41&amp;$G41,Composite!$A$5:$Q$841,P$3,FALSE)*VLOOKUP($C41,[2]!ExistingSat,MATCH($A41,[2]SATS!$C$10:$F$10,0)+1,FALSE)</f>
        <v>0</v>
      </c>
      <c r="Q41">
        <f>VLOOKUP($F41&amp;$G41,Composite!$A$5:$Q$841,Q$3,FALSE)</f>
        <v>0</v>
      </c>
      <c r="R41" s="31">
        <f>VLOOKUP($F41&amp;$G41,Composite!$A$5:$Q$841,R$3,FALSE)*VLOOKUP($C41,[2]!ExistingSat,MATCH($A41,[2]SATS!$C$10:$F$10,0)+1,FALSE)</f>
        <v>0</v>
      </c>
      <c r="S41">
        <f>VLOOKUP($F41&amp;$G41,Composite!$A$5:$Q$841,S$3,FALSE)</f>
        <v>0</v>
      </c>
      <c r="T41" s="31">
        <f>VLOOKUP($F41&amp;$G41,Composite!$A$5:$Q$841,T$3,FALSE)*VLOOKUP($C41,[2]!ExistingSat,MATCH($A41,[2]SATS!$C$10:$F$10,0)+1,FALSE)</f>
        <v>0</v>
      </c>
    </row>
    <row r="42" spans="1:20">
      <c r="A42" t="s">
        <v>85</v>
      </c>
      <c r="B42" t="s">
        <v>77</v>
      </c>
      <c r="C42" t="s">
        <v>27</v>
      </c>
      <c r="D42" t="s">
        <v>61</v>
      </c>
      <c r="E42" t="str">
        <f t="shared" si="1"/>
        <v>Electric ZonalHZ3WINDOW CL22 Prime Window Replacement of Double Pane Base</v>
      </c>
      <c r="F42" s="31" t="str">
        <f>Composite!B41</f>
        <v>Windows - Double Pane to Class 22 - Heating Zone 3 (Zonal Heating System)</v>
      </c>
      <c r="G42" s="31" t="str">
        <f>Composite!C41</f>
        <v>WINDOW CL22 Prime Window Replacement of Double Pane Base</v>
      </c>
      <c r="H42" s="31">
        <f>VLOOKUP($F42&amp;$G42,Composite!$A$5:$Q$841,H$3,FALSE)*VLOOKUP($C42,[2]!ExistingSat,MATCH($A42,[2]SATS!$C$10:$F$10,0)+1,FALSE)</f>
        <v>4308.4132691888453</v>
      </c>
      <c r="I42">
        <f>VLOOKUP($F42&amp;$G42,Composite!$A$5:$Q$841,I$3,FALSE)</f>
        <v>45</v>
      </c>
      <c r="J42" s="31">
        <f>VLOOKUP($F42&amp;$G42,Composite!$A$5:$Q$841,J$3,FALSE)*VLOOKUP($C42,[2]!ExistingSat,MATCH($A42,[2]SATS!$C$10:$F$10,0)+1,FALSE)</f>
        <v>4048.8992557534643</v>
      </c>
      <c r="K42" s="31">
        <f>VLOOKUP($F42&amp;$G42,Composite!$A$5:$Q$841,K$3,FALSE)*VLOOKUP($C42,[2]!ExistingSat,MATCH($A42,[2]SATS!$C$10:$F$10,0)+1,FALSE)</f>
        <v>0</v>
      </c>
      <c r="L42" t="str">
        <f>VLOOKUP($F42&amp;$G42,Composite!$A$5:$Q$841,L$3,FALSE)</f>
        <v>ResSHWX</v>
      </c>
      <c r="M42" s="31">
        <f>VLOOKUP($F42&amp;$G42,Composite!$A$5:$Q$841,M$3,FALSE)*VLOOKUP($C42,[2]!ExistingSat,MATCH($A42,[2]SATS!$C$10:$F$10,0)+1,FALSE)</f>
        <v>0</v>
      </c>
      <c r="N42" s="31">
        <f>VLOOKUP($F42&amp;$G42,Composite!$A$5:$Q$841,N$3,FALSE)*VLOOKUP($C42,[2]!ExistingSat,MATCH($A42,[2]SATS!$C$10:$F$10,0)+1,FALSE)</f>
        <v>0</v>
      </c>
      <c r="O42">
        <f>VLOOKUP($F42&amp;$G42,Composite!$A$5:$Q$841,O$3,FALSE)</f>
        <v>0</v>
      </c>
      <c r="P42" s="31">
        <f>VLOOKUP($F42&amp;$G42,Composite!$A$5:$Q$841,P$3,FALSE)*VLOOKUP($C42,[2]!ExistingSat,MATCH($A42,[2]SATS!$C$10:$F$10,0)+1,FALSE)</f>
        <v>0</v>
      </c>
      <c r="Q42">
        <f>VLOOKUP($F42&amp;$G42,Composite!$A$5:$Q$841,Q$3,FALSE)</f>
        <v>0</v>
      </c>
      <c r="R42" s="31">
        <f>VLOOKUP($F42&amp;$G42,Composite!$A$5:$Q$841,R$3,FALSE)*VLOOKUP($C42,[2]!ExistingSat,MATCH($A42,[2]SATS!$C$10:$F$10,0)+1,FALSE)</f>
        <v>0</v>
      </c>
      <c r="S42">
        <f>VLOOKUP($F42&amp;$G42,Composite!$A$5:$Q$841,S$3,FALSE)</f>
        <v>0</v>
      </c>
      <c r="T42" s="31">
        <f>VLOOKUP($F42&amp;$G42,Composite!$A$5:$Q$841,T$3,FALSE)*VLOOKUP($C42,[2]!ExistingSat,MATCH($A42,[2]SATS!$C$10:$F$10,0)+1,FALSE)</f>
        <v>0</v>
      </c>
    </row>
    <row r="43" spans="1:20">
      <c r="A43" t="s">
        <v>85</v>
      </c>
      <c r="B43" t="s">
        <v>77</v>
      </c>
      <c r="C43" t="s">
        <v>27</v>
      </c>
      <c r="D43" t="s">
        <v>61</v>
      </c>
      <c r="E43" t="str">
        <f t="shared" si="1"/>
        <v>Electric ZonalHZ3WINDOW CL30 Prime Window Replacement of Single Pane Base</v>
      </c>
      <c r="F43" s="31" t="str">
        <f>Composite!B42</f>
        <v>Windows - Single Pane to Class 30 - Heating Zone 3 (Zonal Heating System)</v>
      </c>
      <c r="G43" s="31" t="str">
        <f>Composite!C42</f>
        <v>WINDOW CL30 Prime Window Replacement of Single Pane Base</v>
      </c>
      <c r="H43" s="31">
        <f>VLOOKUP($F43&amp;$G43,Composite!$A$5:$Q$841,H$3,FALSE)*VLOOKUP($C43,[2]!ExistingSat,MATCH($A43,[2]SATS!$C$10:$F$10,0)+1,FALSE)</f>
        <v>6537.8036628319569</v>
      </c>
      <c r="I43">
        <f>VLOOKUP($F43&amp;$G43,Composite!$A$5:$Q$841,I$3,FALSE)</f>
        <v>45</v>
      </c>
      <c r="J43" s="31">
        <f>VLOOKUP($F43&amp;$G43,Composite!$A$5:$Q$841,J$3,FALSE)*VLOOKUP($C43,[2]!ExistingSat,MATCH($A43,[2]SATS!$C$10:$F$10,0)+1,FALSE)</f>
        <v>3098.9648613559325</v>
      </c>
      <c r="K43" s="31">
        <f>VLOOKUP($F43&amp;$G43,Composite!$A$5:$Q$841,K$3,FALSE)*VLOOKUP($C43,[2]!ExistingSat,MATCH($A43,[2]SATS!$C$10:$F$10,0)+1,FALSE)</f>
        <v>0</v>
      </c>
      <c r="L43" t="str">
        <f>VLOOKUP($F43&amp;$G43,Composite!$A$5:$Q$841,L$3,FALSE)</f>
        <v>ResSHWX</v>
      </c>
      <c r="M43" s="31">
        <f>VLOOKUP($F43&amp;$G43,Composite!$A$5:$Q$841,M$3,FALSE)*VLOOKUP($C43,[2]!ExistingSat,MATCH($A43,[2]SATS!$C$10:$F$10,0)+1,FALSE)</f>
        <v>0</v>
      </c>
      <c r="N43" s="31">
        <f>VLOOKUP($F43&amp;$G43,Composite!$A$5:$Q$841,N$3,FALSE)*VLOOKUP($C43,[2]!ExistingSat,MATCH($A43,[2]SATS!$C$10:$F$10,0)+1,FALSE)</f>
        <v>0</v>
      </c>
      <c r="O43">
        <f>VLOOKUP($F43&amp;$G43,Composite!$A$5:$Q$841,O$3,FALSE)</f>
        <v>0</v>
      </c>
      <c r="P43" s="31">
        <f>VLOOKUP($F43&amp;$G43,Composite!$A$5:$Q$841,P$3,FALSE)*VLOOKUP($C43,[2]!ExistingSat,MATCH($A43,[2]SATS!$C$10:$F$10,0)+1,FALSE)</f>
        <v>0</v>
      </c>
      <c r="Q43">
        <f>VLOOKUP($F43&amp;$G43,Composite!$A$5:$Q$841,Q$3,FALSE)</f>
        <v>0</v>
      </c>
      <c r="R43" s="31">
        <f>VLOOKUP($F43&amp;$G43,Composite!$A$5:$Q$841,R$3,FALSE)*VLOOKUP($C43,[2]!ExistingSat,MATCH($A43,[2]SATS!$C$10:$F$10,0)+1,FALSE)</f>
        <v>0</v>
      </c>
      <c r="S43">
        <f>VLOOKUP($F43&amp;$G43,Composite!$A$5:$Q$841,S$3,FALSE)</f>
        <v>0</v>
      </c>
      <c r="T43" s="31">
        <f>VLOOKUP($F43&amp;$G43,Composite!$A$5:$Q$841,T$3,FALSE)*VLOOKUP($C43,[2]!ExistingSat,MATCH($A43,[2]SATS!$C$10:$F$10,0)+1,FALSE)</f>
        <v>0</v>
      </c>
    </row>
    <row r="44" spans="1:20">
      <c r="A44" t="s">
        <v>85</v>
      </c>
      <c r="B44" t="s">
        <v>77</v>
      </c>
      <c r="C44" t="s">
        <v>27</v>
      </c>
      <c r="D44" t="s">
        <v>61</v>
      </c>
      <c r="E44" t="str">
        <f t="shared" si="1"/>
        <v>Electric ZonalHZ3WINDOW CL30 Prime Window Replacement of Double Pane Base</v>
      </c>
      <c r="F44" s="31" t="str">
        <f>Composite!B43</f>
        <v>Windows - Double Pane to Class 30 - Heating Zone 3 (Zonal Heating System)</v>
      </c>
      <c r="G44" s="31" t="str">
        <f>Composite!C43</f>
        <v>WINDOW CL30 Prime Window Replacement of Double Pane Base</v>
      </c>
      <c r="H44" s="31">
        <f>VLOOKUP($F44&amp;$G44,Composite!$A$5:$Q$841,H$3,FALSE)*VLOOKUP($C44,[2]!ExistingSat,MATCH($A44,[2]SATS!$C$10:$F$10,0)+1,FALSE)</f>
        <v>3715.5179978357455</v>
      </c>
      <c r="I44">
        <f>VLOOKUP($F44&amp;$G44,Composite!$A$5:$Q$841,I$3,FALSE)</f>
        <v>45</v>
      </c>
      <c r="J44" s="31">
        <f>VLOOKUP($F44&amp;$G44,Composite!$A$5:$Q$841,J$3,FALSE)*VLOOKUP($C44,[2]!ExistingSat,MATCH($A44,[2]SATS!$C$10:$F$10,0)+1,FALSE)</f>
        <v>3098.9648613559325</v>
      </c>
      <c r="K44" s="31">
        <f>VLOOKUP($F44&amp;$G44,Composite!$A$5:$Q$841,K$3,FALSE)*VLOOKUP($C44,[2]!ExistingSat,MATCH($A44,[2]SATS!$C$10:$F$10,0)+1,FALSE)</f>
        <v>0</v>
      </c>
      <c r="L44" t="str">
        <f>VLOOKUP($F44&amp;$G44,Composite!$A$5:$Q$841,L$3,FALSE)</f>
        <v>ResSHWX</v>
      </c>
      <c r="M44" s="31">
        <f>VLOOKUP($F44&amp;$G44,Composite!$A$5:$Q$841,M$3,FALSE)*VLOOKUP($C44,[2]!ExistingSat,MATCH($A44,[2]SATS!$C$10:$F$10,0)+1,FALSE)</f>
        <v>0</v>
      </c>
      <c r="N44" s="31">
        <f>VLOOKUP($F44&amp;$G44,Composite!$A$5:$Q$841,N$3,FALSE)*VLOOKUP($C44,[2]!ExistingSat,MATCH($A44,[2]SATS!$C$10:$F$10,0)+1,FALSE)</f>
        <v>0</v>
      </c>
      <c r="O44">
        <f>VLOOKUP($F44&amp;$G44,Composite!$A$5:$Q$841,O$3,FALSE)</f>
        <v>0</v>
      </c>
      <c r="P44" s="31">
        <f>VLOOKUP($F44&amp;$G44,Composite!$A$5:$Q$841,P$3,FALSE)*VLOOKUP($C44,[2]!ExistingSat,MATCH($A44,[2]SATS!$C$10:$F$10,0)+1,FALSE)</f>
        <v>0</v>
      </c>
      <c r="Q44">
        <f>VLOOKUP($F44&amp;$G44,Composite!$A$5:$Q$841,Q$3,FALSE)</f>
        <v>0</v>
      </c>
      <c r="R44" s="31">
        <f>VLOOKUP($F44&amp;$G44,Composite!$A$5:$Q$841,R$3,FALSE)*VLOOKUP($C44,[2]!ExistingSat,MATCH($A44,[2]SATS!$C$10:$F$10,0)+1,FALSE)</f>
        <v>0</v>
      </c>
      <c r="S44">
        <f>VLOOKUP($F44&amp;$G44,Composite!$A$5:$Q$841,S$3,FALSE)</f>
        <v>0</v>
      </c>
      <c r="T44" s="31">
        <f>VLOOKUP($F44&amp;$G44,Composite!$A$5:$Q$841,T$3,FALSE)*VLOOKUP($C44,[2]!ExistingSat,MATCH($A44,[2]SATS!$C$10:$F$10,0)+1,FALSE)</f>
        <v>0</v>
      </c>
    </row>
    <row r="45" spans="1:20">
      <c r="A45" t="s">
        <v>85</v>
      </c>
      <c r="B45" t="s">
        <v>76</v>
      </c>
      <c r="C45" t="s">
        <v>63</v>
      </c>
      <c r="D45" t="s">
        <v>59</v>
      </c>
      <c r="E45" t="str">
        <f t="shared" si="1"/>
        <v>Electric FAFHZ1WALL R0 - R11</v>
      </c>
      <c r="F45" s="31" t="str">
        <f>Composite!B44</f>
        <v>Multi Family Weatherization - Insulate Walls - R-0 to R-11 - Heating Zone 1 (Electric FAF Heating System)</v>
      </c>
      <c r="G45" s="31" t="str">
        <f>Composite!C44</f>
        <v>WALL R0 - R11</v>
      </c>
      <c r="H45" s="31">
        <f>VLOOKUP($F45&amp;$G45,Composite!$A$5:$Q$841,H$3,FALSE)*VLOOKUP($C45,[2]!ExistingSat,MATCH($A45,[2]SATS!$C$10:$F$10,0)+1,FALSE)</f>
        <v>678.9681017915193</v>
      </c>
      <c r="I45">
        <f>VLOOKUP($F45&amp;$G45,Composite!$A$5:$Q$841,I$3,FALSE)</f>
        <v>45</v>
      </c>
      <c r="J45" s="31">
        <f>VLOOKUP($F45&amp;$G45,Composite!$A$5:$Q$841,J$3,FALSE)*VLOOKUP($C45,[2]!ExistingSat,MATCH($A45,[2]SATS!$C$10:$F$10,0)+1,FALSE)</f>
        <v>504.28054205609425</v>
      </c>
      <c r="K45" s="31">
        <f>VLOOKUP($F45&amp;$G45,Composite!$A$5:$Q$841,K$3,FALSE)*VLOOKUP($C45,[2]!ExistingSat,MATCH($A45,[2]SATS!$C$10:$F$10,0)+1,FALSE)</f>
        <v>0</v>
      </c>
      <c r="L45" t="str">
        <f>VLOOKUP($F45&amp;$G45,Composite!$A$5:$Q$841,L$3,FALSE)</f>
        <v>ResSHWX</v>
      </c>
      <c r="M45" s="31">
        <f>VLOOKUP($F45&amp;$G45,Composite!$A$5:$Q$841,M$3,FALSE)*VLOOKUP($C45,[2]!ExistingSat,MATCH($A45,[2]SATS!$C$10:$F$10,0)+1,FALSE)</f>
        <v>0</v>
      </c>
      <c r="N45" s="31">
        <f>VLOOKUP($F45&amp;$G45,Composite!$A$5:$Q$841,N$3,FALSE)*VLOOKUP($C45,[2]!ExistingSat,MATCH($A45,[2]SATS!$C$10:$F$10,0)+1,FALSE)</f>
        <v>0</v>
      </c>
      <c r="O45">
        <f>VLOOKUP($F45&amp;$G45,Composite!$A$5:$Q$841,O$3,FALSE)</f>
        <v>0</v>
      </c>
      <c r="P45" s="31">
        <f>VLOOKUP($F45&amp;$G45,Composite!$A$5:$Q$841,P$3,FALSE)*VLOOKUP($C45,[2]!ExistingSat,MATCH($A45,[2]SATS!$C$10:$F$10,0)+1,FALSE)</f>
        <v>0</v>
      </c>
      <c r="Q45">
        <f>VLOOKUP($F45&amp;$G45,Composite!$A$5:$Q$841,Q$3,FALSE)</f>
        <v>0</v>
      </c>
      <c r="R45" s="31">
        <f>VLOOKUP($F45&amp;$G45,Composite!$A$5:$Q$841,R$3,FALSE)*VLOOKUP($C45,[2]!ExistingSat,MATCH($A45,[2]SATS!$C$10:$F$10,0)+1,FALSE)</f>
        <v>0</v>
      </c>
      <c r="S45">
        <f>VLOOKUP($F45&amp;$G45,Composite!$A$5:$Q$841,S$3,FALSE)</f>
        <v>0</v>
      </c>
      <c r="T45" s="31">
        <f>VLOOKUP($F45&amp;$G45,Composite!$A$5:$Q$841,T$3,FALSE)*VLOOKUP($C45,[2]!ExistingSat,MATCH($A45,[2]SATS!$C$10:$F$10,0)+1,FALSE)</f>
        <v>0</v>
      </c>
    </row>
    <row r="46" spans="1:20">
      <c r="A46" t="s">
        <v>85</v>
      </c>
      <c r="B46" t="s">
        <v>76</v>
      </c>
      <c r="C46" t="s">
        <v>26</v>
      </c>
      <c r="D46" t="s">
        <v>59</v>
      </c>
      <c r="E46" t="str">
        <f t="shared" si="1"/>
        <v>Electric FAFHZ1FLOOR R0 - R19</v>
      </c>
      <c r="F46" s="31" t="str">
        <f>Composite!B45</f>
        <v>Multi Family Weatherization - Insulate Floors - R-0 to R-19 - Heating Zone 1 (Electric FAF Heating System)</v>
      </c>
      <c r="G46" s="31" t="str">
        <f>Composite!C45</f>
        <v>FLOOR R0 - R19</v>
      </c>
      <c r="H46" s="31">
        <f>VLOOKUP($F46&amp;$G46,Composite!$A$5:$Q$841,H$3,FALSE)*VLOOKUP($C46,[2]!ExistingSat,MATCH($A46,[2]SATS!$C$10:$F$10,0)+1,FALSE)</f>
        <v>239.74742466210949</v>
      </c>
      <c r="I46">
        <f>VLOOKUP($F46&amp;$G46,Composite!$A$5:$Q$841,I$3,FALSE)</f>
        <v>45</v>
      </c>
      <c r="J46" s="31">
        <f>VLOOKUP($F46&amp;$G46,Composite!$A$5:$Q$841,J$3,FALSE)*VLOOKUP($C46,[2]!ExistingSat,MATCH($A46,[2]SATS!$C$10:$F$10,0)+1,FALSE)</f>
        <v>358.01976642494196</v>
      </c>
      <c r="K46" s="31">
        <f>VLOOKUP($F46&amp;$G46,Composite!$A$5:$Q$841,K$3,FALSE)*VLOOKUP($C46,[2]!ExistingSat,MATCH($A46,[2]SATS!$C$10:$F$10,0)+1,FALSE)</f>
        <v>0</v>
      </c>
      <c r="L46" t="str">
        <f>VLOOKUP($F46&amp;$G46,Composite!$A$5:$Q$841,L$3,FALSE)</f>
        <v>ResSHWX</v>
      </c>
      <c r="M46" s="31">
        <f>VLOOKUP($F46&amp;$G46,Composite!$A$5:$Q$841,M$3,FALSE)*VLOOKUP($C46,[2]!ExistingSat,MATCH($A46,[2]SATS!$C$10:$F$10,0)+1,FALSE)</f>
        <v>0</v>
      </c>
      <c r="N46" s="31">
        <f>VLOOKUP($F46&amp;$G46,Composite!$A$5:$Q$841,N$3,FALSE)*VLOOKUP($C46,[2]!ExistingSat,MATCH($A46,[2]SATS!$C$10:$F$10,0)+1,FALSE)</f>
        <v>0</v>
      </c>
      <c r="O46">
        <f>VLOOKUP($F46&amp;$G46,Composite!$A$5:$Q$841,O$3,FALSE)</f>
        <v>0</v>
      </c>
      <c r="P46" s="31">
        <f>VLOOKUP($F46&amp;$G46,Composite!$A$5:$Q$841,P$3,FALSE)*VLOOKUP($C46,[2]!ExistingSat,MATCH($A46,[2]SATS!$C$10:$F$10,0)+1,FALSE)</f>
        <v>0</v>
      </c>
      <c r="Q46">
        <f>VLOOKUP($F46&amp;$G46,Composite!$A$5:$Q$841,Q$3,FALSE)</f>
        <v>0</v>
      </c>
      <c r="R46" s="31">
        <f>VLOOKUP($F46&amp;$G46,Composite!$A$5:$Q$841,R$3,FALSE)*VLOOKUP($C46,[2]!ExistingSat,MATCH($A46,[2]SATS!$C$10:$F$10,0)+1,FALSE)</f>
        <v>0</v>
      </c>
      <c r="S46">
        <f>VLOOKUP($F46&amp;$G46,Composite!$A$5:$Q$841,S$3,FALSE)</f>
        <v>0</v>
      </c>
      <c r="T46" s="31">
        <f>VLOOKUP($F46&amp;$G46,Composite!$A$5:$Q$841,T$3,FALSE)*VLOOKUP($C46,[2]!ExistingSat,MATCH($A46,[2]SATS!$C$10:$F$10,0)+1,FALSE)</f>
        <v>0</v>
      </c>
    </row>
    <row r="47" spans="1:20">
      <c r="A47" t="s">
        <v>85</v>
      </c>
      <c r="B47" t="s">
        <v>76</v>
      </c>
      <c r="C47" t="s">
        <v>26</v>
      </c>
      <c r="D47" t="s">
        <v>59</v>
      </c>
      <c r="E47" t="str">
        <f t="shared" si="1"/>
        <v>Electric FAFHZ1FLOOR R0 - R30</v>
      </c>
      <c r="F47" s="31" t="str">
        <f>Composite!B46</f>
        <v>Multi Family Weatherization - Insulate Floors - R-0 to R-30 - Heating Zone 1 (Electric FAF Heating System)</v>
      </c>
      <c r="G47" s="31" t="str">
        <f>Composite!C46</f>
        <v>FLOOR R0 - R30</v>
      </c>
      <c r="H47" s="31">
        <f>VLOOKUP($F47&amp;$G47,Composite!$A$5:$Q$841,H$3,FALSE)*VLOOKUP($C47,[2]!ExistingSat,MATCH($A47,[2]SATS!$C$10:$F$10,0)+1,FALSE)</f>
        <v>312.21200009979128</v>
      </c>
      <c r="I47">
        <f>VLOOKUP($F47&amp;$G47,Composite!$A$5:$Q$841,I$3,FALSE)</f>
        <v>45</v>
      </c>
      <c r="J47" s="31">
        <f>VLOOKUP($F47&amp;$G47,Composite!$A$5:$Q$841,J$3,FALSE)*VLOOKUP($C47,[2]!ExistingSat,MATCH($A47,[2]SATS!$C$10:$F$10,0)+1,FALSE)</f>
        <v>383.15497685936549</v>
      </c>
      <c r="K47" s="31">
        <f>VLOOKUP($F47&amp;$G47,Composite!$A$5:$Q$841,K$3,FALSE)*VLOOKUP($C47,[2]!ExistingSat,MATCH($A47,[2]SATS!$C$10:$F$10,0)+1,FALSE)</f>
        <v>0</v>
      </c>
      <c r="L47" t="str">
        <f>VLOOKUP($F47&amp;$G47,Composite!$A$5:$Q$841,L$3,FALSE)</f>
        <v>ResSHWX</v>
      </c>
      <c r="M47" s="31">
        <f>VLOOKUP($F47&amp;$G47,Composite!$A$5:$Q$841,M$3,FALSE)*VLOOKUP($C47,[2]!ExistingSat,MATCH($A47,[2]SATS!$C$10:$F$10,0)+1,FALSE)</f>
        <v>0</v>
      </c>
      <c r="N47" s="31">
        <f>VLOOKUP($F47&amp;$G47,Composite!$A$5:$Q$841,N$3,FALSE)*VLOOKUP($C47,[2]!ExistingSat,MATCH($A47,[2]SATS!$C$10:$F$10,0)+1,FALSE)</f>
        <v>0</v>
      </c>
      <c r="O47">
        <f>VLOOKUP($F47&amp;$G47,Composite!$A$5:$Q$841,O$3,FALSE)</f>
        <v>0</v>
      </c>
      <c r="P47" s="31">
        <f>VLOOKUP($F47&amp;$G47,Composite!$A$5:$Q$841,P$3,FALSE)*VLOOKUP($C47,[2]!ExistingSat,MATCH($A47,[2]SATS!$C$10:$F$10,0)+1,FALSE)</f>
        <v>0</v>
      </c>
      <c r="Q47">
        <f>VLOOKUP($F47&amp;$G47,Composite!$A$5:$Q$841,Q$3,FALSE)</f>
        <v>0</v>
      </c>
      <c r="R47" s="31">
        <f>VLOOKUP($F47&amp;$G47,Composite!$A$5:$Q$841,R$3,FALSE)*VLOOKUP($C47,[2]!ExistingSat,MATCH($A47,[2]SATS!$C$10:$F$10,0)+1,FALSE)</f>
        <v>0</v>
      </c>
      <c r="S47">
        <f>VLOOKUP($F47&amp;$G47,Composite!$A$5:$Q$841,S$3,FALSE)</f>
        <v>0</v>
      </c>
      <c r="T47" s="31">
        <f>VLOOKUP($F47&amp;$G47,Composite!$A$5:$Q$841,T$3,FALSE)*VLOOKUP($C47,[2]!ExistingSat,MATCH($A47,[2]SATS!$C$10:$F$10,0)+1,FALSE)</f>
        <v>0</v>
      </c>
    </row>
    <row r="48" spans="1:20">
      <c r="A48" t="s">
        <v>85</v>
      </c>
      <c r="B48" t="s">
        <v>76</v>
      </c>
      <c r="C48" t="s">
        <v>28</v>
      </c>
      <c r="D48" t="s">
        <v>59</v>
      </c>
      <c r="E48" t="str">
        <f t="shared" si="1"/>
        <v>Electric FAFHZ1ATTIC R0 - R19</v>
      </c>
      <c r="F48" s="31" t="str">
        <f>Composite!B47</f>
        <v>Multi Family Weatherization - Insulate Attic - R-0 to R-19 - Heating Zone 1 (Electric FAF Heating System)</v>
      </c>
      <c r="G48" s="31" t="str">
        <f>Composite!C47</f>
        <v>ATTIC R0 - R19</v>
      </c>
      <c r="H48" s="31">
        <f>VLOOKUP($F48&amp;$G48,Composite!$A$5:$Q$841,H$3,FALSE)*VLOOKUP($C48,[2]!ExistingSat,MATCH($A48,[2]SATS!$C$10:$F$10,0)+1,FALSE)</f>
        <v>202.14040630807256</v>
      </c>
      <c r="I48">
        <f>VLOOKUP($F48&amp;$G48,Composite!$A$5:$Q$841,I$3,FALSE)</f>
        <v>45</v>
      </c>
      <c r="J48" s="31">
        <f>VLOOKUP($F48&amp;$G48,Composite!$A$5:$Q$841,J$3,FALSE)*VLOOKUP($C48,[2]!ExistingSat,MATCH($A48,[2]SATS!$C$10:$F$10,0)+1,FALSE)</f>
        <v>223.50315070635102</v>
      </c>
      <c r="K48" s="31">
        <f>VLOOKUP($F48&amp;$G48,Composite!$A$5:$Q$841,K$3,FALSE)*VLOOKUP($C48,[2]!ExistingSat,MATCH($A48,[2]SATS!$C$10:$F$10,0)+1,FALSE)</f>
        <v>0</v>
      </c>
      <c r="L48" t="str">
        <f>VLOOKUP($F48&amp;$G48,Composite!$A$5:$Q$841,L$3,FALSE)</f>
        <v>ResSHWX</v>
      </c>
      <c r="M48" s="31">
        <f>VLOOKUP($F48&amp;$G48,Composite!$A$5:$Q$841,M$3,FALSE)*VLOOKUP($C48,[2]!ExistingSat,MATCH($A48,[2]SATS!$C$10:$F$10,0)+1,FALSE)</f>
        <v>0</v>
      </c>
      <c r="N48" s="31">
        <f>VLOOKUP($F48&amp;$G48,Composite!$A$5:$Q$841,N$3,FALSE)*VLOOKUP($C48,[2]!ExistingSat,MATCH($A48,[2]SATS!$C$10:$F$10,0)+1,FALSE)</f>
        <v>0</v>
      </c>
      <c r="O48">
        <f>VLOOKUP($F48&amp;$G48,Composite!$A$5:$Q$841,O$3,FALSE)</f>
        <v>0</v>
      </c>
      <c r="P48" s="31">
        <f>VLOOKUP($F48&amp;$G48,Composite!$A$5:$Q$841,P$3,FALSE)*VLOOKUP($C48,[2]!ExistingSat,MATCH($A48,[2]SATS!$C$10:$F$10,0)+1,FALSE)</f>
        <v>0</v>
      </c>
      <c r="Q48">
        <f>VLOOKUP($F48&amp;$G48,Composite!$A$5:$Q$841,Q$3,FALSE)</f>
        <v>0</v>
      </c>
      <c r="R48" s="31">
        <f>VLOOKUP($F48&amp;$G48,Composite!$A$5:$Q$841,R$3,FALSE)*VLOOKUP($C48,[2]!ExistingSat,MATCH($A48,[2]SATS!$C$10:$F$10,0)+1,FALSE)</f>
        <v>0</v>
      </c>
      <c r="S48">
        <f>VLOOKUP($F48&amp;$G48,Composite!$A$5:$Q$841,S$3,FALSE)</f>
        <v>0</v>
      </c>
      <c r="T48" s="31">
        <f>VLOOKUP($F48&amp;$G48,Composite!$A$5:$Q$841,T$3,FALSE)*VLOOKUP($C48,[2]!ExistingSat,MATCH($A48,[2]SATS!$C$10:$F$10,0)+1,FALSE)</f>
        <v>0</v>
      </c>
    </row>
    <row r="49" spans="1:20">
      <c r="A49" t="s">
        <v>85</v>
      </c>
      <c r="B49" t="s">
        <v>76</v>
      </c>
      <c r="C49" t="s">
        <v>28</v>
      </c>
      <c r="D49" t="s">
        <v>59</v>
      </c>
      <c r="E49" t="str">
        <f t="shared" si="1"/>
        <v>Electric FAFHZ1ATTIC R0 - R38</v>
      </c>
      <c r="F49" s="31" t="str">
        <f>Composite!B48</f>
        <v>Multi Family Weatherization - Insulate Attic - R-0 to R-38 - Heating Zone 1 (Electric FAF Heating System)</v>
      </c>
      <c r="G49" s="31" t="str">
        <f>Composite!C48</f>
        <v>ATTIC R0 - R38</v>
      </c>
      <c r="H49" s="31">
        <f>VLOOKUP($F49&amp;$G49,Composite!$A$5:$Q$841,H$3,FALSE)*VLOOKUP($C49,[2]!ExistingSat,MATCH($A49,[2]SATS!$C$10:$F$10,0)+1,FALSE)</f>
        <v>275.30577802885261</v>
      </c>
      <c r="I49">
        <f>VLOOKUP($F49&amp;$G49,Composite!$A$5:$Q$841,I$3,FALSE)</f>
        <v>45</v>
      </c>
      <c r="J49" s="31">
        <f>VLOOKUP($F49&amp;$G49,Composite!$A$5:$Q$841,J$3,FALSE)*VLOOKUP($C49,[2]!ExistingSat,MATCH($A49,[2]SATS!$C$10:$F$10,0)+1,FALSE)</f>
        <v>298.11418524056876</v>
      </c>
      <c r="K49" s="31">
        <f>VLOOKUP($F49&amp;$G49,Composite!$A$5:$Q$841,K$3,FALSE)*VLOOKUP($C49,[2]!ExistingSat,MATCH($A49,[2]SATS!$C$10:$F$10,0)+1,FALSE)</f>
        <v>0</v>
      </c>
      <c r="L49" t="str">
        <f>VLOOKUP($F49&amp;$G49,Composite!$A$5:$Q$841,L$3,FALSE)</f>
        <v>ResSHWX</v>
      </c>
      <c r="M49" s="31">
        <f>VLOOKUP($F49&amp;$G49,Composite!$A$5:$Q$841,M$3,FALSE)*VLOOKUP($C49,[2]!ExistingSat,MATCH($A49,[2]SATS!$C$10:$F$10,0)+1,FALSE)</f>
        <v>0</v>
      </c>
      <c r="N49" s="31">
        <f>VLOOKUP($F49&amp;$G49,Composite!$A$5:$Q$841,N$3,FALSE)*VLOOKUP($C49,[2]!ExistingSat,MATCH($A49,[2]SATS!$C$10:$F$10,0)+1,FALSE)</f>
        <v>0</v>
      </c>
      <c r="O49">
        <f>VLOOKUP($F49&amp;$G49,Composite!$A$5:$Q$841,O$3,FALSE)</f>
        <v>0</v>
      </c>
      <c r="P49" s="31">
        <f>VLOOKUP($F49&amp;$G49,Composite!$A$5:$Q$841,P$3,FALSE)*VLOOKUP($C49,[2]!ExistingSat,MATCH($A49,[2]SATS!$C$10:$F$10,0)+1,FALSE)</f>
        <v>0</v>
      </c>
      <c r="Q49">
        <f>VLOOKUP($F49&amp;$G49,Composite!$A$5:$Q$841,Q$3,FALSE)</f>
        <v>0</v>
      </c>
      <c r="R49" s="31">
        <f>VLOOKUP($F49&amp;$G49,Composite!$A$5:$Q$841,R$3,FALSE)*VLOOKUP($C49,[2]!ExistingSat,MATCH($A49,[2]SATS!$C$10:$F$10,0)+1,FALSE)</f>
        <v>0</v>
      </c>
      <c r="S49">
        <f>VLOOKUP($F49&amp;$G49,Composite!$A$5:$Q$841,S$3,FALSE)</f>
        <v>0</v>
      </c>
      <c r="T49" s="31">
        <f>VLOOKUP($F49&amp;$G49,Composite!$A$5:$Q$841,T$3,FALSE)*VLOOKUP($C49,[2]!ExistingSat,MATCH($A49,[2]SATS!$C$10:$F$10,0)+1,FALSE)</f>
        <v>0</v>
      </c>
    </row>
    <row r="50" spans="1:20">
      <c r="A50" t="s">
        <v>85</v>
      </c>
      <c r="B50" t="s">
        <v>76</v>
      </c>
      <c r="C50" t="s">
        <v>28</v>
      </c>
      <c r="D50" t="s">
        <v>59</v>
      </c>
      <c r="E50" t="str">
        <f t="shared" si="1"/>
        <v>Electric FAFHZ1ATTIC R0 - R49</v>
      </c>
      <c r="F50" s="31" t="str">
        <f>Composite!B49</f>
        <v>Multi Family Weatherization - Insulate Attic - R-0 to R-49 - Heating Zone 1 (Electric FAF Heating System)</v>
      </c>
      <c r="G50" s="31" t="str">
        <f>Composite!C49</f>
        <v>ATTIC R0 - R49</v>
      </c>
      <c r="H50" s="31">
        <f>VLOOKUP($F50&amp;$G50,Composite!$A$5:$Q$841,H$3,FALSE)*VLOOKUP($C50,[2]!ExistingSat,MATCH($A50,[2]SATS!$C$10:$F$10,0)+1,FALSE)</f>
        <v>292.27130186986631</v>
      </c>
      <c r="I50">
        <f>VLOOKUP($F50&amp;$G50,Composite!$A$5:$Q$841,I$3,FALSE)</f>
        <v>45</v>
      </c>
      <c r="J50" s="31">
        <f>VLOOKUP($F50&amp;$G50,Composite!$A$5:$Q$841,J$3,FALSE)*VLOOKUP($C50,[2]!ExistingSat,MATCH($A50,[2]SATS!$C$10:$F$10,0)+1,FALSE)</f>
        <v>338.16777381701564</v>
      </c>
      <c r="K50" s="31">
        <f>VLOOKUP($F50&amp;$G50,Composite!$A$5:$Q$841,K$3,FALSE)*VLOOKUP($C50,[2]!ExistingSat,MATCH($A50,[2]SATS!$C$10:$F$10,0)+1,FALSE)</f>
        <v>0</v>
      </c>
      <c r="L50" t="str">
        <f>VLOOKUP($F50&amp;$G50,Composite!$A$5:$Q$841,L$3,FALSE)</f>
        <v>ResSHWX</v>
      </c>
      <c r="M50" s="31">
        <f>VLOOKUP($F50&amp;$G50,Composite!$A$5:$Q$841,M$3,FALSE)*VLOOKUP($C50,[2]!ExistingSat,MATCH($A50,[2]SATS!$C$10:$F$10,0)+1,FALSE)</f>
        <v>0</v>
      </c>
      <c r="N50" s="31">
        <f>VLOOKUP($F50&amp;$G50,Composite!$A$5:$Q$841,N$3,FALSE)*VLOOKUP($C50,[2]!ExistingSat,MATCH($A50,[2]SATS!$C$10:$F$10,0)+1,FALSE)</f>
        <v>0</v>
      </c>
      <c r="O50">
        <f>VLOOKUP($F50&amp;$G50,Composite!$A$5:$Q$841,O$3,FALSE)</f>
        <v>0</v>
      </c>
      <c r="P50" s="31">
        <f>VLOOKUP($F50&amp;$G50,Composite!$A$5:$Q$841,P$3,FALSE)*VLOOKUP($C50,[2]!ExistingSat,MATCH($A50,[2]SATS!$C$10:$F$10,0)+1,FALSE)</f>
        <v>0</v>
      </c>
      <c r="Q50">
        <f>VLOOKUP($F50&amp;$G50,Composite!$A$5:$Q$841,Q$3,FALSE)</f>
        <v>0</v>
      </c>
      <c r="R50" s="31">
        <f>VLOOKUP($F50&amp;$G50,Composite!$A$5:$Q$841,R$3,FALSE)*VLOOKUP($C50,[2]!ExistingSat,MATCH($A50,[2]SATS!$C$10:$F$10,0)+1,FALSE)</f>
        <v>0</v>
      </c>
      <c r="S50">
        <f>VLOOKUP($F50&amp;$G50,Composite!$A$5:$Q$841,S$3,FALSE)</f>
        <v>0</v>
      </c>
      <c r="T50" s="31">
        <f>VLOOKUP($F50&amp;$G50,Composite!$A$5:$Q$841,T$3,FALSE)*VLOOKUP($C50,[2]!ExistingSat,MATCH($A50,[2]SATS!$C$10:$F$10,0)+1,FALSE)</f>
        <v>0</v>
      </c>
    </row>
    <row r="51" spans="1:20">
      <c r="A51" t="s">
        <v>85</v>
      </c>
      <c r="B51" t="s">
        <v>76</v>
      </c>
      <c r="C51" t="s">
        <v>28</v>
      </c>
      <c r="D51" t="s">
        <v>59</v>
      </c>
      <c r="E51" t="str">
        <f t="shared" si="1"/>
        <v>Electric FAFHZ1ATTIC R19 - R30</v>
      </c>
      <c r="F51" s="31" t="str">
        <f>Composite!B50</f>
        <v>Multi Family Weatherization - Insulate Attic - R-19 to R-30 - Heating Zone 1 (Electric FAF Heating System)</v>
      </c>
      <c r="G51" s="31" t="str">
        <f>Composite!C50</f>
        <v>ATTIC R19 - R30</v>
      </c>
      <c r="H51" s="31">
        <f>VLOOKUP($F51&amp;$G51,Composite!$A$5:$Q$841,H$3,FALSE)*VLOOKUP($C51,[2]!ExistingSat,MATCH($A51,[2]SATS!$C$10:$F$10,0)+1,FALSE)</f>
        <v>53.025007744632404</v>
      </c>
      <c r="I51">
        <f>VLOOKUP($F51&amp;$G51,Composite!$A$5:$Q$841,I$3,FALSE)</f>
        <v>45</v>
      </c>
      <c r="J51" s="31">
        <f>VLOOKUP($F51&amp;$G51,Composite!$A$5:$Q$841,J$3,FALSE)*VLOOKUP($C51,[2]!ExistingSat,MATCH($A51,[2]SATS!$C$10:$F$10,0)+1,FALSE)</f>
        <v>192.92591787684046</v>
      </c>
      <c r="K51" s="31">
        <f>VLOOKUP($F51&amp;$G51,Composite!$A$5:$Q$841,K$3,FALSE)*VLOOKUP($C51,[2]!ExistingSat,MATCH($A51,[2]SATS!$C$10:$F$10,0)+1,FALSE)</f>
        <v>0</v>
      </c>
      <c r="L51" t="str">
        <f>VLOOKUP($F51&amp;$G51,Composite!$A$5:$Q$841,L$3,FALSE)</f>
        <v>ResSHWX</v>
      </c>
      <c r="M51" s="31">
        <f>VLOOKUP($F51&amp;$G51,Composite!$A$5:$Q$841,M$3,FALSE)*VLOOKUP($C51,[2]!ExistingSat,MATCH($A51,[2]SATS!$C$10:$F$10,0)+1,FALSE)</f>
        <v>0</v>
      </c>
      <c r="N51" s="31">
        <f>VLOOKUP($F51&amp;$G51,Composite!$A$5:$Q$841,N$3,FALSE)*VLOOKUP($C51,[2]!ExistingSat,MATCH($A51,[2]SATS!$C$10:$F$10,0)+1,FALSE)</f>
        <v>0</v>
      </c>
      <c r="O51">
        <f>VLOOKUP($F51&amp;$G51,Composite!$A$5:$Q$841,O$3,FALSE)</f>
        <v>0</v>
      </c>
      <c r="P51" s="31">
        <f>VLOOKUP($F51&amp;$G51,Composite!$A$5:$Q$841,P$3,FALSE)*VLOOKUP($C51,[2]!ExistingSat,MATCH($A51,[2]SATS!$C$10:$F$10,0)+1,FALSE)</f>
        <v>0</v>
      </c>
      <c r="Q51">
        <f>VLOOKUP($F51&amp;$G51,Composite!$A$5:$Q$841,Q$3,FALSE)</f>
        <v>0</v>
      </c>
      <c r="R51" s="31">
        <f>VLOOKUP($F51&amp;$G51,Composite!$A$5:$Q$841,R$3,FALSE)*VLOOKUP($C51,[2]!ExistingSat,MATCH($A51,[2]SATS!$C$10:$F$10,0)+1,FALSE)</f>
        <v>0</v>
      </c>
      <c r="S51">
        <f>VLOOKUP($F51&amp;$G51,Composite!$A$5:$Q$841,S$3,FALSE)</f>
        <v>0</v>
      </c>
      <c r="T51" s="31">
        <f>VLOOKUP($F51&amp;$G51,Composite!$A$5:$Q$841,T$3,FALSE)*VLOOKUP($C51,[2]!ExistingSat,MATCH($A51,[2]SATS!$C$10:$F$10,0)+1,FALSE)</f>
        <v>0</v>
      </c>
    </row>
    <row r="52" spans="1:20">
      <c r="A52" t="s">
        <v>85</v>
      </c>
      <c r="B52" t="s">
        <v>76</v>
      </c>
      <c r="C52" t="s">
        <v>28</v>
      </c>
      <c r="D52" t="s">
        <v>59</v>
      </c>
      <c r="E52" t="str">
        <f t="shared" si="1"/>
        <v>Electric FAFHZ1ATTIC R19 - R38</v>
      </c>
      <c r="F52" s="31" t="str">
        <f>Composite!B51</f>
        <v>Multi Family Weatherization - Insulate Attic - R-19 to R-38 - Heating Zone 1 (Electric FAF Heating System)</v>
      </c>
      <c r="G52" s="31" t="str">
        <f>Composite!C51</f>
        <v>ATTIC R19 - R38</v>
      </c>
      <c r="H52" s="31">
        <f>VLOOKUP($F52&amp;$G52,Composite!$A$5:$Q$841,H$3,FALSE)*VLOOKUP($C52,[2]!ExistingSat,MATCH($A52,[2]SATS!$C$10:$F$10,0)+1,FALSE)</f>
        <v>73.165371720780044</v>
      </c>
      <c r="I52">
        <f>VLOOKUP($F52&amp;$G52,Composite!$A$5:$Q$841,I$3,FALSE)</f>
        <v>45</v>
      </c>
      <c r="J52" s="31">
        <f>VLOOKUP($F52&amp;$G52,Composite!$A$5:$Q$841,J$3,FALSE)*VLOOKUP($C52,[2]!ExistingSat,MATCH($A52,[2]SATS!$C$10:$F$10,0)+1,FALSE)</f>
        <v>225.005207173061</v>
      </c>
      <c r="K52" s="31">
        <f>VLOOKUP($F52&amp;$G52,Composite!$A$5:$Q$841,K$3,FALSE)*VLOOKUP($C52,[2]!ExistingSat,MATCH($A52,[2]SATS!$C$10:$F$10,0)+1,FALSE)</f>
        <v>0</v>
      </c>
      <c r="L52" t="str">
        <f>VLOOKUP($F52&amp;$G52,Composite!$A$5:$Q$841,L$3,FALSE)</f>
        <v>ResSHWX</v>
      </c>
      <c r="M52" s="31">
        <f>VLOOKUP($F52&amp;$G52,Composite!$A$5:$Q$841,M$3,FALSE)*VLOOKUP($C52,[2]!ExistingSat,MATCH($A52,[2]SATS!$C$10:$F$10,0)+1,FALSE)</f>
        <v>0</v>
      </c>
      <c r="N52" s="31">
        <f>VLOOKUP($F52&amp;$G52,Composite!$A$5:$Q$841,N$3,FALSE)*VLOOKUP($C52,[2]!ExistingSat,MATCH($A52,[2]SATS!$C$10:$F$10,0)+1,FALSE)</f>
        <v>0</v>
      </c>
      <c r="O52">
        <f>VLOOKUP($F52&amp;$G52,Composite!$A$5:$Q$841,O$3,FALSE)</f>
        <v>0</v>
      </c>
      <c r="P52" s="31">
        <f>VLOOKUP($F52&amp;$G52,Composite!$A$5:$Q$841,P$3,FALSE)*VLOOKUP($C52,[2]!ExistingSat,MATCH($A52,[2]SATS!$C$10:$F$10,0)+1,FALSE)</f>
        <v>0</v>
      </c>
      <c r="Q52">
        <f>VLOOKUP($F52&amp;$G52,Composite!$A$5:$Q$841,Q$3,FALSE)</f>
        <v>0</v>
      </c>
      <c r="R52" s="31">
        <f>VLOOKUP($F52&amp;$G52,Composite!$A$5:$Q$841,R$3,FALSE)*VLOOKUP($C52,[2]!ExistingSat,MATCH($A52,[2]SATS!$C$10:$F$10,0)+1,FALSE)</f>
        <v>0</v>
      </c>
      <c r="S52">
        <f>VLOOKUP($F52&amp;$G52,Composite!$A$5:$Q$841,S$3,FALSE)</f>
        <v>0</v>
      </c>
      <c r="T52" s="31">
        <f>VLOOKUP($F52&amp;$G52,Composite!$A$5:$Q$841,T$3,FALSE)*VLOOKUP($C52,[2]!ExistingSat,MATCH($A52,[2]SATS!$C$10:$F$10,0)+1,FALSE)</f>
        <v>0</v>
      </c>
    </row>
    <row r="53" spans="1:20">
      <c r="A53" t="s">
        <v>85</v>
      </c>
      <c r="B53" t="s">
        <v>76</v>
      </c>
      <c r="C53" t="s">
        <v>28</v>
      </c>
      <c r="D53" t="s">
        <v>59</v>
      </c>
      <c r="E53" t="str">
        <f t="shared" si="1"/>
        <v>Electric FAFHZ1ATTIC R19 - R49</v>
      </c>
      <c r="F53" s="31" t="str">
        <f>Composite!B52</f>
        <v>Multi Family Weatherization - Insulate Attic - R-19 to R-49 - Heating Zone 1 (Electric FAF Heating System)</v>
      </c>
      <c r="G53" s="31" t="str">
        <f>Composite!C52</f>
        <v>ATTIC R19 - R49</v>
      </c>
      <c r="H53" s="31">
        <f>VLOOKUP($F53&amp;$G53,Composite!$A$5:$Q$841,H$3,FALSE)*VLOOKUP($C53,[2]!ExistingSat,MATCH($A53,[2]SATS!$C$10:$F$10,0)+1,FALSE)</f>
        <v>90.130895561793736</v>
      </c>
      <c r="I53">
        <f>VLOOKUP($F53&amp;$G53,Composite!$A$5:$Q$841,I$3,FALSE)</f>
        <v>45</v>
      </c>
      <c r="J53" s="31">
        <f>VLOOKUP($F53&amp;$G53,Composite!$A$5:$Q$841,J$3,FALSE)*VLOOKUP($C53,[2]!ExistingSat,MATCH($A53,[2]SATS!$C$10:$F$10,0)+1,FALSE)</f>
        <v>267.33145763319703</v>
      </c>
      <c r="K53" s="31">
        <f>VLOOKUP($F53&amp;$G53,Composite!$A$5:$Q$841,K$3,FALSE)*VLOOKUP($C53,[2]!ExistingSat,MATCH($A53,[2]SATS!$C$10:$F$10,0)+1,FALSE)</f>
        <v>0</v>
      </c>
      <c r="L53" t="str">
        <f>VLOOKUP($F53&amp;$G53,Composite!$A$5:$Q$841,L$3,FALSE)</f>
        <v>ResSHWX</v>
      </c>
      <c r="M53" s="31">
        <f>VLOOKUP($F53&amp;$G53,Composite!$A$5:$Q$841,M$3,FALSE)*VLOOKUP($C53,[2]!ExistingSat,MATCH($A53,[2]SATS!$C$10:$F$10,0)+1,FALSE)</f>
        <v>0</v>
      </c>
      <c r="N53" s="31">
        <f>VLOOKUP($F53&amp;$G53,Composite!$A$5:$Q$841,N$3,FALSE)*VLOOKUP($C53,[2]!ExistingSat,MATCH($A53,[2]SATS!$C$10:$F$10,0)+1,FALSE)</f>
        <v>0</v>
      </c>
      <c r="O53">
        <f>VLOOKUP($F53&amp;$G53,Composite!$A$5:$Q$841,O$3,FALSE)</f>
        <v>0</v>
      </c>
      <c r="P53" s="31">
        <f>VLOOKUP($F53&amp;$G53,Composite!$A$5:$Q$841,P$3,FALSE)*VLOOKUP($C53,[2]!ExistingSat,MATCH($A53,[2]SATS!$C$10:$F$10,0)+1,FALSE)</f>
        <v>0</v>
      </c>
      <c r="Q53">
        <f>VLOOKUP($F53&amp;$G53,Composite!$A$5:$Q$841,Q$3,FALSE)</f>
        <v>0</v>
      </c>
      <c r="R53" s="31">
        <f>VLOOKUP($F53&amp;$G53,Composite!$A$5:$Q$841,R$3,FALSE)*VLOOKUP($C53,[2]!ExistingSat,MATCH($A53,[2]SATS!$C$10:$F$10,0)+1,FALSE)</f>
        <v>0</v>
      </c>
      <c r="S53">
        <f>VLOOKUP($F53&amp;$G53,Composite!$A$5:$Q$841,S$3,FALSE)</f>
        <v>0</v>
      </c>
      <c r="T53" s="31">
        <f>VLOOKUP($F53&amp;$G53,Composite!$A$5:$Q$841,T$3,FALSE)*VLOOKUP($C53,[2]!ExistingSat,MATCH($A53,[2]SATS!$C$10:$F$10,0)+1,FALSE)</f>
        <v>0</v>
      </c>
    </row>
    <row r="54" spans="1:20">
      <c r="A54" t="s">
        <v>85</v>
      </c>
      <c r="B54" t="s">
        <v>76</v>
      </c>
      <c r="C54" t="s">
        <v>27</v>
      </c>
      <c r="D54" t="s">
        <v>59</v>
      </c>
      <c r="E54" t="str">
        <f t="shared" si="1"/>
        <v>Electric FAFHZ1WINDOW CL22 Prime Window Replacement of Single Pane Base</v>
      </c>
      <c r="F54" s="31" t="str">
        <f>Composite!B53</f>
        <v>Windows - Single Pane to Class 22 - Heating Zone 1 (Electric FAF Heating System)</v>
      </c>
      <c r="G54" s="31" t="str">
        <f>Composite!C53</f>
        <v>WINDOW CL22 Prime Window Replacement of Single Pane Base</v>
      </c>
      <c r="H54" s="31">
        <f>VLOOKUP($F54&amp;$G54,Composite!$A$5:$Q$841,H$3,FALSE)*VLOOKUP($C54,[2]!ExistingSat,MATCH($A54,[2]SATS!$C$10:$F$10,0)+1,FALSE)</f>
        <v>4441.0831352091163</v>
      </c>
      <c r="I54">
        <f>VLOOKUP($F54&amp;$G54,Composite!$A$5:$Q$841,I$3,FALSE)</f>
        <v>45</v>
      </c>
      <c r="J54" s="31">
        <f>VLOOKUP($F54&amp;$G54,Composite!$A$5:$Q$841,J$3,FALSE)*VLOOKUP($C54,[2]!ExistingSat,MATCH($A54,[2]SATS!$C$10:$F$10,0)+1,FALSE)</f>
        <v>4048.8992557534643</v>
      </c>
      <c r="K54" s="31">
        <f>VLOOKUP($F54&amp;$G54,Composite!$A$5:$Q$841,K$3,FALSE)*VLOOKUP($C54,[2]!ExistingSat,MATCH($A54,[2]SATS!$C$10:$F$10,0)+1,FALSE)</f>
        <v>0</v>
      </c>
      <c r="L54" t="str">
        <f>VLOOKUP($F54&amp;$G54,Composite!$A$5:$Q$841,L$3,FALSE)</f>
        <v>ResSHWX</v>
      </c>
      <c r="M54" s="31">
        <f>VLOOKUP($F54&amp;$G54,Composite!$A$5:$Q$841,M$3,FALSE)*VLOOKUP($C54,[2]!ExistingSat,MATCH($A54,[2]SATS!$C$10:$F$10,0)+1,FALSE)</f>
        <v>0</v>
      </c>
      <c r="N54" s="31">
        <f>VLOOKUP($F54&amp;$G54,Composite!$A$5:$Q$841,N$3,FALSE)*VLOOKUP($C54,[2]!ExistingSat,MATCH($A54,[2]SATS!$C$10:$F$10,0)+1,FALSE)</f>
        <v>0</v>
      </c>
      <c r="O54">
        <f>VLOOKUP($F54&amp;$G54,Composite!$A$5:$Q$841,O$3,FALSE)</f>
        <v>0</v>
      </c>
      <c r="P54" s="31">
        <f>VLOOKUP($F54&amp;$G54,Composite!$A$5:$Q$841,P$3,FALSE)*VLOOKUP($C54,[2]!ExistingSat,MATCH($A54,[2]SATS!$C$10:$F$10,0)+1,FALSE)</f>
        <v>0</v>
      </c>
      <c r="Q54">
        <f>VLOOKUP($F54&amp;$G54,Composite!$A$5:$Q$841,Q$3,FALSE)</f>
        <v>0</v>
      </c>
      <c r="R54" s="31">
        <f>VLOOKUP($F54&amp;$G54,Composite!$A$5:$Q$841,R$3,FALSE)*VLOOKUP($C54,[2]!ExistingSat,MATCH($A54,[2]SATS!$C$10:$F$10,0)+1,FALSE)</f>
        <v>0</v>
      </c>
      <c r="S54">
        <f>VLOOKUP($F54&amp;$G54,Composite!$A$5:$Q$841,S$3,FALSE)</f>
        <v>0</v>
      </c>
      <c r="T54" s="31">
        <f>VLOOKUP($F54&amp;$G54,Composite!$A$5:$Q$841,T$3,FALSE)*VLOOKUP($C54,[2]!ExistingSat,MATCH($A54,[2]SATS!$C$10:$F$10,0)+1,FALSE)</f>
        <v>0</v>
      </c>
    </row>
    <row r="55" spans="1:20">
      <c r="A55" t="s">
        <v>85</v>
      </c>
      <c r="B55" t="s">
        <v>76</v>
      </c>
      <c r="C55" t="s">
        <v>27</v>
      </c>
      <c r="D55" t="s">
        <v>59</v>
      </c>
      <c r="E55" t="str">
        <f t="shared" si="1"/>
        <v>Electric FAFHZ1WINDOW CL22 Prime Window Replacement of Double Pane Base</v>
      </c>
      <c r="F55" s="31" t="str">
        <f>Composite!B54</f>
        <v>Windows - Double Pane to Class 22 - Heating Zone 1 (Electric FAF Heating System)</v>
      </c>
      <c r="G55" s="31" t="str">
        <f>Composite!C54</f>
        <v>WINDOW CL22 Prime Window Replacement of Double Pane Base</v>
      </c>
      <c r="H55" s="31">
        <f>VLOOKUP($F55&amp;$G55,Composite!$A$5:$Q$841,H$3,FALSE)*VLOOKUP($C55,[2]!ExistingSat,MATCH($A55,[2]SATS!$C$10:$F$10,0)+1,FALSE)</f>
        <v>2608.531162583532</v>
      </c>
      <c r="I55">
        <f>VLOOKUP($F55&amp;$G55,Composite!$A$5:$Q$841,I$3,FALSE)</f>
        <v>45</v>
      </c>
      <c r="J55" s="31">
        <f>VLOOKUP($F55&amp;$G55,Composite!$A$5:$Q$841,J$3,FALSE)*VLOOKUP($C55,[2]!ExistingSat,MATCH($A55,[2]SATS!$C$10:$F$10,0)+1,FALSE)</f>
        <v>4048.8992557534643</v>
      </c>
      <c r="K55" s="31">
        <f>VLOOKUP($F55&amp;$G55,Composite!$A$5:$Q$841,K$3,FALSE)*VLOOKUP($C55,[2]!ExistingSat,MATCH($A55,[2]SATS!$C$10:$F$10,0)+1,FALSE)</f>
        <v>0</v>
      </c>
      <c r="L55" t="str">
        <f>VLOOKUP($F55&amp;$G55,Composite!$A$5:$Q$841,L$3,FALSE)</f>
        <v>ResSHWX</v>
      </c>
      <c r="M55" s="31">
        <f>VLOOKUP($F55&amp;$G55,Composite!$A$5:$Q$841,M$3,FALSE)*VLOOKUP($C55,[2]!ExistingSat,MATCH($A55,[2]SATS!$C$10:$F$10,0)+1,FALSE)</f>
        <v>0</v>
      </c>
      <c r="N55" s="31">
        <f>VLOOKUP($F55&amp;$G55,Composite!$A$5:$Q$841,N$3,FALSE)*VLOOKUP($C55,[2]!ExistingSat,MATCH($A55,[2]SATS!$C$10:$F$10,0)+1,FALSE)</f>
        <v>0</v>
      </c>
      <c r="O55">
        <f>VLOOKUP($F55&amp;$G55,Composite!$A$5:$Q$841,O$3,FALSE)</f>
        <v>0</v>
      </c>
      <c r="P55" s="31">
        <f>VLOOKUP($F55&amp;$G55,Composite!$A$5:$Q$841,P$3,FALSE)*VLOOKUP($C55,[2]!ExistingSat,MATCH($A55,[2]SATS!$C$10:$F$10,0)+1,FALSE)</f>
        <v>0</v>
      </c>
      <c r="Q55">
        <f>VLOOKUP($F55&amp;$G55,Composite!$A$5:$Q$841,Q$3,FALSE)</f>
        <v>0</v>
      </c>
      <c r="R55" s="31">
        <f>VLOOKUP($F55&amp;$G55,Composite!$A$5:$Q$841,R$3,FALSE)*VLOOKUP($C55,[2]!ExistingSat,MATCH($A55,[2]SATS!$C$10:$F$10,0)+1,FALSE)</f>
        <v>0</v>
      </c>
      <c r="S55">
        <f>VLOOKUP($F55&amp;$G55,Composite!$A$5:$Q$841,S$3,FALSE)</f>
        <v>0</v>
      </c>
      <c r="T55" s="31">
        <f>VLOOKUP($F55&amp;$G55,Composite!$A$5:$Q$841,T$3,FALSE)*VLOOKUP($C55,[2]!ExistingSat,MATCH($A55,[2]SATS!$C$10:$F$10,0)+1,FALSE)</f>
        <v>0</v>
      </c>
    </row>
    <row r="56" spans="1:20">
      <c r="A56" t="s">
        <v>85</v>
      </c>
      <c r="B56" t="s">
        <v>76</v>
      </c>
      <c r="C56" t="s">
        <v>27</v>
      </c>
      <c r="D56" t="s">
        <v>59</v>
      </c>
      <c r="E56" t="str">
        <f t="shared" si="1"/>
        <v>Electric FAFHZ1WINDOW CL30 Prime Window Replacement of Single Pane Base</v>
      </c>
      <c r="F56" s="31" t="str">
        <f>Composite!B55</f>
        <v>Windows - Single Pane to Class 30 - Heating Zone 1 (Electric FAF Heating System)</v>
      </c>
      <c r="G56" s="31" t="str">
        <f>Composite!C55</f>
        <v>WINDOW CL30 Prime Window Replacement of Single Pane Base</v>
      </c>
      <c r="H56" s="31">
        <f>VLOOKUP($F56&amp;$G56,Composite!$A$5:$Q$841,H$3,FALSE)*VLOOKUP($C56,[2]!ExistingSat,MATCH($A56,[2]SATS!$C$10:$F$10,0)+1,FALSE)</f>
        <v>4083.4151117879105</v>
      </c>
      <c r="I56">
        <f>VLOOKUP($F56&amp;$G56,Composite!$A$5:$Q$841,I$3,FALSE)</f>
        <v>45</v>
      </c>
      <c r="J56" s="31">
        <f>VLOOKUP($F56&amp;$G56,Composite!$A$5:$Q$841,J$3,FALSE)*VLOOKUP($C56,[2]!ExistingSat,MATCH($A56,[2]SATS!$C$10:$F$10,0)+1,FALSE)</f>
        <v>3098.9648613559325</v>
      </c>
      <c r="K56" s="31">
        <f>VLOOKUP($F56&amp;$G56,Composite!$A$5:$Q$841,K$3,FALSE)*VLOOKUP($C56,[2]!ExistingSat,MATCH($A56,[2]SATS!$C$10:$F$10,0)+1,FALSE)</f>
        <v>0</v>
      </c>
      <c r="L56" t="str">
        <f>VLOOKUP($F56&amp;$G56,Composite!$A$5:$Q$841,L$3,FALSE)</f>
        <v>ResSHWX</v>
      </c>
      <c r="M56" s="31">
        <f>VLOOKUP($F56&amp;$G56,Composite!$A$5:$Q$841,M$3,FALSE)*VLOOKUP($C56,[2]!ExistingSat,MATCH($A56,[2]SATS!$C$10:$F$10,0)+1,FALSE)</f>
        <v>0</v>
      </c>
      <c r="N56" s="31">
        <f>VLOOKUP($F56&amp;$G56,Composite!$A$5:$Q$841,N$3,FALSE)*VLOOKUP($C56,[2]!ExistingSat,MATCH($A56,[2]SATS!$C$10:$F$10,0)+1,FALSE)</f>
        <v>0</v>
      </c>
      <c r="O56">
        <f>VLOOKUP($F56&amp;$G56,Composite!$A$5:$Q$841,O$3,FALSE)</f>
        <v>0</v>
      </c>
      <c r="P56" s="31">
        <f>VLOOKUP($F56&amp;$G56,Composite!$A$5:$Q$841,P$3,FALSE)*VLOOKUP($C56,[2]!ExistingSat,MATCH($A56,[2]SATS!$C$10:$F$10,0)+1,FALSE)</f>
        <v>0</v>
      </c>
      <c r="Q56">
        <f>VLOOKUP($F56&amp;$G56,Composite!$A$5:$Q$841,Q$3,FALSE)</f>
        <v>0</v>
      </c>
      <c r="R56" s="31">
        <f>VLOOKUP($F56&amp;$G56,Composite!$A$5:$Q$841,R$3,FALSE)*VLOOKUP($C56,[2]!ExistingSat,MATCH($A56,[2]SATS!$C$10:$F$10,0)+1,FALSE)</f>
        <v>0</v>
      </c>
      <c r="S56">
        <f>VLOOKUP($F56&amp;$G56,Composite!$A$5:$Q$841,S$3,FALSE)</f>
        <v>0</v>
      </c>
      <c r="T56" s="31">
        <f>VLOOKUP($F56&amp;$G56,Composite!$A$5:$Q$841,T$3,FALSE)*VLOOKUP($C56,[2]!ExistingSat,MATCH($A56,[2]SATS!$C$10:$F$10,0)+1,FALSE)</f>
        <v>0</v>
      </c>
    </row>
    <row r="57" spans="1:20">
      <c r="A57" t="s">
        <v>85</v>
      </c>
      <c r="B57" t="s">
        <v>76</v>
      </c>
      <c r="C57" t="s">
        <v>27</v>
      </c>
      <c r="D57" t="s">
        <v>59</v>
      </c>
      <c r="E57" t="str">
        <f t="shared" si="1"/>
        <v>Electric FAFHZ1WINDOW CL30 Prime Window Replacement of Double Pane Base</v>
      </c>
      <c r="F57" s="31" t="str">
        <f>Composite!B56</f>
        <v>Windows - Double Pane to Class 30 - Heating Zone 1 (Electric FAF Heating System)</v>
      </c>
      <c r="G57" s="31" t="str">
        <f>Composite!C56</f>
        <v>WINDOW CL30 Prime Window Replacement of Double Pane Base</v>
      </c>
      <c r="H57" s="31">
        <f>VLOOKUP($F57&amp;$G57,Composite!$A$5:$Q$841,H$3,FALSE)*VLOOKUP($C57,[2]!ExistingSat,MATCH($A57,[2]SATS!$C$10:$F$10,0)+1,FALSE)</f>
        <v>2250.8631391623267</v>
      </c>
      <c r="I57">
        <f>VLOOKUP($F57&amp;$G57,Composite!$A$5:$Q$841,I$3,FALSE)</f>
        <v>45</v>
      </c>
      <c r="J57" s="31">
        <f>VLOOKUP($F57&amp;$G57,Composite!$A$5:$Q$841,J$3,FALSE)*VLOOKUP($C57,[2]!ExistingSat,MATCH($A57,[2]SATS!$C$10:$F$10,0)+1,FALSE)</f>
        <v>3098.9648613559325</v>
      </c>
      <c r="K57" s="31">
        <f>VLOOKUP($F57&amp;$G57,Composite!$A$5:$Q$841,K$3,FALSE)*VLOOKUP($C57,[2]!ExistingSat,MATCH($A57,[2]SATS!$C$10:$F$10,0)+1,FALSE)</f>
        <v>0</v>
      </c>
      <c r="L57" t="str">
        <f>VLOOKUP($F57&amp;$G57,Composite!$A$5:$Q$841,L$3,FALSE)</f>
        <v>ResSHWX</v>
      </c>
      <c r="M57" s="31">
        <f>VLOOKUP($F57&amp;$G57,Composite!$A$5:$Q$841,M$3,FALSE)*VLOOKUP($C57,[2]!ExistingSat,MATCH($A57,[2]SATS!$C$10:$F$10,0)+1,FALSE)</f>
        <v>0</v>
      </c>
      <c r="N57" s="31">
        <f>VLOOKUP($F57&amp;$G57,Composite!$A$5:$Q$841,N$3,FALSE)*VLOOKUP($C57,[2]!ExistingSat,MATCH($A57,[2]SATS!$C$10:$F$10,0)+1,FALSE)</f>
        <v>0</v>
      </c>
      <c r="O57">
        <f>VLOOKUP($F57&amp;$G57,Composite!$A$5:$Q$841,O$3,FALSE)</f>
        <v>0</v>
      </c>
      <c r="P57" s="31">
        <f>VLOOKUP($F57&amp;$G57,Composite!$A$5:$Q$841,P$3,FALSE)*VLOOKUP($C57,[2]!ExistingSat,MATCH($A57,[2]SATS!$C$10:$F$10,0)+1,FALSE)</f>
        <v>0</v>
      </c>
      <c r="Q57">
        <f>VLOOKUP($F57&amp;$G57,Composite!$A$5:$Q$841,Q$3,FALSE)</f>
        <v>0</v>
      </c>
      <c r="R57" s="31">
        <f>VLOOKUP($F57&amp;$G57,Composite!$A$5:$Q$841,R$3,FALSE)*VLOOKUP($C57,[2]!ExistingSat,MATCH($A57,[2]SATS!$C$10:$F$10,0)+1,FALSE)</f>
        <v>0</v>
      </c>
      <c r="S57">
        <f>VLOOKUP($F57&amp;$G57,Composite!$A$5:$Q$841,S$3,FALSE)</f>
        <v>0</v>
      </c>
      <c r="T57" s="31">
        <f>VLOOKUP($F57&amp;$G57,Composite!$A$5:$Q$841,T$3,FALSE)*VLOOKUP($C57,[2]!ExistingSat,MATCH($A57,[2]SATS!$C$10:$F$10,0)+1,FALSE)</f>
        <v>0</v>
      </c>
    </row>
    <row r="58" spans="1:20">
      <c r="A58" t="s">
        <v>85</v>
      </c>
      <c r="B58" t="s">
        <v>76</v>
      </c>
      <c r="C58" t="s">
        <v>63</v>
      </c>
      <c r="D58" t="s">
        <v>60</v>
      </c>
      <c r="E58" t="str">
        <f t="shared" si="1"/>
        <v>Electric FAFHZ2WALL R0 - R11</v>
      </c>
      <c r="F58" s="31" t="str">
        <f>Composite!B57</f>
        <v>Multi Family Weatherization - Insulate Walls - R-0 to R-11 - Heating Zone 2 (Electric FAF Heating System)</v>
      </c>
      <c r="G58" s="31" t="str">
        <f>Composite!C57</f>
        <v>WALL R0 - R11</v>
      </c>
      <c r="H58" s="31">
        <f>VLOOKUP($F58&amp;$G58,Composite!$A$5:$Q$841,H$3,FALSE)*VLOOKUP($C58,[2]!ExistingSat,MATCH($A58,[2]SATS!$C$10:$F$10,0)+1,FALSE)</f>
        <v>924.37621004172286</v>
      </c>
      <c r="I58">
        <f>VLOOKUP($F58&amp;$G58,Composite!$A$5:$Q$841,I$3,FALSE)</f>
        <v>45</v>
      </c>
      <c r="J58" s="31">
        <f>VLOOKUP($F58&amp;$G58,Composite!$A$5:$Q$841,J$3,FALSE)*VLOOKUP($C58,[2]!ExistingSat,MATCH($A58,[2]SATS!$C$10:$F$10,0)+1,FALSE)</f>
        <v>504.28054205609425</v>
      </c>
      <c r="K58" s="31">
        <f>VLOOKUP($F58&amp;$G58,Composite!$A$5:$Q$841,K$3,FALSE)*VLOOKUP($C58,[2]!ExistingSat,MATCH($A58,[2]SATS!$C$10:$F$10,0)+1,FALSE)</f>
        <v>0</v>
      </c>
      <c r="L58" t="str">
        <f>VLOOKUP($F58&amp;$G58,Composite!$A$5:$Q$841,L$3,FALSE)</f>
        <v>ResSHWX</v>
      </c>
      <c r="M58" s="31">
        <f>VLOOKUP($F58&amp;$G58,Composite!$A$5:$Q$841,M$3,FALSE)*VLOOKUP($C58,[2]!ExistingSat,MATCH($A58,[2]SATS!$C$10:$F$10,0)+1,FALSE)</f>
        <v>0</v>
      </c>
      <c r="N58" s="31">
        <f>VLOOKUP($F58&amp;$G58,Composite!$A$5:$Q$841,N$3,FALSE)*VLOOKUP($C58,[2]!ExistingSat,MATCH($A58,[2]SATS!$C$10:$F$10,0)+1,FALSE)</f>
        <v>0</v>
      </c>
      <c r="O58">
        <f>VLOOKUP($F58&amp;$G58,Composite!$A$5:$Q$841,O$3,FALSE)</f>
        <v>0</v>
      </c>
      <c r="P58" s="31">
        <f>VLOOKUP($F58&amp;$G58,Composite!$A$5:$Q$841,P$3,FALSE)*VLOOKUP($C58,[2]!ExistingSat,MATCH($A58,[2]SATS!$C$10:$F$10,0)+1,FALSE)</f>
        <v>0</v>
      </c>
      <c r="Q58">
        <f>VLOOKUP($F58&amp;$G58,Composite!$A$5:$Q$841,Q$3,FALSE)</f>
        <v>0</v>
      </c>
      <c r="R58" s="31">
        <f>VLOOKUP($F58&amp;$G58,Composite!$A$5:$Q$841,R$3,FALSE)*VLOOKUP($C58,[2]!ExistingSat,MATCH($A58,[2]SATS!$C$10:$F$10,0)+1,FALSE)</f>
        <v>0</v>
      </c>
      <c r="S58">
        <f>VLOOKUP($F58&amp;$G58,Composite!$A$5:$Q$841,S$3,FALSE)</f>
        <v>0</v>
      </c>
      <c r="T58" s="31">
        <f>VLOOKUP($F58&amp;$G58,Composite!$A$5:$Q$841,T$3,FALSE)*VLOOKUP($C58,[2]!ExistingSat,MATCH($A58,[2]SATS!$C$10:$F$10,0)+1,FALSE)</f>
        <v>0</v>
      </c>
    </row>
    <row r="59" spans="1:20">
      <c r="A59" t="s">
        <v>85</v>
      </c>
      <c r="B59" t="s">
        <v>76</v>
      </c>
      <c r="C59" t="s">
        <v>26</v>
      </c>
      <c r="D59" t="s">
        <v>60</v>
      </c>
      <c r="E59" t="str">
        <f t="shared" si="1"/>
        <v>Electric FAFHZ2FLOOR R0 - R19</v>
      </c>
      <c r="F59" s="31" t="str">
        <f>Composite!B58</f>
        <v>Multi Family Weatherization - Insulate Floors - R-0 to R-19 - Heating Zone 2 (Electric FAF Heating System)</v>
      </c>
      <c r="G59" s="31" t="str">
        <f>Composite!C58</f>
        <v>FLOOR R0 - R19</v>
      </c>
      <c r="H59" s="31">
        <f>VLOOKUP($F59&amp;$G59,Composite!$A$5:$Q$841,H$3,FALSE)*VLOOKUP($C59,[2]!ExistingSat,MATCH($A59,[2]SATS!$C$10:$F$10,0)+1,FALSE)</f>
        <v>293.53948539480871</v>
      </c>
      <c r="I59">
        <f>VLOOKUP($F59&amp;$G59,Composite!$A$5:$Q$841,I$3,FALSE)</f>
        <v>45</v>
      </c>
      <c r="J59" s="31">
        <f>VLOOKUP($F59&amp;$G59,Composite!$A$5:$Q$841,J$3,FALSE)*VLOOKUP($C59,[2]!ExistingSat,MATCH($A59,[2]SATS!$C$10:$F$10,0)+1,FALSE)</f>
        <v>358.01976642494196</v>
      </c>
      <c r="K59" s="31">
        <f>VLOOKUP($F59&amp;$G59,Composite!$A$5:$Q$841,K$3,FALSE)*VLOOKUP($C59,[2]!ExistingSat,MATCH($A59,[2]SATS!$C$10:$F$10,0)+1,FALSE)</f>
        <v>0</v>
      </c>
      <c r="L59" t="str">
        <f>VLOOKUP($F59&amp;$G59,Composite!$A$5:$Q$841,L$3,FALSE)</f>
        <v>ResSHWX</v>
      </c>
      <c r="M59" s="31">
        <f>VLOOKUP($F59&amp;$G59,Composite!$A$5:$Q$841,M$3,FALSE)*VLOOKUP($C59,[2]!ExistingSat,MATCH($A59,[2]SATS!$C$10:$F$10,0)+1,FALSE)</f>
        <v>0</v>
      </c>
      <c r="N59" s="31">
        <f>VLOOKUP($F59&amp;$G59,Composite!$A$5:$Q$841,N$3,FALSE)*VLOOKUP($C59,[2]!ExistingSat,MATCH($A59,[2]SATS!$C$10:$F$10,0)+1,FALSE)</f>
        <v>0</v>
      </c>
      <c r="O59">
        <f>VLOOKUP($F59&amp;$G59,Composite!$A$5:$Q$841,O$3,FALSE)</f>
        <v>0</v>
      </c>
      <c r="P59" s="31">
        <f>VLOOKUP($F59&amp;$G59,Composite!$A$5:$Q$841,P$3,FALSE)*VLOOKUP($C59,[2]!ExistingSat,MATCH($A59,[2]SATS!$C$10:$F$10,0)+1,FALSE)</f>
        <v>0</v>
      </c>
      <c r="Q59">
        <f>VLOOKUP($F59&amp;$G59,Composite!$A$5:$Q$841,Q$3,FALSE)</f>
        <v>0</v>
      </c>
      <c r="R59" s="31">
        <f>VLOOKUP($F59&amp;$G59,Composite!$A$5:$Q$841,R$3,FALSE)*VLOOKUP($C59,[2]!ExistingSat,MATCH($A59,[2]SATS!$C$10:$F$10,0)+1,FALSE)</f>
        <v>0</v>
      </c>
      <c r="S59">
        <f>VLOOKUP($F59&amp;$G59,Composite!$A$5:$Q$841,S$3,FALSE)</f>
        <v>0</v>
      </c>
      <c r="T59" s="31">
        <f>VLOOKUP($F59&amp;$G59,Composite!$A$5:$Q$841,T$3,FALSE)*VLOOKUP($C59,[2]!ExistingSat,MATCH($A59,[2]SATS!$C$10:$F$10,0)+1,FALSE)</f>
        <v>0</v>
      </c>
    </row>
    <row r="60" spans="1:20">
      <c r="A60" t="s">
        <v>85</v>
      </c>
      <c r="B60" t="s">
        <v>76</v>
      </c>
      <c r="C60" t="s">
        <v>26</v>
      </c>
      <c r="D60" t="s">
        <v>60</v>
      </c>
      <c r="E60" t="str">
        <f t="shared" si="1"/>
        <v>Electric FAFHZ2FLOOR R0 - R30</v>
      </c>
      <c r="F60" s="31" t="str">
        <f>Composite!B59</f>
        <v>Multi Family Weatherization - Insulate Floors - R-0 to R-30 - Heating Zone 2 (Electric FAF Heating System)</v>
      </c>
      <c r="G60" s="31" t="str">
        <f>Composite!C59</f>
        <v>FLOOR R0 - R30</v>
      </c>
      <c r="H60" s="31">
        <f>VLOOKUP($F60&amp;$G60,Composite!$A$5:$Q$841,H$3,FALSE)*VLOOKUP($C60,[2]!ExistingSat,MATCH($A60,[2]SATS!$C$10:$F$10,0)+1,FALSE)</f>
        <v>383.32465724892097</v>
      </c>
      <c r="I60">
        <f>VLOOKUP($F60&amp;$G60,Composite!$A$5:$Q$841,I$3,FALSE)</f>
        <v>45</v>
      </c>
      <c r="J60" s="31">
        <f>VLOOKUP($F60&amp;$G60,Composite!$A$5:$Q$841,J$3,FALSE)*VLOOKUP($C60,[2]!ExistingSat,MATCH($A60,[2]SATS!$C$10:$F$10,0)+1,FALSE)</f>
        <v>383.15497685936549</v>
      </c>
      <c r="K60" s="31">
        <f>VLOOKUP($F60&amp;$G60,Composite!$A$5:$Q$841,K$3,FALSE)*VLOOKUP($C60,[2]!ExistingSat,MATCH($A60,[2]SATS!$C$10:$F$10,0)+1,FALSE)</f>
        <v>0</v>
      </c>
      <c r="L60" t="str">
        <f>VLOOKUP($F60&amp;$G60,Composite!$A$5:$Q$841,L$3,FALSE)</f>
        <v>ResSHWX</v>
      </c>
      <c r="M60" s="31">
        <f>VLOOKUP($F60&amp;$G60,Composite!$A$5:$Q$841,M$3,FALSE)*VLOOKUP($C60,[2]!ExistingSat,MATCH($A60,[2]SATS!$C$10:$F$10,0)+1,FALSE)</f>
        <v>0</v>
      </c>
      <c r="N60" s="31">
        <f>VLOOKUP($F60&amp;$G60,Composite!$A$5:$Q$841,N$3,FALSE)*VLOOKUP($C60,[2]!ExistingSat,MATCH($A60,[2]SATS!$C$10:$F$10,0)+1,FALSE)</f>
        <v>0</v>
      </c>
      <c r="O60">
        <f>VLOOKUP($F60&amp;$G60,Composite!$A$5:$Q$841,O$3,FALSE)</f>
        <v>0</v>
      </c>
      <c r="P60" s="31">
        <f>VLOOKUP($F60&amp;$G60,Composite!$A$5:$Q$841,P$3,FALSE)*VLOOKUP($C60,[2]!ExistingSat,MATCH($A60,[2]SATS!$C$10:$F$10,0)+1,FALSE)</f>
        <v>0</v>
      </c>
      <c r="Q60">
        <f>VLOOKUP($F60&amp;$G60,Composite!$A$5:$Q$841,Q$3,FALSE)</f>
        <v>0</v>
      </c>
      <c r="R60" s="31">
        <f>VLOOKUP($F60&amp;$G60,Composite!$A$5:$Q$841,R$3,FALSE)*VLOOKUP($C60,[2]!ExistingSat,MATCH($A60,[2]SATS!$C$10:$F$10,0)+1,FALSE)</f>
        <v>0</v>
      </c>
      <c r="S60">
        <f>VLOOKUP($F60&amp;$G60,Composite!$A$5:$Q$841,S$3,FALSE)</f>
        <v>0</v>
      </c>
      <c r="T60" s="31">
        <f>VLOOKUP($F60&amp;$G60,Composite!$A$5:$Q$841,T$3,FALSE)*VLOOKUP($C60,[2]!ExistingSat,MATCH($A60,[2]SATS!$C$10:$F$10,0)+1,FALSE)</f>
        <v>0</v>
      </c>
    </row>
    <row r="61" spans="1:20">
      <c r="A61" t="s">
        <v>85</v>
      </c>
      <c r="B61" t="s">
        <v>76</v>
      </c>
      <c r="C61" t="s">
        <v>28</v>
      </c>
      <c r="D61" t="s">
        <v>60</v>
      </c>
      <c r="E61" t="str">
        <f t="shared" si="1"/>
        <v>Electric FAFHZ2ATTIC R0 - R19</v>
      </c>
      <c r="F61" s="31" t="str">
        <f>Composite!B60</f>
        <v>Multi Family Weatherization - Insulate Attic - R-0 to R-19 - Heating Zone 2 (Electric FAF Heating System)</v>
      </c>
      <c r="G61" s="31" t="str">
        <f>Composite!C60</f>
        <v>ATTIC R0 - R19</v>
      </c>
      <c r="H61" s="31">
        <f>VLOOKUP($F61&amp;$G61,Composite!$A$5:$Q$841,H$3,FALSE)*VLOOKUP($C61,[2]!ExistingSat,MATCH($A61,[2]SATS!$C$10:$F$10,0)+1,FALSE)</f>
        <v>201.39942938712917</v>
      </c>
      <c r="I61">
        <f>VLOOKUP($F61&amp;$G61,Composite!$A$5:$Q$841,I$3,FALSE)</f>
        <v>45</v>
      </c>
      <c r="J61" s="31">
        <f>VLOOKUP($F61&amp;$G61,Composite!$A$5:$Q$841,J$3,FALSE)*VLOOKUP($C61,[2]!ExistingSat,MATCH($A61,[2]SATS!$C$10:$F$10,0)+1,FALSE)</f>
        <v>223.50315070635102</v>
      </c>
      <c r="K61" s="31">
        <f>VLOOKUP($F61&amp;$G61,Composite!$A$5:$Q$841,K$3,FALSE)*VLOOKUP($C61,[2]!ExistingSat,MATCH($A61,[2]SATS!$C$10:$F$10,0)+1,FALSE)</f>
        <v>0</v>
      </c>
      <c r="L61" t="str">
        <f>VLOOKUP($F61&amp;$G61,Composite!$A$5:$Q$841,L$3,FALSE)</f>
        <v>ResSHWX</v>
      </c>
      <c r="M61" s="31">
        <f>VLOOKUP($F61&amp;$G61,Composite!$A$5:$Q$841,M$3,FALSE)*VLOOKUP($C61,[2]!ExistingSat,MATCH($A61,[2]SATS!$C$10:$F$10,0)+1,FALSE)</f>
        <v>0</v>
      </c>
      <c r="N61" s="31">
        <f>VLOOKUP($F61&amp;$G61,Composite!$A$5:$Q$841,N$3,FALSE)*VLOOKUP($C61,[2]!ExistingSat,MATCH($A61,[2]SATS!$C$10:$F$10,0)+1,FALSE)</f>
        <v>0</v>
      </c>
      <c r="O61">
        <f>VLOOKUP($F61&amp;$G61,Composite!$A$5:$Q$841,O$3,FALSE)</f>
        <v>0</v>
      </c>
      <c r="P61" s="31">
        <f>VLOOKUP($F61&amp;$G61,Composite!$A$5:$Q$841,P$3,FALSE)*VLOOKUP($C61,[2]!ExistingSat,MATCH($A61,[2]SATS!$C$10:$F$10,0)+1,FALSE)</f>
        <v>0</v>
      </c>
      <c r="Q61">
        <f>VLOOKUP($F61&amp;$G61,Composite!$A$5:$Q$841,Q$3,FALSE)</f>
        <v>0</v>
      </c>
      <c r="R61" s="31">
        <f>VLOOKUP($F61&amp;$G61,Composite!$A$5:$Q$841,R$3,FALSE)*VLOOKUP($C61,[2]!ExistingSat,MATCH($A61,[2]SATS!$C$10:$F$10,0)+1,FALSE)</f>
        <v>0</v>
      </c>
      <c r="S61">
        <f>VLOOKUP($F61&amp;$G61,Composite!$A$5:$Q$841,S$3,FALSE)</f>
        <v>0</v>
      </c>
      <c r="T61" s="31">
        <f>VLOOKUP($F61&amp;$G61,Composite!$A$5:$Q$841,T$3,FALSE)*VLOOKUP($C61,[2]!ExistingSat,MATCH($A61,[2]SATS!$C$10:$F$10,0)+1,FALSE)</f>
        <v>0</v>
      </c>
    </row>
    <row r="62" spans="1:20">
      <c r="A62" t="s">
        <v>85</v>
      </c>
      <c r="B62" t="s">
        <v>76</v>
      </c>
      <c r="C62" t="s">
        <v>28</v>
      </c>
      <c r="D62" t="s">
        <v>60</v>
      </c>
      <c r="E62" t="str">
        <f t="shared" si="1"/>
        <v>Electric FAFHZ2ATTIC R0 - R38</v>
      </c>
      <c r="F62" s="31" t="str">
        <f>Composite!B61</f>
        <v>Multi Family Weatherization - Insulate Attic - R-0 to R-38 - Heating Zone 2 (Electric FAF Heating System)</v>
      </c>
      <c r="G62" s="31" t="str">
        <f>Composite!C61</f>
        <v>ATTIC R0 - R38</v>
      </c>
      <c r="H62" s="31">
        <f>VLOOKUP($F62&amp;$G62,Composite!$A$5:$Q$841,H$3,FALSE)*VLOOKUP($C62,[2]!ExistingSat,MATCH($A62,[2]SATS!$C$10:$F$10,0)+1,FALSE)</f>
        <v>274.85958324560158</v>
      </c>
      <c r="I62">
        <f>VLOOKUP($F62&amp;$G62,Composite!$A$5:$Q$841,I$3,FALSE)</f>
        <v>45</v>
      </c>
      <c r="J62" s="31">
        <f>VLOOKUP($F62&amp;$G62,Composite!$A$5:$Q$841,J$3,FALSE)*VLOOKUP($C62,[2]!ExistingSat,MATCH($A62,[2]SATS!$C$10:$F$10,0)+1,FALSE)</f>
        <v>298.11418524056876</v>
      </c>
      <c r="K62" s="31">
        <f>VLOOKUP($F62&amp;$G62,Composite!$A$5:$Q$841,K$3,FALSE)*VLOOKUP($C62,[2]!ExistingSat,MATCH($A62,[2]SATS!$C$10:$F$10,0)+1,FALSE)</f>
        <v>0</v>
      </c>
      <c r="L62" t="str">
        <f>VLOOKUP($F62&amp;$G62,Composite!$A$5:$Q$841,L$3,FALSE)</f>
        <v>ResSHWX</v>
      </c>
      <c r="M62" s="31">
        <f>VLOOKUP($F62&amp;$G62,Composite!$A$5:$Q$841,M$3,FALSE)*VLOOKUP($C62,[2]!ExistingSat,MATCH($A62,[2]SATS!$C$10:$F$10,0)+1,FALSE)</f>
        <v>0</v>
      </c>
      <c r="N62" s="31">
        <f>VLOOKUP($F62&amp;$G62,Composite!$A$5:$Q$841,N$3,FALSE)*VLOOKUP($C62,[2]!ExistingSat,MATCH($A62,[2]SATS!$C$10:$F$10,0)+1,FALSE)</f>
        <v>0</v>
      </c>
      <c r="O62">
        <f>VLOOKUP($F62&amp;$G62,Composite!$A$5:$Q$841,O$3,FALSE)</f>
        <v>0</v>
      </c>
      <c r="P62" s="31">
        <f>VLOOKUP($F62&amp;$G62,Composite!$A$5:$Q$841,P$3,FALSE)*VLOOKUP($C62,[2]!ExistingSat,MATCH($A62,[2]SATS!$C$10:$F$10,0)+1,FALSE)</f>
        <v>0</v>
      </c>
      <c r="Q62">
        <f>VLOOKUP($F62&amp;$G62,Composite!$A$5:$Q$841,Q$3,FALSE)</f>
        <v>0</v>
      </c>
      <c r="R62" s="31">
        <f>VLOOKUP($F62&amp;$G62,Composite!$A$5:$Q$841,R$3,FALSE)*VLOOKUP($C62,[2]!ExistingSat,MATCH($A62,[2]SATS!$C$10:$F$10,0)+1,FALSE)</f>
        <v>0</v>
      </c>
      <c r="S62">
        <f>VLOOKUP($F62&amp;$G62,Composite!$A$5:$Q$841,S$3,FALSE)</f>
        <v>0</v>
      </c>
      <c r="T62" s="31">
        <f>VLOOKUP($F62&amp;$G62,Composite!$A$5:$Q$841,T$3,FALSE)*VLOOKUP($C62,[2]!ExistingSat,MATCH($A62,[2]SATS!$C$10:$F$10,0)+1,FALSE)</f>
        <v>0</v>
      </c>
    </row>
    <row r="63" spans="1:20">
      <c r="A63" t="s">
        <v>85</v>
      </c>
      <c r="B63" t="s">
        <v>76</v>
      </c>
      <c r="C63" t="s">
        <v>28</v>
      </c>
      <c r="D63" t="s">
        <v>60</v>
      </c>
      <c r="E63" t="str">
        <f t="shared" si="1"/>
        <v>Electric FAFHZ2ATTIC R0 - R49</v>
      </c>
      <c r="F63" s="31" t="str">
        <f>Composite!B62</f>
        <v>Multi Family Weatherization - Insulate Attic - R-0 to R-49 - Heating Zone 2 (Electric FAF Heating System)</v>
      </c>
      <c r="G63" s="31" t="str">
        <f>Composite!C62</f>
        <v>ATTIC R0 - R49</v>
      </c>
      <c r="H63" s="31">
        <f>VLOOKUP($F63&amp;$G63,Composite!$A$5:$Q$841,H$3,FALSE)*VLOOKUP($C63,[2]!ExistingSat,MATCH($A63,[2]SATS!$C$10:$F$10,0)+1,FALSE)</f>
        <v>291.92414847488277</v>
      </c>
      <c r="I63">
        <f>VLOOKUP($F63&amp;$G63,Composite!$A$5:$Q$841,I$3,FALSE)</f>
        <v>45</v>
      </c>
      <c r="J63" s="31">
        <f>VLOOKUP($F63&amp;$G63,Composite!$A$5:$Q$841,J$3,FALSE)*VLOOKUP($C63,[2]!ExistingSat,MATCH($A63,[2]SATS!$C$10:$F$10,0)+1,FALSE)</f>
        <v>338.16777381701564</v>
      </c>
      <c r="K63" s="31">
        <f>VLOOKUP($F63&amp;$G63,Composite!$A$5:$Q$841,K$3,FALSE)*VLOOKUP($C63,[2]!ExistingSat,MATCH($A63,[2]SATS!$C$10:$F$10,0)+1,FALSE)</f>
        <v>0</v>
      </c>
      <c r="L63" t="str">
        <f>VLOOKUP($F63&amp;$G63,Composite!$A$5:$Q$841,L$3,FALSE)</f>
        <v>ResSHWX</v>
      </c>
      <c r="M63" s="31">
        <f>VLOOKUP($F63&amp;$G63,Composite!$A$5:$Q$841,M$3,FALSE)*VLOOKUP($C63,[2]!ExistingSat,MATCH($A63,[2]SATS!$C$10:$F$10,0)+1,FALSE)</f>
        <v>0</v>
      </c>
      <c r="N63" s="31">
        <f>VLOOKUP($F63&amp;$G63,Composite!$A$5:$Q$841,N$3,FALSE)*VLOOKUP($C63,[2]!ExistingSat,MATCH($A63,[2]SATS!$C$10:$F$10,0)+1,FALSE)</f>
        <v>0</v>
      </c>
      <c r="O63">
        <f>VLOOKUP($F63&amp;$G63,Composite!$A$5:$Q$841,O$3,FALSE)</f>
        <v>0</v>
      </c>
      <c r="P63" s="31">
        <f>VLOOKUP($F63&amp;$G63,Composite!$A$5:$Q$841,P$3,FALSE)*VLOOKUP($C63,[2]!ExistingSat,MATCH($A63,[2]SATS!$C$10:$F$10,0)+1,FALSE)</f>
        <v>0</v>
      </c>
      <c r="Q63">
        <f>VLOOKUP($F63&amp;$G63,Composite!$A$5:$Q$841,Q$3,FALSE)</f>
        <v>0</v>
      </c>
      <c r="R63" s="31">
        <f>VLOOKUP($F63&amp;$G63,Composite!$A$5:$Q$841,R$3,FALSE)*VLOOKUP($C63,[2]!ExistingSat,MATCH($A63,[2]SATS!$C$10:$F$10,0)+1,FALSE)</f>
        <v>0</v>
      </c>
      <c r="S63">
        <f>VLOOKUP($F63&amp;$G63,Composite!$A$5:$Q$841,S$3,FALSE)</f>
        <v>0</v>
      </c>
      <c r="T63" s="31">
        <f>VLOOKUP($F63&amp;$G63,Composite!$A$5:$Q$841,T$3,FALSE)*VLOOKUP($C63,[2]!ExistingSat,MATCH($A63,[2]SATS!$C$10:$F$10,0)+1,FALSE)</f>
        <v>0</v>
      </c>
    </row>
    <row r="64" spans="1:20">
      <c r="A64" t="s">
        <v>85</v>
      </c>
      <c r="B64" t="s">
        <v>76</v>
      </c>
      <c r="C64" t="s">
        <v>28</v>
      </c>
      <c r="D64" t="s">
        <v>60</v>
      </c>
      <c r="E64" t="str">
        <f t="shared" si="1"/>
        <v>Electric FAFHZ2ATTIC R19 - R30</v>
      </c>
      <c r="F64" s="31" t="str">
        <f>Composite!B63</f>
        <v>Multi Family Weatherization - Insulate Attic - R-19 to R-30 - Heating Zone 2 (Electric FAF Heating System)</v>
      </c>
      <c r="G64" s="31" t="str">
        <f>Composite!C63</f>
        <v>ATTIC R19 - R30</v>
      </c>
      <c r="H64" s="31">
        <f>VLOOKUP($F64&amp;$G64,Composite!$A$5:$Q$841,H$3,FALSE)*VLOOKUP($C64,[2]!ExistingSat,MATCH($A64,[2]SATS!$C$10:$F$10,0)+1,FALSE)</f>
        <v>53.214765267948593</v>
      </c>
      <c r="I64">
        <f>VLOOKUP($F64&amp;$G64,Composite!$A$5:$Q$841,I$3,FALSE)</f>
        <v>45</v>
      </c>
      <c r="J64" s="31">
        <f>VLOOKUP($F64&amp;$G64,Composite!$A$5:$Q$841,J$3,FALSE)*VLOOKUP($C64,[2]!ExistingSat,MATCH($A64,[2]SATS!$C$10:$F$10,0)+1,FALSE)</f>
        <v>192.92591787684046</v>
      </c>
      <c r="K64" s="31">
        <f>VLOOKUP($F64&amp;$G64,Composite!$A$5:$Q$841,K$3,FALSE)*VLOOKUP($C64,[2]!ExistingSat,MATCH($A64,[2]SATS!$C$10:$F$10,0)+1,FALSE)</f>
        <v>0</v>
      </c>
      <c r="L64" t="str">
        <f>VLOOKUP($F64&amp;$G64,Composite!$A$5:$Q$841,L$3,FALSE)</f>
        <v>ResSHWX</v>
      </c>
      <c r="M64" s="31">
        <f>VLOOKUP($F64&amp;$G64,Composite!$A$5:$Q$841,M$3,FALSE)*VLOOKUP($C64,[2]!ExistingSat,MATCH($A64,[2]SATS!$C$10:$F$10,0)+1,FALSE)</f>
        <v>0</v>
      </c>
      <c r="N64" s="31">
        <f>VLOOKUP($F64&amp;$G64,Composite!$A$5:$Q$841,N$3,FALSE)*VLOOKUP($C64,[2]!ExistingSat,MATCH($A64,[2]SATS!$C$10:$F$10,0)+1,FALSE)</f>
        <v>0</v>
      </c>
      <c r="O64">
        <f>VLOOKUP($F64&amp;$G64,Composite!$A$5:$Q$841,O$3,FALSE)</f>
        <v>0</v>
      </c>
      <c r="P64" s="31">
        <f>VLOOKUP($F64&amp;$G64,Composite!$A$5:$Q$841,P$3,FALSE)*VLOOKUP($C64,[2]!ExistingSat,MATCH($A64,[2]SATS!$C$10:$F$10,0)+1,FALSE)</f>
        <v>0</v>
      </c>
      <c r="Q64">
        <f>VLOOKUP($F64&amp;$G64,Composite!$A$5:$Q$841,Q$3,FALSE)</f>
        <v>0</v>
      </c>
      <c r="R64" s="31">
        <f>VLOOKUP($F64&amp;$G64,Composite!$A$5:$Q$841,R$3,FALSE)*VLOOKUP($C64,[2]!ExistingSat,MATCH($A64,[2]SATS!$C$10:$F$10,0)+1,FALSE)</f>
        <v>0</v>
      </c>
      <c r="S64">
        <f>VLOOKUP($F64&amp;$G64,Composite!$A$5:$Q$841,S$3,FALSE)</f>
        <v>0</v>
      </c>
      <c r="T64" s="31">
        <f>VLOOKUP($F64&amp;$G64,Composite!$A$5:$Q$841,T$3,FALSE)*VLOOKUP($C64,[2]!ExistingSat,MATCH($A64,[2]SATS!$C$10:$F$10,0)+1,FALSE)</f>
        <v>0</v>
      </c>
    </row>
    <row r="65" spans="1:20">
      <c r="A65" t="s">
        <v>85</v>
      </c>
      <c r="B65" t="s">
        <v>76</v>
      </c>
      <c r="C65" t="s">
        <v>28</v>
      </c>
      <c r="D65" t="s">
        <v>60</v>
      </c>
      <c r="E65" t="str">
        <f t="shared" si="1"/>
        <v>Electric FAFHZ2ATTIC R19 - R38</v>
      </c>
      <c r="F65" s="31" t="str">
        <f>Composite!B64</f>
        <v>Multi Family Weatherization - Insulate Attic - R-19 to R-38 - Heating Zone 2 (Electric FAF Heating System)</v>
      </c>
      <c r="G65" s="31" t="str">
        <f>Composite!C64</f>
        <v>ATTIC R19 - R38</v>
      </c>
      <c r="H65" s="31">
        <f>VLOOKUP($F65&amp;$G65,Composite!$A$5:$Q$841,H$3,FALSE)*VLOOKUP($C65,[2]!ExistingSat,MATCH($A65,[2]SATS!$C$10:$F$10,0)+1,FALSE)</f>
        <v>73.460153858472438</v>
      </c>
      <c r="I65">
        <f>VLOOKUP($F65&amp;$G65,Composite!$A$5:$Q$841,I$3,FALSE)</f>
        <v>45</v>
      </c>
      <c r="J65" s="31">
        <f>VLOOKUP($F65&amp;$G65,Composite!$A$5:$Q$841,J$3,FALSE)*VLOOKUP($C65,[2]!ExistingSat,MATCH($A65,[2]SATS!$C$10:$F$10,0)+1,FALSE)</f>
        <v>225.005207173061</v>
      </c>
      <c r="K65" s="31">
        <f>VLOOKUP($F65&amp;$G65,Composite!$A$5:$Q$841,K$3,FALSE)*VLOOKUP($C65,[2]!ExistingSat,MATCH($A65,[2]SATS!$C$10:$F$10,0)+1,FALSE)</f>
        <v>0</v>
      </c>
      <c r="L65" t="str">
        <f>VLOOKUP($F65&amp;$G65,Composite!$A$5:$Q$841,L$3,FALSE)</f>
        <v>ResSHWX</v>
      </c>
      <c r="M65" s="31">
        <f>VLOOKUP($F65&amp;$G65,Composite!$A$5:$Q$841,M$3,FALSE)*VLOOKUP($C65,[2]!ExistingSat,MATCH($A65,[2]SATS!$C$10:$F$10,0)+1,FALSE)</f>
        <v>0</v>
      </c>
      <c r="N65" s="31">
        <f>VLOOKUP($F65&amp;$G65,Composite!$A$5:$Q$841,N$3,FALSE)*VLOOKUP($C65,[2]!ExistingSat,MATCH($A65,[2]SATS!$C$10:$F$10,0)+1,FALSE)</f>
        <v>0</v>
      </c>
      <c r="O65">
        <f>VLOOKUP($F65&amp;$G65,Composite!$A$5:$Q$841,O$3,FALSE)</f>
        <v>0</v>
      </c>
      <c r="P65" s="31">
        <f>VLOOKUP($F65&amp;$G65,Composite!$A$5:$Q$841,P$3,FALSE)*VLOOKUP($C65,[2]!ExistingSat,MATCH($A65,[2]SATS!$C$10:$F$10,0)+1,FALSE)</f>
        <v>0</v>
      </c>
      <c r="Q65">
        <f>VLOOKUP($F65&amp;$G65,Composite!$A$5:$Q$841,Q$3,FALSE)</f>
        <v>0</v>
      </c>
      <c r="R65" s="31">
        <f>VLOOKUP($F65&amp;$G65,Composite!$A$5:$Q$841,R$3,FALSE)*VLOOKUP($C65,[2]!ExistingSat,MATCH($A65,[2]SATS!$C$10:$F$10,0)+1,FALSE)</f>
        <v>0</v>
      </c>
      <c r="S65">
        <f>VLOOKUP($F65&amp;$G65,Composite!$A$5:$Q$841,S$3,FALSE)</f>
        <v>0</v>
      </c>
      <c r="T65" s="31">
        <f>VLOOKUP($F65&amp;$G65,Composite!$A$5:$Q$841,T$3,FALSE)*VLOOKUP($C65,[2]!ExistingSat,MATCH($A65,[2]SATS!$C$10:$F$10,0)+1,FALSE)</f>
        <v>0</v>
      </c>
    </row>
    <row r="66" spans="1:20">
      <c r="A66" t="s">
        <v>85</v>
      </c>
      <c r="B66" t="s">
        <v>76</v>
      </c>
      <c r="C66" t="s">
        <v>28</v>
      </c>
      <c r="D66" t="s">
        <v>60</v>
      </c>
      <c r="E66" t="str">
        <f t="shared" si="1"/>
        <v>Electric FAFHZ2ATTIC R19 - R49</v>
      </c>
      <c r="F66" s="31" t="str">
        <f>Composite!B65</f>
        <v>Multi Family Weatherization - Insulate Attic - R-19 to R-49 - Heating Zone 2 (Electric FAF Heating System)</v>
      </c>
      <c r="G66" s="31" t="str">
        <f>Composite!C65</f>
        <v>ATTIC R19 - R49</v>
      </c>
      <c r="H66" s="31">
        <f>VLOOKUP($F66&amp;$G66,Composite!$A$5:$Q$841,H$3,FALSE)*VLOOKUP($C66,[2]!ExistingSat,MATCH($A66,[2]SATS!$C$10:$F$10,0)+1,FALSE)</f>
        <v>90.52471908775361</v>
      </c>
      <c r="I66">
        <f>VLOOKUP($F66&amp;$G66,Composite!$A$5:$Q$841,I$3,FALSE)</f>
        <v>45</v>
      </c>
      <c r="J66" s="31">
        <f>VLOOKUP($F66&amp;$G66,Composite!$A$5:$Q$841,J$3,FALSE)*VLOOKUP($C66,[2]!ExistingSat,MATCH($A66,[2]SATS!$C$10:$F$10,0)+1,FALSE)</f>
        <v>267.33145763319703</v>
      </c>
      <c r="K66" s="31">
        <f>VLOOKUP($F66&amp;$G66,Composite!$A$5:$Q$841,K$3,FALSE)*VLOOKUP($C66,[2]!ExistingSat,MATCH($A66,[2]SATS!$C$10:$F$10,0)+1,FALSE)</f>
        <v>0</v>
      </c>
      <c r="L66" t="str">
        <f>VLOOKUP($F66&amp;$G66,Composite!$A$5:$Q$841,L$3,FALSE)</f>
        <v>ResSHWX</v>
      </c>
      <c r="M66" s="31">
        <f>VLOOKUP($F66&amp;$G66,Composite!$A$5:$Q$841,M$3,FALSE)*VLOOKUP($C66,[2]!ExistingSat,MATCH($A66,[2]SATS!$C$10:$F$10,0)+1,FALSE)</f>
        <v>0</v>
      </c>
      <c r="N66" s="31">
        <f>VLOOKUP($F66&amp;$G66,Composite!$A$5:$Q$841,N$3,FALSE)*VLOOKUP($C66,[2]!ExistingSat,MATCH($A66,[2]SATS!$C$10:$F$10,0)+1,FALSE)</f>
        <v>0</v>
      </c>
      <c r="O66">
        <f>VLOOKUP($F66&amp;$G66,Composite!$A$5:$Q$841,O$3,FALSE)</f>
        <v>0</v>
      </c>
      <c r="P66" s="31">
        <f>VLOOKUP($F66&amp;$G66,Composite!$A$5:$Q$841,P$3,FALSE)*VLOOKUP($C66,[2]!ExistingSat,MATCH($A66,[2]SATS!$C$10:$F$10,0)+1,FALSE)</f>
        <v>0</v>
      </c>
      <c r="Q66">
        <f>VLOOKUP($F66&amp;$G66,Composite!$A$5:$Q$841,Q$3,FALSE)</f>
        <v>0</v>
      </c>
      <c r="R66" s="31">
        <f>VLOOKUP($F66&amp;$G66,Composite!$A$5:$Q$841,R$3,FALSE)*VLOOKUP($C66,[2]!ExistingSat,MATCH($A66,[2]SATS!$C$10:$F$10,0)+1,FALSE)</f>
        <v>0</v>
      </c>
      <c r="S66">
        <f>VLOOKUP($F66&amp;$G66,Composite!$A$5:$Q$841,S$3,FALSE)</f>
        <v>0</v>
      </c>
      <c r="T66" s="31">
        <f>VLOOKUP($F66&amp;$G66,Composite!$A$5:$Q$841,T$3,FALSE)*VLOOKUP($C66,[2]!ExistingSat,MATCH($A66,[2]SATS!$C$10:$F$10,0)+1,FALSE)</f>
        <v>0</v>
      </c>
    </row>
    <row r="67" spans="1:20">
      <c r="A67" t="s">
        <v>85</v>
      </c>
      <c r="B67" t="s">
        <v>76</v>
      </c>
      <c r="C67" t="s">
        <v>27</v>
      </c>
      <c r="D67" t="s">
        <v>60</v>
      </c>
      <c r="E67" t="str">
        <f t="shared" si="1"/>
        <v>Electric FAFHZ2WINDOW CL22 Prime Window Replacement of Single Pane Base</v>
      </c>
      <c r="F67" s="31" t="str">
        <f>Composite!B66</f>
        <v>Windows - Single Pane to Class 22 - Heating Zone 2 (Electric FAF Heating System)</v>
      </c>
      <c r="G67" s="31" t="str">
        <f>Composite!C66</f>
        <v>WINDOW CL22 Prime Window Replacement of Single Pane Base</v>
      </c>
      <c r="H67" s="31">
        <f>VLOOKUP($F67&amp;$G67,Composite!$A$5:$Q$841,H$3,FALSE)*VLOOKUP($C67,[2]!ExistingSat,MATCH($A67,[2]SATS!$C$10:$F$10,0)+1,FALSE)</f>
        <v>5993.7884619116112</v>
      </c>
      <c r="I67">
        <f>VLOOKUP($F67&amp;$G67,Composite!$A$5:$Q$841,I$3,FALSE)</f>
        <v>45</v>
      </c>
      <c r="J67" s="31">
        <f>VLOOKUP($F67&amp;$G67,Composite!$A$5:$Q$841,J$3,FALSE)*VLOOKUP($C67,[2]!ExistingSat,MATCH($A67,[2]SATS!$C$10:$F$10,0)+1,FALSE)</f>
        <v>4048.8992557534643</v>
      </c>
      <c r="K67" s="31">
        <f>VLOOKUP($F67&amp;$G67,Composite!$A$5:$Q$841,K$3,FALSE)*VLOOKUP($C67,[2]!ExistingSat,MATCH($A67,[2]SATS!$C$10:$F$10,0)+1,FALSE)</f>
        <v>0</v>
      </c>
      <c r="L67" t="str">
        <f>VLOOKUP($F67&amp;$G67,Composite!$A$5:$Q$841,L$3,FALSE)</f>
        <v>ResSHWX</v>
      </c>
      <c r="M67" s="31">
        <f>VLOOKUP($F67&amp;$G67,Composite!$A$5:$Q$841,M$3,FALSE)*VLOOKUP($C67,[2]!ExistingSat,MATCH($A67,[2]SATS!$C$10:$F$10,0)+1,FALSE)</f>
        <v>0</v>
      </c>
      <c r="N67" s="31">
        <f>VLOOKUP($F67&amp;$G67,Composite!$A$5:$Q$841,N$3,FALSE)*VLOOKUP($C67,[2]!ExistingSat,MATCH($A67,[2]SATS!$C$10:$F$10,0)+1,FALSE)</f>
        <v>0</v>
      </c>
      <c r="O67">
        <f>VLOOKUP($F67&amp;$G67,Composite!$A$5:$Q$841,O$3,FALSE)</f>
        <v>0</v>
      </c>
      <c r="P67" s="31">
        <f>VLOOKUP($F67&amp;$G67,Composite!$A$5:$Q$841,P$3,FALSE)*VLOOKUP($C67,[2]!ExistingSat,MATCH($A67,[2]SATS!$C$10:$F$10,0)+1,FALSE)</f>
        <v>0</v>
      </c>
      <c r="Q67">
        <f>VLOOKUP($F67&amp;$G67,Composite!$A$5:$Q$841,Q$3,FALSE)</f>
        <v>0</v>
      </c>
      <c r="R67" s="31">
        <f>VLOOKUP($F67&amp;$G67,Composite!$A$5:$Q$841,R$3,FALSE)*VLOOKUP($C67,[2]!ExistingSat,MATCH($A67,[2]SATS!$C$10:$F$10,0)+1,FALSE)</f>
        <v>0</v>
      </c>
      <c r="S67">
        <f>VLOOKUP($F67&amp;$G67,Composite!$A$5:$Q$841,S$3,FALSE)</f>
        <v>0</v>
      </c>
      <c r="T67" s="31">
        <f>VLOOKUP($F67&amp;$G67,Composite!$A$5:$Q$841,T$3,FALSE)*VLOOKUP($C67,[2]!ExistingSat,MATCH($A67,[2]SATS!$C$10:$F$10,0)+1,FALSE)</f>
        <v>0</v>
      </c>
    </row>
    <row r="68" spans="1:20">
      <c r="A68" t="s">
        <v>85</v>
      </c>
      <c r="B68" t="s">
        <v>76</v>
      </c>
      <c r="C68" t="s">
        <v>27</v>
      </c>
      <c r="D68" t="s">
        <v>60</v>
      </c>
      <c r="E68" t="str">
        <f t="shared" si="1"/>
        <v>Electric FAFHZ2WINDOW CL22 Prime Window Replacement of Double Pane Base</v>
      </c>
      <c r="F68" s="31" t="str">
        <f>Composite!B67</f>
        <v>Windows - Double Pane to Class 22 - Heating Zone 2 (Electric FAF Heating System)</v>
      </c>
      <c r="G68" s="31" t="str">
        <f>Composite!C67</f>
        <v>WINDOW CL22 Prime Window Replacement of Double Pane Base</v>
      </c>
      <c r="H68" s="31">
        <f>VLOOKUP($F68&amp;$G68,Composite!$A$5:$Q$841,H$3,FALSE)*VLOOKUP($C68,[2]!ExistingSat,MATCH($A68,[2]SATS!$C$10:$F$10,0)+1,FALSE)</f>
        <v>3573.7343829860697</v>
      </c>
      <c r="I68">
        <f>VLOOKUP($F68&amp;$G68,Composite!$A$5:$Q$841,I$3,FALSE)</f>
        <v>45</v>
      </c>
      <c r="J68" s="31">
        <f>VLOOKUP($F68&amp;$G68,Composite!$A$5:$Q$841,J$3,FALSE)*VLOOKUP($C68,[2]!ExistingSat,MATCH($A68,[2]SATS!$C$10:$F$10,0)+1,FALSE)</f>
        <v>4048.8992557534643</v>
      </c>
      <c r="K68" s="31">
        <f>VLOOKUP($F68&amp;$G68,Composite!$A$5:$Q$841,K$3,FALSE)*VLOOKUP($C68,[2]!ExistingSat,MATCH($A68,[2]SATS!$C$10:$F$10,0)+1,FALSE)</f>
        <v>0</v>
      </c>
      <c r="L68" t="str">
        <f>VLOOKUP($F68&amp;$G68,Composite!$A$5:$Q$841,L$3,FALSE)</f>
        <v>ResSHWX</v>
      </c>
      <c r="M68" s="31">
        <f>VLOOKUP($F68&amp;$G68,Composite!$A$5:$Q$841,M$3,FALSE)*VLOOKUP($C68,[2]!ExistingSat,MATCH($A68,[2]SATS!$C$10:$F$10,0)+1,FALSE)</f>
        <v>0</v>
      </c>
      <c r="N68" s="31">
        <f>VLOOKUP($F68&amp;$G68,Composite!$A$5:$Q$841,N$3,FALSE)*VLOOKUP($C68,[2]!ExistingSat,MATCH($A68,[2]SATS!$C$10:$F$10,0)+1,FALSE)</f>
        <v>0</v>
      </c>
      <c r="O68">
        <f>VLOOKUP($F68&amp;$G68,Composite!$A$5:$Q$841,O$3,FALSE)</f>
        <v>0</v>
      </c>
      <c r="P68" s="31">
        <f>VLOOKUP($F68&amp;$G68,Composite!$A$5:$Q$841,P$3,FALSE)*VLOOKUP($C68,[2]!ExistingSat,MATCH($A68,[2]SATS!$C$10:$F$10,0)+1,FALSE)</f>
        <v>0</v>
      </c>
      <c r="Q68">
        <f>VLOOKUP($F68&amp;$G68,Composite!$A$5:$Q$841,Q$3,FALSE)</f>
        <v>0</v>
      </c>
      <c r="R68" s="31">
        <f>VLOOKUP($F68&amp;$G68,Composite!$A$5:$Q$841,R$3,FALSE)*VLOOKUP($C68,[2]!ExistingSat,MATCH($A68,[2]SATS!$C$10:$F$10,0)+1,FALSE)</f>
        <v>0</v>
      </c>
      <c r="S68">
        <f>VLOOKUP($F68&amp;$G68,Composite!$A$5:$Q$841,S$3,FALSE)</f>
        <v>0</v>
      </c>
      <c r="T68" s="31">
        <f>VLOOKUP($F68&amp;$G68,Composite!$A$5:$Q$841,T$3,FALSE)*VLOOKUP($C68,[2]!ExistingSat,MATCH($A68,[2]SATS!$C$10:$F$10,0)+1,FALSE)</f>
        <v>0</v>
      </c>
    </row>
    <row r="69" spans="1:20">
      <c r="A69" t="s">
        <v>85</v>
      </c>
      <c r="B69" t="s">
        <v>76</v>
      </c>
      <c r="C69" t="s">
        <v>27</v>
      </c>
      <c r="D69" t="s">
        <v>60</v>
      </c>
      <c r="E69" t="str">
        <f t="shared" si="1"/>
        <v>Electric FAFHZ2WINDOW CL30 Prime Window Replacement of Single Pane Base</v>
      </c>
      <c r="F69" s="31" t="str">
        <f>Composite!B68</f>
        <v>Windows - Single Pane to Class 30 - Heating Zone 2 (Electric FAF Heating System)</v>
      </c>
      <c r="G69" s="31" t="str">
        <f>Composite!C68</f>
        <v>WINDOW CL30 Prime Window Replacement of Single Pane Base</v>
      </c>
      <c r="H69" s="31">
        <f>VLOOKUP($F69&amp;$G69,Composite!$A$5:$Q$841,H$3,FALSE)*VLOOKUP($C69,[2]!ExistingSat,MATCH($A69,[2]SATS!$C$10:$F$10,0)+1,FALSE)</f>
        <v>5498.097072008949</v>
      </c>
      <c r="I69">
        <f>VLOOKUP($F69&amp;$G69,Composite!$A$5:$Q$841,I$3,FALSE)</f>
        <v>45</v>
      </c>
      <c r="J69" s="31">
        <f>VLOOKUP($F69&amp;$G69,Composite!$A$5:$Q$841,J$3,FALSE)*VLOOKUP($C69,[2]!ExistingSat,MATCH($A69,[2]SATS!$C$10:$F$10,0)+1,FALSE)</f>
        <v>3098.9648613559325</v>
      </c>
      <c r="K69" s="31">
        <f>VLOOKUP($F69&amp;$G69,Composite!$A$5:$Q$841,K$3,FALSE)*VLOOKUP($C69,[2]!ExistingSat,MATCH($A69,[2]SATS!$C$10:$F$10,0)+1,FALSE)</f>
        <v>0</v>
      </c>
      <c r="L69" t="str">
        <f>VLOOKUP($F69&amp;$G69,Composite!$A$5:$Q$841,L$3,FALSE)</f>
        <v>ResSHWX</v>
      </c>
      <c r="M69" s="31">
        <f>VLOOKUP($F69&amp;$G69,Composite!$A$5:$Q$841,M$3,FALSE)*VLOOKUP($C69,[2]!ExistingSat,MATCH($A69,[2]SATS!$C$10:$F$10,0)+1,FALSE)</f>
        <v>0</v>
      </c>
      <c r="N69" s="31">
        <f>VLOOKUP($F69&amp;$G69,Composite!$A$5:$Q$841,N$3,FALSE)*VLOOKUP($C69,[2]!ExistingSat,MATCH($A69,[2]SATS!$C$10:$F$10,0)+1,FALSE)</f>
        <v>0</v>
      </c>
      <c r="O69">
        <f>VLOOKUP($F69&amp;$G69,Composite!$A$5:$Q$841,O$3,FALSE)</f>
        <v>0</v>
      </c>
      <c r="P69" s="31">
        <f>VLOOKUP($F69&amp;$G69,Composite!$A$5:$Q$841,P$3,FALSE)*VLOOKUP($C69,[2]!ExistingSat,MATCH($A69,[2]SATS!$C$10:$F$10,0)+1,FALSE)</f>
        <v>0</v>
      </c>
      <c r="Q69">
        <f>VLOOKUP($F69&amp;$G69,Composite!$A$5:$Q$841,Q$3,FALSE)</f>
        <v>0</v>
      </c>
      <c r="R69" s="31">
        <f>VLOOKUP($F69&amp;$G69,Composite!$A$5:$Q$841,R$3,FALSE)*VLOOKUP($C69,[2]!ExistingSat,MATCH($A69,[2]SATS!$C$10:$F$10,0)+1,FALSE)</f>
        <v>0</v>
      </c>
      <c r="S69">
        <f>VLOOKUP($F69&amp;$G69,Composite!$A$5:$Q$841,S$3,FALSE)</f>
        <v>0</v>
      </c>
      <c r="T69" s="31">
        <f>VLOOKUP($F69&amp;$G69,Composite!$A$5:$Q$841,T$3,FALSE)*VLOOKUP($C69,[2]!ExistingSat,MATCH($A69,[2]SATS!$C$10:$F$10,0)+1,FALSE)</f>
        <v>0</v>
      </c>
    </row>
    <row r="70" spans="1:20">
      <c r="A70" t="s">
        <v>85</v>
      </c>
      <c r="B70" t="s">
        <v>76</v>
      </c>
      <c r="C70" t="s">
        <v>27</v>
      </c>
      <c r="D70" t="s">
        <v>60</v>
      </c>
      <c r="E70" t="str">
        <f t="shared" si="1"/>
        <v>Electric FAFHZ2WINDOW CL30 Prime Window Replacement of Double Pane Base</v>
      </c>
      <c r="F70" s="31" t="str">
        <f>Composite!B69</f>
        <v>Windows - Double Pane to Class 30 - Heating Zone 2 (Electric FAF Heating System)</v>
      </c>
      <c r="G70" s="31" t="str">
        <f>Composite!C69</f>
        <v>WINDOW CL30 Prime Window Replacement of Double Pane Base</v>
      </c>
      <c r="H70" s="31">
        <f>VLOOKUP($F70&amp;$G70,Composite!$A$5:$Q$841,H$3,FALSE)*VLOOKUP($C70,[2]!ExistingSat,MATCH($A70,[2]SATS!$C$10:$F$10,0)+1,FALSE)</f>
        <v>3078.0429930834066</v>
      </c>
      <c r="I70">
        <f>VLOOKUP($F70&amp;$G70,Composite!$A$5:$Q$841,I$3,FALSE)</f>
        <v>45</v>
      </c>
      <c r="J70" s="31">
        <f>VLOOKUP($F70&amp;$G70,Composite!$A$5:$Q$841,J$3,FALSE)*VLOOKUP($C70,[2]!ExistingSat,MATCH($A70,[2]SATS!$C$10:$F$10,0)+1,FALSE)</f>
        <v>3098.9648613559325</v>
      </c>
      <c r="K70" s="31">
        <f>VLOOKUP($F70&amp;$G70,Composite!$A$5:$Q$841,K$3,FALSE)*VLOOKUP($C70,[2]!ExistingSat,MATCH($A70,[2]SATS!$C$10:$F$10,0)+1,FALSE)</f>
        <v>0</v>
      </c>
      <c r="L70" t="str">
        <f>VLOOKUP($F70&amp;$G70,Composite!$A$5:$Q$841,L$3,FALSE)</f>
        <v>ResSHWX</v>
      </c>
      <c r="M70" s="31">
        <f>VLOOKUP($F70&amp;$G70,Composite!$A$5:$Q$841,M$3,FALSE)*VLOOKUP($C70,[2]!ExistingSat,MATCH($A70,[2]SATS!$C$10:$F$10,0)+1,FALSE)</f>
        <v>0</v>
      </c>
      <c r="N70" s="31">
        <f>VLOOKUP($F70&amp;$G70,Composite!$A$5:$Q$841,N$3,FALSE)*VLOOKUP($C70,[2]!ExistingSat,MATCH($A70,[2]SATS!$C$10:$F$10,0)+1,FALSE)</f>
        <v>0</v>
      </c>
      <c r="O70">
        <f>VLOOKUP($F70&amp;$G70,Composite!$A$5:$Q$841,O$3,FALSE)</f>
        <v>0</v>
      </c>
      <c r="P70" s="31">
        <f>VLOOKUP($F70&amp;$G70,Composite!$A$5:$Q$841,P$3,FALSE)*VLOOKUP($C70,[2]!ExistingSat,MATCH($A70,[2]SATS!$C$10:$F$10,0)+1,FALSE)</f>
        <v>0</v>
      </c>
      <c r="Q70">
        <f>VLOOKUP($F70&amp;$G70,Composite!$A$5:$Q$841,Q$3,FALSE)</f>
        <v>0</v>
      </c>
      <c r="R70" s="31">
        <f>VLOOKUP($F70&amp;$G70,Composite!$A$5:$Q$841,R$3,FALSE)*VLOOKUP($C70,[2]!ExistingSat,MATCH($A70,[2]SATS!$C$10:$F$10,0)+1,FALSE)</f>
        <v>0</v>
      </c>
      <c r="S70">
        <f>VLOOKUP($F70&amp;$G70,Composite!$A$5:$Q$841,S$3,FALSE)</f>
        <v>0</v>
      </c>
      <c r="T70" s="31">
        <f>VLOOKUP($F70&amp;$G70,Composite!$A$5:$Q$841,T$3,FALSE)*VLOOKUP($C70,[2]!ExistingSat,MATCH($A70,[2]SATS!$C$10:$F$10,0)+1,FALSE)</f>
        <v>0</v>
      </c>
    </row>
    <row r="71" spans="1:20">
      <c r="A71" t="s">
        <v>85</v>
      </c>
      <c r="B71" t="s">
        <v>76</v>
      </c>
      <c r="C71" t="s">
        <v>63</v>
      </c>
      <c r="D71" t="s">
        <v>61</v>
      </c>
      <c r="E71" t="str">
        <f t="shared" si="1"/>
        <v>Electric FAFHZ3WALL R0 - R11</v>
      </c>
      <c r="F71" s="31" t="str">
        <f>Composite!B70</f>
        <v>Multi Family Weatherization - Insulate Walls - R-0 to R-11 - Heating Zone 3 (Electric FAF Heating System)</v>
      </c>
      <c r="G71" s="31" t="str">
        <f>Composite!C70</f>
        <v>WALL R0 - R11</v>
      </c>
      <c r="H71" s="31">
        <f>VLOOKUP($F71&amp;$G71,Composite!$A$5:$Q$841,H$3,FALSE)*VLOOKUP($C71,[2]!ExistingSat,MATCH($A71,[2]SATS!$C$10:$F$10,0)+1,FALSE)</f>
        <v>1108.4597674979154</v>
      </c>
      <c r="I71">
        <f>VLOOKUP($F71&amp;$G71,Composite!$A$5:$Q$841,I$3,FALSE)</f>
        <v>45</v>
      </c>
      <c r="J71" s="31">
        <f>VLOOKUP($F71&amp;$G71,Composite!$A$5:$Q$841,J$3,FALSE)*VLOOKUP($C71,[2]!ExistingSat,MATCH($A71,[2]SATS!$C$10:$F$10,0)+1,FALSE)</f>
        <v>504.28054205609425</v>
      </c>
      <c r="K71" s="31">
        <f>VLOOKUP($F71&amp;$G71,Composite!$A$5:$Q$841,K$3,FALSE)*VLOOKUP($C71,[2]!ExistingSat,MATCH($A71,[2]SATS!$C$10:$F$10,0)+1,FALSE)</f>
        <v>0</v>
      </c>
      <c r="L71" t="str">
        <f>VLOOKUP($F71&amp;$G71,Composite!$A$5:$Q$841,L$3,FALSE)</f>
        <v>ResSHWX</v>
      </c>
      <c r="M71" s="31">
        <f>VLOOKUP($F71&amp;$G71,Composite!$A$5:$Q$841,M$3,FALSE)*VLOOKUP($C71,[2]!ExistingSat,MATCH($A71,[2]SATS!$C$10:$F$10,0)+1,FALSE)</f>
        <v>0</v>
      </c>
      <c r="N71" s="31">
        <f>VLOOKUP($F71&amp;$G71,Composite!$A$5:$Q$841,N$3,FALSE)*VLOOKUP($C71,[2]!ExistingSat,MATCH($A71,[2]SATS!$C$10:$F$10,0)+1,FALSE)</f>
        <v>0</v>
      </c>
      <c r="O71">
        <f>VLOOKUP($F71&amp;$G71,Composite!$A$5:$Q$841,O$3,FALSE)</f>
        <v>0</v>
      </c>
      <c r="P71" s="31">
        <f>VLOOKUP($F71&amp;$G71,Composite!$A$5:$Q$841,P$3,FALSE)*VLOOKUP($C71,[2]!ExistingSat,MATCH($A71,[2]SATS!$C$10:$F$10,0)+1,FALSE)</f>
        <v>0</v>
      </c>
      <c r="Q71">
        <f>VLOOKUP($F71&amp;$G71,Composite!$A$5:$Q$841,Q$3,FALSE)</f>
        <v>0</v>
      </c>
      <c r="R71" s="31">
        <f>VLOOKUP($F71&amp;$G71,Composite!$A$5:$Q$841,R$3,FALSE)*VLOOKUP($C71,[2]!ExistingSat,MATCH($A71,[2]SATS!$C$10:$F$10,0)+1,FALSE)</f>
        <v>0</v>
      </c>
      <c r="S71">
        <f>VLOOKUP($F71&amp;$G71,Composite!$A$5:$Q$841,S$3,FALSE)</f>
        <v>0</v>
      </c>
      <c r="T71" s="31">
        <f>VLOOKUP($F71&amp;$G71,Composite!$A$5:$Q$841,T$3,FALSE)*VLOOKUP($C71,[2]!ExistingSat,MATCH($A71,[2]SATS!$C$10:$F$10,0)+1,FALSE)</f>
        <v>0</v>
      </c>
    </row>
    <row r="72" spans="1:20">
      <c r="A72" t="s">
        <v>85</v>
      </c>
      <c r="B72" t="s">
        <v>76</v>
      </c>
      <c r="C72" t="s">
        <v>26</v>
      </c>
      <c r="D72" t="s">
        <v>61</v>
      </c>
      <c r="E72" t="str">
        <f t="shared" ref="E72:E122" si="2">B72&amp;D72&amp;G72</f>
        <v>Electric FAFHZ3FLOOR R0 - R19</v>
      </c>
      <c r="F72" s="31" t="str">
        <f>Composite!B71</f>
        <v>Multi Family Weatherization - Insulate Floors - R-0 to R-19 - Heating Zone 3 (Electric FAF Heating System)</v>
      </c>
      <c r="G72" s="31" t="str">
        <f>Composite!C71</f>
        <v>FLOOR R0 - R19</v>
      </c>
      <c r="H72" s="31">
        <f>VLOOKUP($F72&amp;$G72,Composite!$A$5:$Q$841,H$3,FALSE)*VLOOKUP($C72,[2]!ExistingSat,MATCH($A72,[2]SATS!$C$10:$F$10,0)+1,FALSE)</f>
        <v>339.3760814909366</v>
      </c>
      <c r="I72">
        <f>VLOOKUP($F72&amp;$G72,Composite!$A$5:$Q$841,I$3,FALSE)</f>
        <v>45</v>
      </c>
      <c r="J72" s="31">
        <f>VLOOKUP($F72&amp;$G72,Composite!$A$5:$Q$841,J$3,FALSE)*VLOOKUP($C72,[2]!ExistingSat,MATCH($A72,[2]SATS!$C$10:$F$10,0)+1,FALSE)</f>
        <v>358.01976642494196</v>
      </c>
      <c r="K72" s="31">
        <f>VLOOKUP($F72&amp;$G72,Composite!$A$5:$Q$841,K$3,FALSE)*VLOOKUP($C72,[2]!ExistingSat,MATCH($A72,[2]SATS!$C$10:$F$10,0)+1,FALSE)</f>
        <v>0</v>
      </c>
      <c r="L72" t="str">
        <f>VLOOKUP($F72&amp;$G72,Composite!$A$5:$Q$841,L$3,FALSE)</f>
        <v>ResSHWX</v>
      </c>
      <c r="M72" s="31">
        <f>VLOOKUP($F72&amp;$G72,Composite!$A$5:$Q$841,M$3,FALSE)*VLOOKUP($C72,[2]!ExistingSat,MATCH($A72,[2]SATS!$C$10:$F$10,0)+1,FALSE)</f>
        <v>0</v>
      </c>
      <c r="N72" s="31">
        <f>VLOOKUP($F72&amp;$G72,Composite!$A$5:$Q$841,N$3,FALSE)*VLOOKUP($C72,[2]!ExistingSat,MATCH($A72,[2]SATS!$C$10:$F$10,0)+1,FALSE)</f>
        <v>0</v>
      </c>
      <c r="O72">
        <f>VLOOKUP($F72&amp;$G72,Composite!$A$5:$Q$841,O$3,FALSE)</f>
        <v>0</v>
      </c>
      <c r="P72" s="31">
        <f>VLOOKUP($F72&amp;$G72,Composite!$A$5:$Q$841,P$3,FALSE)*VLOOKUP($C72,[2]!ExistingSat,MATCH($A72,[2]SATS!$C$10:$F$10,0)+1,FALSE)</f>
        <v>0</v>
      </c>
      <c r="Q72">
        <f>VLOOKUP($F72&amp;$G72,Composite!$A$5:$Q$841,Q$3,FALSE)</f>
        <v>0</v>
      </c>
      <c r="R72" s="31">
        <f>VLOOKUP($F72&amp;$G72,Composite!$A$5:$Q$841,R$3,FALSE)*VLOOKUP($C72,[2]!ExistingSat,MATCH($A72,[2]SATS!$C$10:$F$10,0)+1,FALSE)</f>
        <v>0</v>
      </c>
      <c r="S72">
        <f>VLOOKUP($F72&amp;$G72,Composite!$A$5:$Q$841,S$3,FALSE)</f>
        <v>0</v>
      </c>
      <c r="T72" s="31">
        <f>VLOOKUP($F72&amp;$G72,Composite!$A$5:$Q$841,T$3,FALSE)*VLOOKUP($C72,[2]!ExistingSat,MATCH($A72,[2]SATS!$C$10:$F$10,0)+1,FALSE)</f>
        <v>0</v>
      </c>
    </row>
    <row r="73" spans="1:20">
      <c r="A73" t="s">
        <v>85</v>
      </c>
      <c r="B73" t="s">
        <v>76</v>
      </c>
      <c r="C73" t="s">
        <v>26</v>
      </c>
      <c r="D73" t="s">
        <v>61</v>
      </c>
      <c r="E73" t="str">
        <f t="shared" si="2"/>
        <v>Electric FAFHZ3FLOOR R0 - R30</v>
      </c>
      <c r="F73" s="31" t="str">
        <f>Composite!B72</f>
        <v>Multi Family Weatherization - Insulate Floors - R-0 to R-30 - Heating Zone 3 (Electric FAF Heating System)</v>
      </c>
      <c r="G73" s="31" t="str">
        <f>Composite!C72</f>
        <v>FLOOR R0 - R30</v>
      </c>
      <c r="H73" s="31">
        <f>VLOOKUP($F73&amp;$G73,Composite!$A$5:$Q$841,H$3,FALSE)*VLOOKUP($C73,[2]!ExistingSat,MATCH($A73,[2]SATS!$C$10:$F$10,0)+1,FALSE)</f>
        <v>443.10361204909157</v>
      </c>
      <c r="I73">
        <f>VLOOKUP($F73&amp;$G73,Composite!$A$5:$Q$841,I$3,FALSE)</f>
        <v>45</v>
      </c>
      <c r="J73" s="31">
        <f>VLOOKUP($F73&amp;$G73,Composite!$A$5:$Q$841,J$3,FALSE)*VLOOKUP($C73,[2]!ExistingSat,MATCH($A73,[2]SATS!$C$10:$F$10,0)+1,FALSE)</f>
        <v>383.15497685936549</v>
      </c>
      <c r="K73" s="31">
        <f>VLOOKUP($F73&amp;$G73,Composite!$A$5:$Q$841,K$3,FALSE)*VLOOKUP($C73,[2]!ExistingSat,MATCH($A73,[2]SATS!$C$10:$F$10,0)+1,FALSE)</f>
        <v>0</v>
      </c>
      <c r="L73" t="str">
        <f>VLOOKUP($F73&amp;$G73,Composite!$A$5:$Q$841,L$3,FALSE)</f>
        <v>ResSHWX</v>
      </c>
      <c r="M73" s="31">
        <f>VLOOKUP($F73&amp;$G73,Composite!$A$5:$Q$841,M$3,FALSE)*VLOOKUP($C73,[2]!ExistingSat,MATCH($A73,[2]SATS!$C$10:$F$10,0)+1,FALSE)</f>
        <v>0</v>
      </c>
      <c r="N73" s="31">
        <f>VLOOKUP($F73&amp;$G73,Composite!$A$5:$Q$841,N$3,FALSE)*VLOOKUP($C73,[2]!ExistingSat,MATCH($A73,[2]SATS!$C$10:$F$10,0)+1,FALSE)</f>
        <v>0</v>
      </c>
      <c r="O73">
        <f>VLOOKUP($F73&amp;$G73,Composite!$A$5:$Q$841,O$3,FALSE)</f>
        <v>0</v>
      </c>
      <c r="P73" s="31">
        <f>VLOOKUP($F73&amp;$G73,Composite!$A$5:$Q$841,P$3,FALSE)*VLOOKUP($C73,[2]!ExistingSat,MATCH($A73,[2]SATS!$C$10:$F$10,0)+1,FALSE)</f>
        <v>0</v>
      </c>
      <c r="Q73">
        <f>VLOOKUP($F73&amp;$G73,Composite!$A$5:$Q$841,Q$3,FALSE)</f>
        <v>0</v>
      </c>
      <c r="R73" s="31">
        <f>VLOOKUP($F73&amp;$G73,Composite!$A$5:$Q$841,R$3,FALSE)*VLOOKUP($C73,[2]!ExistingSat,MATCH($A73,[2]SATS!$C$10:$F$10,0)+1,FALSE)</f>
        <v>0</v>
      </c>
      <c r="S73">
        <f>VLOOKUP($F73&amp;$G73,Composite!$A$5:$Q$841,S$3,FALSE)</f>
        <v>0</v>
      </c>
      <c r="T73" s="31">
        <f>VLOOKUP($F73&amp;$G73,Composite!$A$5:$Q$841,T$3,FALSE)*VLOOKUP($C73,[2]!ExistingSat,MATCH($A73,[2]SATS!$C$10:$F$10,0)+1,FALSE)</f>
        <v>0</v>
      </c>
    </row>
    <row r="74" spans="1:20">
      <c r="A74" t="s">
        <v>85</v>
      </c>
      <c r="B74" t="s">
        <v>76</v>
      </c>
      <c r="C74" t="s">
        <v>28</v>
      </c>
      <c r="D74" t="s">
        <v>61</v>
      </c>
      <c r="E74" t="str">
        <f t="shared" si="2"/>
        <v>Electric FAFHZ3ATTIC R0 - R19</v>
      </c>
      <c r="F74" s="31" t="str">
        <f>Composite!B73</f>
        <v>Multi Family Weatherization - Insulate Attic - R-0 to R-19 - Heating Zone 3 (Electric FAF Heating System)</v>
      </c>
      <c r="G74" s="31" t="str">
        <f>Composite!C73</f>
        <v>ATTIC R0 - R19</v>
      </c>
      <c r="H74" s="31">
        <f>VLOOKUP($F74&amp;$G74,Composite!$A$5:$Q$841,H$3,FALSE)*VLOOKUP($C74,[2]!ExistingSat,MATCH($A74,[2]SATS!$C$10:$F$10,0)+1,FALSE)</f>
        <v>180.11932605579966</v>
      </c>
      <c r="I74">
        <f>VLOOKUP($F74&amp;$G74,Composite!$A$5:$Q$841,I$3,FALSE)</f>
        <v>45</v>
      </c>
      <c r="J74" s="31">
        <f>VLOOKUP($F74&amp;$G74,Composite!$A$5:$Q$841,J$3,FALSE)*VLOOKUP($C74,[2]!ExistingSat,MATCH($A74,[2]SATS!$C$10:$F$10,0)+1,FALSE)</f>
        <v>223.50315070635102</v>
      </c>
      <c r="K74" s="31">
        <f>VLOOKUP($F74&amp;$G74,Composite!$A$5:$Q$841,K$3,FALSE)*VLOOKUP($C74,[2]!ExistingSat,MATCH($A74,[2]SATS!$C$10:$F$10,0)+1,FALSE)</f>
        <v>0</v>
      </c>
      <c r="L74" t="str">
        <f>VLOOKUP($F74&amp;$G74,Composite!$A$5:$Q$841,L$3,FALSE)</f>
        <v>ResSHWX</v>
      </c>
      <c r="M74" s="31">
        <f>VLOOKUP($F74&amp;$G74,Composite!$A$5:$Q$841,M$3,FALSE)*VLOOKUP($C74,[2]!ExistingSat,MATCH($A74,[2]SATS!$C$10:$F$10,0)+1,FALSE)</f>
        <v>0</v>
      </c>
      <c r="N74" s="31">
        <f>VLOOKUP($F74&amp;$G74,Composite!$A$5:$Q$841,N$3,FALSE)*VLOOKUP($C74,[2]!ExistingSat,MATCH($A74,[2]SATS!$C$10:$F$10,0)+1,FALSE)</f>
        <v>0</v>
      </c>
      <c r="O74">
        <f>VLOOKUP($F74&amp;$G74,Composite!$A$5:$Q$841,O$3,FALSE)</f>
        <v>0</v>
      </c>
      <c r="P74" s="31">
        <f>VLOOKUP($F74&amp;$G74,Composite!$A$5:$Q$841,P$3,FALSE)*VLOOKUP($C74,[2]!ExistingSat,MATCH($A74,[2]SATS!$C$10:$F$10,0)+1,FALSE)</f>
        <v>0</v>
      </c>
      <c r="Q74">
        <f>VLOOKUP($F74&amp;$G74,Composite!$A$5:$Q$841,Q$3,FALSE)</f>
        <v>0</v>
      </c>
      <c r="R74" s="31">
        <f>VLOOKUP($F74&amp;$G74,Composite!$A$5:$Q$841,R$3,FALSE)*VLOOKUP($C74,[2]!ExistingSat,MATCH($A74,[2]SATS!$C$10:$F$10,0)+1,FALSE)</f>
        <v>0</v>
      </c>
      <c r="S74">
        <f>VLOOKUP($F74&amp;$G74,Composite!$A$5:$Q$841,S$3,FALSE)</f>
        <v>0</v>
      </c>
      <c r="T74" s="31">
        <f>VLOOKUP($F74&amp;$G74,Composite!$A$5:$Q$841,T$3,FALSE)*VLOOKUP($C74,[2]!ExistingSat,MATCH($A74,[2]SATS!$C$10:$F$10,0)+1,FALSE)</f>
        <v>0</v>
      </c>
    </row>
    <row r="75" spans="1:20">
      <c r="A75" t="s">
        <v>85</v>
      </c>
      <c r="B75" t="s">
        <v>76</v>
      </c>
      <c r="C75" t="s">
        <v>28</v>
      </c>
      <c r="D75" t="s">
        <v>61</v>
      </c>
      <c r="E75" t="str">
        <f t="shared" si="2"/>
        <v>Electric FAFHZ3ATTIC R0 - R38</v>
      </c>
      <c r="F75" s="31" t="str">
        <f>Composite!B74</f>
        <v>Multi Family Weatherization - Insulate Attic - R-0 to R-38 - Heating Zone 3 (Electric FAF Heating System)</v>
      </c>
      <c r="G75" s="31" t="str">
        <f>Composite!C74</f>
        <v>ATTIC R0 - R38</v>
      </c>
      <c r="H75" s="31">
        <f>VLOOKUP($F75&amp;$G75,Composite!$A$5:$Q$841,H$3,FALSE)*VLOOKUP($C75,[2]!ExistingSat,MATCH($A75,[2]SATS!$C$10:$F$10,0)+1,FALSE)</f>
        <v>245.86852457652503</v>
      </c>
      <c r="I75">
        <f>VLOOKUP($F75&amp;$G75,Composite!$A$5:$Q$841,I$3,FALSE)</f>
        <v>45</v>
      </c>
      <c r="J75" s="31">
        <f>VLOOKUP($F75&amp;$G75,Composite!$A$5:$Q$841,J$3,FALSE)*VLOOKUP($C75,[2]!ExistingSat,MATCH($A75,[2]SATS!$C$10:$F$10,0)+1,FALSE)</f>
        <v>298.11418524056876</v>
      </c>
      <c r="K75" s="31">
        <f>VLOOKUP($F75&amp;$G75,Composite!$A$5:$Q$841,K$3,FALSE)*VLOOKUP($C75,[2]!ExistingSat,MATCH($A75,[2]SATS!$C$10:$F$10,0)+1,FALSE)</f>
        <v>0</v>
      </c>
      <c r="L75" t="str">
        <f>VLOOKUP($F75&amp;$G75,Composite!$A$5:$Q$841,L$3,FALSE)</f>
        <v>ResSHWX</v>
      </c>
      <c r="M75" s="31">
        <f>VLOOKUP($F75&amp;$G75,Composite!$A$5:$Q$841,M$3,FALSE)*VLOOKUP($C75,[2]!ExistingSat,MATCH($A75,[2]SATS!$C$10:$F$10,0)+1,FALSE)</f>
        <v>0</v>
      </c>
      <c r="N75" s="31">
        <f>VLOOKUP($F75&amp;$G75,Composite!$A$5:$Q$841,N$3,FALSE)*VLOOKUP($C75,[2]!ExistingSat,MATCH($A75,[2]SATS!$C$10:$F$10,0)+1,FALSE)</f>
        <v>0</v>
      </c>
      <c r="O75">
        <f>VLOOKUP($F75&amp;$G75,Composite!$A$5:$Q$841,O$3,FALSE)</f>
        <v>0</v>
      </c>
      <c r="P75" s="31">
        <f>VLOOKUP($F75&amp;$G75,Composite!$A$5:$Q$841,P$3,FALSE)*VLOOKUP($C75,[2]!ExistingSat,MATCH($A75,[2]SATS!$C$10:$F$10,0)+1,FALSE)</f>
        <v>0</v>
      </c>
      <c r="Q75">
        <f>VLOOKUP($F75&amp;$G75,Composite!$A$5:$Q$841,Q$3,FALSE)</f>
        <v>0</v>
      </c>
      <c r="R75" s="31">
        <f>VLOOKUP($F75&amp;$G75,Composite!$A$5:$Q$841,R$3,FALSE)*VLOOKUP($C75,[2]!ExistingSat,MATCH($A75,[2]SATS!$C$10:$F$10,0)+1,FALSE)</f>
        <v>0</v>
      </c>
      <c r="S75">
        <f>VLOOKUP($F75&amp;$G75,Composite!$A$5:$Q$841,S$3,FALSE)</f>
        <v>0</v>
      </c>
      <c r="T75" s="31">
        <f>VLOOKUP($F75&amp;$G75,Composite!$A$5:$Q$841,T$3,FALSE)*VLOOKUP($C75,[2]!ExistingSat,MATCH($A75,[2]SATS!$C$10:$F$10,0)+1,FALSE)</f>
        <v>0</v>
      </c>
    </row>
    <row r="76" spans="1:20">
      <c r="A76" t="s">
        <v>85</v>
      </c>
      <c r="B76" t="s">
        <v>76</v>
      </c>
      <c r="C76" t="s">
        <v>28</v>
      </c>
      <c r="D76" t="s">
        <v>61</v>
      </c>
      <c r="E76" t="str">
        <f t="shared" si="2"/>
        <v>Electric FAFHZ3ATTIC R0 - R49</v>
      </c>
      <c r="F76" s="31" t="str">
        <f>Composite!B75</f>
        <v>Multi Family Weatherization - Insulate Attic - R-0 to R-49 - Heating Zone 3 (Electric FAF Heating System)</v>
      </c>
      <c r="G76" s="31" t="str">
        <f>Composite!C75</f>
        <v>ATTIC R0 - R49</v>
      </c>
      <c r="H76" s="31">
        <f>VLOOKUP($F76&amp;$G76,Composite!$A$5:$Q$841,H$3,FALSE)*VLOOKUP($C76,[2]!ExistingSat,MATCH($A76,[2]SATS!$C$10:$F$10,0)+1,FALSE)</f>
        <v>261.16690090779991</v>
      </c>
      <c r="I76">
        <f>VLOOKUP($F76&amp;$G76,Composite!$A$5:$Q$841,I$3,FALSE)</f>
        <v>45</v>
      </c>
      <c r="J76" s="31">
        <f>VLOOKUP($F76&amp;$G76,Composite!$A$5:$Q$841,J$3,FALSE)*VLOOKUP($C76,[2]!ExistingSat,MATCH($A76,[2]SATS!$C$10:$F$10,0)+1,FALSE)</f>
        <v>338.16777381701564</v>
      </c>
      <c r="K76" s="31">
        <f>VLOOKUP($F76&amp;$G76,Composite!$A$5:$Q$841,K$3,FALSE)*VLOOKUP($C76,[2]!ExistingSat,MATCH($A76,[2]SATS!$C$10:$F$10,0)+1,FALSE)</f>
        <v>0</v>
      </c>
      <c r="L76" t="str">
        <f>VLOOKUP($F76&amp;$G76,Composite!$A$5:$Q$841,L$3,FALSE)</f>
        <v>ResSHWX</v>
      </c>
      <c r="M76" s="31">
        <f>VLOOKUP($F76&amp;$G76,Composite!$A$5:$Q$841,M$3,FALSE)*VLOOKUP($C76,[2]!ExistingSat,MATCH($A76,[2]SATS!$C$10:$F$10,0)+1,FALSE)</f>
        <v>0</v>
      </c>
      <c r="N76" s="31">
        <f>VLOOKUP($F76&amp;$G76,Composite!$A$5:$Q$841,N$3,FALSE)*VLOOKUP($C76,[2]!ExistingSat,MATCH($A76,[2]SATS!$C$10:$F$10,0)+1,FALSE)</f>
        <v>0</v>
      </c>
      <c r="O76">
        <f>VLOOKUP($F76&amp;$G76,Composite!$A$5:$Q$841,O$3,FALSE)</f>
        <v>0</v>
      </c>
      <c r="P76" s="31">
        <f>VLOOKUP($F76&amp;$G76,Composite!$A$5:$Q$841,P$3,FALSE)*VLOOKUP($C76,[2]!ExistingSat,MATCH($A76,[2]SATS!$C$10:$F$10,0)+1,FALSE)</f>
        <v>0</v>
      </c>
      <c r="Q76">
        <f>VLOOKUP($F76&amp;$G76,Composite!$A$5:$Q$841,Q$3,FALSE)</f>
        <v>0</v>
      </c>
      <c r="R76" s="31">
        <f>VLOOKUP($F76&amp;$G76,Composite!$A$5:$Q$841,R$3,FALSE)*VLOOKUP($C76,[2]!ExistingSat,MATCH($A76,[2]SATS!$C$10:$F$10,0)+1,FALSE)</f>
        <v>0</v>
      </c>
      <c r="S76">
        <f>VLOOKUP($F76&amp;$G76,Composite!$A$5:$Q$841,S$3,FALSE)</f>
        <v>0</v>
      </c>
      <c r="T76" s="31">
        <f>VLOOKUP($F76&amp;$G76,Composite!$A$5:$Q$841,T$3,FALSE)*VLOOKUP($C76,[2]!ExistingSat,MATCH($A76,[2]SATS!$C$10:$F$10,0)+1,FALSE)</f>
        <v>0</v>
      </c>
    </row>
    <row r="77" spans="1:20">
      <c r="A77" t="s">
        <v>85</v>
      </c>
      <c r="B77" t="s">
        <v>76</v>
      </c>
      <c r="C77" t="s">
        <v>28</v>
      </c>
      <c r="D77" t="s">
        <v>61</v>
      </c>
      <c r="E77" t="str">
        <f t="shared" si="2"/>
        <v>Electric FAFHZ3ATTIC R19 - R30</v>
      </c>
      <c r="F77" s="31" t="str">
        <f>Composite!B76</f>
        <v>Multi Family Weatherization - Insulate Attic - R-19 to R-30 - Heating Zone 3 (Electric FAF Heating System)</v>
      </c>
      <c r="G77" s="31" t="str">
        <f>Composite!C76</f>
        <v>ATTIC R19 - R30</v>
      </c>
      <c r="H77" s="31">
        <f>VLOOKUP($F77&amp;$G77,Composite!$A$5:$Q$841,H$3,FALSE)*VLOOKUP($C77,[2]!ExistingSat,MATCH($A77,[2]SATS!$C$10:$F$10,0)+1,FALSE)</f>
        <v>47.606881175400048</v>
      </c>
      <c r="I77">
        <f>VLOOKUP($F77&amp;$G77,Composite!$A$5:$Q$841,I$3,FALSE)</f>
        <v>45</v>
      </c>
      <c r="J77" s="31">
        <f>VLOOKUP($F77&amp;$G77,Composite!$A$5:$Q$841,J$3,FALSE)*VLOOKUP($C77,[2]!ExistingSat,MATCH($A77,[2]SATS!$C$10:$F$10,0)+1,FALSE)</f>
        <v>192.92591787684046</v>
      </c>
      <c r="K77" s="31">
        <f>VLOOKUP($F77&amp;$G77,Composite!$A$5:$Q$841,K$3,FALSE)*VLOOKUP($C77,[2]!ExistingSat,MATCH($A77,[2]SATS!$C$10:$F$10,0)+1,FALSE)</f>
        <v>0</v>
      </c>
      <c r="L77" t="str">
        <f>VLOOKUP($F77&amp;$G77,Composite!$A$5:$Q$841,L$3,FALSE)</f>
        <v>ResSHWX</v>
      </c>
      <c r="M77" s="31">
        <f>VLOOKUP($F77&amp;$G77,Composite!$A$5:$Q$841,M$3,FALSE)*VLOOKUP($C77,[2]!ExistingSat,MATCH($A77,[2]SATS!$C$10:$F$10,0)+1,FALSE)</f>
        <v>0</v>
      </c>
      <c r="N77" s="31">
        <f>VLOOKUP($F77&amp;$G77,Composite!$A$5:$Q$841,N$3,FALSE)*VLOOKUP($C77,[2]!ExistingSat,MATCH($A77,[2]SATS!$C$10:$F$10,0)+1,FALSE)</f>
        <v>0</v>
      </c>
      <c r="O77">
        <f>VLOOKUP($F77&amp;$G77,Composite!$A$5:$Q$841,O$3,FALSE)</f>
        <v>0</v>
      </c>
      <c r="P77" s="31">
        <f>VLOOKUP($F77&amp;$G77,Composite!$A$5:$Q$841,P$3,FALSE)*VLOOKUP($C77,[2]!ExistingSat,MATCH($A77,[2]SATS!$C$10:$F$10,0)+1,FALSE)</f>
        <v>0</v>
      </c>
      <c r="Q77">
        <f>VLOOKUP($F77&amp;$G77,Composite!$A$5:$Q$841,Q$3,FALSE)</f>
        <v>0</v>
      </c>
      <c r="R77" s="31">
        <f>VLOOKUP($F77&amp;$G77,Composite!$A$5:$Q$841,R$3,FALSE)*VLOOKUP($C77,[2]!ExistingSat,MATCH($A77,[2]SATS!$C$10:$F$10,0)+1,FALSE)</f>
        <v>0</v>
      </c>
      <c r="S77">
        <f>VLOOKUP($F77&amp;$G77,Composite!$A$5:$Q$841,S$3,FALSE)</f>
        <v>0</v>
      </c>
      <c r="T77" s="31">
        <f>VLOOKUP($F77&amp;$G77,Composite!$A$5:$Q$841,T$3,FALSE)*VLOOKUP($C77,[2]!ExistingSat,MATCH($A77,[2]SATS!$C$10:$F$10,0)+1,FALSE)</f>
        <v>0</v>
      </c>
    </row>
    <row r="78" spans="1:20">
      <c r="A78" t="s">
        <v>85</v>
      </c>
      <c r="B78" t="s">
        <v>76</v>
      </c>
      <c r="C78" t="s">
        <v>28</v>
      </c>
      <c r="D78" t="s">
        <v>61</v>
      </c>
      <c r="E78" t="str">
        <f t="shared" si="2"/>
        <v>Electric FAFHZ3ATTIC R19 - R38</v>
      </c>
      <c r="F78" s="31" t="str">
        <f>Composite!B77</f>
        <v>Multi Family Weatherization - Insulate Attic - R-19 to R-38 - Heating Zone 3 (Electric FAF Heating System)</v>
      </c>
      <c r="G78" s="31" t="str">
        <f>Composite!C77</f>
        <v>ATTIC R19 - R38</v>
      </c>
      <c r="H78" s="31">
        <f>VLOOKUP($F78&amp;$G78,Composite!$A$5:$Q$841,H$3,FALSE)*VLOOKUP($C78,[2]!ExistingSat,MATCH($A78,[2]SATS!$C$10:$F$10,0)+1,FALSE)</f>
        <v>65.749198520725372</v>
      </c>
      <c r="I78">
        <f>VLOOKUP($F78&amp;$G78,Composite!$A$5:$Q$841,I$3,FALSE)</f>
        <v>45</v>
      </c>
      <c r="J78" s="31">
        <f>VLOOKUP($F78&amp;$G78,Composite!$A$5:$Q$841,J$3,FALSE)*VLOOKUP($C78,[2]!ExistingSat,MATCH($A78,[2]SATS!$C$10:$F$10,0)+1,FALSE)</f>
        <v>225.005207173061</v>
      </c>
      <c r="K78" s="31">
        <f>VLOOKUP($F78&amp;$G78,Composite!$A$5:$Q$841,K$3,FALSE)*VLOOKUP($C78,[2]!ExistingSat,MATCH($A78,[2]SATS!$C$10:$F$10,0)+1,FALSE)</f>
        <v>0</v>
      </c>
      <c r="L78" t="str">
        <f>VLOOKUP($F78&amp;$G78,Composite!$A$5:$Q$841,L$3,FALSE)</f>
        <v>ResSHWX</v>
      </c>
      <c r="M78" s="31">
        <f>VLOOKUP($F78&amp;$G78,Composite!$A$5:$Q$841,M$3,FALSE)*VLOOKUP($C78,[2]!ExistingSat,MATCH($A78,[2]SATS!$C$10:$F$10,0)+1,FALSE)</f>
        <v>0</v>
      </c>
      <c r="N78" s="31">
        <f>VLOOKUP($F78&amp;$G78,Composite!$A$5:$Q$841,N$3,FALSE)*VLOOKUP($C78,[2]!ExistingSat,MATCH($A78,[2]SATS!$C$10:$F$10,0)+1,FALSE)</f>
        <v>0</v>
      </c>
      <c r="O78">
        <f>VLOOKUP($F78&amp;$G78,Composite!$A$5:$Q$841,O$3,FALSE)</f>
        <v>0</v>
      </c>
      <c r="P78" s="31">
        <f>VLOOKUP($F78&amp;$G78,Composite!$A$5:$Q$841,P$3,FALSE)*VLOOKUP($C78,[2]!ExistingSat,MATCH($A78,[2]SATS!$C$10:$F$10,0)+1,FALSE)</f>
        <v>0</v>
      </c>
      <c r="Q78">
        <f>VLOOKUP($F78&amp;$G78,Composite!$A$5:$Q$841,Q$3,FALSE)</f>
        <v>0</v>
      </c>
      <c r="R78" s="31">
        <f>VLOOKUP($F78&amp;$G78,Composite!$A$5:$Q$841,R$3,FALSE)*VLOOKUP($C78,[2]!ExistingSat,MATCH($A78,[2]SATS!$C$10:$F$10,0)+1,FALSE)</f>
        <v>0</v>
      </c>
      <c r="S78">
        <f>VLOOKUP($F78&amp;$G78,Composite!$A$5:$Q$841,S$3,FALSE)</f>
        <v>0</v>
      </c>
      <c r="T78" s="31">
        <f>VLOOKUP($F78&amp;$G78,Composite!$A$5:$Q$841,T$3,FALSE)*VLOOKUP($C78,[2]!ExistingSat,MATCH($A78,[2]SATS!$C$10:$F$10,0)+1,FALSE)</f>
        <v>0</v>
      </c>
    </row>
    <row r="79" spans="1:20">
      <c r="A79" t="s">
        <v>85</v>
      </c>
      <c r="B79" t="s">
        <v>76</v>
      </c>
      <c r="C79" t="s">
        <v>28</v>
      </c>
      <c r="D79" t="s">
        <v>61</v>
      </c>
      <c r="E79" t="str">
        <f t="shared" si="2"/>
        <v>Electric FAFHZ3ATTIC R19 - R49</v>
      </c>
      <c r="F79" s="31" t="str">
        <f>Composite!B78</f>
        <v>Multi Family Weatherization - Insulate Attic - R-19 to R-49 - Heating Zone 3 (Electric FAF Heating System)</v>
      </c>
      <c r="G79" s="31" t="str">
        <f>Composite!C78</f>
        <v>ATTIC R19 - R49</v>
      </c>
      <c r="H79" s="31">
        <f>VLOOKUP($F79&amp;$G79,Composite!$A$5:$Q$841,H$3,FALSE)*VLOOKUP($C79,[2]!ExistingSat,MATCH($A79,[2]SATS!$C$10:$F$10,0)+1,FALSE)</f>
        <v>81.047574852000267</v>
      </c>
      <c r="I79">
        <f>VLOOKUP($F79&amp;$G79,Composite!$A$5:$Q$841,I$3,FALSE)</f>
        <v>45</v>
      </c>
      <c r="J79" s="31">
        <f>VLOOKUP($F79&amp;$G79,Composite!$A$5:$Q$841,J$3,FALSE)*VLOOKUP($C79,[2]!ExistingSat,MATCH($A79,[2]SATS!$C$10:$F$10,0)+1,FALSE)</f>
        <v>267.33145763319703</v>
      </c>
      <c r="K79" s="31">
        <f>VLOOKUP($F79&amp;$G79,Composite!$A$5:$Q$841,K$3,FALSE)*VLOOKUP($C79,[2]!ExistingSat,MATCH($A79,[2]SATS!$C$10:$F$10,0)+1,FALSE)</f>
        <v>0</v>
      </c>
      <c r="L79" t="str">
        <f>VLOOKUP($F79&amp;$G79,Composite!$A$5:$Q$841,L$3,FALSE)</f>
        <v>ResSHWX</v>
      </c>
      <c r="M79" s="31">
        <f>VLOOKUP($F79&amp;$G79,Composite!$A$5:$Q$841,M$3,FALSE)*VLOOKUP($C79,[2]!ExistingSat,MATCH($A79,[2]SATS!$C$10:$F$10,0)+1,FALSE)</f>
        <v>0</v>
      </c>
      <c r="N79" s="31">
        <f>VLOOKUP($F79&amp;$G79,Composite!$A$5:$Q$841,N$3,FALSE)*VLOOKUP($C79,[2]!ExistingSat,MATCH($A79,[2]SATS!$C$10:$F$10,0)+1,FALSE)</f>
        <v>0</v>
      </c>
      <c r="O79">
        <f>VLOOKUP($F79&amp;$G79,Composite!$A$5:$Q$841,O$3,FALSE)</f>
        <v>0</v>
      </c>
      <c r="P79" s="31">
        <f>VLOOKUP($F79&amp;$G79,Composite!$A$5:$Q$841,P$3,FALSE)*VLOOKUP($C79,[2]!ExistingSat,MATCH($A79,[2]SATS!$C$10:$F$10,0)+1,FALSE)</f>
        <v>0</v>
      </c>
      <c r="Q79">
        <f>VLOOKUP($F79&amp;$G79,Composite!$A$5:$Q$841,Q$3,FALSE)</f>
        <v>0</v>
      </c>
      <c r="R79" s="31">
        <f>VLOOKUP($F79&amp;$G79,Composite!$A$5:$Q$841,R$3,FALSE)*VLOOKUP($C79,[2]!ExistingSat,MATCH($A79,[2]SATS!$C$10:$F$10,0)+1,FALSE)</f>
        <v>0</v>
      </c>
      <c r="S79">
        <f>VLOOKUP($F79&amp;$G79,Composite!$A$5:$Q$841,S$3,FALSE)</f>
        <v>0</v>
      </c>
      <c r="T79" s="31">
        <f>VLOOKUP($F79&amp;$G79,Composite!$A$5:$Q$841,T$3,FALSE)*VLOOKUP($C79,[2]!ExistingSat,MATCH($A79,[2]SATS!$C$10:$F$10,0)+1,FALSE)</f>
        <v>0</v>
      </c>
    </row>
    <row r="80" spans="1:20">
      <c r="A80" t="s">
        <v>85</v>
      </c>
      <c r="B80" t="s">
        <v>76</v>
      </c>
      <c r="C80" t="s">
        <v>27</v>
      </c>
      <c r="D80" t="s">
        <v>61</v>
      </c>
      <c r="E80" t="str">
        <f t="shared" si="2"/>
        <v>Electric FAFHZ3WINDOW CL22 Prime Window Replacement of Single Pane Base</v>
      </c>
      <c r="F80" s="31" t="str">
        <f>Composite!B79</f>
        <v>Windows - Single Pane to Class 22 - Heating Zone 3 (Electric FAF Heating System)</v>
      </c>
      <c r="G80" s="31" t="str">
        <f>Composite!C79</f>
        <v>WINDOW CL22 Prime Window Replacement of Single Pane Base</v>
      </c>
      <c r="H80" s="31">
        <f>VLOOKUP($F80&amp;$G80,Composite!$A$5:$Q$841,H$3,FALSE)*VLOOKUP($C80,[2]!ExistingSat,MATCH($A80,[2]SATS!$C$10:$F$10,0)+1,FALSE)</f>
        <v>7244.4131128117233</v>
      </c>
      <c r="I80">
        <f>VLOOKUP($F80&amp;$G80,Composite!$A$5:$Q$841,I$3,FALSE)</f>
        <v>45</v>
      </c>
      <c r="J80" s="31">
        <f>VLOOKUP($F80&amp;$G80,Composite!$A$5:$Q$841,J$3,FALSE)*VLOOKUP($C80,[2]!ExistingSat,MATCH($A80,[2]SATS!$C$10:$F$10,0)+1,FALSE)</f>
        <v>4048.8992557534643</v>
      </c>
      <c r="K80" s="31">
        <f>VLOOKUP($F80&amp;$G80,Composite!$A$5:$Q$841,K$3,FALSE)*VLOOKUP($C80,[2]!ExistingSat,MATCH($A80,[2]SATS!$C$10:$F$10,0)+1,FALSE)</f>
        <v>0</v>
      </c>
      <c r="L80" t="str">
        <f>VLOOKUP($F80&amp;$G80,Composite!$A$5:$Q$841,L$3,FALSE)</f>
        <v>ResSHWX</v>
      </c>
      <c r="M80" s="31">
        <f>VLOOKUP($F80&amp;$G80,Composite!$A$5:$Q$841,M$3,FALSE)*VLOOKUP($C80,[2]!ExistingSat,MATCH($A80,[2]SATS!$C$10:$F$10,0)+1,FALSE)</f>
        <v>0</v>
      </c>
      <c r="N80" s="31">
        <f>VLOOKUP($F80&amp;$G80,Composite!$A$5:$Q$841,N$3,FALSE)*VLOOKUP($C80,[2]!ExistingSat,MATCH($A80,[2]SATS!$C$10:$F$10,0)+1,FALSE)</f>
        <v>0</v>
      </c>
      <c r="O80">
        <f>VLOOKUP($F80&amp;$G80,Composite!$A$5:$Q$841,O$3,FALSE)</f>
        <v>0</v>
      </c>
      <c r="P80" s="31">
        <f>VLOOKUP($F80&amp;$G80,Composite!$A$5:$Q$841,P$3,FALSE)*VLOOKUP($C80,[2]!ExistingSat,MATCH($A80,[2]SATS!$C$10:$F$10,0)+1,FALSE)</f>
        <v>0</v>
      </c>
      <c r="Q80">
        <f>VLOOKUP($F80&amp;$G80,Composite!$A$5:$Q$841,Q$3,FALSE)</f>
        <v>0</v>
      </c>
      <c r="R80" s="31">
        <f>VLOOKUP($F80&amp;$G80,Composite!$A$5:$Q$841,R$3,FALSE)*VLOOKUP($C80,[2]!ExistingSat,MATCH($A80,[2]SATS!$C$10:$F$10,0)+1,FALSE)</f>
        <v>0</v>
      </c>
      <c r="S80">
        <f>VLOOKUP($F80&amp;$G80,Composite!$A$5:$Q$841,S$3,FALSE)</f>
        <v>0</v>
      </c>
      <c r="T80" s="31">
        <f>VLOOKUP($F80&amp;$G80,Composite!$A$5:$Q$841,T$3,FALSE)*VLOOKUP($C80,[2]!ExistingSat,MATCH($A80,[2]SATS!$C$10:$F$10,0)+1,FALSE)</f>
        <v>0</v>
      </c>
    </row>
    <row r="81" spans="1:20">
      <c r="A81" t="s">
        <v>85</v>
      </c>
      <c r="B81" t="s">
        <v>76</v>
      </c>
      <c r="C81" t="s">
        <v>27</v>
      </c>
      <c r="D81" t="s">
        <v>61</v>
      </c>
      <c r="E81" t="str">
        <f t="shared" si="2"/>
        <v>Electric FAFHZ3WINDOW CL22 Prime Window Replacement of Double Pane Base</v>
      </c>
      <c r="F81" s="31" t="str">
        <f>Composite!B80</f>
        <v>Windows - Double Pane to Class 22 - Heating Zone 3 (Electric FAF Heating System)</v>
      </c>
      <c r="G81" s="31" t="str">
        <f>Composite!C80</f>
        <v>WINDOW CL22 Prime Window Replacement of Double Pane Base</v>
      </c>
      <c r="H81" s="31">
        <f>VLOOKUP($F81&amp;$G81,Composite!$A$5:$Q$841,H$3,FALSE)*VLOOKUP($C81,[2]!ExistingSat,MATCH($A81,[2]SATS!$C$10:$F$10,0)+1,FALSE)</f>
        <v>4376.3806352442889</v>
      </c>
      <c r="I81">
        <f>VLOOKUP($F81&amp;$G81,Composite!$A$5:$Q$841,I$3,FALSE)</f>
        <v>45</v>
      </c>
      <c r="J81" s="31">
        <f>VLOOKUP($F81&amp;$G81,Composite!$A$5:$Q$841,J$3,FALSE)*VLOOKUP($C81,[2]!ExistingSat,MATCH($A81,[2]SATS!$C$10:$F$10,0)+1,FALSE)</f>
        <v>4048.8992557534643</v>
      </c>
      <c r="K81" s="31">
        <f>VLOOKUP($F81&amp;$G81,Composite!$A$5:$Q$841,K$3,FALSE)*VLOOKUP($C81,[2]!ExistingSat,MATCH($A81,[2]SATS!$C$10:$F$10,0)+1,FALSE)</f>
        <v>0</v>
      </c>
      <c r="L81" t="str">
        <f>VLOOKUP($F81&amp;$G81,Composite!$A$5:$Q$841,L$3,FALSE)</f>
        <v>ResSHWX</v>
      </c>
      <c r="M81" s="31">
        <f>VLOOKUP($F81&amp;$G81,Composite!$A$5:$Q$841,M$3,FALSE)*VLOOKUP($C81,[2]!ExistingSat,MATCH($A81,[2]SATS!$C$10:$F$10,0)+1,FALSE)</f>
        <v>0</v>
      </c>
      <c r="N81" s="31">
        <f>VLOOKUP($F81&amp;$G81,Composite!$A$5:$Q$841,N$3,FALSE)*VLOOKUP($C81,[2]!ExistingSat,MATCH($A81,[2]SATS!$C$10:$F$10,0)+1,FALSE)</f>
        <v>0</v>
      </c>
      <c r="O81">
        <f>VLOOKUP($F81&amp;$G81,Composite!$A$5:$Q$841,O$3,FALSE)</f>
        <v>0</v>
      </c>
      <c r="P81" s="31">
        <f>VLOOKUP($F81&amp;$G81,Composite!$A$5:$Q$841,P$3,FALSE)*VLOOKUP($C81,[2]!ExistingSat,MATCH($A81,[2]SATS!$C$10:$F$10,0)+1,FALSE)</f>
        <v>0</v>
      </c>
      <c r="Q81">
        <f>VLOOKUP($F81&amp;$G81,Composite!$A$5:$Q$841,Q$3,FALSE)</f>
        <v>0</v>
      </c>
      <c r="R81" s="31">
        <f>VLOOKUP($F81&amp;$G81,Composite!$A$5:$Q$841,R$3,FALSE)*VLOOKUP($C81,[2]!ExistingSat,MATCH($A81,[2]SATS!$C$10:$F$10,0)+1,FALSE)</f>
        <v>0</v>
      </c>
      <c r="S81">
        <f>VLOOKUP($F81&amp;$G81,Composite!$A$5:$Q$841,S$3,FALSE)</f>
        <v>0</v>
      </c>
      <c r="T81" s="31">
        <f>VLOOKUP($F81&amp;$G81,Composite!$A$5:$Q$841,T$3,FALSE)*VLOOKUP($C81,[2]!ExistingSat,MATCH($A81,[2]SATS!$C$10:$F$10,0)+1,FALSE)</f>
        <v>0</v>
      </c>
    </row>
    <row r="82" spans="1:20">
      <c r="A82" t="s">
        <v>85</v>
      </c>
      <c r="B82" t="s">
        <v>76</v>
      </c>
      <c r="C82" t="s">
        <v>27</v>
      </c>
      <c r="D82" t="s">
        <v>61</v>
      </c>
      <c r="E82" t="str">
        <f t="shared" si="2"/>
        <v>Electric FAFHZ3WINDOW CL30 Prime Window Replacement of Single Pane Base</v>
      </c>
      <c r="F82" s="31" t="str">
        <f>Composite!B81</f>
        <v>Windows - Single Pane to Class 30 - Heating Zone 3 (Electric FAF Heating System)</v>
      </c>
      <c r="G82" s="31" t="str">
        <f>Composite!C81</f>
        <v>WINDOW CL30 Prime Window Replacement of Single Pane Base</v>
      </c>
      <c r="H82" s="31">
        <f>VLOOKUP($F82&amp;$G82,Composite!$A$5:$Q$841,H$3,FALSE)*VLOOKUP($C82,[2]!ExistingSat,MATCH($A82,[2]SATS!$C$10:$F$10,0)+1,FALSE)</f>
        <v>6641.570981882167</v>
      </c>
      <c r="I82">
        <f>VLOOKUP($F82&amp;$G82,Composite!$A$5:$Q$841,I$3,FALSE)</f>
        <v>45</v>
      </c>
      <c r="J82" s="31">
        <f>VLOOKUP($F82&amp;$G82,Composite!$A$5:$Q$841,J$3,FALSE)*VLOOKUP($C82,[2]!ExistingSat,MATCH($A82,[2]SATS!$C$10:$F$10,0)+1,FALSE)</f>
        <v>3098.9648613559325</v>
      </c>
      <c r="K82" s="31">
        <f>VLOOKUP($F82&amp;$G82,Composite!$A$5:$Q$841,K$3,FALSE)*VLOOKUP($C82,[2]!ExistingSat,MATCH($A82,[2]SATS!$C$10:$F$10,0)+1,FALSE)</f>
        <v>0</v>
      </c>
      <c r="L82" t="str">
        <f>VLOOKUP($F82&amp;$G82,Composite!$A$5:$Q$841,L$3,FALSE)</f>
        <v>ResSHWX</v>
      </c>
      <c r="M82" s="31">
        <f>VLOOKUP($F82&amp;$G82,Composite!$A$5:$Q$841,M$3,FALSE)*VLOOKUP($C82,[2]!ExistingSat,MATCH($A82,[2]SATS!$C$10:$F$10,0)+1,FALSE)</f>
        <v>0</v>
      </c>
      <c r="N82" s="31">
        <f>VLOOKUP($F82&amp;$G82,Composite!$A$5:$Q$841,N$3,FALSE)*VLOOKUP($C82,[2]!ExistingSat,MATCH($A82,[2]SATS!$C$10:$F$10,0)+1,FALSE)</f>
        <v>0</v>
      </c>
      <c r="O82">
        <f>VLOOKUP($F82&amp;$G82,Composite!$A$5:$Q$841,O$3,FALSE)</f>
        <v>0</v>
      </c>
      <c r="P82" s="31">
        <f>VLOOKUP($F82&amp;$G82,Composite!$A$5:$Q$841,P$3,FALSE)*VLOOKUP($C82,[2]!ExistingSat,MATCH($A82,[2]SATS!$C$10:$F$10,0)+1,FALSE)</f>
        <v>0</v>
      </c>
      <c r="Q82">
        <f>VLOOKUP($F82&amp;$G82,Composite!$A$5:$Q$841,Q$3,FALSE)</f>
        <v>0</v>
      </c>
      <c r="R82" s="31">
        <f>VLOOKUP($F82&amp;$G82,Composite!$A$5:$Q$841,R$3,FALSE)*VLOOKUP($C82,[2]!ExistingSat,MATCH($A82,[2]SATS!$C$10:$F$10,0)+1,FALSE)</f>
        <v>0</v>
      </c>
      <c r="S82">
        <f>VLOOKUP($F82&amp;$G82,Composite!$A$5:$Q$841,S$3,FALSE)</f>
        <v>0</v>
      </c>
      <c r="T82" s="31">
        <f>VLOOKUP($F82&amp;$G82,Composite!$A$5:$Q$841,T$3,FALSE)*VLOOKUP($C82,[2]!ExistingSat,MATCH($A82,[2]SATS!$C$10:$F$10,0)+1,FALSE)</f>
        <v>0</v>
      </c>
    </row>
    <row r="83" spans="1:20">
      <c r="A83" t="s">
        <v>85</v>
      </c>
      <c r="B83" t="s">
        <v>76</v>
      </c>
      <c r="C83" t="s">
        <v>27</v>
      </c>
      <c r="D83" t="s">
        <v>61</v>
      </c>
      <c r="E83" t="str">
        <f t="shared" si="2"/>
        <v>Electric FAFHZ3WINDOW CL30 Prime Window Replacement of Double Pane Base</v>
      </c>
      <c r="F83" s="31" t="str">
        <f>Composite!B82</f>
        <v>Windows - Double Pane to Class 30 - Heating Zone 3 (Electric FAF Heating System)</v>
      </c>
      <c r="G83" s="31" t="str">
        <f>Composite!C82</f>
        <v>WINDOW CL30 Prime Window Replacement of Double Pane Base</v>
      </c>
      <c r="H83" s="31">
        <f>VLOOKUP($F83&amp;$G83,Composite!$A$5:$Q$841,H$3,FALSE)*VLOOKUP($C83,[2]!ExistingSat,MATCH($A83,[2]SATS!$C$10:$F$10,0)+1,FALSE)</f>
        <v>3773.5385043147321</v>
      </c>
      <c r="I83">
        <f>VLOOKUP($F83&amp;$G83,Composite!$A$5:$Q$841,I$3,FALSE)</f>
        <v>45</v>
      </c>
      <c r="J83" s="31">
        <f>VLOOKUP($F83&amp;$G83,Composite!$A$5:$Q$841,J$3,FALSE)*VLOOKUP($C83,[2]!ExistingSat,MATCH($A83,[2]SATS!$C$10:$F$10,0)+1,FALSE)</f>
        <v>3098.9648613559325</v>
      </c>
      <c r="K83" s="31">
        <f>VLOOKUP($F83&amp;$G83,Composite!$A$5:$Q$841,K$3,FALSE)*VLOOKUP($C83,[2]!ExistingSat,MATCH($A83,[2]SATS!$C$10:$F$10,0)+1,FALSE)</f>
        <v>0</v>
      </c>
      <c r="L83" t="str">
        <f>VLOOKUP($F83&amp;$G83,Composite!$A$5:$Q$841,L$3,FALSE)</f>
        <v>ResSHWX</v>
      </c>
      <c r="M83" s="31">
        <f>VLOOKUP($F83&amp;$G83,Composite!$A$5:$Q$841,M$3,FALSE)*VLOOKUP($C83,[2]!ExistingSat,MATCH($A83,[2]SATS!$C$10:$F$10,0)+1,FALSE)</f>
        <v>0</v>
      </c>
      <c r="N83" s="31">
        <f>VLOOKUP($F83&amp;$G83,Composite!$A$5:$Q$841,N$3,FALSE)*VLOOKUP($C83,[2]!ExistingSat,MATCH($A83,[2]SATS!$C$10:$F$10,0)+1,FALSE)</f>
        <v>0</v>
      </c>
      <c r="O83">
        <f>VLOOKUP($F83&amp;$G83,Composite!$A$5:$Q$841,O$3,FALSE)</f>
        <v>0</v>
      </c>
      <c r="P83" s="31">
        <f>VLOOKUP($F83&amp;$G83,Composite!$A$5:$Q$841,P$3,FALSE)*VLOOKUP($C83,[2]!ExistingSat,MATCH($A83,[2]SATS!$C$10:$F$10,0)+1,FALSE)</f>
        <v>0</v>
      </c>
      <c r="Q83">
        <f>VLOOKUP($F83&amp;$G83,Composite!$A$5:$Q$841,Q$3,FALSE)</f>
        <v>0</v>
      </c>
      <c r="R83" s="31">
        <f>VLOOKUP($F83&amp;$G83,Composite!$A$5:$Q$841,R$3,FALSE)*VLOOKUP($C83,[2]!ExistingSat,MATCH($A83,[2]SATS!$C$10:$F$10,0)+1,FALSE)</f>
        <v>0</v>
      </c>
      <c r="S83">
        <f>VLOOKUP($F83&amp;$G83,Composite!$A$5:$Q$841,S$3,FALSE)</f>
        <v>0</v>
      </c>
      <c r="T83" s="31">
        <f>VLOOKUP($F83&amp;$G83,Composite!$A$5:$Q$841,T$3,FALSE)*VLOOKUP($C83,[2]!ExistingSat,MATCH($A83,[2]SATS!$C$10:$F$10,0)+1,FALSE)</f>
        <v>0</v>
      </c>
    </row>
    <row r="84" spans="1:20">
      <c r="A84" t="s">
        <v>85</v>
      </c>
      <c r="B84" t="s">
        <v>78</v>
      </c>
      <c r="C84" t="s">
        <v>63</v>
      </c>
      <c r="D84" t="s">
        <v>59</v>
      </c>
      <c r="E84" t="str">
        <f t="shared" si="2"/>
        <v>Heat PumpHZ1WALL R0 - R11</v>
      </c>
      <c r="F84" s="31" t="str">
        <f>Composite!B83</f>
        <v>Multi Family Weatherization - Insulate Walls - R-0 to R-11 - Heating Zone 1 (Heat Pump Heating System)</v>
      </c>
      <c r="G84" s="31" t="str">
        <f>Composite!C83</f>
        <v>WALL R0 - R11</v>
      </c>
      <c r="H84" s="31">
        <f>VLOOKUP($F84&amp;$G84,Composite!$A$5:$Q$841,H$3,FALSE)*VLOOKUP($C84,[2]!ExistingSat,MATCH($A84,[2]SATS!$C$10:$F$10,0)+1,FALSE)</f>
        <v>240.78636755838718</v>
      </c>
      <c r="I84">
        <f>VLOOKUP($F84&amp;$G84,Composite!$A$5:$Q$841,I$3,FALSE)</f>
        <v>45</v>
      </c>
      <c r="J84" s="31">
        <f>VLOOKUP($F84&amp;$G84,Composite!$A$5:$Q$841,J$3,FALSE)*VLOOKUP($C84,[2]!ExistingSat,MATCH($A84,[2]SATS!$C$10:$F$10,0)+1,FALSE)</f>
        <v>504.28054205609425</v>
      </c>
      <c r="K84" s="31">
        <f>VLOOKUP($F84&amp;$G84,Composite!$A$5:$Q$841,K$3,FALSE)*VLOOKUP($C84,[2]!ExistingSat,MATCH($A84,[2]SATS!$C$10:$F$10,0)+1,FALSE)</f>
        <v>0</v>
      </c>
      <c r="L84" t="str">
        <f>VLOOKUP($F84&amp;$G84,Composite!$A$5:$Q$841,L$3,FALSE)</f>
        <v>ResSHWX</v>
      </c>
      <c r="M84" s="31">
        <f>VLOOKUP($F84&amp;$G84,Composite!$A$5:$Q$841,M$3,FALSE)*VLOOKUP($C84,[2]!ExistingSat,MATCH($A84,[2]SATS!$C$10:$F$10,0)+1,FALSE)</f>
        <v>0</v>
      </c>
      <c r="N84" s="31">
        <f>VLOOKUP($F84&amp;$G84,Composite!$A$5:$Q$841,N$3,FALSE)*VLOOKUP($C84,[2]!ExistingSat,MATCH($A84,[2]SATS!$C$10:$F$10,0)+1,FALSE)</f>
        <v>0</v>
      </c>
      <c r="O84">
        <f>VLOOKUP($F84&amp;$G84,Composite!$A$5:$Q$841,O$3,FALSE)</f>
        <v>0</v>
      </c>
      <c r="P84" s="31">
        <f>VLOOKUP($F84&amp;$G84,Composite!$A$5:$Q$841,P$3,FALSE)*VLOOKUP($C84,[2]!ExistingSat,MATCH($A84,[2]SATS!$C$10:$F$10,0)+1,FALSE)</f>
        <v>0</v>
      </c>
      <c r="Q84">
        <f>VLOOKUP($F84&amp;$G84,Composite!$A$5:$Q$841,Q$3,FALSE)</f>
        <v>0</v>
      </c>
      <c r="R84" s="31">
        <f>VLOOKUP($F84&amp;$G84,Composite!$A$5:$Q$841,R$3,FALSE)*VLOOKUP($C84,[2]!ExistingSat,MATCH($A84,[2]SATS!$C$10:$F$10,0)+1,FALSE)</f>
        <v>0</v>
      </c>
      <c r="S84">
        <f>VLOOKUP($F84&amp;$G84,Composite!$A$5:$Q$841,S$3,FALSE)</f>
        <v>0</v>
      </c>
      <c r="T84" s="31">
        <f>VLOOKUP($F84&amp;$G84,Composite!$A$5:$Q$841,T$3,FALSE)*VLOOKUP($C84,[2]!ExistingSat,MATCH($A84,[2]SATS!$C$10:$F$10,0)+1,FALSE)</f>
        <v>0</v>
      </c>
    </row>
    <row r="85" spans="1:20">
      <c r="A85" t="s">
        <v>85</v>
      </c>
      <c r="B85" t="s">
        <v>78</v>
      </c>
      <c r="C85" t="s">
        <v>26</v>
      </c>
      <c r="D85" t="s">
        <v>59</v>
      </c>
      <c r="E85" t="str">
        <f t="shared" si="2"/>
        <v>Heat PumpHZ1FLOOR R0 - R19</v>
      </c>
      <c r="F85" s="31" t="str">
        <f>Composite!B84</f>
        <v>Multi Family Weatherization - Insulate Floors - R-0 to R-19 - Heating Zone 1 (Heat Pump Heating System)</v>
      </c>
      <c r="G85" s="31" t="str">
        <f>Composite!C84</f>
        <v>FLOOR R0 - R19</v>
      </c>
      <c r="H85" s="31">
        <f>VLOOKUP($F85&amp;$G85,Composite!$A$5:$Q$841,H$3,FALSE)*VLOOKUP($C85,[2]!ExistingSat,MATCH($A85,[2]SATS!$C$10:$F$10,0)+1,FALSE)</f>
        <v>51.857663825169688</v>
      </c>
      <c r="I85">
        <f>VLOOKUP($F85&amp;$G85,Composite!$A$5:$Q$841,I$3,FALSE)</f>
        <v>45</v>
      </c>
      <c r="J85" s="31">
        <f>VLOOKUP($F85&amp;$G85,Composite!$A$5:$Q$841,J$3,FALSE)*VLOOKUP($C85,[2]!ExistingSat,MATCH($A85,[2]SATS!$C$10:$F$10,0)+1,FALSE)</f>
        <v>358.01976642494196</v>
      </c>
      <c r="K85" s="31">
        <f>VLOOKUP($F85&amp;$G85,Composite!$A$5:$Q$841,K$3,FALSE)*VLOOKUP($C85,[2]!ExistingSat,MATCH($A85,[2]SATS!$C$10:$F$10,0)+1,FALSE)</f>
        <v>0</v>
      </c>
      <c r="L85" t="str">
        <f>VLOOKUP($F85&amp;$G85,Composite!$A$5:$Q$841,L$3,FALSE)</f>
        <v>ResSHWX</v>
      </c>
      <c r="M85" s="31">
        <f>VLOOKUP($F85&amp;$G85,Composite!$A$5:$Q$841,M$3,FALSE)*VLOOKUP($C85,[2]!ExistingSat,MATCH($A85,[2]SATS!$C$10:$F$10,0)+1,FALSE)</f>
        <v>0</v>
      </c>
      <c r="N85" s="31">
        <f>VLOOKUP($F85&amp;$G85,Composite!$A$5:$Q$841,N$3,FALSE)*VLOOKUP($C85,[2]!ExistingSat,MATCH($A85,[2]SATS!$C$10:$F$10,0)+1,FALSE)</f>
        <v>0</v>
      </c>
      <c r="O85">
        <f>VLOOKUP($F85&amp;$G85,Composite!$A$5:$Q$841,O$3,FALSE)</f>
        <v>0</v>
      </c>
      <c r="P85" s="31">
        <f>VLOOKUP($F85&amp;$G85,Composite!$A$5:$Q$841,P$3,FALSE)*VLOOKUP($C85,[2]!ExistingSat,MATCH($A85,[2]SATS!$C$10:$F$10,0)+1,FALSE)</f>
        <v>0</v>
      </c>
      <c r="Q85">
        <f>VLOOKUP($F85&amp;$G85,Composite!$A$5:$Q$841,Q$3,FALSE)</f>
        <v>0</v>
      </c>
      <c r="R85" s="31">
        <f>VLOOKUP($F85&amp;$G85,Composite!$A$5:$Q$841,R$3,FALSE)*VLOOKUP($C85,[2]!ExistingSat,MATCH($A85,[2]SATS!$C$10:$F$10,0)+1,FALSE)</f>
        <v>0</v>
      </c>
      <c r="S85">
        <f>VLOOKUP($F85&amp;$G85,Composite!$A$5:$Q$841,S$3,FALSE)</f>
        <v>0</v>
      </c>
      <c r="T85" s="31">
        <f>VLOOKUP($F85&amp;$G85,Composite!$A$5:$Q$841,T$3,FALSE)*VLOOKUP($C85,[2]!ExistingSat,MATCH($A85,[2]SATS!$C$10:$F$10,0)+1,FALSE)</f>
        <v>0</v>
      </c>
    </row>
    <row r="86" spans="1:20">
      <c r="A86" t="s">
        <v>85</v>
      </c>
      <c r="B86" t="s">
        <v>78</v>
      </c>
      <c r="C86" t="s">
        <v>26</v>
      </c>
      <c r="D86" t="s">
        <v>59</v>
      </c>
      <c r="E86" t="str">
        <f t="shared" si="2"/>
        <v>Heat PumpHZ1FLOOR R0 - R30</v>
      </c>
      <c r="F86" s="31" t="str">
        <f>Composite!B85</f>
        <v>Multi Family Weatherization - Insulate Floors - R-0 to R-30 - Heating Zone 1 (Heat Pump Heating System)</v>
      </c>
      <c r="G86" s="31" t="str">
        <f>Composite!C85</f>
        <v>FLOOR R0 - R30</v>
      </c>
      <c r="H86" s="31">
        <f>VLOOKUP($F86&amp;$G86,Composite!$A$5:$Q$841,H$3,FALSE)*VLOOKUP($C86,[2]!ExistingSat,MATCH($A86,[2]SATS!$C$10:$F$10,0)+1,FALSE)</f>
        <v>66.777692199822468</v>
      </c>
      <c r="I86">
        <f>VLOOKUP($F86&amp;$G86,Composite!$A$5:$Q$841,I$3,FALSE)</f>
        <v>45</v>
      </c>
      <c r="J86" s="31">
        <f>VLOOKUP($F86&amp;$G86,Composite!$A$5:$Q$841,J$3,FALSE)*VLOOKUP($C86,[2]!ExistingSat,MATCH($A86,[2]SATS!$C$10:$F$10,0)+1,FALSE)</f>
        <v>383.15497685936549</v>
      </c>
      <c r="K86" s="31">
        <f>VLOOKUP($F86&amp;$G86,Composite!$A$5:$Q$841,K$3,FALSE)*VLOOKUP($C86,[2]!ExistingSat,MATCH($A86,[2]SATS!$C$10:$F$10,0)+1,FALSE)</f>
        <v>0</v>
      </c>
      <c r="L86" t="str">
        <f>VLOOKUP($F86&amp;$G86,Composite!$A$5:$Q$841,L$3,FALSE)</f>
        <v>ResSHWX</v>
      </c>
      <c r="M86" s="31">
        <f>VLOOKUP($F86&amp;$G86,Composite!$A$5:$Q$841,M$3,FALSE)*VLOOKUP($C86,[2]!ExistingSat,MATCH($A86,[2]SATS!$C$10:$F$10,0)+1,FALSE)</f>
        <v>0</v>
      </c>
      <c r="N86" s="31">
        <f>VLOOKUP($F86&amp;$G86,Composite!$A$5:$Q$841,N$3,FALSE)*VLOOKUP($C86,[2]!ExistingSat,MATCH($A86,[2]SATS!$C$10:$F$10,0)+1,FALSE)</f>
        <v>0</v>
      </c>
      <c r="O86">
        <f>VLOOKUP($F86&amp;$G86,Composite!$A$5:$Q$841,O$3,FALSE)</f>
        <v>0</v>
      </c>
      <c r="P86" s="31">
        <f>VLOOKUP($F86&amp;$G86,Composite!$A$5:$Q$841,P$3,FALSE)*VLOOKUP($C86,[2]!ExistingSat,MATCH($A86,[2]SATS!$C$10:$F$10,0)+1,FALSE)</f>
        <v>0</v>
      </c>
      <c r="Q86">
        <f>VLOOKUP($F86&amp;$G86,Composite!$A$5:$Q$841,Q$3,FALSE)</f>
        <v>0</v>
      </c>
      <c r="R86" s="31">
        <f>VLOOKUP($F86&amp;$G86,Composite!$A$5:$Q$841,R$3,FALSE)*VLOOKUP($C86,[2]!ExistingSat,MATCH($A86,[2]SATS!$C$10:$F$10,0)+1,FALSE)</f>
        <v>0</v>
      </c>
      <c r="S86">
        <f>VLOOKUP($F86&amp;$G86,Composite!$A$5:$Q$841,S$3,FALSE)</f>
        <v>0</v>
      </c>
      <c r="T86" s="31">
        <f>VLOOKUP($F86&amp;$G86,Composite!$A$5:$Q$841,T$3,FALSE)*VLOOKUP($C86,[2]!ExistingSat,MATCH($A86,[2]SATS!$C$10:$F$10,0)+1,FALSE)</f>
        <v>0</v>
      </c>
    </row>
    <row r="87" spans="1:20">
      <c r="A87" t="s">
        <v>85</v>
      </c>
      <c r="B87" t="s">
        <v>78</v>
      </c>
      <c r="C87" t="s">
        <v>28</v>
      </c>
      <c r="D87" t="s">
        <v>59</v>
      </c>
      <c r="E87" t="str">
        <f t="shared" si="2"/>
        <v>Heat PumpHZ1ATTIC R0 - R19</v>
      </c>
      <c r="F87" s="31" t="str">
        <f>Composite!B86</f>
        <v>Multi Family Weatherization - Insulate Attic - R-0 to R-19 - Heating Zone 1 (Heat Pump Heating System)</v>
      </c>
      <c r="G87" s="31" t="str">
        <f>Composite!C86</f>
        <v>ATTIC R0 - R19</v>
      </c>
      <c r="H87" s="31">
        <f>VLOOKUP($F87&amp;$G87,Composite!$A$5:$Q$841,H$3,FALSE)*VLOOKUP($C87,[2]!ExistingSat,MATCH($A87,[2]SATS!$C$10:$F$10,0)+1,FALSE)</f>
        <v>90.745387016558695</v>
      </c>
      <c r="I87">
        <f>VLOOKUP($F87&amp;$G87,Composite!$A$5:$Q$841,I$3,FALSE)</f>
        <v>45</v>
      </c>
      <c r="J87" s="31">
        <f>VLOOKUP($F87&amp;$G87,Composite!$A$5:$Q$841,J$3,FALSE)*VLOOKUP($C87,[2]!ExistingSat,MATCH($A87,[2]SATS!$C$10:$F$10,0)+1,FALSE)</f>
        <v>223.50315070635102</v>
      </c>
      <c r="K87" s="31">
        <f>VLOOKUP($F87&amp;$G87,Composite!$A$5:$Q$841,K$3,FALSE)*VLOOKUP($C87,[2]!ExistingSat,MATCH($A87,[2]SATS!$C$10:$F$10,0)+1,FALSE)</f>
        <v>0</v>
      </c>
      <c r="L87" t="str">
        <f>VLOOKUP($F87&amp;$G87,Composite!$A$5:$Q$841,L$3,FALSE)</f>
        <v>ResSHWX</v>
      </c>
      <c r="M87" s="31">
        <f>VLOOKUP($F87&amp;$G87,Composite!$A$5:$Q$841,M$3,FALSE)*VLOOKUP($C87,[2]!ExistingSat,MATCH($A87,[2]SATS!$C$10:$F$10,0)+1,FALSE)</f>
        <v>0</v>
      </c>
      <c r="N87" s="31">
        <f>VLOOKUP($F87&amp;$G87,Composite!$A$5:$Q$841,N$3,FALSE)*VLOOKUP($C87,[2]!ExistingSat,MATCH($A87,[2]SATS!$C$10:$F$10,0)+1,FALSE)</f>
        <v>0</v>
      </c>
      <c r="O87">
        <f>VLOOKUP($F87&amp;$G87,Composite!$A$5:$Q$841,O$3,FALSE)</f>
        <v>0</v>
      </c>
      <c r="P87" s="31">
        <f>VLOOKUP($F87&amp;$G87,Composite!$A$5:$Q$841,P$3,FALSE)*VLOOKUP($C87,[2]!ExistingSat,MATCH($A87,[2]SATS!$C$10:$F$10,0)+1,FALSE)</f>
        <v>0</v>
      </c>
      <c r="Q87">
        <f>VLOOKUP($F87&amp;$G87,Composite!$A$5:$Q$841,Q$3,FALSE)</f>
        <v>0</v>
      </c>
      <c r="R87" s="31">
        <f>VLOOKUP($F87&amp;$G87,Composite!$A$5:$Q$841,R$3,FALSE)*VLOOKUP($C87,[2]!ExistingSat,MATCH($A87,[2]SATS!$C$10:$F$10,0)+1,FALSE)</f>
        <v>0</v>
      </c>
      <c r="S87">
        <f>VLOOKUP($F87&amp;$G87,Composite!$A$5:$Q$841,S$3,FALSE)</f>
        <v>0</v>
      </c>
      <c r="T87" s="31">
        <f>VLOOKUP($F87&amp;$G87,Composite!$A$5:$Q$841,T$3,FALSE)*VLOOKUP($C87,[2]!ExistingSat,MATCH($A87,[2]SATS!$C$10:$F$10,0)+1,FALSE)</f>
        <v>0</v>
      </c>
    </row>
    <row r="88" spans="1:20">
      <c r="A88" t="s">
        <v>85</v>
      </c>
      <c r="B88" t="s">
        <v>78</v>
      </c>
      <c r="C88" t="s">
        <v>28</v>
      </c>
      <c r="D88" t="s">
        <v>59</v>
      </c>
      <c r="E88" t="str">
        <f t="shared" si="2"/>
        <v>Heat PumpHZ1ATTIC R0 - R38</v>
      </c>
      <c r="F88" s="31" t="str">
        <f>Composite!B87</f>
        <v>Multi Family Weatherization - Insulate Attic - R-0 to R-38 - Heating Zone 1 (Heat Pump Heating System)</v>
      </c>
      <c r="G88" s="31" t="str">
        <f>Composite!C87</f>
        <v>ATTIC R0 - R38</v>
      </c>
      <c r="H88" s="31">
        <f>VLOOKUP($F88&amp;$G88,Composite!$A$5:$Q$841,H$3,FALSE)*VLOOKUP($C88,[2]!ExistingSat,MATCH($A88,[2]SATS!$C$10:$F$10,0)+1,FALSE)</f>
        <v>123.75915637419207</v>
      </c>
      <c r="I88">
        <f>VLOOKUP($F88&amp;$G88,Composite!$A$5:$Q$841,I$3,FALSE)</f>
        <v>45</v>
      </c>
      <c r="J88" s="31">
        <f>VLOOKUP($F88&amp;$G88,Composite!$A$5:$Q$841,J$3,FALSE)*VLOOKUP($C88,[2]!ExistingSat,MATCH($A88,[2]SATS!$C$10:$F$10,0)+1,FALSE)</f>
        <v>298.11418524056876</v>
      </c>
      <c r="K88" s="31">
        <f>VLOOKUP($F88&amp;$G88,Composite!$A$5:$Q$841,K$3,FALSE)*VLOOKUP($C88,[2]!ExistingSat,MATCH($A88,[2]SATS!$C$10:$F$10,0)+1,FALSE)</f>
        <v>0</v>
      </c>
      <c r="L88" t="str">
        <f>VLOOKUP($F88&amp;$G88,Composite!$A$5:$Q$841,L$3,FALSE)</f>
        <v>ResSHWX</v>
      </c>
      <c r="M88" s="31">
        <f>VLOOKUP($F88&amp;$G88,Composite!$A$5:$Q$841,M$3,FALSE)*VLOOKUP($C88,[2]!ExistingSat,MATCH($A88,[2]SATS!$C$10:$F$10,0)+1,FALSE)</f>
        <v>0</v>
      </c>
      <c r="N88" s="31">
        <f>VLOOKUP($F88&amp;$G88,Composite!$A$5:$Q$841,N$3,FALSE)*VLOOKUP($C88,[2]!ExistingSat,MATCH($A88,[2]SATS!$C$10:$F$10,0)+1,FALSE)</f>
        <v>0</v>
      </c>
      <c r="O88">
        <f>VLOOKUP($F88&amp;$G88,Composite!$A$5:$Q$841,O$3,FALSE)</f>
        <v>0</v>
      </c>
      <c r="P88" s="31">
        <f>VLOOKUP($F88&amp;$G88,Composite!$A$5:$Q$841,P$3,FALSE)*VLOOKUP($C88,[2]!ExistingSat,MATCH($A88,[2]SATS!$C$10:$F$10,0)+1,FALSE)</f>
        <v>0</v>
      </c>
      <c r="Q88">
        <f>VLOOKUP($F88&amp;$G88,Composite!$A$5:$Q$841,Q$3,FALSE)</f>
        <v>0</v>
      </c>
      <c r="R88" s="31">
        <f>VLOOKUP($F88&amp;$G88,Composite!$A$5:$Q$841,R$3,FALSE)*VLOOKUP($C88,[2]!ExistingSat,MATCH($A88,[2]SATS!$C$10:$F$10,0)+1,FALSE)</f>
        <v>0</v>
      </c>
      <c r="S88">
        <f>VLOOKUP($F88&amp;$G88,Composite!$A$5:$Q$841,S$3,FALSE)</f>
        <v>0</v>
      </c>
      <c r="T88" s="31">
        <f>VLOOKUP($F88&amp;$G88,Composite!$A$5:$Q$841,T$3,FALSE)*VLOOKUP($C88,[2]!ExistingSat,MATCH($A88,[2]SATS!$C$10:$F$10,0)+1,FALSE)</f>
        <v>0</v>
      </c>
    </row>
    <row r="89" spans="1:20">
      <c r="A89" t="s">
        <v>85</v>
      </c>
      <c r="B89" t="s">
        <v>78</v>
      </c>
      <c r="C89" t="s">
        <v>28</v>
      </c>
      <c r="D89" t="s">
        <v>59</v>
      </c>
      <c r="E89" t="str">
        <f t="shared" si="2"/>
        <v>Heat PumpHZ1ATTIC R0 - R49</v>
      </c>
      <c r="F89" s="31" t="str">
        <f>Composite!B88</f>
        <v>Multi Family Weatherization - Insulate Attic - R-0 to R-49 - Heating Zone 1 (Heat Pump Heating System)</v>
      </c>
      <c r="G89" s="31" t="str">
        <f>Composite!C88</f>
        <v>ATTIC R0 - R49</v>
      </c>
      <c r="H89" s="31">
        <f>VLOOKUP($F89&amp;$G89,Composite!$A$5:$Q$841,H$3,FALSE)*VLOOKUP($C89,[2]!ExistingSat,MATCH($A89,[2]SATS!$C$10:$F$10,0)+1,FALSE)</f>
        <v>131.38944094209651</v>
      </c>
      <c r="I89">
        <f>VLOOKUP($F89&amp;$G89,Composite!$A$5:$Q$841,I$3,FALSE)</f>
        <v>45</v>
      </c>
      <c r="J89" s="31">
        <f>VLOOKUP($F89&amp;$G89,Composite!$A$5:$Q$841,J$3,FALSE)*VLOOKUP($C89,[2]!ExistingSat,MATCH($A89,[2]SATS!$C$10:$F$10,0)+1,FALSE)</f>
        <v>338.16777381701564</v>
      </c>
      <c r="K89" s="31">
        <f>VLOOKUP($F89&amp;$G89,Composite!$A$5:$Q$841,K$3,FALSE)*VLOOKUP($C89,[2]!ExistingSat,MATCH($A89,[2]SATS!$C$10:$F$10,0)+1,FALSE)</f>
        <v>0</v>
      </c>
      <c r="L89" t="str">
        <f>VLOOKUP($F89&amp;$G89,Composite!$A$5:$Q$841,L$3,FALSE)</f>
        <v>ResSHWX</v>
      </c>
      <c r="M89" s="31">
        <f>VLOOKUP($F89&amp;$G89,Composite!$A$5:$Q$841,M$3,FALSE)*VLOOKUP($C89,[2]!ExistingSat,MATCH($A89,[2]SATS!$C$10:$F$10,0)+1,FALSE)</f>
        <v>0</v>
      </c>
      <c r="N89" s="31">
        <f>VLOOKUP($F89&amp;$G89,Composite!$A$5:$Q$841,N$3,FALSE)*VLOOKUP($C89,[2]!ExistingSat,MATCH($A89,[2]SATS!$C$10:$F$10,0)+1,FALSE)</f>
        <v>0</v>
      </c>
      <c r="O89">
        <f>VLOOKUP($F89&amp;$G89,Composite!$A$5:$Q$841,O$3,FALSE)</f>
        <v>0</v>
      </c>
      <c r="P89" s="31">
        <f>VLOOKUP($F89&amp;$G89,Composite!$A$5:$Q$841,P$3,FALSE)*VLOOKUP($C89,[2]!ExistingSat,MATCH($A89,[2]SATS!$C$10:$F$10,0)+1,FALSE)</f>
        <v>0</v>
      </c>
      <c r="Q89">
        <f>VLOOKUP($F89&amp;$G89,Composite!$A$5:$Q$841,Q$3,FALSE)</f>
        <v>0</v>
      </c>
      <c r="R89" s="31">
        <f>VLOOKUP($F89&amp;$G89,Composite!$A$5:$Q$841,R$3,FALSE)*VLOOKUP($C89,[2]!ExistingSat,MATCH($A89,[2]SATS!$C$10:$F$10,0)+1,FALSE)</f>
        <v>0</v>
      </c>
      <c r="S89">
        <f>VLOOKUP($F89&amp;$G89,Composite!$A$5:$Q$841,S$3,FALSE)</f>
        <v>0</v>
      </c>
      <c r="T89" s="31">
        <f>VLOOKUP($F89&amp;$G89,Composite!$A$5:$Q$841,T$3,FALSE)*VLOOKUP($C89,[2]!ExistingSat,MATCH($A89,[2]SATS!$C$10:$F$10,0)+1,FALSE)</f>
        <v>0</v>
      </c>
    </row>
    <row r="90" spans="1:20">
      <c r="A90" t="s">
        <v>85</v>
      </c>
      <c r="B90" t="s">
        <v>78</v>
      </c>
      <c r="C90" t="s">
        <v>28</v>
      </c>
      <c r="D90" t="s">
        <v>59</v>
      </c>
      <c r="E90" t="str">
        <f t="shared" si="2"/>
        <v>Heat PumpHZ1ATTIC R19 - R30</v>
      </c>
      <c r="F90" s="31" t="str">
        <f>Composite!B89</f>
        <v>Multi Family Weatherization - Insulate Attic - R-19 to R-30 - Heating Zone 1 (Heat Pump Heating System)</v>
      </c>
      <c r="G90" s="31" t="str">
        <f>Composite!C89</f>
        <v>ATTIC R19 - R30</v>
      </c>
      <c r="H90" s="31">
        <f>VLOOKUP($F90&amp;$G90,Composite!$A$5:$Q$841,H$3,FALSE)*VLOOKUP($C90,[2]!ExistingSat,MATCH($A90,[2]SATS!$C$10:$F$10,0)+1,FALSE)</f>
        <v>23.984961512490838</v>
      </c>
      <c r="I90">
        <f>VLOOKUP($F90&amp;$G90,Composite!$A$5:$Q$841,I$3,FALSE)</f>
        <v>45</v>
      </c>
      <c r="J90" s="31">
        <f>VLOOKUP($F90&amp;$G90,Composite!$A$5:$Q$841,J$3,FALSE)*VLOOKUP($C90,[2]!ExistingSat,MATCH($A90,[2]SATS!$C$10:$F$10,0)+1,FALSE)</f>
        <v>192.92591787684046</v>
      </c>
      <c r="K90" s="31">
        <f>VLOOKUP($F90&amp;$G90,Composite!$A$5:$Q$841,K$3,FALSE)*VLOOKUP($C90,[2]!ExistingSat,MATCH($A90,[2]SATS!$C$10:$F$10,0)+1,FALSE)</f>
        <v>0</v>
      </c>
      <c r="L90" t="str">
        <f>VLOOKUP($F90&amp;$G90,Composite!$A$5:$Q$841,L$3,FALSE)</f>
        <v>ResSHWX</v>
      </c>
      <c r="M90" s="31">
        <f>VLOOKUP($F90&amp;$G90,Composite!$A$5:$Q$841,M$3,FALSE)*VLOOKUP($C90,[2]!ExistingSat,MATCH($A90,[2]SATS!$C$10:$F$10,0)+1,FALSE)</f>
        <v>0</v>
      </c>
      <c r="N90" s="31">
        <f>VLOOKUP($F90&amp;$G90,Composite!$A$5:$Q$841,N$3,FALSE)*VLOOKUP($C90,[2]!ExistingSat,MATCH($A90,[2]SATS!$C$10:$F$10,0)+1,FALSE)</f>
        <v>0</v>
      </c>
      <c r="O90">
        <f>VLOOKUP($F90&amp;$G90,Composite!$A$5:$Q$841,O$3,FALSE)</f>
        <v>0</v>
      </c>
      <c r="P90" s="31">
        <f>VLOOKUP($F90&amp;$G90,Composite!$A$5:$Q$841,P$3,FALSE)*VLOOKUP($C90,[2]!ExistingSat,MATCH($A90,[2]SATS!$C$10:$F$10,0)+1,FALSE)</f>
        <v>0</v>
      </c>
      <c r="Q90">
        <f>VLOOKUP($F90&amp;$G90,Composite!$A$5:$Q$841,Q$3,FALSE)</f>
        <v>0</v>
      </c>
      <c r="R90" s="31">
        <f>VLOOKUP($F90&amp;$G90,Composite!$A$5:$Q$841,R$3,FALSE)*VLOOKUP($C90,[2]!ExistingSat,MATCH($A90,[2]SATS!$C$10:$F$10,0)+1,FALSE)</f>
        <v>0</v>
      </c>
      <c r="S90">
        <f>VLOOKUP($F90&amp;$G90,Composite!$A$5:$Q$841,S$3,FALSE)</f>
        <v>0</v>
      </c>
      <c r="T90" s="31">
        <f>VLOOKUP($F90&amp;$G90,Composite!$A$5:$Q$841,T$3,FALSE)*VLOOKUP($C90,[2]!ExistingSat,MATCH($A90,[2]SATS!$C$10:$F$10,0)+1,FALSE)</f>
        <v>0</v>
      </c>
    </row>
    <row r="91" spans="1:20">
      <c r="A91" t="s">
        <v>85</v>
      </c>
      <c r="B91" t="s">
        <v>78</v>
      </c>
      <c r="C91" t="s">
        <v>28</v>
      </c>
      <c r="D91" t="s">
        <v>59</v>
      </c>
      <c r="E91" t="str">
        <f t="shared" si="2"/>
        <v>Heat PumpHZ1ATTIC R19 - R38</v>
      </c>
      <c r="F91" s="31" t="str">
        <f>Composite!B90</f>
        <v>Multi Family Weatherization - Insulate Attic - R-19 to R-38 - Heating Zone 1 (Heat Pump Heating System)</v>
      </c>
      <c r="G91" s="31" t="str">
        <f>Composite!C90</f>
        <v>ATTIC R19 - R38</v>
      </c>
      <c r="H91" s="31">
        <f>VLOOKUP($F91&amp;$G91,Composite!$A$5:$Q$841,H$3,FALSE)*VLOOKUP($C91,[2]!ExistingSat,MATCH($A91,[2]SATS!$C$10:$F$10,0)+1,FALSE)</f>
        <v>33.013769357633365</v>
      </c>
      <c r="I91">
        <f>VLOOKUP($F91&amp;$G91,Composite!$A$5:$Q$841,I$3,FALSE)</f>
        <v>45</v>
      </c>
      <c r="J91" s="31">
        <f>VLOOKUP($F91&amp;$G91,Composite!$A$5:$Q$841,J$3,FALSE)*VLOOKUP($C91,[2]!ExistingSat,MATCH($A91,[2]SATS!$C$10:$F$10,0)+1,FALSE)</f>
        <v>225.005207173061</v>
      </c>
      <c r="K91" s="31">
        <f>VLOOKUP($F91&amp;$G91,Composite!$A$5:$Q$841,K$3,FALSE)*VLOOKUP($C91,[2]!ExistingSat,MATCH($A91,[2]SATS!$C$10:$F$10,0)+1,FALSE)</f>
        <v>0</v>
      </c>
      <c r="L91" t="str">
        <f>VLOOKUP($F91&amp;$G91,Composite!$A$5:$Q$841,L$3,FALSE)</f>
        <v>ResSHWX</v>
      </c>
      <c r="M91" s="31">
        <f>VLOOKUP($F91&amp;$G91,Composite!$A$5:$Q$841,M$3,FALSE)*VLOOKUP($C91,[2]!ExistingSat,MATCH($A91,[2]SATS!$C$10:$F$10,0)+1,FALSE)</f>
        <v>0</v>
      </c>
      <c r="N91" s="31">
        <f>VLOOKUP($F91&amp;$G91,Composite!$A$5:$Q$841,N$3,FALSE)*VLOOKUP($C91,[2]!ExistingSat,MATCH($A91,[2]SATS!$C$10:$F$10,0)+1,FALSE)</f>
        <v>0</v>
      </c>
      <c r="O91">
        <f>VLOOKUP($F91&amp;$G91,Composite!$A$5:$Q$841,O$3,FALSE)</f>
        <v>0</v>
      </c>
      <c r="P91" s="31">
        <f>VLOOKUP($F91&amp;$G91,Composite!$A$5:$Q$841,P$3,FALSE)*VLOOKUP($C91,[2]!ExistingSat,MATCH($A91,[2]SATS!$C$10:$F$10,0)+1,FALSE)</f>
        <v>0</v>
      </c>
      <c r="Q91">
        <f>VLOOKUP($F91&amp;$G91,Composite!$A$5:$Q$841,Q$3,FALSE)</f>
        <v>0</v>
      </c>
      <c r="R91" s="31">
        <f>VLOOKUP($F91&amp;$G91,Composite!$A$5:$Q$841,R$3,FALSE)*VLOOKUP($C91,[2]!ExistingSat,MATCH($A91,[2]SATS!$C$10:$F$10,0)+1,FALSE)</f>
        <v>0</v>
      </c>
      <c r="S91">
        <f>VLOOKUP($F91&amp;$G91,Composite!$A$5:$Q$841,S$3,FALSE)</f>
        <v>0</v>
      </c>
      <c r="T91" s="31">
        <f>VLOOKUP($F91&amp;$G91,Composite!$A$5:$Q$841,T$3,FALSE)*VLOOKUP($C91,[2]!ExistingSat,MATCH($A91,[2]SATS!$C$10:$F$10,0)+1,FALSE)</f>
        <v>0</v>
      </c>
    </row>
    <row r="92" spans="1:20">
      <c r="A92" t="s">
        <v>85</v>
      </c>
      <c r="B92" t="s">
        <v>78</v>
      </c>
      <c r="C92" t="s">
        <v>28</v>
      </c>
      <c r="D92" t="s">
        <v>59</v>
      </c>
      <c r="E92" t="str">
        <f t="shared" si="2"/>
        <v>Heat PumpHZ1ATTIC R19 - R49</v>
      </c>
      <c r="F92" s="31" t="str">
        <f>Composite!B91</f>
        <v>Multi Family Weatherization - Insulate Attic - R-19 to R-49 - Heating Zone 1 (Heat Pump Heating System)</v>
      </c>
      <c r="G92" s="31" t="str">
        <f>Composite!C91</f>
        <v>ATTIC R19 - R49</v>
      </c>
      <c r="H92" s="31">
        <f>VLOOKUP($F92&amp;$G92,Composite!$A$5:$Q$841,H$3,FALSE)*VLOOKUP($C92,[2]!ExistingSat,MATCH($A92,[2]SATS!$C$10:$F$10,0)+1,FALSE)</f>
        <v>40.644053925537811</v>
      </c>
      <c r="I92">
        <f>VLOOKUP($F92&amp;$G92,Composite!$A$5:$Q$841,I$3,FALSE)</f>
        <v>45</v>
      </c>
      <c r="J92" s="31">
        <f>VLOOKUP($F92&amp;$G92,Composite!$A$5:$Q$841,J$3,FALSE)*VLOOKUP($C92,[2]!ExistingSat,MATCH($A92,[2]SATS!$C$10:$F$10,0)+1,FALSE)</f>
        <v>267.33145763319703</v>
      </c>
      <c r="K92" s="31">
        <f>VLOOKUP($F92&amp;$G92,Composite!$A$5:$Q$841,K$3,FALSE)*VLOOKUP($C92,[2]!ExistingSat,MATCH($A92,[2]SATS!$C$10:$F$10,0)+1,FALSE)</f>
        <v>0</v>
      </c>
      <c r="L92" t="str">
        <f>VLOOKUP($F92&amp;$G92,Composite!$A$5:$Q$841,L$3,FALSE)</f>
        <v>ResSHWX</v>
      </c>
      <c r="M92" s="31">
        <f>VLOOKUP($F92&amp;$G92,Composite!$A$5:$Q$841,M$3,FALSE)*VLOOKUP($C92,[2]!ExistingSat,MATCH($A92,[2]SATS!$C$10:$F$10,0)+1,FALSE)</f>
        <v>0</v>
      </c>
      <c r="N92" s="31">
        <f>VLOOKUP($F92&amp;$G92,Composite!$A$5:$Q$841,N$3,FALSE)*VLOOKUP($C92,[2]!ExistingSat,MATCH($A92,[2]SATS!$C$10:$F$10,0)+1,FALSE)</f>
        <v>0</v>
      </c>
      <c r="O92">
        <f>VLOOKUP($F92&amp;$G92,Composite!$A$5:$Q$841,O$3,FALSE)</f>
        <v>0</v>
      </c>
      <c r="P92" s="31">
        <f>VLOOKUP($F92&amp;$G92,Composite!$A$5:$Q$841,P$3,FALSE)*VLOOKUP($C92,[2]!ExistingSat,MATCH($A92,[2]SATS!$C$10:$F$10,0)+1,FALSE)</f>
        <v>0</v>
      </c>
      <c r="Q92">
        <f>VLOOKUP($F92&amp;$G92,Composite!$A$5:$Q$841,Q$3,FALSE)</f>
        <v>0</v>
      </c>
      <c r="R92" s="31">
        <f>VLOOKUP($F92&amp;$G92,Composite!$A$5:$Q$841,R$3,FALSE)*VLOOKUP($C92,[2]!ExistingSat,MATCH($A92,[2]SATS!$C$10:$F$10,0)+1,FALSE)</f>
        <v>0</v>
      </c>
      <c r="S92">
        <f>VLOOKUP($F92&amp;$G92,Composite!$A$5:$Q$841,S$3,FALSE)</f>
        <v>0</v>
      </c>
      <c r="T92" s="31">
        <f>VLOOKUP($F92&amp;$G92,Composite!$A$5:$Q$841,T$3,FALSE)*VLOOKUP($C92,[2]!ExistingSat,MATCH($A92,[2]SATS!$C$10:$F$10,0)+1,FALSE)</f>
        <v>0</v>
      </c>
    </row>
    <row r="93" spans="1:20">
      <c r="A93" t="s">
        <v>85</v>
      </c>
      <c r="B93" t="s">
        <v>78</v>
      </c>
      <c r="C93" t="s">
        <v>27</v>
      </c>
      <c r="D93" t="s">
        <v>59</v>
      </c>
      <c r="E93" t="str">
        <f t="shared" si="2"/>
        <v>Heat PumpHZ1WINDOW CL22 Prime Window Replacement of Single Pane Base</v>
      </c>
      <c r="F93" s="31" t="str">
        <f>Composite!B92</f>
        <v>Windows - Single Pane to Class 22 - Heating Zone 1 (Heat Pump Heating System)</v>
      </c>
      <c r="G93" s="31" t="str">
        <f>Composite!C92</f>
        <v>WINDOW CL22 Prime Window Replacement of Single Pane Base</v>
      </c>
      <c r="H93" s="31">
        <f>VLOOKUP($F93&amp;$G93,Composite!$A$5:$Q$841,H$3,FALSE)*VLOOKUP($C93,[2]!ExistingSat,MATCH($A93,[2]SATS!$C$10:$F$10,0)+1,FALSE)</f>
        <v>1876.7132354875546</v>
      </c>
      <c r="I93">
        <f>VLOOKUP($F93&amp;$G93,Composite!$A$5:$Q$841,I$3,FALSE)</f>
        <v>45</v>
      </c>
      <c r="J93" s="31">
        <f>VLOOKUP($F93&amp;$G93,Composite!$A$5:$Q$841,J$3,FALSE)*VLOOKUP($C93,[2]!ExistingSat,MATCH($A93,[2]SATS!$C$10:$F$10,0)+1,FALSE)</f>
        <v>4048.8992557534643</v>
      </c>
      <c r="K93" s="31">
        <f>VLOOKUP($F93&amp;$G93,Composite!$A$5:$Q$841,K$3,FALSE)*VLOOKUP($C93,[2]!ExistingSat,MATCH($A93,[2]SATS!$C$10:$F$10,0)+1,FALSE)</f>
        <v>0</v>
      </c>
      <c r="L93" t="str">
        <f>VLOOKUP($F93&amp;$G93,Composite!$A$5:$Q$841,L$3,FALSE)</f>
        <v>ResSHWX</v>
      </c>
      <c r="M93" s="31">
        <f>VLOOKUP($F93&amp;$G93,Composite!$A$5:$Q$841,M$3,FALSE)*VLOOKUP($C93,[2]!ExistingSat,MATCH($A93,[2]SATS!$C$10:$F$10,0)+1,FALSE)</f>
        <v>0</v>
      </c>
      <c r="N93" s="31">
        <f>VLOOKUP($F93&amp;$G93,Composite!$A$5:$Q$841,N$3,FALSE)*VLOOKUP($C93,[2]!ExistingSat,MATCH($A93,[2]SATS!$C$10:$F$10,0)+1,FALSE)</f>
        <v>0</v>
      </c>
      <c r="O93">
        <f>VLOOKUP($F93&amp;$G93,Composite!$A$5:$Q$841,O$3,FALSE)</f>
        <v>0</v>
      </c>
      <c r="P93" s="31">
        <f>VLOOKUP($F93&amp;$G93,Composite!$A$5:$Q$841,P$3,FALSE)*VLOOKUP($C93,[2]!ExistingSat,MATCH($A93,[2]SATS!$C$10:$F$10,0)+1,FALSE)</f>
        <v>0</v>
      </c>
      <c r="Q93">
        <f>VLOOKUP($F93&amp;$G93,Composite!$A$5:$Q$841,Q$3,FALSE)</f>
        <v>0</v>
      </c>
      <c r="R93" s="31">
        <f>VLOOKUP($F93&amp;$G93,Composite!$A$5:$Q$841,R$3,FALSE)*VLOOKUP($C93,[2]!ExistingSat,MATCH($A93,[2]SATS!$C$10:$F$10,0)+1,FALSE)</f>
        <v>0</v>
      </c>
      <c r="S93">
        <f>VLOOKUP($F93&amp;$G93,Composite!$A$5:$Q$841,S$3,FALSE)</f>
        <v>0</v>
      </c>
      <c r="T93" s="31">
        <f>VLOOKUP($F93&amp;$G93,Composite!$A$5:$Q$841,T$3,FALSE)*VLOOKUP($C93,[2]!ExistingSat,MATCH($A93,[2]SATS!$C$10:$F$10,0)+1,FALSE)</f>
        <v>0</v>
      </c>
    </row>
    <row r="94" spans="1:20">
      <c r="A94" t="s">
        <v>85</v>
      </c>
      <c r="B94" t="s">
        <v>78</v>
      </c>
      <c r="C94" t="s">
        <v>27</v>
      </c>
      <c r="D94" t="s">
        <v>59</v>
      </c>
      <c r="E94" t="str">
        <f t="shared" si="2"/>
        <v>Heat PumpHZ1WINDOW CL22 Prime Window Replacement of Double Pane Base</v>
      </c>
      <c r="F94" s="31" t="str">
        <f>Composite!B93</f>
        <v>Windows - Double Pane to Class 22 - Heating Zone 1 (Heat Pump Heating System)</v>
      </c>
      <c r="G94" s="31" t="str">
        <f>Composite!C93</f>
        <v>WINDOW CL22 Prime Window Replacement of Double Pane Base</v>
      </c>
      <c r="H94" s="31">
        <f>VLOOKUP($F94&amp;$G94,Composite!$A$5:$Q$841,H$3,FALSE)*VLOOKUP($C94,[2]!ExistingSat,MATCH($A94,[2]SATS!$C$10:$F$10,0)+1,FALSE)</f>
        <v>1234.9463677529395</v>
      </c>
      <c r="I94">
        <f>VLOOKUP($F94&amp;$G94,Composite!$A$5:$Q$841,I$3,FALSE)</f>
        <v>45</v>
      </c>
      <c r="J94" s="31">
        <f>VLOOKUP($F94&amp;$G94,Composite!$A$5:$Q$841,J$3,FALSE)*VLOOKUP($C94,[2]!ExistingSat,MATCH($A94,[2]SATS!$C$10:$F$10,0)+1,FALSE)</f>
        <v>4048.8992557534643</v>
      </c>
      <c r="K94" s="31">
        <f>VLOOKUP($F94&amp;$G94,Composite!$A$5:$Q$841,K$3,FALSE)*VLOOKUP($C94,[2]!ExistingSat,MATCH($A94,[2]SATS!$C$10:$F$10,0)+1,FALSE)</f>
        <v>0</v>
      </c>
      <c r="L94" t="str">
        <f>VLOOKUP($F94&amp;$G94,Composite!$A$5:$Q$841,L$3,FALSE)</f>
        <v>ResSHWX</v>
      </c>
      <c r="M94" s="31">
        <f>VLOOKUP($F94&amp;$G94,Composite!$A$5:$Q$841,M$3,FALSE)*VLOOKUP($C94,[2]!ExistingSat,MATCH($A94,[2]SATS!$C$10:$F$10,0)+1,FALSE)</f>
        <v>0</v>
      </c>
      <c r="N94" s="31">
        <f>VLOOKUP($F94&amp;$G94,Composite!$A$5:$Q$841,N$3,FALSE)*VLOOKUP($C94,[2]!ExistingSat,MATCH($A94,[2]SATS!$C$10:$F$10,0)+1,FALSE)</f>
        <v>0</v>
      </c>
      <c r="O94">
        <f>VLOOKUP($F94&amp;$G94,Composite!$A$5:$Q$841,O$3,FALSE)</f>
        <v>0</v>
      </c>
      <c r="P94" s="31">
        <f>VLOOKUP($F94&amp;$G94,Composite!$A$5:$Q$841,P$3,FALSE)*VLOOKUP($C94,[2]!ExistingSat,MATCH($A94,[2]SATS!$C$10:$F$10,0)+1,FALSE)</f>
        <v>0</v>
      </c>
      <c r="Q94">
        <f>VLOOKUP($F94&amp;$G94,Composite!$A$5:$Q$841,Q$3,FALSE)</f>
        <v>0</v>
      </c>
      <c r="R94" s="31">
        <f>VLOOKUP($F94&amp;$G94,Composite!$A$5:$Q$841,R$3,FALSE)*VLOOKUP($C94,[2]!ExistingSat,MATCH($A94,[2]SATS!$C$10:$F$10,0)+1,FALSE)</f>
        <v>0</v>
      </c>
      <c r="S94">
        <f>VLOOKUP($F94&amp;$G94,Composite!$A$5:$Q$841,S$3,FALSE)</f>
        <v>0</v>
      </c>
      <c r="T94" s="31">
        <f>VLOOKUP($F94&amp;$G94,Composite!$A$5:$Q$841,T$3,FALSE)*VLOOKUP($C94,[2]!ExistingSat,MATCH($A94,[2]SATS!$C$10:$F$10,0)+1,FALSE)</f>
        <v>0</v>
      </c>
    </row>
    <row r="95" spans="1:20">
      <c r="A95" t="s">
        <v>85</v>
      </c>
      <c r="B95" t="s">
        <v>78</v>
      </c>
      <c r="C95" t="s">
        <v>27</v>
      </c>
      <c r="D95" t="s">
        <v>59</v>
      </c>
      <c r="E95" t="str">
        <f t="shared" si="2"/>
        <v>Heat PumpHZ1WINDOW CL30 Prime Window Replacement of Single Pane Base</v>
      </c>
      <c r="F95" s="31" t="str">
        <f>Composite!B94</f>
        <v>Windows - Single Pane to Class 30 - Heating Zone 1 (Heat Pump Heating System)</v>
      </c>
      <c r="G95" s="31" t="str">
        <f>Composite!C94</f>
        <v>WINDOW CL30 Prime Window Replacement of Single Pane Base</v>
      </c>
      <c r="H95" s="31">
        <f>VLOOKUP($F95&amp;$G95,Composite!$A$5:$Q$841,H$3,FALSE)*VLOOKUP($C95,[2]!ExistingSat,MATCH($A95,[2]SATS!$C$10:$F$10,0)+1,FALSE)</f>
        <v>1737.7356343227159</v>
      </c>
      <c r="I95">
        <f>VLOOKUP($F95&amp;$G95,Composite!$A$5:$Q$841,I$3,FALSE)</f>
        <v>45</v>
      </c>
      <c r="J95" s="31">
        <f>VLOOKUP($F95&amp;$G95,Composite!$A$5:$Q$841,J$3,FALSE)*VLOOKUP($C95,[2]!ExistingSat,MATCH($A95,[2]SATS!$C$10:$F$10,0)+1,FALSE)</f>
        <v>3098.9648613559325</v>
      </c>
      <c r="K95" s="31">
        <f>VLOOKUP($F95&amp;$G95,Composite!$A$5:$Q$841,K$3,FALSE)*VLOOKUP($C95,[2]!ExistingSat,MATCH($A95,[2]SATS!$C$10:$F$10,0)+1,FALSE)</f>
        <v>0</v>
      </c>
      <c r="L95" t="str">
        <f>VLOOKUP($F95&amp;$G95,Composite!$A$5:$Q$841,L$3,FALSE)</f>
        <v>ResSHWX</v>
      </c>
      <c r="M95" s="31">
        <f>VLOOKUP($F95&amp;$G95,Composite!$A$5:$Q$841,M$3,FALSE)*VLOOKUP($C95,[2]!ExistingSat,MATCH($A95,[2]SATS!$C$10:$F$10,0)+1,FALSE)</f>
        <v>0</v>
      </c>
      <c r="N95" s="31">
        <f>VLOOKUP($F95&amp;$G95,Composite!$A$5:$Q$841,N$3,FALSE)*VLOOKUP($C95,[2]!ExistingSat,MATCH($A95,[2]SATS!$C$10:$F$10,0)+1,FALSE)</f>
        <v>0</v>
      </c>
      <c r="O95">
        <f>VLOOKUP($F95&amp;$G95,Composite!$A$5:$Q$841,O$3,FALSE)</f>
        <v>0</v>
      </c>
      <c r="P95" s="31">
        <f>VLOOKUP($F95&amp;$G95,Composite!$A$5:$Q$841,P$3,FALSE)*VLOOKUP($C95,[2]!ExistingSat,MATCH($A95,[2]SATS!$C$10:$F$10,0)+1,FALSE)</f>
        <v>0</v>
      </c>
      <c r="Q95">
        <f>VLOOKUP($F95&amp;$G95,Composite!$A$5:$Q$841,Q$3,FALSE)</f>
        <v>0</v>
      </c>
      <c r="R95" s="31">
        <f>VLOOKUP($F95&amp;$G95,Composite!$A$5:$Q$841,R$3,FALSE)*VLOOKUP($C95,[2]!ExistingSat,MATCH($A95,[2]SATS!$C$10:$F$10,0)+1,FALSE)</f>
        <v>0</v>
      </c>
      <c r="S95">
        <f>VLOOKUP($F95&amp;$G95,Composite!$A$5:$Q$841,S$3,FALSE)</f>
        <v>0</v>
      </c>
      <c r="T95" s="31">
        <f>VLOOKUP($F95&amp;$G95,Composite!$A$5:$Q$841,T$3,FALSE)*VLOOKUP($C95,[2]!ExistingSat,MATCH($A95,[2]SATS!$C$10:$F$10,0)+1,FALSE)</f>
        <v>0</v>
      </c>
    </row>
    <row r="96" spans="1:20">
      <c r="A96" t="s">
        <v>85</v>
      </c>
      <c r="B96" t="s">
        <v>78</v>
      </c>
      <c r="C96" t="s">
        <v>27</v>
      </c>
      <c r="D96" t="s">
        <v>59</v>
      </c>
      <c r="E96" t="str">
        <f t="shared" si="2"/>
        <v>Heat PumpHZ1WINDOW CL30 Prime Window Replacement of Double Pane Base</v>
      </c>
      <c r="F96" s="31" t="str">
        <f>Composite!B95</f>
        <v>Windows - Double Pane to Class 30 - Heating Zone 1 (Heat Pump Heating System)</v>
      </c>
      <c r="G96" s="31" t="str">
        <f>Composite!C95</f>
        <v>WINDOW CL30 Prime Window Replacement of Double Pane Base</v>
      </c>
      <c r="H96" s="31">
        <f>VLOOKUP($F96&amp;$G96,Composite!$A$5:$Q$841,H$3,FALSE)*VLOOKUP($C96,[2]!ExistingSat,MATCH($A96,[2]SATS!$C$10:$F$10,0)+1,FALSE)</f>
        <v>1095.9687665881004</v>
      </c>
      <c r="I96">
        <f>VLOOKUP($F96&amp;$G96,Composite!$A$5:$Q$841,I$3,FALSE)</f>
        <v>45</v>
      </c>
      <c r="J96" s="31">
        <f>VLOOKUP($F96&amp;$G96,Composite!$A$5:$Q$841,J$3,FALSE)*VLOOKUP($C96,[2]!ExistingSat,MATCH($A96,[2]SATS!$C$10:$F$10,0)+1,FALSE)</f>
        <v>3098.9648613559325</v>
      </c>
      <c r="K96" s="31">
        <f>VLOOKUP($F96&amp;$G96,Composite!$A$5:$Q$841,K$3,FALSE)*VLOOKUP($C96,[2]!ExistingSat,MATCH($A96,[2]SATS!$C$10:$F$10,0)+1,FALSE)</f>
        <v>0</v>
      </c>
      <c r="L96" t="str">
        <f>VLOOKUP($F96&amp;$G96,Composite!$A$5:$Q$841,L$3,FALSE)</f>
        <v>ResSHWX</v>
      </c>
      <c r="M96" s="31">
        <f>VLOOKUP($F96&amp;$G96,Composite!$A$5:$Q$841,M$3,FALSE)*VLOOKUP($C96,[2]!ExistingSat,MATCH($A96,[2]SATS!$C$10:$F$10,0)+1,FALSE)</f>
        <v>0</v>
      </c>
      <c r="N96" s="31">
        <f>VLOOKUP($F96&amp;$G96,Composite!$A$5:$Q$841,N$3,FALSE)*VLOOKUP($C96,[2]!ExistingSat,MATCH($A96,[2]SATS!$C$10:$F$10,0)+1,FALSE)</f>
        <v>0</v>
      </c>
      <c r="O96">
        <f>VLOOKUP($F96&amp;$G96,Composite!$A$5:$Q$841,O$3,FALSE)</f>
        <v>0</v>
      </c>
      <c r="P96" s="31">
        <f>VLOOKUP($F96&amp;$G96,Composite!$A$5:$Q$841,P$3,FALSE)*VLOOKUP($C96,[2]!ExistingSat,MATCH($A96,[2]SATS!$C$10:$F$10,0)+1,FALSE)</f>
        <v>0</v>
      </c>
      <c r="Q96">
        <f>VLOOKUP($F96&amp;$G96,Composite!$A$5:$Q$841,Q$3,FALSE)</f>
        <v>0</v>
      </c>
      <c r="R96" s="31">
        <f>VLOOKUP($F96&amp;$G96,Composite!$A$5:$Q$841,R$3,FALSE)*VLOOKUP($C96,[2]!ExistingSat,MATCH($A96,[2]SATS!$C$10:$F$10,0)+1,FALSE)</f>
        <v>0</v>
      </c>
      <c r="S96">
        <f>VLOOKUP($F96&amp;$G96,Composite!$A$5:$Q$841,S$3,FALSE)</f>
        <v>0</v>
      </c>
      <c r="T96" s="31">
        <f>VLOOKUP($F96&amp;$G96,Composite!$A$5:$Q$841,T$3,FALSE)*VLOOKUP($C96,[2]!ExistingSat,MATCH($A96,[2]SATS!$C$10:$F$10,0)+1,FALSE)</f>
        <v>0</v>
      </c>
    </row>
    <row r="97" spans="1:20">
      <c r="A97" t="s">
        <v>85</v>
      </c>
      <c r="B97" t="s">
        <v>78</v>
      </c>
      <c r="C97" t="s">
        <v>63</v>
      </c>
      <c r="D97" t="s">
        <v>60</v>
      </c>
      <c r="E97" t="str">
        <f t="shared" si="2"/>
        <v>Heat PumpHZ2WALL R0 - R11</v>
      </c>
      <c r="F97" s="31" t="str">
        <f>Composite!B96</f>
        <v>Multi Family Weatherization - Insulate Walls - R-0 to R-11 - Heating Zone 2 (Heat Pump Heating System)</v>
      </c>
      <c r="G97" s="31" t="str">
        <f>Composite!C96</f>
        <v>WALL R0 - R11</v>
      </c>
      <c r="H97" s="31">
        <f>VLOOKUP($F97&amp;$G97,Composite!$A$5:$Q$841,H$3,FALSE)*VLOOKUP($C97,[2]!ExistingSat,MATCH($A97,[2]SATS!$C$10:$F$10,0)+1,FALSE)</f>
        <v>406.75120577850623</v>
      </c>
      <c r="I97">
        <f>VLOOKUP($F97&amp;$G97,Composite!$A$5:$Q$841,I$3,FALSE)</f>
        <v>45</v>
      </c>
      <c r="J97" s="31">
        <f>VLOOKUP($F97&amp;$G97,Composite!$A$5:$Q$841,J$3,FALSE)*VLOOKUP($C97,[2]!ExistingSat,MATCH($A97,[2]SATS!$C$10:$F$10,0)+1,FALSE)</f>
        <v>504.28054205609425</v>
      </c>
      <c r="K97" s="31">
        <f>VLOOKUP($F97&amp;$G97,Composite!$A$5:$Q$841,K$3,FALSE)*VLOOKUP($C97,[2]!ExistingSat,MATCH($A97,[2]SATS!$C$10:$F$10,0)+1,FALSE)</f>
        <v>0</v>
      </c>
      <c r="L97" t="str">
        <f>VLOOKUP($F97&amp;$G97,Composite!$A$5:$Q$841,L$3,FALSE)</f>
        <v>ResSHWX</v>
      </c>
      <c r="M97" s="31">
        <f>VLOOKUP($F97&amp;$G97,Composite!$A$5:$Q$841,M$3,FALSE)*VLOOKUP($C97,[2]!ExistingSat,MATCH($A97,[2]SATS!$C$10:$F$10,0)+1,FALSE)</f>
        <v>0</v>
      </c>
      <c r="N97" s="31">
        <f>VLOOKUP($F97&amp;$G97,Composite!$A$5:$Q$841,N$3,FALSE)*VLOOKUP($C97,[2]!ExistingSat,MATCH($A97,[2]SATS!$C$10:$F$10,0)+1,FALSE)</f>
        <v>0</v>
      </c>
      <c r="O97">
        <f>VLOOKUP($F97&amp;$G97,Composite!$A$5:$Q$841,O$3,FALSE)</f>
        <v>0</v>
      </c>
      <c r="P97" s="31">
        <f>VLOOKUP($F97&amp;$G97,Composite!$A$5:$Q$841,P$3,FALSE)*VLOOKUP($C97,[2]!ExistingSat,MATCH($A97,[2]SATS!$C$10:$F$10,0)+1,FALSE)</f>
        <v>0</v>
      </c>
      <c r="Q97">
        <f>VLOOKUP($F97&amp;$G97,Composite!$A$5:$Q$841,Q$3,FALSE)</f>
        <v>0</v>
      </c>
      <c r="R97" s="31">
        <f>VLOOKUP($F97&amp;$G97,Composite!$A$5:$Q$841,R$3,FALSE)*VLOOKUP($C97,[2]!ExistingSat,MATCH($A97,[2]SATS!$C$10:$F$10,0)+1,FALSE)</f>
        <v>0</v>
      </c>
      <c r="S97">
        <f>VLOOKUP($F97&amp;$G97,Composite!$A$5:$Q$841,S$3,FALSE)</f>
        <v>0</v>
      </c>
      <c r="T97" s="31">
        <f>VLOOKUP($F97&amp;$G97,Composite!$A$5:$Q$841,T$3,FALSE)*VLOOKUP($C97,[2]!ExistingSat,MATCH($A97,[2]SATS!$C$10:$F$10,0)+1,FALSE)</f>
        <v>0</v>
      </c>
    </row>
    <row r="98" spans="1:20">
      <c r="A98" t="s">
        <v>85</v>
      </c>
      <c r="B98" t="s">
        <v>78</v>
      </c>
      <c r="C98" t="s">
        <v>26</v>
      </c>
      <c r="D98" t="s">
        <v>60</v>
      </c>
      <c r="E98" t="str">
        <f t="shared" si="2"/>
        <v>Heat PumpHZ2FLOOR R0 - R19</v>
      </c>
      <c r="F98" s="31" t="str">
        <f>Composite!B97</f>
        <v>Multi Family Weatherization - Insulate Floors - R-0 to R-19 - Heating Zone 2 (Heat Pump Heating System)</v>
      </c>
      <c r="G98" s="31" t="str">
        <f>Composite!C97</f>
        <v>FLOOR R0 - R19</v>
      </c>
      <c r="H98" s="31">
        <f>VLOOKUP($F98&amp;$G98,Composite!$A$5:$Q$841,H$3,FALSE)*VLOOKUP($C98,[2]!ExistingSat,MATCH($A98,[2]SATS!$C$10:$F$10,0)+1,FALSE)</f>
        <v>83.098263815216271</v>
      </c>
      <c r="I98">
        <f>VLOOKUP($F98&amp;$G98,Composite!$A$5:$Q$841,I$3,FALSE)</f>
        <v>45</v>
      </c>
      <c r="J98" s="31">
        <f>VLOOKUP($F98&amp;$G98,Composite!$A$5:$Q$841,J$3,FALSE)*VLOOKUP($C98,[2]!ExistingSat,MATCH($A98,[2]SATS!$C$10:$F$10,0)+1,FALSE)</f>
        <v>358.01976642494196</v>
      </c>
      <c r="K98" s="31">
        <f>VLOOKUP($F98&amp;$G98,Composite!$A$5:$Q$841,K$3,FALSE)*VLOOKUP($C98,[2]!ExistingSat,MATCH($A98,[2]SATS!$C$10:$F$10,0)+1,FALSE)</f>
        <v>0</v>
      </c>
      <c r="L98" t="str">
        <f>VLOOKUP($F98&amp;$G98,Composite!$A$5:$Q$841,L$3,FALSE)</f>
        <v>ResSHWX</v>
      </c>
      <c r="M98" s="31">
        <f>VLOOKUP($F98&amp;$G98,Composite!$A$5:$Q$841,M$3,FALSE)*VLOOKUP($C98,[2]!ExistingSat,MATCH($A98,[2]SATS!$C$10:$F$10,0)+1,FALSE)</f>
        <v>0</v>
      </c>
      <c r="N98" s="31">
        <f>VLOOKUP($F98&amp;$G98,Composite!$A$5:$Q$841,N$3,FALSE)*VLOOKUP($C98,[2]!ExistingSat,MATCH($A98,[2]SATS!$C$10:$F$10,0)+1,FALSE)</f>
        <v>0</v>
      </c>
      <c r="O98">
        <f>VLOOKUP($F98&amp;$G98,Composite!$A$5:$Q$841,O$3,FALSE)</f>
        <v>0</v>
      </c>
      <c r="P98" s="31">
        <f>VLOOKUP($F98&amp;$G98,Composite!$A$5:$Q$841,P$3,FALSE)*VLOOKUP($C98,[2]!ExistingSat,MATCH($A98,[2]SATS!$C$10:$F$10,0)+1,FALSE)</f>
        <v>0</v>
      </c>
      <c r="Q98">
        <f>VLOOKUP($F98&amp;$G98,Composite!$A$5:$Q$841,Q$3,FALSE)</f>
        <v>0</v>
      </c>
      <c r="R98" s="31">
        <f>VLOOKUP($F98&amp;$G98,Composite!$A$5:$Q$841,R$3,FALSE)*VLOOKUP($C98,[2]!ExistingSat,MATCH($A98,[2]SATS!$C$10:$F$10,0)+1,FALSE)</f>
        <v>0</v>
      </c>
      <c r="S98">
        <f>VLOOKUP($F98&amp;$G98,Composite!$A$5:$Q$841,S$3,FALSE)</f>
        <v>0</v>
      </c>
      <c r="T98" s="31">
        <f>VLOOKUP($F98&amp;$G98,Composite!$A$5:$Q$841,T$3,FALSE)*VLOOKUP($C98,[2]!ExistingSat,MATCH($A98,[2]SATS!$C$10:$F$10,0)+1,FALSE)</f>
        <v>0</v>
      </c>
    </row>
    <row r="99" spans="1:20">
      <c r="A99" t="s">
        <v>85</v>
      </c>
      <c r="B99" t="s">
        <v>78</v>
      </c>
      <c r="C99" t="s">
        <v>26</v>
      </c>
      <c r="D99" t="s">
        <v>60</v>
      </c>
      <c r="E99" t="str">
        <f t="shared" si="2"/>
        <v>Heat PumpHZ2FLOOR R0 - R30</v>
      </c>
      <c r="F99" s="31" t="str">
        <f>Composite!B98</f>
        <v>Multi Family Weatherization - Insulate Floors - R-0 to R-30 - Heating Zone 2 (Heat Pump Heating System)</v>
      </c>
      <c r="G99" s="31" t="str">
        <f>Composite!C98</f>
        <v>FLOOR R0 - R30</v>
      </c>
      <c r="H99" s="31">
        <f>VLOOKUP($F99&amp;$G99,Composite!$A$5:$Q$841,H$3,FALSE)*VLOOKUP($C99,[2]!ExistingSat,MATCH($A99,[2]SATS!$C$10:$F$10,0)+1,FALSE)</f>
        <v>107.7858331038322</v>
      </c>
      <c r="I99">
        <f>VLOOKUP($F99&amp;$G99,Composite!$A$5:$Q$841,I$3,FALSE)</f>
        <v>45</v>
      </c>
      <c r="J99" s="31">
        <f>VLOOKUP($F99&amp;$G99,Composite!$A$5:$Q$841,J$3,FALSE)*VLOOKUP($C99,[2]!ExistingSat,MATCH($A99,[2]SATS!$C$10:$F$10,0)+1,FALSE)</f>
        <v>383.15497685936549</v>
      </c>
      <c r="K99" s="31">
        <f>VLOOKUP($F99&amp;$G99,Composite!$A$5:$Q$841,K$3,FALSE)*VLOOKUP($C99,[2]!ExistingSat,MATCH($A99,[2]SATS!$C$10:$F$10,0)+1,FALSE)</f>
        <v>0</v>
      </c>
      <c r="L99" t="str">
        <f>VLOOKUP($F99&amp;$G99,Composite!$A$5:$Q$841,L$3,FALSE)</f>
        <v>ResSHWX</v>
      </c>
      <c r="M99" s="31">
        <f>VLOOKUP($F99&amp;$G99,Composite!$A$5:$Q$841,M$3,FALSE)*VLOOKUP($C99,[2]!ExistingSat,MATCH($A99,[2]SATS!$C$10:$F$10,0)+1,FALSE)</f>
        <v>0</v>
      </c>
      <c r="N99" s="31">
        <f>VLOOKUP($F99&amp;$G99,Composite!$A$5:$Q$841,N$3,FALSE)*VLOOKUP($C99,[2]!ExistingSat,MATCH($A99,[2]SATS!$C$10:$F$10,0)+1,FALSE)</f>
        <v>0</v>
      </c>
      <c r="O99">
        <f>VLOOKUP($F99&amp;$G99,Composite!$A$5:$Q$841,O$3,FALSE)</f>
        <v>0</v>
      </c>
      <c r="P99" s="31">
        <f>VLOOKUP($F99&amp;$G99,Composite!$A$5:$Q$841,P$3,FALSE)*VLOOKUP($C99,[2]!ExistingSat,MATCH($A99,[2]SATS!$C$10:$F$10,0)+1,FALSE)</f>
        <v>0</v>
      </c>
      <c r="Q99">
        <f>VLOOKUP($F99&amp;$G99,Composite!$A$5:$Q$841,Q$3,FALSE)</f>
        <v>0</v>
      </c>
      <c r="R99" s="31">
        <f>VLOOKUP($F99&amp;$G99,Composite!$A$5:$Q$841,R$3,FALSE)*VLOOKUP($C99,[2]!ExistingSat,MATCH($A99,[2]SATS!$C$10:$F$10,0)+1,FALSE)</f>
        <v>0</v>
      </c>
      <c r="S99">
        <f>VLOOKUP($F99&amp;$G99,Composite!$A$5:$Q$841,S$3,FALSE)</f>
        <v>0</v>
      </c>
      <c r="T99" s="31">
        <f>VLOOKUP($F99&amp;$G99,Composite!$A$5:$Q$841,T$3,FALSE)*VLOOKUP($C99,[2]!ExistingSat,MATCH($A99,[2]SATS!$C$10:$F$10,0)+1,FALSE)</f>
        <v>0</v>
      </c>
    </row>
    <row r="100" spans="1:20">
      <c r="A100" t="s">
        <v>85</v>
      </c>
      <c r="B100" t="s">
        <v>78</v>
      </c>
      <c r="C100" t="s">
        <v>28</v>
      </c>
      <c r="D100" t="s">
        <v>60</v>
      </c>
      <c r="E100" t="str">
        <f t="shared" si="2"/>
        <v>Heat PumpHZ2ATTIC R0 - R19</v>
      </c>
      <c r="F100" s="31" t="str">
        <f>Composite!B99</f>
        <v>Multi Family Weatherization - Insulate Attic - R-0 to R-19 - Heating Zone 2 (Heat Pump Heating System)</v>
      </c>
      <c r="G100" s="31" t="str">
        <f>Composite!C99</f>
        <v>ATTIC R0 - R19</v>
      </c>
      <c r="H100" s="31">
        <f>VLOOKUP($F100&amp;$G100,Composite!$A$5:$Q$841,H$3,FALSE)*VLOOKUP($C100,[2]!ExistingSat,MATCH($A100,[2]SATS!$C$10:$F$10,0)+1,FALSE)</f>
        <v>110.79021512973451</v>
      </c>
      <c r="I100">
        <f>VLOOKUP($F100&amp;$G100,Composite!$A$5:$Q$841,I$3,FALSE)</f>
        <v>45</v>
      </c>
      <c r="J100" s="31">
        <f>VLOOKUP($F100&amp;$G100,Composite!$A$5:$Q$841,J$3,FALSE)*VLOOKUP($C100,[2]!ExistingSat,MATCH($A100,[2]SATS!$C$10:$F$10,0)+1,FALSE)</f>
        <v>223.50315070635102</v>
      </c>
      <c r="K100" s="31">
        <f>VLOOKUP($F100&amp;$G100,Composite!$A$5:$Q$841,K$3,FALSE)*VLOOKUP($C100,[2]!ExistingSat,MATCH($A100,[2]SATS!$C$10:$F$10,0)+1,FALSE)</f>
        <v>0</v>
      </c>
      <c r="L100" t="str">
        <f>VLOOKUP($F100&amp;$G100,Composite!$A$5:$Q$841,L$3,FALSE)</f>
        <v>ResSHWX</v>
      </c>
      <c r="M100" s="31">
        <f>VLOOKUP($F100&amp;$G100,Composite!$A$5:$Q$841,M$3,FALSE)*VLOOKUP($C100,[2]!ExistingSat,MATCH($A100,[2]SATS!$C$10:$F$10,0)+1,FALSE)</f>
        <v>0</v>
      </c>
      <c r="N100" s="31">
        <f>VLOOKUP($F100&amp;$G100,Composite!$A$5:$Q$841,N$3,FALSE)*VLOOKUP($C100,[2]!ExistingSat,MATCH($A100,[2]SATS!$C$10:$F$10,0)+1,FALSE)</f>
        <v>0</v>
      </c>
      <c r="O100">
        <f>VLOOKUP($F100&amp;$G100,Composite!$A$5:$Q$841,O$3,FALSE)</f>
        <v>0</v>
      </c>
      <c r="P100" s="31">
        <f>VLOOKUP($F100&amp;$G100,Composite!$A$5:$Q$841,P$3,FALSE)*VLOOKUP($C100,[2]!ExistingSat,MATCH($A100,[2]SATS!$C$10:$F$10,0)+1,FALSE)</f>
        <v>0</v>
      </c>
      <c r="Q100">
        <f>VLOOKUP($F100&amp;$G100,Composite!$A$5:$Q$841,Q$3,FALSE)</f>
        <v>0</v>
      </c>
      <c r="R100" s="31">
        <f>VLOOKUP($F100&amp;$G100,Composite!$A$5:$Q$841,R$3,FALSE)*VLOOKUP($C100,[2]!ExistingSat,MATCH($A100,[2]SATS!$C$10:$F$10,0)+1,FALSE)</f>
        <v>0</v>
      </c>
      <c r="S100">
        <f>VLOOKUP($F100&amp;$G100,Composite!$A$5:$Q$841,S$3,FALSE)</f>
        <v>0</v>
      </c>
      <c r="T100" s="31">
        <f>VLOOKUP($F100&amp;$G100,Composite!$A$5:$Q$841,T$3,FALSE)*VLOOKUP($C100,[2]!ExistingSat,MATCH($A100,[2]SATS!$C$10:$F$10,0)+1,FALSE)</f>
        <v>0</v>
      </c>
    </row>
    <row r="101" spans="1:20">
      <c r="A101" t="s">
        <v>85</v>
      </c>
      <c r="B101" t="s">
        <v>78</v>
      </c>
      <c r="C101" t="s">
        <v>28</v>
      </c>
      <c r="D101" t="s">
        <v>60</v>
      </c>
      <c r="E101" t="str">
        <f t="shared" si="2"/>
        <v>Heat PumpHZ2ATTIC R0 - R38</v>
      </c>
      <c r="F101" s="31" t="str">
        <f>Composite!B100</f>
        <v>Multi Family Weatherization - Insulate Attic - R-0 to R-38 - Heating Zone 2 (Heat Pump Heating System)</v>
      </c>
      <c r="G101" s="31" t="str">
        <f>Composite!C100</f>
        <v>ATTIC R0 - R38</v>
      </c>
      <c r="H101" s="31">
        <f>VLOOKUP($F101&amp;$G101,Composite!$A$5:$Q$841,H$3,FALSE)*VLOOKUP($C101,[2]!ExistingSat,MATCH($A101,[2]SATS!$C$10:$F$10,0)+1,FALSE)</f>
        <v>151.49567371986865</v>
      </c>
      <c r="I101">
        <f>VLOOKUP($F101&amp;$G101,Composite!$A$5:$Q$841,I$3,FALSE)</f>
        <v>45</v>
      </c>
      <c r="J101" s="31">
        <f>VLOOKUP($F101&amp;$G101,Composite!$A$5:$Q$841,J$3,FALSE)*VLOOKUP($C101,[2]!ExistingSat,MATCH($A101,[2]SATS!$C$10:$F$10,0)+1,FALSE)</f>
        <v>298.11418524056876</v>
      </c>
      <c r="K101" s="31">
        <f>VLOOKUP($F101&amp;$G101,Composite!$A$5:$Q$841,K$3,FALSE)*VLOOKUP($C101,[2]!ExistingSat,MATCH($A101,[2]SATS!$C$10:$F$10,0)+1,FALSE)</f>
        <v>0</v>
      </c>
      <c r="L101" t="str">
        <f>VLOOKUP($F101&amp;$G101,Composite!$A$5:$Q$841,L$3,FALSE)</f>
        <v>ResSHWX</v>
      </c>
      <c r="M101" s="31">
        <f>VLOOKUP($F101&amp;$G101,Composite!$A$5:$Q$841,M$3,FALSE)*VLOOKUP($C101,[2]!ExistingSat,MATCH($A101,[2]SATS!$C$10:$F$10,0)+1,FALSE)</f>
        <v>0</v>
      </c>
      <c r="N101" s="31">
        <f>VLOOKUP($F101&amp;$G101,Composite!$A$5:$Q$841,N$3,FALSE)*VLOOKUP($C101,[2]!ExistingSat,MATCH($A101,[2]SATS!$C$10:$F$10,0)+1,FALSE)</f>
        <v>0</v>
      </c>
      <c r="O101">
        <f>VLOOKUP($F101&amp;$G101,Composite!$A$5:$Q$841,O$3,FALSE)</f>
        <v>0</v>
      </c>
      <c r="P101" s="31">
        <f>VLOOKUP($F101&amp;$G101,Composite!$A$5:$Q$841,P$3,FALSE)*VLOOKUP($C101,[2]!ExistingSat,MATCH($A101,[2]SATS!$C$10:$F$10,0)+1,FALSE)</f>
        <v>0</v>
      </c>
      <c r="Q101">
        <f>VLOOKUP($F101&amp;$G101,Composite!$A$5:$Q$841,Q$3,FALSE)</f>
        <v>0</v>
      </c>
      <c r="R101" s="31">
        <f>VLOOKUP($F101&amp;$G101,Composite!$A$5:$Q$841,R$3,FALSE)*VLOOKUP($C101,[2]!ExistingSat,MATCH($A101,[2]SATS!$C$10:$F$10,0)+1,FALSE)</f>
        <v>0</v>
      </c>
      <c r="S101">
        <f>VLOOKUP($F101&amp;$G101,Composite!$A$5:$Q$841,S$3,FALSE)</f>
        <v>0</v>
      </c>
      <c r="T101" s="31">
        <f>VLOOKUP($F101&amp;$G101,Composite!$A$5:$Q$841,T$3,FALSE)*VLOOKUP($C101,[2]!ExistingSat,MATCH($A101,[2]SATS!$C$10:$F$10,0)+1,FALSE)</f>
        <v>0</v>
      </c>
    </row>
    <row r="102" spans="1:20">
      <c r="A102" t="s">
        <v>85</v>
      </c>
      <c r="B102" t="s">
        <v>78</v>
      </c>
      <c r="C102" t="s">
        <v>28</v>
      </c>
      <c r="D102" t="s">
        <v>60</v>
      </c>
      <c r="E102" t="str">
        <f t="shared" si="2"/>
        <v>Heat PumpHZ2ATTIC R0 - R49</v>
      </c>
      <c r="F102" s="31" t="str">
        <f>Composite!B101</f>
        <v>Multi Family Weatherization - Insulate Attic - R-0 to R-49 - Heating Zone 2 (Heat Pump Heating System)</v>
      </c>
      <c r="G102" s="31" t="str">
        <f>Composite!C101</f>
        <v>ATTIC R0 - R49</v>
      </c>
      <c r="H102" s="31">
        <f>VLOOKUP($F102&amp;$G102,Composite!$A$5:$Q$841,H$3,FALSE)*VLOOKUP($C102,[2]!ExistingSat,MATCH($A102,[2]SATS!$C$10:$F$10,0)+1,FALSE)</f>
        <v>160.97971456656055</v>
      </c>
      <c r="I102">
        <f>VLOOKUP($F102&amp;$G102,Composite!$A$5:$Q$841,I$3,FALSE)</f>
        <v>45</v>
      </c>
      <c r="J102" s="31">
        <f>VLOOKUP($F102&amp;$G102,Composite!$A$5:$Q$841,J$3,FALSE)*VLOOKUP($C102,[2]!ExistingSat,MATCH($A102,[2]SATS!$C$10:$F$10,0)+1,FALSE)</f>
        <v>338.16777381701564</v>
      </c>
      <c r="K102" s="31">
        <f>VLOOKUP($F102&amp;$G102,Composite!$A$5:$Q$841,K$3,FALSE)*VLOOKUP($C102,[2]!ExistingSat,MATCH($A102,[2]SATS!$C$10:$F$10,0)+1,FALSE)</f>
        <v>0</v>
      </c>
      <c r="L102" t="str">
        <f>VLOOKUP($F102&amp;$G102,Composite!$A$5:$Q$841,L$3,FALSE)</f>
        <v>ResSHWX</v>
      </c>
      <c r="M102" s="31">
        <f>VLOOKUP($F102&amp;$G102,Composite!$A$5:$Q$841,M$3,FALSE)*VLOOKUP($C102,[2]!ExistingSat,MATCH($A102,[2]SATS!$C$10:$F$10,0)+1,FALSE)</f>
        <v>0</v>
      </c>
      <c r="N102" s="31">
        <f>VLOOKUP($F102&amp;$G102,Composite!$A$5:$Q$841,N$3,FALSE)*VLOOKUP($C102,[2]!ExistingSat,MATCH($A102,[2]SATS!$C$10:$F$10,0)+1,FALSE)</f>
        <v>0</v>
      </c>
      <c r="O102">
        <f>VLOOKUP($F102&amp;$G102,Composite!$A$5:$Q$841,O$3,FALSE)</f>
        <v>0</v>
      </c>
      <c r="P102" s="31">
        <f>VLOOKUP($F102&amp;$G102,Composite!$A$5:$Q$841,P$3,FALSE)*VLOOKUP($C102,[2]!ExistingSat,MATCH($A102,[2]SATS!$C$10:$F$10,0)+1,FALSE)</f>
        <v>0</v>
      </c>
      <c r="Q102">
        <f>VLOOKUP($F102&amp;$G102,Composite!$A$5:$Q$841,Q$3,FALSE)</f>
        <v>0</v>
      </c>
      <c r="R102" s="31">
        <f>VLOOKUP($F102&amp;$G102,Composite!$A$5:$Q$841,R$3,FALSE)*VLOOKUP($C102,[2]!ExistingSat,MATCH($A102,[2]SATS!$C$10:$F$10,0)+1,FALSE)</f>
        <v>0</v>
      </c>
      <c r="S102">
        <f>VLOOKUP($F102&amp;$G102,Composite!$A$5:$Q$841,S$3,FALSE)</f>
        <v>0</v>
      </c>
      <c r="T102" s="31">
        <f>VLOOKUP($F102&amp;$G102,Composite!$A$5:$Q$841,T$3,FALSE)*VLOOKUP($C102,[2]!ExistingSat,MATCH($A102,[2]SATS!$C$10:$F$10,0)+1,FALSE)</f>
        <v>0</v>
      </c>
    </row>
    <row r="103" spans="1:20">
      <c r="A103" t="s">
        <v>85</v>
      </c>
      <c r="B103" t="s">
        <v>78</v>
      </c>
      <c r="C103" t="s">
        <v>28</v>
      </c>
      <c r="D103" t="s">
        <v>60</v>
      </c>
      <c r="E103" t="str">
        <f t="shared" si="2"/>
        <v>Heat PumpHZ2ATTIC R19 - R30</v>
      </c>
      <c r="F103" s="31" t="str">
        <f>Composite!B102</f>
        <v>Multi Family Weatherization - Insulate Attic - R-19 to R-30 - Heating Zone 2 (Heat Pump Heating System)</v>
      </c>
      <c r="G103" s="31" t="str">
        <f>Composite!C102</f>
        <v>ATTIC R19 - R30</v>
      </c>
      <c r="H103" s="31">
        <f>VLOOKUP($F103&amp;$G103,Composite!$A$5:$Q$841,H$3,FALSE)*VLOOKUP($C103,[2]!ExistingSat,MATCH($A103,[2]SATS!$C$10:$F$10,0)+1,FALSE)</f>
        <v>29.49177450015446</v>
      </c>
      <c r="I103">
        <f>VLOOKUP($F103&amp;$G103,Composite!$A$5:$Q$841,I$3,FALSE)</f>
        <v>45</v>
      </c>
      <c r="J103" s="31">
        <f>VLOOKUP($F103&amp;$G103,Composite!$A$5:$Q$841,J$3,FALSE)*VLOOKUP($C103,[2]!ExistingSat,MATCH($A103,[2]SATS!$C$10:$F$10,0)+1,FALSE)</f>
        <v>192.92591787684046</v>
      </c>
      <c r="K103" s="31">
        <f>VLOOKUP($F103&amp;$G103,Composite!$A$5:$Q$841,K$3,FALSE)*VLOOKUP($C103,[2]!ExistingSat,MATCH($A103,[2]SATS!$C$10:$F$10,0)+1,FALSE)</f>
        <v>0</v>
      </c>
      <c r="L103" t="str">
        <f>VLOOKUP($F103&amp;$G103,Composite!$A$5:$Q$841,L$3,FALSE)</f>
        <v>ResSHWX</v>
      </c>
      <c r="M103" s="31">
        <f>VLOOKUP($F103&amp;$G103,Composite!$A$5:$Q$841,M$3,FALSE)*VLOOKUP($C103,[2]!ExistingSat,MATCH($A103,[2]SATS!$C$10:$F$10,0)+1,FALSE)</f>
        <v>0</v>
      </c>
      <c r="N103" s="31">
        <f>VLOOKUP($F103&amp;$G103,Composite!$A$5:$Q$841,N$3,FALSE)*VLOOKUP($C103,[2]!ExistingSat,MATCH($A103,[2]SATS!$C$10:$F$10,0)+1,FALSE)</f>
        <v>0</v>
      </c>
      <c r="O103">
        <f>VLOOKUP($F103&amp;$G103,Composite!$A$5:$Q$841,O$3,FALSE)</f>
        <v>0</v>
      </c>
      <c r="P103" s="31">
        <f>VLOOKUP($F103&amp;$G103,Composite!$A$5:$Q$841,P$3,FALSE)*VLOOKUP($C103,[2]!ExistingSat,MATCH($A103,[2]SATS!$C$10:$F$10,0)+1,FALSE)</f>
        <v>0</v>
      </c>
      <c r="Q103">
        <f>VLOOKUP($F103&amp;$G103,Composite!$A$5:$Q$841,Q$3,FALSE)</f>
        <v>0</v>
      </c>
      <c r="R103" s="31">
        <f>VLOOKUP($F103&amp;$G103,Composite!$A$5:$Q$841,R$3,FALSE)*VLOOKUP($C103,[2]!ExistingSat,MATCH($A103,[2]SATS!$C$10:$F$10,0)+1,FALSE)</f>
        <v>0</v>
      </c>
      <c r="S103">
        <f>VLOOKUP($F103&amp;$G103,Composite!$A$5:$Q$841,S$3,FALSE)</f>
        <v>0</v>
      </c>
      <c r="T103" s="31">
        <f>VLOOKUP($F103&amp;$G103,Composite!$A$5:$Q$841,T$3,FALSE)*VLOOKUP($C103,[2]!ExistingSat,MATCH($A103,[2]SATS!$C$10:$F$10,0)+1,FALSE)</f>
        <v>0</v>
      </c>
    </row>
    <row r="104" spans="1:20">
      <c r="A104" t="s">
        <v>85</v>
      </c>
      <c r="B104" t="s">
        <v>78</v>
      </c>
      <c r="C104" t="s">
        <v>28</v>
      </c>
      <c r="D104" t="s">
        <v>60</v>
      </c>
      <c r="E104" t="str">
        <f t="shared" si="2"/>
        <v>Heat PumpHZ2ATTIC R19 - R38</v>
      </c>
      <c r="F104" s="31" t="str">
        <f>Composite!B103</f>
        <v>Multi Family Weatherization - Insulate Attic - R-19 to R-38 - Heating Zone 2 (Heat Pump Heating System)</v>
      </c>
      <c r="G104" s="31" t="str">
        <f>Composite!C103</f>
        <v>ATTIC R19 - R38</v>
      </c>
      <c r="H104" s="31">
        <f>VLOOKUP($F104&amp;$G104,Composite!$A$5:$Q$841,H$3,FALSE)*VLOOKUP($C104,[2]!ExistingSat,MATCH($A104,[2]SATS!$C$10:$F$10,0)+1,FALSE)</f>
        <v>40.705458590134135</v>
      </c>
      <c r="I104">
        <f>VLOOKUP($F104&amp;$G104,Composite!$A$5:$Q$841,I$3,FALSE)</f>
        <v>45</v>
      </c>
      <c r="J104" s="31">
        <f>VLOOKUP($F104&amp;$G104,Composite!$A$5:$Q$841,J$3,FALSE)*VLOOKUP($C104,[2]!ExistingSat,MATCH($A104,[2]SATS!$C$10:$F$10,0)+1,FALSE)</f>
        <v>225.005207173061</v>
      </c>
      <c r="K104" s="31">
        <f>VLOOKUP($F104&amp;$G104,Composite!$A$5:$Q$841,K$3,FALSE)*VLOOKUP($C104,[2]!ExistingSat,MATCH($A104,[2]SATS!$C$10:$F$10,0)+1,FALSE)</f>
        <v>0</v>
      </c>
      <c r="L104" t="str">
        <f>VLOOKUP($F104&amp;$G104,Composite!$A$5:$Q$841,L$3,FALSE)</f>
        <v>ResSHWX</v>
      </c>
      <c r="M104" s="31">
        <f>VLOOKUP($F104&amp;$G104,Composite!$A$5:$Q$841,M$3,FALSE)*VLOOKUP($C104,[2]!ExistingSat,MATCH($A104,[2]SATS!$C$10:$F$10,0)+1,FALSE)</f>
        <v>0</v>
      </c>
      <c r="N104" s="31">
        <f>VLOOKUP($F104&amp;$G104,Composite!$A$5:$Q$841,N$3,FALSE)*VLOOKUP($C104,[2]!ExistingSat,MATCH($A104,[2]SATS!$C$10:$F$10,0)+1,FALSE)</f>
        <v>0</v>
      </c>
      <c r="O104">
        <f>VLOOKUP($F104&amp;$G104,Composite!$A$5:$Q$841,O$3,FALSE)</f>
        <v>0</v>
      </c>
      <c r="P104" s="31">
        <f>VLOOKUP($F104&amp;$G104,Composite!$A$5:$Q$841,P$3,FALSE)*VLOOKUP($C104,[2]!ExistingSat,MATCH($A104,[2]SATS!$C$10:$F$10,0)+1,FALSE)</f>
        <v>0</v>
      </c>
      <c r="Q104">
        <f>VLOOKUP($F104&amp;$G104,Composite!$A$5:$Q$841,Q$3,FALSE)</f>
        <v>0</v>
      </c>
      <c r="R104" s="31">
        <f>VLOOKUP($F104&amp;$G104,Composite!$A$5:$Q$841,R$3,FALSE)*VLOOKUP($C104,[2]!ExistingSat,MATCH($A104,[2]SATS!$C$10:$F$10,0)+1,FALSE)</f>
        <v>0</v>
      </c>
      <c r="S104">
        <f>VLOOKUP($F104&amp;$G104,Composite!$A$5:$Q$841,S$3,FALSE)</f>
        <v>0</v>
      </c>
      <c r="T104" s="31">
        <f>VLOOKUP($F104&amp;$G104,Composite!$A$5:$Q$841,T$3,FALSE)*VLOOKUP($C104,[2]!ExistingSat,MATCH($A104,[2]SATS!$C$10:$F$10,0)+1,FALSE)</f>
        <v>0</v>
      </c>
    </row>
    <row r="105" spans="1:20">
      <c r="A105" t="s">
        <v>85</v>
      </c>
      <c r="B105" t="s">
        <v>78</v>
      </c>
      <c r="C105" t="s">
        <v>28</v>
      </c>
      <c r="D105" t="s">
        <v>60</v>
      </c>
      <c r="E105" t="str">
        <f t="shared" si="2"/>
        <v>Heat PumpHZ2ATTIC R19 - R49</v>
      </c>
      <c r="F105" s="31" t="str">
        <f>Composite!B104</f>
        <v>Multi Family Weatherization - Insulate Attic - R-19 to R-49 - Heating Zone 2 (Heat Pump Heating System)</v>
      </c>
      <c r="G105" s="31" t="str">
        <f>Composite!C104</f>
        <v>ATTIC R19 - R49</v>
      </c>
      <c r="H105" s="31">
        <f>VLOOKUP($F105&amp;$G105,Composite!$A$5:$Q$841,H$3,FALSE)*VLOOKUP($C105,[2]!ExistingSat,MATCH($A105,[2]SATS!$C$10:$F$10,0)+1,FALSE)</f>
        <v>50.189499436826004</v>
      </c>
      <c r="I105">
        <f>VLOOKUP($F105&amp;$G105,Composite!$A$5:$Q$841,I$3,FALSE)</f>
        <v>45</v>
      </c>
      <c r="J105" s="31">
        <f>VLOOKUP($F105&amp;$G105,Composite!$A$5:$Q$841,J$3,FALSE)*VLOOKUP($C105,[2]!ExistingSat,MATCH($A105,[2]SATS!$C$10:$F$10,0)+1,FALSE)</f>
        <v>267.33145763319703</v>
      </c>
      <c r="K105" s="31">
        <f>VLOOKUP($F105&amp;$G105,Composite!$A$5:$Q$841,K$3,FALSE)*VLOOKUP($C105,[2]!ExistingSat,MATCH($A105,[2]SATS!$C$10:$F$10,0)+1,FALSE)</f>
        <v>0</v>
      </c>
      <c r="L105" t="str">
        <f>VLOOKUP($F105&amp;$G105,Composite!$A$5:$Q$841,L$3,FALSE)</f>
        <v>ResSHWX</v>
      </c>
      <c r="M105" s="31">
        <f>VLOOKUP($F105&amp;$G105,Composite!$A$5:$Q$841,M$3,FALSE)*VLOOKUP($C105,[2]!ExistingSat,MATCH($A105,[2]SATS!$C$10:$F$10,0)+1,FALSE)</f>
        <v>0</v>
      </c>
      <c r="N105" s="31">
        <f>VLOOKUP($F105&amp;$G105,Composite!$A$5:$Q$841,N$3,FALSE)*VLOOKUP($C105,[2]!ExistingSat,MATCH($A105,[2]SATS!$C$10:$F$10,0)+1,FALSE)</f>
        <v>0</v>
      </c>
      <c r="O105">
        <f>VLOOKUP($F105&amp;$G105,Composite!$A$5:$Q$841,O$3,FALSE)</f>
        <v>0</v>
      </c>
      <c r="P105" s="31">
        <f>VLOOKUP($F105&amp;$G105,Composite!$A$5:$Q$841,P$3,FALSE)*VLOOKUP($C105,[2]!ExistingSat,MATCH($A105,[2]SATS!$C$10:$F$10,0)+1,FALSE)</f>
        <v>0</v>
      </c>
      <c r="Q105">
        <f>VLOOKUP($F105&amp;$G105,Composite!$A$5:$Q$841,Q$3,FALSE)</f>
        <v>0</v>
      </c>
      <c r="R105" s="31">
        <f>VLOOKUP($F105&amp;$G105,Composite!$A$5:$Q$841,R$3,FALSE)*VLOOKUP($C105,[2]!ExistingSat,MATCH($A105,[2]SATS!$C$10:$F$10,0)+1,FALSE)</f>
        <v>0</v>
      </c>
      <c r="S105">
        <f>VLOOKUP($F105&amp;$G105,Composite!$A$5:$Q$841,S$3,FALSE)</f>
        <v>0</v>
      </c>
      <c r="T105" s="31">
        <f>VLOOKUP($F105&amp;$G105,Composite!$A$5:$Q$841,T$3,FALSE)*VLOOKUP($C105,[2]!ExistingSat,MATCH($A105,[2]SATS!$C$10:$F$10,0)+1,FALSE)</f>
        <v>0</v>
      </c>
    </row>
    <row r="106" spans="1:20">
      <c r="A106" t="s">
        <v>85</v>
      </c>
      <c r="B106" t="s">
        <v>78</v>
      </c>
      <c r="C106" t="s">
        <v>27</v>
      </c>
      <c r="D106" t="s">
        <v>60</v>
      </c>
      <c r="E106" t="str">
        <f t="shared" si="2"/>
        <v>Heat PumpHZ2WINDOW CL22 Prime Window Replacement of Single Pane Base</v>
      </c>
      <c r="F106" s="31" t="str">
        <f>Composite!B105</f>
        <v>Windows - Single Pane to Class 22 - Heating Zone 2 (Heat Pump Heating System)</v>
      </c>
      <c r="G106" s="31" t="str">
        <f>Composite!C105</f>
        <v>WINDOW CL22 Prime Window Replacement of Single Pane Base</v>
      </c>
      <c r="H106" s="31">
        <f>VLOOKUP($F106&amp;$G106,Composite!$A$5:$Q$841,H$3,FALSE)*VLOOKUP($C106,[2]!ExistingSat,MATCH($A106,[2]SATS!$C$10:$F$10,0)+1,FALSE)</f>
        <v>3209.45142051327</v>
      </c>
      <c r="I106">
        <f>VLOOKUP($F106&amp;$G106,Composite!$A$5:$Q$841,I$3,FALSE)</f>
        <v>45</v>
      </c>
      <c r="J106" s="31">
        <f>VLOOKUP($F106&amp;$G106,Composite!$A$5:$Q$841,J$3,FALSE)*VLOOKUP($C106,[2]!ExistingSat,MATCH($A106,[2]SATS!$C$10:$F$10,0)+1,FALSE)</f>
        <v>4048.8992557534643</v>
      </c>
      <c r="K106" s="31">
        <f>VLOOKUP($F106&amp;$G106,Composite!$A$5:$Q$841,K$3,FALSE)*VLOOKUP($C106,[2]!ExistingSat,MATCH($A106,[2]SATS!$C$10:$F$10,0)+1,FALSE)</f>
        <v>0</v>
      </c>
      <c r="L106" t="str">
        <f>VLOOKUP($F106&amp;$G106,Composite!$A$5:$Q$841,L$3,FALSE)</f>
        <v>ResSHWX</v>
      </c>
      <c r="M106" s="31">
        <f>VLOOKUP($F106&amp;$G106,Composite!$A$5:$Q$841,M$3,FALSE)*VLOOKUP($C106,[2]!ExistingSat,MATCH($A106,[2]SATS!$C$10:$F$10,0)+1,FALSE)</f>
        <v>0</v>
      </c>
      <c r="N106" s="31">
        <f>VLOOKUP($F106&amp;$G106,Composite!$A$5:$Q$841,N$3,FALSE)*VLOOKUP($C106,[2]!ExistingSat,MATCH($A106,[2]SATS!$C$10:$F$10,0)+1,FALSE)</f>
        <v>0</v>
      </c>
      <c r="O106">
        <f>VLOOKUP($F106&amp;$G106,Composite!$A$5:$Q$841,O$3,FALSE)</f>
        <v>0</v>
      </c>
      <c r="P106" s="31">
        <f>VLOOKUP($F106&amp;$G106,Composite!$A$5:$Q$841,P$3,FALSE)*VLOOKUP($C106,[2]!ExistingSat,MATCH($A106,[2]SATS!$C$10:$F$10,0)+1,FALSE)</f>
        <v>0</v>
      </c>
      <c r="Q106">
        <f>VLOOKUP($F106&amp;$G106,Composite!$A$5:$Q$841,Q$3,FALSE)</f>
        <v>0</v>
      </c>
      <c r="R106" s="31">
        <f>VLOOKUP($F106&amp;$G106,Composite!$A$5:$Q$841,R$3,FALSE)*VLOOKUP($C106,[2]!ExistingSat,MATCH($A106,[2]SATS!$C$10:$F$10,0)+1,FALSE)</f>
        <v>0</v>
      </c>
      <c r="S106">
        <f>VLOOKUP($F106&amp;$G106,Composite!$A$5:$Q$841,S$3,FALSE)</f>
        <v>0</v>
      </c>
      <c r="T106" s="31">
        <f>VLOOKUP($F106&amp;$G106,Composite!$A$5:$Q$841,T$3,FALSE)*VLOOKUP($C106,[2]!ExistingSat,MATCH($A106,[2]SATS!$C$10:$F$10,0)+1,FALSE)</f>
        <v>0</v>
      </c>
    </row>
    <row r="107" spans="1:20">
      <c r="A107" t="s">
        <v>85</v>
      </c>
      <c r="B107" t="s">
        <v>78</v>
      </c>
      <c r="C107" t="s">
        <v>27</v>
      </c>
      <c r="D107" t="s">
        <v>60</v>
      </c>
      <c r="E107" t="str">
        <f t="shared" si="2"/>
        <v>Heat PumpHZ2WINDOW CL22 Prime Window Replacement of Double Pane Base</v>
      </c>
      <c r="F107" s="31" t="str">
        <f>Composite!B106</f>
        <v>Windows - Double Pane to Class 22 - Heating Zone 2 (Heat Pump Heating System)</v>
      </c>
      <c r="G107" s="31" t="str">
        <f>Composite!C106</f>
        <v>WINDOW CL22 Prime Window Replacement of Double Pane Base</v>
      </c>
      <c r="H107" s="31">
        <f>VLOOKUP($F107&amp;$G107,Composite!$A$5:$Q$841,H$3,FALSE)*VLOOKUP($C107,[2]!ExistingSat,MATCH($A107,[2]SATS!$C$10:$F$10,0)+1,FALSE)</f>
        <v>2019.0771198440257</v>
      </c>
      <c r="I107">
        <f>VLOOKUP($F107&amp;$G107,Composite!$A$5:$Q$841,I$3,FALSE)</f>
        <v>45</v>
      </c>
      <c r="J107" s="31">
        <f>VLOOKUP($F107&amp;$G107,Composite!$A$5:$Q$841,J$3,FALSE)*VLOOKUP($C107,[2]!ExistingSat,MATCH($A107,[2]SATS!$C$10:$F$10,0)+1,FALSE)</f>
        <v>4048.8992557534643</v>
      </c>
      <c r="K107" s="31">
        <f>VLOOKUP($F107&amp;$G107,Composite!$A$5:$Q$841,K$3,FALSE)*VLOOKUP($C107,[2]!ExistingSat,MATCH($A107,[2]SATS!$C$10:$F$10,0)+1,FALSE)</f>
        <v>0</v>
      </c>
      <c r="L107" t="str">
        <f>VLOOKUP($F107&amp;$G107,Composite!$A$5:$Q$841,L$3,FALSE)</f>
        <v>ResSHWX</v>
      </c>
      <c r="M107" s="31">
        <f>VLOOKUP($F107&amp;$G107,Composite!$A$5:$Q$841,M$3,FALSE)*VLOOKUP($C107,[2]!ExistingSat,MATCH($A107,[2]SATS!$C$10:$F$10,0)+1,FALSE)</f>
        <v>0</v>
      </c>
      <c r="N107" s="31">
        <f>VLOOKUP($F107&amp;$G107,Composite!$A$5:$Q$841,N$3,FALSE)*VLOOKUP($C107,[2]!ExistingSat,MATCH($A107,[2]SATS!$C$10:$F$10,0)+1,FALSE)</f>
        <v>0</v>
      </c>
      <c r="O107">
        <f>VLOOKUP($F107&amp;$G107,Composite!$A$5:$Q$841,O$3,FALSE)</f>
        <v>0</v>
      </c>
      <c r="P107" s="31">
        <f>VLOOKUP($F107&amp;$G107,Composite!$A$5:$Q$841,P$3,FALSE)*VLOOKUP($C107,[2]!ExistingSat,MATCH($A107,[2]SATS!$C$10:$F$10,0)+1,FALSE)</f>
        <v>0</v>
      </c>
      <c r="Q107">
        <f>VLOOKUP($F107&amp;$G107,Composite!$A$5:$Q$841,Q$3,FALSE)</f>
        <v>0</v>
      </c>
      <c r="R107" s="31">
        <f>VLOOKUP($F107&amp;$G107,Composite!$A$5:$Q$841,R$3,FALSE)*VLOOKUP($C107,[2]!ExistingSat,MATCH($A107,[2]SATS!$C$10:$F$10,0)+1,FALSE)</f>
        <v>0</v>
      </c>
      <c r="S107">
        <f>VLOOKUP($F107&amp;$G107,Composite!$A$5:$Q$841,S$3,FALSE)</f>
        <v>0</v>
      </c>
      <c r="T107" s="31">
        <f>VLOOKUP($F107&amp;$G107,Composite!$A$5:$Q$841,T$3,FALSE)*VLOOKUP($C107,[2]!ExistingSat,MATCH($A107,[2]SATS!$C$10:$F$10,0)+1,FALSE)</f>
        <v>0</v>
      </c>
    </row>
    <row r="108" spans="1:20">
      <c r="A108" t="s">
        <v>85</v>
      </c>
      <c r="B108" t="s">
        <v>78</v>
      </c>
      <c r="C108" t="s">
        <v>27</v>
      </c>
      <c r="D108" t="s">
        <v>60</v>
      </c>
      <c r="E108" t="str">
        <f t="shared" si="2"/>
        <v>Heat PumpHZ2WINDOW CL30 Prime Window Replacement of Single Pane Base</v>
      </c>
      <c r="F108" s="31" t="str">
        <f>Composite!B107</f>
        <v>Windows - Single Pane to Class 30 - Heating Zone 2 (Heat Pump Heating System)</v>
      </c>
      <c r="G108" s="31" t="str">
        <f>Composite!C107</f>
        <v>WINDOW CL30 Prime Window Replacement of Single Pane Base</v>
      </c>
      <c r="H108" s="31">
        <f>VLOOKUP($F108&amp;$G108,Composite!$A$5:$Q$841,H$3,FALSE)*VLOOKUP($C108,[2]!ExistingSat,MATCH($A108,[2]SATS!$C$10:$F$10,0)+1,FALSE)</f>
        <v>2979.8107225426038</v>
      </c>
      <c r="I108">
        <f>VLOOKUP($F108&amp;$G108,Composite!$A$5:$Q$841,I$3,FALSE)</f>
        <v>45</v>
      </c>
      <c r="J108" s="31">
        <f>VLOOKUP($F108&amp;$G108,Composite!$A$5:$Q$841,J$3,FALSE)*VLOOKUP($C108,[2]!ExistingSat,MATCH($A108,[2]SATS!$C$10:$F$10,0)+1,FALSE)</f>
        <v>3098.9648613559325</v>
      </c>
      <c r="K108" s="31">
        <f>VLOOKUP($F108&amp;$G108,Composite!$A$5:$Q$841,K$3,FALSE)*VLOOKUP($C108,[2]!ExistingSat,MATCH($A108,[2]SATS!$C$10:$F$10,0)+1,FALSE)</f>
        <v>0</v>
      </c>
      <c r="L108" t="str">
        <f>VLOOKUP($F108&amp;$G108,Composite!$A$5:$Q$841,L$3,FALSE)</f>
        <v>ResSHWX</v>
      </c>
      <c r="M108" s="31">
        <f>VLOOKUP($F108&amp;$G108,Composite!$A$5:$Q$841,M$3,FALSE)*VLOOKUP($C108,[2]!ExistingSat,MATCH($A108,[2]SATS!$C$10:$F$10,0)+1,FALSE)</f>
        <v>0</v>
      </c>
      <c r="N108" s="31">
        <f>VLOOKUP($F108&amp;$G108,Composite!$A$5:$Q$841,N$3,FALSE)*VLOOKUP($C108,[2]!ExistingSat,MATCH($A108,[2]SATS!$C$10:$F$10,0)+1,FALSE)</f>
        <v>0</v>
      </c>
      <c r="O108">
        <f>VLOOKUP($F108&amp;$G108,Composite!$A$5:$Q$841,O$3,FALSE)</f>
        <v>0</v>
      </c>
      <c r="P108" s="31">
        <f>VLOOKUP($F108&amp;$G108,Composite!$A$5:$Q$841,P$3,FALSE)*VLOOKUP($C108,[2]!ExistingSat,MATCH($A108,[2]SATS!$C$10:$F$10,0)+1,FALSE)</f>
        <v>0</v>
      </c>
      <c r="Q108">
        <f>VLOOKUP($F108&amp;$G108,Composite!$A$5:$Q$841,Q$3,FALSE)</f>
        <v>0</v>
      </c>
      <c r="R108" s="31">
        <f>VLOOKUP($F108&amp;$G108,Composite!$A$5:$Q$841,R$3,FALSE)*VLOOKUP($C108,[2]!ExistingSat,MATCH($A108,[2]SATS!$C$10:$F$10,0)+1,FALSE)</f>
        <v>0</v>
      </c>
      <c r="S108">
        <f>VLOOKUP($F108&amp;$G108,Composite!$A$5:$Q$841,S$3,FALSE)</f>
        <v>0</v>
      </c>
      <c r="T108" s="31">
        <f>VLOOKUP($F108&amp;$G108,Composite!$A$5:$Q$841,T$3,FALSE)*VLOOKUP($C108,[2]!ExistingSat,MATCH($A108,[2]SATS!$C$10:$F$10,0)+1,FALSE)</f>
        <v>0</v>
      </c>
    </row>
    <row r="109" spans="1:20">
      <c r="A109" t="s">
        <v>85</v>
      </c>
      <c r="B109" t="s">
        <v>78</v>
      </c>
      <c r="C109" t="s">
        <v>27</v>
      </c>
      <c r="D109" t="s">
        <v>60</v>
      </c>
      <c r="E109" t="str">
        <f t="shared" si="2"/>
        <v>Heat PumpHZ2WINDOW CL30 Prime Window Replacement of Double Pane Base</v>
      </c>
      <c r="F109" s="31" t="str">
        <f>Composite!B108</f>
        <v>Windows - Double Pane to Class 30 - Heating Zone 2 (Heat Pump Heating System)</v>
      </c>
      <c r="G109" s="31" t="str">
        <f>Composite!C108</f>
        <v>WINDOW CL30 Prime Window Replacement of Double Pane Base</v>
      </c>
      <c r="H109" s="31">
        <f>VLOOKUP($F109&amp;$G109,Composite!$A$5:$Q$841,H$3,FALSE)*VLOOKUP($C109,[2]!ExistingSat,MATCH($A109,[2]SATS!$C$10:$F$10,0)+1,FALSE)</f>
        <v>1789.4364218733594</v>
      </c>
      <c r="I109">
        <f>VLOOKUP($F109&amp;$G109,Composite!$A$5:$Q$841,I$3,FALSE)</f>
        <v>45</v>
      </c>
      <c r="J109" s="31">
        <f>VLOOKUP($F109&amp;$G109,Composite!$A$5:$Q$841,J$3,FALSE)*VLOOKUP($C109,[2]!ExistingSat,MATCH($A109,[2]SATS!$C$10:$F$10,0)+1,FALSE)</f>
        <v>3098.9648613559325</v>
      </c>
      <c r="K109" s="31">
        <f>VLOOKUP($F109&amp;$G109,Composite!$A$5:$Q$841,K$3,FALSE)*VLOOKUP($C109,[2]!ExistingSat,MATCH($A109,[2]SATS!$C$10:$F$10,0)+1,FALSE)</f>
        <v>0</v>
      </c>
      <c r="L109" t="str">
        <f>VLOOKUP($F109&amp;$G109,Composite!$A$5:$Q$841,L$3,FALSE)</f>
        <v>ResSHWX</v>
      </c>
      <c r="M109" s="31">
        <f>VLOOKUP($F109&amp;$G109,Composite!$A$5:$Q$841,M$3,FALSE)*VLOOKUP($C109,[2]!ExistingSat,MATCH($A109,[2]SATS!$C$10:$F$10,0)+1,FALSE)</f>
        <v>0</v>
      </c>
      <c r="N109" s="31">
        <f>VLOOKUP($F109&amp;$G109,Composite!$A$5:$Q$841,N$3,FALSE)*VLOOKUP($C109,[2]!ExistingSat,MATCH($A109,[2]SATS!$C$10:$F$10,0)+1,FALSE)</f>
        <v>0</v>
      </c>
      <c r="O109">
        <f>VLOOKUP($F109&amp;$G109,Composite!$A$5:$Q$841,O$3,FALSE)</f>
        <v>0</v>
      </c>
      <c r="P109" s="31">
        <f>VLOOKUP($F109&amp;$G109,Composite!$A$5:$Q$841,P$3,FALSE)*VLOOKUP($C109,[2]!ExistingSat,MATCH($A109,[2]SATS!$C$10:$F$10,0)+1,FALSE)</f>
        <v>0</v>
      </c>
      <c r="Q109">
        <f>VLOOKUP($F109&amp;$G109,Composite!$A$5:$Q$841,Q$3,FALSE)</f>
        <v>0</v>
      </c>
      <c r="R109" s="31">
        <f>VLOOKUP($F109&amp;$G109,Composite!$A$5:$Q$841,R$3,FALSE)*VLOOKUP($C109,[2]!ExistingSat,MATCH($A109,[2]SATS!$C$10:$F$10,0)+1,FALSE)</f>
        <v>0</v>
      </c>
      <c r="S109">
        <f>VLOOKUP($F109&amp;$G109,Composite!$A$5:$Q$841,S$3,FALSE)</f>
        <v>0</v>
      </c>
      <c r="T109" s="31">
        <f>VLOOKUP($F109&amp;$G109,Composite!$A$5:$Q$841,T$3,FALSE)*VLOOKUP($C109,[2]!ExistingSat,MATCH($A109,[2]SATS!$C$10:$F$10,0)+1,FALSE)</f>
        <v>0</v>
      </c>
    </row>
    <row r="110" spans="1:20">
      <c r="A110" t="s">
        <v>85</v>
      </c>
      <c r="B110" t="s">
        <v>78</v>
      </c>
      <c r="C110" t="s">
        <v>63</v>
      </c>
      <c r="D110" t="s">
        <v>61</v>
      </c>
      <c r="E110" t="str">
        <f t="shared" si="2"/>
        <v>Heat PumpHZ3WALL R0 - R11</v>
      </c>
      <c r="F110" s="31" t="str">
        <f>Composite!B109</f>
        <v>Multi Family Weatherization - Insulate Walls - R-0 to R-11 - Heating Zone 3 (Heat Pump Heating System)</v>
      </c>
      <c r="G110" s="31" t="str">
        <f>Composite!C109</f>
        <v>WALL R0 - R11</v>
      </c>
      <c r="H110" s="31">
        <f>VLOOKUP($F110&amp;$G110,Composite!$A$5:$Q$841,H$3,FALSE)*VLOOKUP($C110,[2]!ExistingSat,MATCH($A110,[2]SATS!$C$10:$F$10,0)+1,FALSE)</f>
        <v>579.1133318078347</v>
      </c>
      <c r="I110">
        <f>VLOOKUP($F110&amp;$G110,Composite!$A$5:$Q$841,I$3,FALSE)</f>
        <v>45</v>
      </c>
      <c r="J110" s="31">
        <f>VLOOKUP($F110&amp;$G110,Composite!$A$5:$Q$841,J$3,FALSE)*VLOOKUP($C110,[2]!ExistingSat,MATCH($A110,[2]SATS!$C$10:$F$10,0)+1,FALSE)</f>
        <v>504.28054205609425</v>
      </c>
      <c r="K110" s="31">
        <f>VLOOKUP($F110&amp;$G110,Composite!$A$5:$Q$841,K$3,FALSE)*VLOOKUP($C110,[2]!ExistingSat,MATCH($A110,[2]SATS!$C$10:$F$10,0)+1,FALSE)</f>
        <v>0</v>
      </c>
      <c r="L110" t="str">
        <f>VLOOKUP($F110&amp;$G110,Composite!$A$5:$Q$841,L$3,FALSE)</f>
        <v>ResSHWX</v>
      </c>
      <c r="M110" s="31">
        <f>VLOOKUP($F110&amp;$G110,Composite!$A$5:$Q$841,M$3,FALSE)*VLOOKUP($C110,[2]!ExistingSat,MATCH($A110,[2]SATS!$C$10:$F$10,0)+1,FALSE)</f>
        <v>0</v>
      </c>
      <c r="N110" s="31">
        <f>VLOOKUP($F110&amp;$G110,Composite!$A$5:$Q$841,N$3,FALSE)*VLOOKUP($C110,[2]!ExistingSat,MATCH($A110,[2]SATS!$C$10:$F$10,0)+1,FALSE)</f>
        <v>0</v>
      </c>
      <c r="O110">
        <f>VLOOKUP($F110&amp;$G110,Composite!$A$5:$Q$841,O$3,FALSE)</f>
        <v>0</v>
      </c>
      <c r="P110" s="31">
        <f>VLOOKUP($F110&amp;$G110,Composite!$A$5:$Q$841,P$3,FALSE)*VLOOKUP($C110,[2]!ExistingSat,MATCH($A110,[2]SATS!$C$10:$F$10,0)+1,FALSE)</f>
        <v>0</v>
      </c>
      <c r="Q110">
        <f>VLOOKUP($F110&amp;$G110,Composite!$A$5:$Q$841,Q$3,FALSE)</f>
        <v>0</v>
      </c>
      <c r="R110" s="31">
        <f>VLOOKUP($F110&amp;$G110,Composite!$A$5:$Q$841,R$3,FALSE)*VLOOKUP($C110,[2]!ExistingSat,MATCH($A110,[2]SATS!$C$10:$F$10,0)+1,FALSE)</f>
        <v>0</v>
      </c>
      <c r="S110">
        <f>VLOOKUP($F110&amp;$G110,Composite!$A$5:$Q$841,S$3,FALSE)</f>
        <v>0</v>
      </c>
      <c r="T110" s="31">
        <f>VLOOKUP($F110&amp;$G110,Composite!$A$5:$Q$841,T$3,FALSE)*VLOOKUP($C110,[2]!ExistingSat,MATCH($A110,[2]SATS!$C$10:$F$10,0)+1,FALSE)</f>
        <v>0</v>
      </c>
    </row>
    <row r="111" spans="1:20">
      <c r="A111" t="s">
        <v>85</v>
      </c>
      <c r="B111" t="s">
        <v>78</v>
      </c>
      <c r="C111" t="s">
        <v>26</v>
      </c>
      <c r="D111" t="s">
        <v>61</v>
      </c>
      <c r="E111" t="str">
        <f t="shared" si="2"/>
        <v>Heat PumpHZ3FLOOR R0 - R19</v>
      </c>
      <c r="F111" s="31" t="str">
        <f>Composite!B110</f>
        <v>Multi Family Weatherization - Insulate Floors - R-0 to R-19 - Heating Zone 3 (Heat Pump Heating System)</v>
      </c>
      <c r="G111" s="31" t="str">
        <f>Composite!C110</f>
        <v>FLOOR R0 - R19</v>
      </c>
      <c r="H111" s="31">
        <f>VLOOKUP($F111&amp;$G111,Composite!$A$5:$Q$841,H$3,FALSE)*VLOOKUP($C111,[2]!ExistingSat,MATCH($A111,[2]SATS!$C$10:$F$10,0)+1,FALSE)</f>
        <v>110.17607878005524</v>
      </c>
      <c r="I111">
        <f>VLOOKUP($F111&amp;$G111,Composite!$A$5:$Q$841,I$3,FALSE)</f>
        <v>45</v>
      </c>
      <c r="J111" s="31">
        <f>VLOOKUP($F111&amp;$G111,Composite!$A$5:$Q$841,J$3,FALSE)*VLOOKUP($C111,[2]!ExistingSat,MATCH($A111,[2]SATS!$C$10:$F$10,0)+1,FALSE)</f>
        <v>358.01976642494196</v>
      </c>
      <c r="K111" s="31">
        <f>VLOOKUP($F111&amp;$G111,Composite!$A$5:$Q$841,K$3,FALSE)*VLOOKUP($C111,[2]!ExistingSat,MATCH($A111,[2]SATS!$C$10:$F$10,0)+1,FALSE)</f>
        <v>0</v>
      </c>
      <c r="L111" t="str">
        <f>VLOOKUP($F111&amp;$G111,Composite!$A$5:$Q$841,L$3,FALSE)</f>
        <v>ResSHWX</v>
      </c>
      <c r="M111" s="31">
        <f>VLOOKUP($F111&amp;$G111,Composite!$A$5:$Q$841,M$3,FALSE)*VLOOKUP($C111,[2]!ExistingSat,MATCH($A111,[2]SATS!$C$10:$F$10,0)+1,FALSE)</f>
        <v>0</v>
      </c>
      <c r="N111" s="31">
        <f>VLOOKUP($F111&amp;$G111,Composite!$A$5:$Q$841,N$3,FALSE)*VLOOKUP($C111,[2]!ExistingSat,MATCH($A111,[2]SATS!$C$10:$F$10,0)+1,FALSE)</f>
        <v>0</v>
      </c>
      <c r="O111">
        <f>VLOOKUP($F111&amp;$G111,Composite!$A$5:$Q$841,O$3,FALSE)</f>
        <v>0</v>
      </c>
      <c r="P111" s="31">
        <f>VLOOKUP($F111&amp;$G111,Composite!$A$5:$Q$841,P$3,FALSE)*VLOOKUP($C111,[2]!ExistingSat,MATCH($A111,[2]SATS!$C$10:$F$10,0)+1,FALSE)</f>
        <v>0</v>
      </c>
      <c r="Q111">
        <f>VLOOKUP($F111&amp;$G111,Composite!$A$5:$Q$841,Q$3,FALSE)</f>
        <v>0</v>
      </c>
      <c r="R111" s="31">
        <f>VLOOKUP($F111&amp;$G111,Composite!$A$5:$Q$841,R$3,FALSE)*VLOOKUP($C111,[2]!ExistingSat,MATCH($A111,[2]SATS!$C$10:$F$10,0)+1,FALSE)</f>
        <v>0</v>
      </c>
      <c r="S111">
        <f>VLOOKUP($F111&amp;$G111,Composite!$A$5:$Q$841,S$3,FALSE)</f>
        <v>0</v>
      </c>
      <c r="T111" s="31">
        <f>VLOOKUP($F111&amp;$G111,Composite!$A$5:$Q$841,T$3,FALSE)*VLOOKUP($C111,[2]!ExistingSat,MATCH($A111,[2]SATS!$C$10:$F$10,0)+1,FALSE)</f>
        <v>0</v>
      </c>
    </row>
    <row r="112" spans="1:20">
      <c r="A112" t="s">
        <v>85</v>
      </c>
      <c r="B112" t="s">
        <v>78</v>
      </c>
      <c r="C112" t="s">
        <v>26</v>
      </c>
      <c r="D112" t="s">
        <v>61</v>
      </c>
      <c r="E112" t="str">
        <f t="shared" si="2"/>
        <v>Heat PumpHZ3FLOOR R0 - R30</v>
      </c>
      <c r="F112" s="31" t="str">
        <f>Composite!B111</f>
        <v>Multi Family Weatherization - Insulate Floors - R-0 to R-30 - Heating Zone 3 (Heat Pump Heating System)</v>
      </c>
      <c r="G112" s="31" t="str">
        <f>Composite!C111</f>
        <v>FLOOR R0 - R30</v>
      </c>
      <c r="H112" s="31">
        <f>VLOOKUP($F112&amp;$G112,Composite!$A$5:$Q$841,H$3,FALSE)*VLOOKUP($C112,[2]!ExistingSat,MATCH($A112,[2]SATS!$C$10:$F$10,0)+1,FALSE)</f>
        <v>142.78391203067787</v>
      </c>
      <c r="I112">
        <f>VLOOKUP($F112&amp;$G112,Composite!$A$5:$Q$841,I$3,FALSE)</f>
        <v>45</v>
      </c>
      <c r="J112" s="31">
        <f>VLOOKUP($F112&amp;$G112,Composite!$A$5:$Q$841,J$3,FALSE)*VLOOKUP($C112,[2]!ExistingSat,MATCH($A112,[2]SATS!$C$10:$F$10,0)+1,FALSE)</f>
        <v>383.15497685936549</v>
      </c>
      <c r="K112" s="31">
        <f>VLOOKUP($F112&amp;$G112,Composite!$A$5:$Q$841,K$3,FALSE)*VLOOKUP($C112,[2]!ExistingSat,MATCH($A112,[2]SATS!$C$10:$F$10,0)+1,FALSE)</f>
        <v>0</v>
      </c>
      <c r="L112" t="str">
        <f>VLOOKUP($F112&amp;$G112,Composite!$A$5:$Q$841,L$3,FALSE)</f>
        <v>ResSHWX</v>
      </c>
      <c r="M112" s="31">
        <f>VLOOKUP($F112&amp;$G112,Composite!$A$5:$Q$841,M$3,FALSE)*VLOOKUP($C112,[2]!ExistingSat,MATCH($A112,[2]SATS!$C$10:$F$10,0)+1,FALSE)</f>
        <v>0</v>
      </c>
      <c r="N112" s="31">
        <f>VLOOKUP($F112&amp;$G112,Composite!$A$5:$Q$841,N$3,FALSE)*VLOOKUP($C112,[2]!ExistingSat,MATCH($A112,[2]SATS!$C$10:$F$10,0)+1,FALSE)</f>
        <v>0</v>
      </c>
      <c r="O112">
        <f>VLOOKUP($F112&amp;$G112,Composite!$A$5:$Q$841,O$3,FALSE)</f>
        <v>0</v>
      </c>
      <c r="P112" s="31">
        <f>VLOOKUP($F112&amp;$G112,Composite!$A$5:$Q$841,P$3,FALSE)*VLOOKUP($C112,[2]!ExistingSat,MATCH($A112,[2]SATS!$C$10:$F$10,0)+1,FALSE)</f>
        <v>0</v>
      </c>
      <c r="Q112">
        <f>VLOOKUP($F112&amp;$G112,Composite!$A$5:$Q$841,Q$3,FALSE)</f>
        <v>0</v>
      </c>
      <c r="R112" s="31">
        <f>VLOOKUP($F112&amp;$G112,Composite!$A$5:$Q$841,R$3,FALSE)*VLOOKUP($C112,[2]!ExistingSat,MATCH($A112,[2]SATS!$C$10:$F$10,0)+1,FALSE)</f>
        <v>0</v>
      </c>
      <c r="S112">
        <f>VLOOKUP($F112&amp;$G112,Composite!$A$5:$Q$841,S$3,FALSE)</f>
        <v>0</v>
      </c>
      <c r="T112" s="31">
        <f>VLOOKUP($F112&amp;$G112,Composite!$A$5:$Q$841,T$3,FALSE)*VLOOKUP($C112,[2]!ExistingSat,MATCH($A112,[2]SATS!$C$10:$F$10,0)+1,FALSE)</f>
        <v>0</v>
      </c>
    </row>
    <row r="113" spans="1:20">
      <c r="A113" t="s">
        <v>85</v>
      </c>
      <c r="B113" t="s">
        <v>78</v>
      </c>
      <c r="C113" t="s">
        <v>28</v>
      </c>
      <c r="D113" t="s">
        <v>61</v>
      </c>
      <c r="E113" t="str">
        <f t="shared" si="2"/>
        <v>Heat PumpHZ3ATTIC R0 - R19</v>
      </c>
      <c r="F113" s="31" t="str">
        <f>Composite!B112</f>
        <v>Multi Family Weatherization - Insulate Attic - R-0 to R-19 - Heating Zone 3 (Heat Pump Heating System)</v>
      </c>
      <c r="G113" s="31" t="str">
        <f>Composite!C112</f>
        <v>ATTIC R0 - R19</v>
      </c>
      <c r="H113" s="31">
        <f>VLOOKUP($F113&amp;$G113,Composite!$A$5:$Q$841,H$3,FALSE)*VLOOKUP($C113,[2]!ExistingSat,MATCH($A113,[2]SATS!$C$10:$F$10,0)+1,FALSE)</f>
        <v>124.4991602165441</v>
      </c>
      <c r="I113">
        <f>VLOOKUP($F113&amp;$G113,Composite!$A$5:$Q$841,I$3,FALSE)</f>
        <v>45</v>
      </c>
      <c r="J113" s="31">
        <f>VLOOKUP($F113&amp;$G113,Composite!$A$5:$Q$841,J$3,FALSE)*VLOOKUP($C113,[2]!ExistingSat,MATCH($A113,[2]SATS!$C$10:$F$10,0)+1,FALSE)</f>
        <v>223.50315070635102</v>
      </c>
      <c r="K113" s="31">
        <f>VLOOKUP($F113&amp;$G113,Composite!$A$5:$Q$841,K$3,FALSE)*VLOOKUP($C113,[2]!ExistingSat,MATCH($A113,[2]SATS!$C$10:$F$10,0)+1,FALSE)</f>
        <v>0</v>
      </c>
      <c r="L113" t="str">
        <f>VLOOKUP($F113&amp;$G113,Composite!$A$5:$Q$841,L$3,FALSE)</f>
        <v>ResSHWX</v>
      </c>
      <c r="M113" s="31">
        <f>VLOOKUP($F113&amp;$G113,Composite!$A$5:$Q$841,M$3,FALSE)*VLOOKUP($C113,[2]!ExistingSat,MATCH($A113,[2]SATS!$C$10:$F$10,0)+1,FALSE)</f>
        <v>0</v>
      </c>
      <c r="N113" s="31">
        <f>VLOOKUP($F113&amp;$G113,Composite!$A$5:$Q$841,N$3,FALSE)*VLOOKUP($C113,[2]!ExistingSat,MATCH($A113,[2]SATS!$C$10:$F$10,0)+1,FALSE)</f>
        <v>0</v>
      </c>
      <c r="O113">
        <f>VLOOKUP($F113&amp;$G113,Composite!$A$5:$Q$841,O$3,FALSE)</f>
        <v>0</v>
      </c>
      <c r="P113" s="31">
        <f>VLOOKUP($F113&amp;$G113,Composite!$A$5:$Q$841,P$3,FALSE)*VLOOKUP($C113,[2]!ExistingSat,MATCH($A113,[2]SATS!$C$10:$F$10,0)+1,FALSE)</f>
        <v>0</v>
      </c>
      <c r="Q113">
        <f>VLOOKUP($F113&amp;$G113,Composite!$A$5:$Q$841,Q$3,FALSE)</f>
        <v>0</v>
      </c>
      <c r="R113" s="31">
        <f>VLOOKUP($F113&amp;$G113,Composite!$A$5:$Q$841,R$3,FALSE)*VLOOKUP($C113,[2]!ExistingSat,MATCH($A113,[2]SATS!$C$10:$F$10,0)+1,FALSE)</f>
        <v>0</v>
      </c>
      <c r="S113">
        <f>VLOOKUP($F113&amp;$G113,Composite!$A$5:$Q$841,S$3,FALSE)</f>
        <v>0</v>
      </c>
      <c r="T113" s="31">
        <f>VLOOKUP($F113&amp;$G113,Composite!$A$5:$Q$841,T$3,FALSE)*VLOOKUP($C113,[2]!ExistingSat,MATCH($A113,[2]SATS!$C$10:$F$10,0)+1,FALSE)</f>
        <v>0</v>
      </c>
    </row>
    <row r="114" spans="1:20">
      <c r="A114" t="s">
        <v>85</v>
      </c>
      <c r="B114" t="s">
        <v>78</v>
      </c>
      <c r="C114" t="s">
        <v>28</v>
      </c>
      <c r="D114" t="s">
        <v>61</v>
      </c>
      <c r="E114" t="str">
        <f t="shared" si="2"/>
        <v>Heat PumpHZ3ATTIC R0 - R38</v>
      </c>
      <c r="F114" s="31" t="str">
        <f>Composite!B113</f>
        <v>Multi Family Weatherization - Insulate Attic - R-0 to R-38 - Heating Zone 3 (Heat Pump Heating System)</v>
      </c>
      <c r="G114" s="31" t="str">
        <f>Composite!C113</f>
        <v>ATTIC R0 - R38</v>
      </c>
      <c r="H114" s="31">
        <f>VLOOKUP($F114&amp;$G114,Composite!$A$5:$Q$841,H$3,FALSE)*VLOOKUP($C114,[2]!ExistingSat,MATCH($A114,[2]SATS!$C$10:$F$10,0)+1,FALSE)</f>
        <v>170.79993649662651</v>
      </c>
      <c r="I114">
        <f>VLOOKUP($F114&amp;$G114,Composite!$A$5:$Q$841,I$3,FALSE)</f>
        <v>45</v>
      </c>
      <c r="J114" s="31">
        <f>VLOOKUP($F114&amp;$G114,Composite!$A$5:$Q$841,J$3,FALSE)*VLOOKUP($C114,[2]!ExistingSat,MATCH($A114,[2]SATS!$C$10:$F$10,0)+1,FALSE)</f>
        <v>298.11418524056876</v>
      </c>
      <c r="K114" s="31">
        <f>VLOOKUP($F114&amp;$G114,Composite!$A$5:$Q$841,K$3,FALSE)*VLOOKUP($C114,[2]!ExistingSat,MATCH($A114,[2]SATS!$C$10:$F$10,0)+1,FALSE)</f>
        <v>0</v>
      </c>
      <c r="L114" t="str">
        <f>VLOOKUP($F114&amp;$G114,Composite!$A$5:$Q$841,L$3,FALSE)</f>
        <v>ResSHWX</v>
      </c>
      <c r="M114" s="31">
        <f>VLOOKUP($F114&amp;$G114,Composite!$A$5:$Q$841,M$3,FALSE)*VLOOKUP($C114,[2]!ExistingSat,MATCH($A114,[2]SATS!$C$10:$F$10,0)+1,FALSE)</f>
        <v>0</v>
      </c>
      <c r="N114" s="31">
        <f>VLOOKUP($F114&amp;$G114,Composite!$A$5:$Q$841,N$3,FALSE)*VLOOKUP($C114,[2]!ExistingSat,MATCH($A114,[2]SATS!$C$10:$F$10,0)+1,FALSE)</f>
        <v>0</v>
      </c>
      <c r="O114">
        <f>VLOOKUP($F114&amp;$G114,Composite!$A$5:$Q$841,O$3,FALSE)</f>
        <v>0</v>
      </c>
      <c r="P114" s="31">
        <f>VLOOKUP($F114&amp;$G114,Composite!$A$5:$Q$841,P$3,FALSE)*VLOOKUP($C114,[2]!ExistingSat,MATCH($A114,[2]SATS!$C$10:$F$10,0)+1,FALSE)</f>
        <v>0</v>
      </c>
      <c r="Q114">
        <f>VLOOKUP($F114&amp;$G114,Composite!$A$5:$Q$841,Q$3,FALSE)</f>
        <v>0</v>
      </c>
      <c r="R114" s="31">
        <f>VLOOKUP($F114&amp;$G114,Composite!$A$5:$Q$841,R$3,FALSE)*VLOOKUP($C114,[2]!ExistingSat,MATCH($A114,[2]SATS!$C$10:$F$10,0)+1,FALSE)</f>
        <v>0</v>
      </c>
      <c r="S114">
        <f>VLOOKUP($F114&amp;$G114,Composite!$A$5:$Q$841,S$3,FALSE)</f>
        <v>0</v>
      </c>
      <c r="T114" s="31">
        <f>VLOOKUP($F114&amp;$G114,Composite!$A$5:$Q$841,T$3,FALSE)*VLOOKUP($C114,[2]!ExistingSat,MATCH($A114,[2]SATS!$C$10:$F$10,0)+1,FALSE)</f>
        <v>0</v>
      </c>
    </row>
    <row r="115" spans="1:20">
      <c r="A115" t="s">
        <v>85</v>
      </c>
      <c r="B115" t="s">
        <v>78</v>
      </c>
      <c r="C115" t="s">
        <v>28</v>
      </c>
      <c r="D115" t="s">
        <v>61</v>
      </c>
      <c r="E115" t="str">
        <f t="shared" si="2"/>
        <v>Heat PumpHZ3ATTIC R0 - R49</v>
      </c>
      <c r="F115" s="31" t="str">
        <f>Composite!B114</f>
        <v>Multi Family Weatherization - Insulate Attic - R-0 to R-49 - Heating Zone 3 (Heat Pump Heating System)</v>
      </c>
      <c r="G115" s="31" t="str">
        <f>Composite!C114</f>
        <v>ATTIC R0 - R49</v>
      </c>
      <c r="H115" s="31">
        <f>VLOOKUP($F115&amp;$G115,Composite!$A$5:$Q$841,H$3,FALSE)*VLOOKUP($C115,[2]!ExistingSat,MATCH($A115,[2]SATS!$C$10:$F$10,0)+1,FALSE)</f>
        <v>181.53481092293089</v>
      </c>
      <c r="I115">
        <f>VLOOKUP($F115&amp;$G115,Composite!$A$5:$Q$841,I$3,FALSE)</f>
        <v>45</v>
      </c>
      <c r="J115" s="31">
        <f>VLOOKUP($F115&amp;$G115,Composite!$A$5:$Q$841,J$3,FALSE)*VLOOKUP($C115,[2]!ExistingSat,MATCH($A115,[2]SATS!$C$10:$F$10,0)+1,FALSE)</f>
        <v>338.16777381701564</v>
      </c>
      <c r="K115" s="31">
        <f>VLOOKUP($F115&amp;$G115,Composite!$A$5:$Q$841,K$3,FALSE)*VLOOKUP($C115,[2]!ExistingSat,MATCH($A115,[2]SATS!$C$10:$F$10,0)+1,FALSE)</f>
        <v>0</v>
      </c>
      <c r="L115" t="str">
        <f>VLOOKUP($F115&amp;$G115,Composite!$A$5:$Q$841,L$3,FALSE)</f>
        <v>ResSHWX</v>
      </c>
      <c r="M115" s="31">
        <f>VLOOKUP($F115&amp;$G115,Composite!$A$5:$Q$841,M$3,FALSE)*VLOOKUP($C115,[2]!ExistingSat,MATCH($A115,[2]SATS!$C$10:$F$10,0)+1,FALSE)</f>
        <v>0</v>
      </c>
      <c r="N115" s="31">
        <f>VLOOKUP($F115&amp;$G115,Composite!$A$5:$Q$841,N$3,FALSE)*VLOOKUP($C115,[2]!ExistingSat,MATCH($A115,[2]SATS!$C$10:$F$10,0)+1,FALSE)</f>
        <v>0</v>
      </c>
      <c r="O115">
        <f>VLOOKUP($F115&amp;$G115,Composite!$A$5:$Q$841,O$3,FALSE)</f>
        <v>0</v>
      </c>
      <c r="P115" s="31">
        <f>VLOOKUP($F115&amp;$G115,Composite!$A$5:$Q$841,P$3,FALSE)*VLOOKUP($C115,[2]!ExistingSat,MATCH($A115,[2]SATS!$C$10:$F$10,0)+1,FALSE)</f>
        <v>0</v>
      </c>
      <c r="Q115">
        <f>VLOOKUP($F115&amp;$G115,Composite!$A$5:$Q$841,Q$3,FALSE)</f>
        <v>0</v>
      </c>
      <c r="R115" s="31">
        <f>VLOOKUP($F115&amp;$G115,Composite!$A$5:$Q$841,R$3,FALSE)*VLOOKUP($C115,[2]!ExistingSat,MATCH($A115,[2]SATS!$C$10:$F$10,0)+1,FALSE)</f>
        <v>0</v>
      </c>
      <c r="S115">
        <f>VLOOKUP($F115&amp;$G115,Composite!$A$5:$Q$841,S$3,FALSE)</f>
        <v>0</v>
      </c>
      <c r="T115" s="31">
        <f>VLOOKUP($F115&amp;$G115,Composite!$A$5:$Q$841,T$3,FALSE)*VLOOKUP($C115,[2]!ExistingSat,MATCH($A115,[2]SATS!$C$10:$F$10,0)+1,FALSE)</f>
        <v>0</v>
      </c>
    </row>
    <row r="116" spans="1:20">
      <c r="A116" t="s">
        <v>85</v>
      </c>
      <c r="B116" t="s">
        <v>78</v>
      </c>
      <c r="C116" t="s">
        <v>28</v>
      </c>
      <c r="D116" t="s">
        <v>61</v>
      </c>
      <c r="E116" t="str">
        <f t="shared" si="2"/>
        <v>Heat PumpHZ3ATTIC R19 - R30</v>
      </c>
      <c r="F116" s="31" t="str">
        <f>Composite!B115</f>
        <v>Multi Family Weatherization - Insulate Attic - R-19 to R-30 - Heating Zone 3 (Heat Pump Heating System)</v>
      </c>
      <c r="G116" s="31" t="str">
        <f>Composite!C115</f>
        <v>ATTIC R19 - R30</v>
      </c>
      <c r="H116" s="31">
        <f>VLOOKUP($F116&amp;$G116,Composite!$A$5:$Q$841,H$3,FALSE)*VLOOKUP($C116,[2]!ExistingSat,MATCH($A116,[2]SATS!$C$10:$F$10,0)+1,FALSE)</f>
        <v>33.529812847849826</v>
      </c>
      <c r="I116">
        <f>VLOOKUP($F116&amp;$G116,Composite!$A$5:$Q$841,I$3,FALSE)</f>
        <v>45</v>
      </c>
      <c r="J116" s="31">
        <f>VLOOKUP($F116&amp;$G116,Composite!$A$5:$Q$841,J$3,FALSE)*VLOOKUP($C116,[2]!ExistingSat,MATCH($A116,[2]SATS!$C$10:$F$10,0)+1,FALSE)</f>
        <v>192.92591787684046</v>
      </c>
      <c r="K116" s="31">
        <f>VLOOKUP($F116&amp;$G116,Composite!$A$5:$Q$841,K$3,FALSE)*VLOOKUP($C116,[2]!ExistingSat,MATCH($A116,[2]SATS!$C$10:$F$10,0)+1,FALSE)</f>
        <v>0</v>
      </c>
      <c r="L116" t="str">
        <f>VLOOKUP($F116&amp;$G116,Composite!$A$5:$Q$841,L$3,FALSE)</f>
        <v>ResSHWX</v>
      </c>
      <c r="M116" s="31">
        <f>VLOOKUP($F116&amp;$G116,Composite!$A$5:$Q$841,M$3,FALSE)*VLOOKUP($C116,[2]!ExistingSat,MATCH($A116,[2]SATS!$C$10:$F$10,0)+1,FALSE)</f>
        <v>0</v>
      </c>
      <c r="N116" s="31">
        <f>VLOOKUP($F116&amp;$G116,Composite!$A$5:$Q$841,N$3,FALSE)*VLOOKUP($C116,[2]!ExistingSat,MATCH($A116,[2]SATS!$C$10:$F$10,0)+1,FALSE)</f>
        <v>0</v>
      </c>
      <c r="O116">
        <f>VLOOKUP($F116&amp;$G116,Composite!$A$5:$Q$841,O$3,FALSE)</f>
        <v>0</v>
      </c>
      <c r="P116" s="31">
        <f>VLOOKUP($F116&amp;$G116,Composite!$A$5:$Q$841,P$3,FALSE)*VLOOKUP($C116,[2]!ExistingSat,MATCH($A116,[2]SATS!$C$10:$F$10,0)+1,FALSE)</f>
        <v>0</v>
      </c>
      <c r="Q116">
        <f>VLOOKUP($F116&amp;$G116,Composite!$A$5:$Q$841,Q$3,FALSE)</f>
        <v>0</v>
      </c>
      <c r="R116" s="31">
        <f>VLOOKUP($F116&amp;$G116,Composite!$A$5:$Q$841,R$3,FALSE)*VLOOKUP($C116,[2]!ExistingSat,MATCH($A116,[2]SATS!$C$10:$F$10,0)+1,FALSE)</f>
        <v>0</v>
      </c>
      <c r="S116">
        <f>VLOOKUP($F116&amp;$G116,Composite!$A$5:$Q$841,S$3,FALSE)</f>
        <v>0</v>
      </c>
      <c r="T116" s="31">
        <f>VLOOKUP($F116&amp;$G116,Composite!$A$5:$Q$841,T$3,FALSE)*VLOOKUP($C116,[2]!ExistingSat,MATCH($A116,[2]SATS!$C$10:$F$10,0)+1,FALSE)</f>
        <v>0</v>
      </c>
    </row>
    <row r="117" spans="1:20">
      <c r="A117" t="s">
        <v>85</v>
      </c>
      <c r="B117" t="s">
        <v>78</v>
      </c>
      <c r="C117" t="s">
        <v>28</v>
      </c>
      <c r="D117" t="s">
        <v>61</v>
      </c>
      <c r="E117" t="str">
        <f t="shared" si="2"/>
        <v>Heat PumpHZ3ATTIC R19 - R38</v>
      </c>
      <c r="F117" s="31" t="str">
        <f>Composite!B116</f>
        <v>Multi Family Weatherization - Insulate Attic - R-19 to R-38 - Heating Zone 3 (Heat Pump Heating System)</v>
      </c>
      <c r="G117" s="31" t="str">
        <f>Composite!C116</f>
        <v>ATTIC R19 - R38</v>
      </c>
      <c r="H117" s="31">
        <f>VLOOKUP($F117&amp;$G117,Composite!$A$5:$Q$841,H$3,FALSE)*VLOOKUP($C117,[2]!ExistingSat,MATCH($A117,[2]SATS!$C$10:$F$10,0)+1,FALSE)</f>
        <v>46.300776280082431</v>
      </c>
      <c r="I117">
        <f>VLOOKUP($F117&amp;$G117,Composite!$A$5:$Q$841,I$3,FALSE)</f>
        <v>45</v>
      </c>
      <c r="J117" s="31">
        <f>VLOOKUP($F117&amp;$G117,Composite!$A$5:$Q$841,J$3,FALSE)*VLOOKUP($C117,[2]!ExistingSat,MATCH($A117,[2]SATS!$C$10:$F$10,0)+1,FALSE)</f>
        <v>225.005207173061</v>
      </c>
      <c r="K117" s="31">
        <f>VLOOKUP($F117&amp;$G117,Composite!$A$5:$Q$841,K$3,FALSE)*VLOOKUP($C117,[2]!ExistingSat,MATCH($A117,[2]SATS!$C$10:$F$10,0)+1,FALSE)</f>
        <v>0</v>
      </c>
      <c r="L117" t="str">
        <f>VLOOKUP($F117&amp;$G117,Composite!$A$5:$Q$841,L$3,FALSE)</f>
        <v>ResSHWX</v>
      </c>
      <c r="M117" s="31">
        <f>VLOOKUP($F117&amp;$G117,Composite!$A$5:$Q$841,M$3,FALSE)*VLOOKUP($C117,[2]!ExistingSat,MATCH($A117,[2]SATS!$C$10:$F$10,0)+1,FALSE)</f>
        <v>0</v>
      </c>
      <c r="N117" s="31">
        <f>VLOOKUP($F117&amp;$G117,Composite!$A$5:$Q$841,N$3,FALSE)*VLOOKUP($C117,[2]!ExistingSat,MATCH($A117,[2]SATS!$C$10:$F$10,0)+1,FALSE)</f>
        <v>0</v>
      </c>
      <c r="O117">
        <f>VLOOKUP($F117&amp;$G117,Composite!$A$5:$Q$841,O$3,FALSE)</f>
        <v>0</v>
      </c>
      <c r="P117" s="31">
        <f>VLOOKUP($F117&amp;$G117,Composite!$A$5:$Q$841,P$3,FALSE)*VLOOKUP($C117,[2]!ExistingSat,MATCH($A117,[2]SATS!$C$10:$F$10,0)+1,FALSE)</f>
        <v>0</v>
      </c>
      <c r="Q117">
        <f>VLOOKUP($F117&amp;$G117,Composite!$A$5:$Q$841,Q$3,FALSE)</f>
        <v>0</v>
      </c>
      <c r="R117" s="31">
        <f>VLOOKUP($F117&amp;$G117,Composite!$A$5:$Q$841,R$3,FALSE)*VLOOKUP($C117,[2]!ExistingSat,MATCH($A117,[2]SATS!$C$10:$F$10,0)+1,FALSE)</f>
        <v>0</v>
      </c>
      <c r="S117">
        <f>VLOOKUP($F117&amp;$G117,Composite!$A$5:$Q$841,S$3,FALSE)</f>
        <v>0</v>
      </c>
      <c r="T117" s="31">
        <f>VLOOKUP($F117&amp;$G117,Composite!$A$5:$Q$841,T$3,FALSE)*VLOOKUP($C117,[2]!ExistingSat,MATCH($A117,[2]SATS!$C$10:$F$10,0)+1,FALSE)</f>
        <v>0</v>
      </c>
    </row>
    <row r="118" spans="1:20">
      <c r="A118" t="s">
        <v>85</v>
      </c>
      <c r="B118" t="s">
        <v>78</v>
      </c>
      <c r="C118" t="s">
        <v>28</v>
      </c>
      <c r="D118" t="s">
        <v>61</v>
      </c>
      <c r="E118" t="str">
        <f t="shared" si="2"/>
        <v>Heat PumpHZ3ATTIC R19 - R49</v>
      </c>
      <c r="F118" s="31" t="str">
        <f>Composite!B117</f>
        <v>Multi Family Weatherization - Insulate Attic - R-19 to R-49 - Heating Zone 3 (Heat Pump Heating System)</v>
      </c>
      <c r="G118" s="31" t="str">
        <f>Composite!C117</f>
        <v>ATTIC R19 - R49</v>
      </c>
      <c r="H118" s="31">
        <f>VLOOKUP($F118&amp;$G118,Composite!$A$5:$Q$841,H$3,FALSE)*VLOOKUP($C118,[2]!ExistingSat,MATCH($A118,[2]SATS!$C$10:$F$10,0)+1,FALSE)</f>
        <v>57.035650706386818</v>
      </c>
      <c r="I118">
        <f>VLOOKUP($F118&amp;$G118,Composite!$A$5:$Q$841,I$3,FALSE)</f>
        <v>45</v>
      </c>
      <c r="J118" s="31">
        <f>VLOOKUP($F118&amp;$G118,Composite!$A$5:$Q$841,J$3,FALSE)*VLOOKUP($C118,[2]!ExistingSat,MATCH($A118,[2]SATS!$C$10:$F$10,0)+1,FALSE)</f>
        <v>267.33145763319703</v>
      </c>
      <c r="K118" s="31">
        <f>VLOOKUP($F118&amp;$G118,Composite!$A$5:$Q$841,K$3,FALSE)*VLOOKUP($C118,[2]!ExistingSat,MATCH($A118,[2]SATS!$C$10:$F$10,0)+1,FALSE)</f>
        <v>0</v>
      </c>
      <c r="L118" t="str">
        <f>VLOOKUP($F118&amp;$G118,Composite!$A$5:$Q$841,L$3,FALSE)</f>
        <v>ResSHWX</v>
      </c>
      <c r="M118" s="31">
        <f>VLOOKUP($F118&amp;$G118,Composite!$A$5:$Q$841,M$3,FALSE)*VLOOKUP($C118,[2]!ExistingSat,MATCH($A118,[2]SATS!$C$10:$F$10,0)+1,FALSE)</f>
        <v>0</v>
      </c>
      <c r="N118" s="31">
        <f>VLOOKUP($F118&amp;$G118,Composite!$A$5:$Q$841,N$3,FALSE)*VLOOKUP($C118,[2]!ExistingSat,MATCH($A118,[2]SATS!$C$10:$F$10,0)+1,FALSE)</f>
        <v>0</v>
      </c>
      <c r="O118">
        <f>VLOOKUP($F118&amp;$G118,Composite!$A$5:$Q$841,O$3,FALSE)</f>
        <v>0</v>
      </c>
      <c r="P118" s="31">
        <f>VLOOKUP($F118&amp;$G118,Composite!$A$5:$Q$841,P$3,FALSE)*VLOOKUP($C118,[2]!ExistingSat,MATCH($A118,[2]SATS!$C$10:$F$10,0)+1,FALSE)</f>
        <v>0</v>
      </c>
      <c r="Q118">
        <f>VLOOKUP($F118&amp;$G118,Composite!$A$5:$Q$841,Q$3,FALSE)</f>
        <v>0</v>
      </c>
      <c r="R118" s="31">
        <f>VLOOKUP($F118&amp;$G118,Composite!$A$5:$Q$841,R$3,FALSE)*VLOOKUP($C118,[2]!ExistingSat,MATCH($A118,[2]SATS!$C$10:$F$10,0)+1,FALSE)</f>
        <v>0</v>
      </c>
      <c r="S118">
        <f>VLOOKUP($F118&amp;$G118,Composite!$A$5:$Q$841,S$3,FALSE)</f>
        <v>0</v>
      </c>
      <c r="T118" s="31">
        <f>VLOOKUP($F118&amp;$G118,Composite!$A$5:$Q$841,T$3,FALSE)*VLOOKUP($C118,[2]!ExistingSat,MATCH($A118,[2]SATS!$C$10:$F$10,0)+1,FALSE)</f>
        <v>0</v>
      </c>
    </row>
    <row r="119" spans="1:20">
      <c r="A119" t="s">
        <v>85</v>
      </c>
      <c r="B119" t="s">
        <v>78</v>
      </c>
      <c r="C119" t="s">
        <v>27</v>
      </c>
      <c r="D119" t="s">
        <v>61</v>
      </c>
      <c r="E119" t="str">
        <f t="shared" si="2"/>
        <v>Heat PumpHZ3WINDOW CL22 Prime Window Replacement of Single Pane Base</v>
      </c>
      <c r="F119" s="31" t="str">
        <f>Composite!B118</f>
        <v>Windows - Single Pane to Class 22 - Heating Zone 3 (Heat Pump Heating System)</v>
      </c>
      <c r="G119" s="31" t="str">
        <f>Composite!C118</f>
        <v>WINDOW CL22 Prime Window Replacement of Single Pane Base</v>
      </c>
      <c r="H119" s="31">
        <f>VLOOKUP($F119&amp;$G119,Composite!$A$5:$Q$841,H$3,FALSE)*VLOOKUP($C119,[2]!ExistingSat,MATCH($A119,[2]SATS!$C$10:$F$10,0)+1,FALSE)</f>
        <v>4640.3863629904808</v>
      </c>
      <c r="I119">
        <f>VLOOKUP($F119&amp;$G119,Composite!$A$5:$Q$841,I$3,FALSE)</f>
        <v>45</v>
      </c>
      <c r="J119" s="31">
        <f>VLOOKUP($F119&amp;$G119,Composite!$A$5:$Q$841,J$3,FALSE)*VLOOKUP($C119,[2]!ExistingSat,MATCH($A119,[2]SATS!$C$10:$F$10,0)+1,FALSE)</f>
        <v>4048.8992557534643</v>
      </c>
      <c r="K119" s="31">
        <f>VLOOKUP($F119&amp;$G119,Composite!$A$5:$Q$841,K$3,FALSE)*VLOOKUP($C119,[2]!ExistingSat,MATCH($A119,[2]SATS!$C$10:$F$10,0)+1,FALSE)</f>
        <v>0</v>
      </c>
      <c r="L119" t="str">
        <f>VLOOKUP($F119&amp;$G119,Composite!$A$5:$Q$841,L$3,FALSE)</f>
        <v>ResSHWX</v>
      </c>
      <c r="M119" s="31">
        <f>VLOOKUP($F119&amp;$G119,Composite!$A$5:$Q$841,M$3,FALSE)*VLOOKUP($C119,[2]!ExistingSat,MATCH($A119,[2]SATS!$C$10:$F$10,0)+1,FALSE)</f>
        <v>0</v>
      </c>
      <c r="N119" s="31">
        <f>VLOOKUP($F119&amp;$G119,Composite!$A$5:$Q$841,N$3,FALSE)*VLOOKUP($C119,[2]!ExistingSat,MATCH($A119,[2]SATS!$C$10:$F$10,0)+1,FALSE)</f>
        <v>0</v>
      </c>
      <c r="O119">
        <f>VLOOKUP($F119&amp;$G119,Composite!$A$5:$Q$841,O$3,FALSE)</f>
        <v>0</v>
      </c>
      <c r="P119" s="31">
        <f>VLOOKUP($F119&amp;$G119,Composite!$A$5:$Q$841,P$3,FALSE)*VLOOKUP($C119,[2]!ExistingSat,MATCH($A119,[2]SATS!$C$10:$F$10,0)+1,FALSE)</f>
        <v>0</v>
      </c>
      <c r="Q119">
        <f>VLOOKUP($F119&amp;$G119,Composite!$A$5:$Q$841,Q$3,FALSE)</f>
        <v>0</v>
      </c>
      <c r="R119" s="31">
        <f>VLOOKUP($F119&amp;$G119,Composite!$A$5:$Q$841,R$3,FALSE)*VLOOKUP($C119,[2]!ExistingSat,MATCH($A119,[2]SATS!$C$10:$F$10,0)+1,FALSE)</f>
        <v>0</v>
      </c>
      <c r="S119">
        <f>VLOOKUP($F119&amp;$G119,Composite!$A$5:$Q$841,S$3,FALSE)</f>
        <v>0</v>
      </c>
      <c r="T119" s="31">
        <f>VLOOKUP($F119&amp;$G119,Composite!$A$5:$Q$841,T$3,FALSE)*VLOOKUP($C119,[2]!ExistingSat,MATCH($A119,[2]SATS!$C$10:$F$10,0)+1,FALSE)</f>
        <v>0</v>
      </c>
    </row>
    <row r="120" spans="1:20">
      <c r="A120" t="s">
        <v>85</v>
      </c>
      <c r="B120" t="s">
        <v>78</v>
      </c>
      <c r="C120" t="s">
        <v>27</v>
      </c>
      <c r="D120" t="s">
        <v>61</v>
      </c>
      <c r="E120" t="str">
        <f t="shared" si="2"/>
        <v>Heat PumpHZ3WINDOW CL22 Prime Window Replacement of Double Pane Base</v>
      </c>
      <c r="F120" s="31" t="str">
        <f>Composite!B119</f>
        <v>Windows - Double Pane to Class 22 - Heating Zone 3 (Heat Pump Heating System)</v>
      </c>
      <c r="G120" s="31" t="str">
        <f>Composite!C119</f>
        <v>WINDOW CL22 Prime Window Replacement of Double Pane Base</v>
      </c>
      <c r="H120" s="31">
        <f>VLOOKUP($F120&amp;$G120,Composite!$A$5:$Q$841,H$3,FALSE)*VLOOKUP($C120,[2]!ExistingSat,MATCH($A120,[2]SATS!$C$10:$F$10,0)+1,FALSE)</f>
        <v>2939.8721555662946</v>
      </c>
      <c r="I120">
        <f>VLOOKUP($F120&amp;$G120,Composite!$A$5:$Q$841,I$3,FALSE)</f>
        <v>45</v>
      </c>
      <c r="J120" s="31">
        <f>VLOOKUP($F120&amp;$G120,Composite!$A$5:$Q$841,J$3,FALSE)*VLOOKUP($C120,[2]!ExistingSat,MATCH($A120,[2]SATS!$C$10:$F$10,0)+1,FALSE)</f>
        <v>4048.8992557534643</v>
      </c>
      <c r="K120" s="31">
        <f>VLOOKUP($F120&amp;$G120,Composite!$A$5:$Q$841,K$3,FALSE)*VLOOKUP($C120,[2]!ExistingSat,MATCH($A120,[2]SATS!$C$10:$F$10,0)+1,FALSE)</f>
        <v>0</v>
      </c>
      <c r="L120" t="str">
        <f>VLOOKUP($F120&amp;$G120,Composite!$A$5:$Q$841,L$3,FALSE)</f>
        <v>ResSHWX</v>
      </c>
      <c r="M120" s="31">
        <f>VLOOKUP($F120&amp;$G120,Composite!$A$5:$Q$841,M$3,FALSE)*VLOOKUP($C120,[2]!ExistingSat,MATCH($A120,[2]SATS!$C$10:$F$10,0)+1,FALSE)</f>
        <v>0</v>
      </c>
      <c r="N120" s="31">
        <f>VLOOKUP($F120&amp;$G120,Composite!$A$5:$Q$841,N$3,FALSE)*VLOOKUP($C120,[2]!ExistingSat,MATCH($A120,[2]SATS!$C$10:$F$10,0)+1,FALSE)</f>
        <v>0</v>
      </c>
      <c r="O120">
        <f>VLOOKUP($F120&amp;$G120,Composite!$A$5:$Q$841,O$3,FALSE)</f>
        <v>0</v>
      </c>
      <c r="P120" s="31">
        <f>VLOOKUP($F120&amp;$G120,Composite!$A$5:$Q$841,P$3,FALSE)*VLOOKUP($C120,[2]!ExistingSat,MATCH($A120,[2]SATS!$C$10:$F$10,0)+1,FALSE)</f>
        <v>0</v>
      </c>
      <c r="Q120">
        <f>VLOOKUP($F120&amp;$G120,Composite!$A$5:$Q$841,Q$3,FALSE)</f>
        <v>0</v>
      </c>
      <c r="R120" s="31">
        <f>VLOOKUP($F120&amp;$G120,Composite!$A$5:$Q$841,R$3,FALSE)*VLOOKUP($C120,[2]!ExistingSat,MATCH($A120,[2]SATS!$C$10:$F$10,0)+1,FALSE)</f>
        <v>0</v>
      </c>
      <c r="S120">
        <f>VLOOKUP($F120&amp;$G120,Composite!$A$5:$Q$841,S$3,FALSE)</f>
        <v>0</v>
      </c>
      <c r="T120" s="31">
        <f>VLOOKUP($F120&amp;$G120,Composite!$A$5:$Q$841,T$3,FALSE)*VLOOKUP($C120,[2]!ExistingSat,MATCH($A120,[2]SATS!$C$10:$F$10,0)+1,FALSE)</f>
        <v>0</v>
      </c>
    </row>
    <row r="121" spans="1:20">
      <c r="A121" t="s">
        <v>85</v>
      </c>
      <c r="B121" t="s">
        <v>78</v>
      </c>
      <c r="C121" t="s">
        <v>27</v>
      </c>
      <c r="D121" t="s">
        <v>61</v>
      </c>
      <c r="E121" t="str">
        <f t="shared" si="2"/>
        <v>Heat PumpHZ3WINDOW CL30 Prime Window Replacement of Single Pane Base</v>
      </c>
      <c r="F121" s="31" t="str">
        <f>Composite!B120</f>
        <v>Windows - Single Pane to Class 30 - Heating Zone 3 (Heat Pump Heating System)</v>
      </c>
      <c r="G121" s="31" t="str">
        <f>Composite!C120</f>
        <v>WINDOW CL30 Prime Window Replacement of Single Pane Base</v>
      </c>
      <c r="H121" s="31">
        <f>VLOOKUP($F121&amp;$G121,Composite!$A$5:$Q$841,H$3,FALSE)*VLOOKUP($C121,[2]!ExistingSat,MATCH($A121,[2]SATS!$C$10:$F$10,0)+1,FALSE)</f>
        <v>4315.8734973612864</v>
      </c>
      <c r="I121">
        <f>VLOOKUP($F121&amp;$G121,Composite!$A$5:$Q$841,I$3,FALSE)</f>
        <v>45</v>
      </c>
      <c r="J121" s="31">
        <f>VLOOKUP($F121&amp;$G121,Composite!$A$5:$Q$841,J$3,FALSE)*VLOOKUP($C121,[2]!ExistingSat,MATCH($A121,[2]SATS!$C$10:$F$10,0)+1,FALSE)</f>
        <v>3098.9648613559325</v>
      </c>
      <c r="K121" s="31">
        <f>VLOOKUP($F121&amp;$G121,Composite!$A$5:$Q$841,K$3,FALSE)*VLOOKUP($C121,[2]!ExistingSat,MATCH($A121,[2]SATS!$C$10:$F$10,0)+1,FALSE)</f>
        <v>0</v>
      </c>
      <c r="L121" t="str">
        <f>VLOOKUP($F121&amp;$G121,Composite!$A$5:$Q$841,L$3,FALSE)</f>
        <v>ResSHWX</v>
      </c>
      <c r="M121" s="31">
        <f>VLOOKUP($F121&amp;$G121,Composite!$A$5:$Q$841,M$3,FALSE)*VLOOKUP($C121,[2]!ExistingSat,MATCH($A121,[2]SATS!$C$10:$F$10,0)+1,FALSE)</f>
        <v>0</v>
      </c>
      <c r="N121" s="31">
        <f>VLOOKUP($F121&amp;$G121,Composite!$A$5:$Q$841,N$3,FALSE)*VLOOKUP($C121,[2]!ExistingSat,MATCH($A121,[2]SATS!$C$10:$F$10,0)+1,FALSE)</f>
        <v>0</v>
      </c>
      <c r="O121">
        <f>VLOOKUP($F121&amp;$G121,Composite!$A$5:$Q$841,O$3,FALSE)</f>
        <v>0</v>
      </c>
      <c r="P121" s="31">
        <f>VLOOKUP($F121&amp;$G121,Composite!$A$5:$Q$841,P$3,FALSE)*VLOOKUP($C121,[2]!ExistingSat,MATCH($A121,[2]SATS!$C$10:$F$10,0)+1,FALSE)</f>
        <v>0</v>
      </c>
      <c r="Q121">
        <f>VLOOKUP($F121&amp;$G121,Composite!$A$5:$Q$841,Q$3,FALSE)</f>
        <v>0</v>
      </c>
      <c r="R121" s="31">
        <f>VLOOKUP($F121&amp;$G121,Composite!$A$5:$Q$841,R$3,FALSE)*VLOOKUP($C121,[2]!ExistingSat,MATCH($A121,[2]SATS!$C$10:$F$10,0)+1,FALSE)</f>
        <v>0</v>
      </c>
      <c r="S121">
        <f>VLOOKUP($F121&amp;$G121,Composite!$A$5:$Q$841,S$3,FALSE)</f>
        <v>0</v>
      </c>
      <c r="T121" s="31">
        <f>VLOOKUP($F121&amp;$G121,Composite!$A$5:$Q$841,T$3,FALSE)*VLOOKUP($C121,[2]!ExistingSat,MATCH($A121,[2]SATS!$C$10:$F$10,0)+1,FALSE)</f>
        <v>0</v>
      </c>
    </row>
    <row r="122" spans="1:20">
      <c r="A122" t="s">
        <v>85</v>
      </c>
      <c r="B122" t="s">
        <v>78</v>
      </c>
      <c r="C122" t="s">
        <v>27</v>
      </c>
      <c r="D122" t="s">
        <v>61</v>
      </c>
      <c r="E122" t="str">
        <f t="shared" si="2"/>
        <v>Heat PumpHZ3WINDOW CL30 Prime Window Replacement of Double Pane Base</v>
      </c>
      <c r="F122" s="31" t="str">
        <f>Composite!B121</f>
        <v>Windows - Double Pane to Class 30 - Heating Zone 3 (Heat Pump Heating System)</v>
      </c>
      <c r="G122" s="31" t="str">
        <f>Composite!C121</f>
        <v>WINDOW CL30 Prime Window Replacement of Double Pane Base</v>
      </c>
      <c r="H122" s="31">
        <f>VLOOKUP($F122&amp;$G122,Composite!$A$5:$Q$841,H$3,FALSE)*VLOOKUP($C122,[2]!ExistingSat,MATCH($A122,[2]SATS!$C$10:$F$10,0)+1,FALSE)</f>
        <v>2615.3592899370997</v>
      </c>
      <c r="I122">
        <f>VLOOKUP($F122&amp;$G122,Composite!$A$5:$Q$841,I$3,FALSE)</f>
        <v>45</v>
      </c>
      <c r="J122" s="31">
        <f>VLOOKUP($F122&amp;$G122,Composite!$A$5:$Q$841,J$3,FALSE)*VLOOKUP($C122,[2]!ExistingSat,MATCH($A122,[2]SATS!$C$10:$F$10,0)+1,FALSE)</f>
        <v>3098.9648613559325</v>
      </c>
      <c r="K122" s="31">
        <f>VLOOKUP($F122&amp;$G122,Composite!$A$5:$Q$841,K$3,FALSE)*VLOOKUP($C122,[2]!ExistingSat,MATCH($A122,[2]SATS!$C$10:$F$10,0)+1,FALSE)</f>
        <v>0</v>
      </c>
      <c r="L122" t="str">
        <f>VLOOKUP($F122&amp;$G122,Composite!$A$5:$Q$841,L$3,FALSE)</f>
        <v>ResSHWX</v>
      </c>
      <c r="M122" s="31">
        <f>VLOOKUP($F122&amp;$G122,Composite!$A$5:$Q$841,M$3,FALSE)*VLOOKUP($C122,[2]!ExistingSat,MATCH($A122,[2]SATS!$C$10:$F$10,0)+1,FALSE)</f>
        <v>0</v>
      </c>
      <c r="N122" s="31">
        <f>VLOOKUP($F122&amp;$G122,Composite!$A$5:$Q$841,N$3,FALSE)*VLOOKUP($C122,[2]!ExistingSat,MATCH($A122,[2]SATS!$C$10:$F$10,0)+1,FALSE)</f>
        <v>0</v>
      </c>
      <c r="O122">
        <f>VLOOKUP($F122&amp;$G122,Composite!$A$5:$Q$841,O$3,FALSE)</f>
        <v>0</v>
      </c>
      <c r="P122" s="31">
        <f>VLOOKUP($F122&amp;$G122,Composite!$A$5:$Q$841,P$3,FALSE)*VLOOKUP($C122,[2]!ExistingSat,MATCH($A122,[2]SATS!$C$10:$F$10,0)+1,FALSE)</f>
        <v>0</v>
      </c>
      <c r="Q122">
        <f>VLOOKUP($F122&amp;$G122,Composite!$A$5:$Q$841,Q$3,FALSE)</f>
        <v>0</v>
      </c>
      <c r="R122" s="31">
        <f>VLOOKUP($F122&amp;$G122,Composite!$A$5:$Q$841,R$3,FALSE)*VLOOKUP($C122,[2]!ExistingSat,MATCH($A122,[2]SATS!$C$10:$F$10,0)+1,FALSE)</f>
        <v>0</v>
      </c>
      <c r="S122">
        <f>VLOOKUP($F122&amp;$G122,Composite!$A$5:$Q$841,S$3,FALSE)</f>
        <v>0</v>
      </c>
      <c r="T122" s="31">
        <f>VLOOKUP($F122&amp;$G122,Composite!$A$5:$Q$841,T$3,FALSE)*VLOOKUP($C122,[2]!ExistingSat,MATCH($A122,[2]SATS!$C$10:$F$10,0)+1,FALSE)</f>
        <v>0</v>
      </c>
    </row>
    <row r="123" spans="1:20">
      <c r="F123" s="31"/>
      <c r="H123" s="31"/>
      <c r="J123" s="31"/>
      <c r="K123" s="31"/>
      <c r="M123" s="31"/>
      <c r="N123" s="31"/>
      <c r="P123" s="31"/>
      <c r="R123" s="31"/>
      <c r="T123" s="31"/>
    </row>
    <row r="124" spans="1:20">
      <c r="F124" s="31"/>
      <c r="H124" s="31"/>
      <c r="J124" s="31"/>
      <c r="K124" s="31"/>
      <c r="M124" s="31"/>
      <c r="N124" s="31"/>
      <c r="P124" s="31"/>
      <c r="R124" s="31"/>
      <c r="T124" s="31"/>
    </row>
    <row r="125" spans="1:20">
      <c r="F125" s="31"/>
      <c r="H125" s="31"/>
      <c r="J125" s="31"/>
      <c r="K125" s="31"/>
      <c r="M125" s="31"/>
      <c r="N125" s="31"/>
      <c r="P125" s="31"/>
      <c r="R125" s="31"/>
      <c r="T125" s="31"/>
    </row>
    <row r="126" spans="1:20">
      <c r="F126" s="31"/>
      <c r="H126" s="31"/>
      <c r="J126" s="31"/>
      <c r="K126" s="31"/>
      <c r="M126" s="31"/>
      <c r="N126" s="31"/>
      <c r="P126" s="31"/>
      <c r="R126" s="31"/>
      <c r="T126" s="31"/>
    </row>
    <row r="127" spans="1:20">
      <c r="F127" s="31"/>
      <c r="H127" s="31"/>
      <c r="J127" s="31"/>
      <c r="K127" s="31"/>
      <c r="M127" s="31"/>
      <c r="N127" s="31"/>
      <c r="P127" s="31"/>
      <c r="R127" s="31"/>
      <c r="T127" s="31"/>
    </row>
    <row r="128" spans="1:20">
      <c r="F128" s="31"/>
      <c r="H128" s="31"/>
      <c r="J128" s="31"/>
      <c r="K128" s="31"/>
      <c r="M128" s="31"/>
      <c r="N128" s="31"/>
      <c r="P128" s="31"/>
      <c r="R128" s="31"/>
      <c r="T128" s="31"/>
    </row>
    <row r="129" spans="1:21">
      <c r="F129" s="31"/>
      <c r="H129" s="31"/>
      <c r="J129" s="31"/>
      <c r="K129" s="31"/>
      <c r="M129" s="31"/>
      <c r="N129" s="31"/>
      <c r="P129" s="31"/>
      <c r="R129" s="31"/>
      <c r="T129" s="31"/>
    </row>
    <row r="132" spans="1:21">
      <c r="A132" t="s">
        <v>214</v>
      </c>
    </row>
    <row r="133" spans="1:21">
      <c r="H133">
        <v>4</v>
      </c>
      <c r="I133">
        <v>5</v>
      </c>
      <c r="J133">
        <v>6</v>
      </c>
      <c r="K133">
        <v>7</v>
      </c>
      <c r="L133">
        <v>8</v>
      </c>
      <c r="M133">
        <v>9</v>
      </c>
      <c r="N133">
        <v>10</v>
      </c>
      <c r="O133">
        <v>11</v>
      </c>
      <c r="P133">
        <v>12</v>
      </c>
      <c r="Q133">
        <v>13</v>
      </c>
      <c r="R133">
        <v>14</v>
      </c>
      <c r="S133">
        <v>15</v>
      </c>
      <c r="T133">
        <v>16</v>
      </c>
      <c r="U133">
        <v>17</v>
      </c>
    </row>
    <row r="134" spans="1:21">
      <c r="F134" s="12" t="s">
        <v>2</v>
      </c>
      <c r="G134" s="13"/>
      <c r="H134" s="13"/>
      <c r="I134" s="13"/>
      <c r="J134" s="13"/>
      <c r="K134" s="13"/>
      <c r="L134" s="14"/>
      <c r="M134" s="28"/>
      <c r="N134" s="631" t="s">
        <v>3</v>
      </c>
      <c r="O134" s="632"/>
      <c r="P134" s="632"/>
      <c r="Q134" s="632"/>
      <c r="R134" s="632"/>
      <c r="S134" s="633"/>
      <c r="T134" s="634" t="s">
        <v>4</v>
      </c>
      <c r="U134" s="635"/>
    </row>
    <row r="135" spans="1:21" ht="25.5">
      <c r="F135" s="29" t="s">
        <v>5</v>
      </c>
      <c r="G135" s="29" t="s">
        <v>6</v>
      </c>
      <c r="H135" s="29" t="s">
        <v>7</v>
      </c>
      <c r="I135" s="29" t="s">
        <v>8</v>
      </c>
      <c r="J135" s="29" t="s">
        <v>9</v>
      </c>
      <c r="K135" s="29" t="s">
        <v>10</v>
      </c>
      <c r="L135" s="29" t="s">
        <v>11</v>
      </c>
      <c r="M135" s="29" t="s">
        <v>12</v>
      </c>
      <c r="N135" s="29" t="s">
        <v>13</v>
      </c>
      <c r="O135" s="29" t="s">
        <v>14</v>
      </c>
      <c r="P135" s="29" t="s">
        <v>15</v>
      </c>
      <c r="Q135" s="29" t="s">
        <v>16</v>
      </c>
      <c r="R135" s="29" t="s">
        <v>17</v>
      </c>
      <c r="S135" s="29" t="s">
        <v>18</v>
      </c>
      <c r="T135" s="30" t="s">
        <v>19</v>
      </c>
      <c r="U135" s="29" t="s">
        <v>11</v>
      </c>
    </row>
    <row r="136" spans="1:21">
      <c r="B136" t="s">
        <v>77</v>
      </c>
      <c r="C136" t="s">
        <v>59</v>
      </c>
      <c r="D136" t="s">
        <v>60</v>
      </c>
      <c r="E136" t="s">
        <v>61</v>
      </c>
      <c r="F136" s="55" t="str">
        <f>CONCATENATE(G136,"_",B136)</f>
        <v>WALL R0 - R11_Electric Zonal</v>
      </c>
      <c r="G136" s="31" t="s">
        <v>69</v>
      </c>
      <c r="H136" s="31">
        <f>VLOOKUP($B136&amp;$C$136&amp;$G136,$E$6:$U$129,H$133,FALSE)*VLOOKUP($B136,Weighting!$D$15:$G$19,MATCH(Segmented!$C$136,Weighting!$E$15:$H$15,0)+1,FALSE)+VLOOKUP($B136&amp;$D$136&amp;$G136,$E$6:$U$129,H$133,FALSE)*VLOOKUP($B136,Weighting!$D$15:$G$19,MATCH(Segmented!$D$136,Weighting!$E$15:$H$15,0)+1,FALSE)+VLOOKUP($B136&amp;$E$136&amp;$G136,$E$6:$U$129,H$133,FALSE)*VLOOKUP($B136,Weighting!$D$15:$G$19,MATCH(Segmented!$E$136,Weighting!$E$15:$H$15,0)+1,FALSE)</f>
        <v>665.44896170039999</v>
      </c>
      <c r="I136">
        <f t="shared" ref="I136:I174" si="3">VLOOKUP($B136&amp;$C$136&amp;$G136,$E$6:$U$129,I$133,FALSE)</f>
        <v>45</v>
      </c>
      <c r="J136" s="31">
        <f>VLOOKUP($B136&amp;$C$136&amp;$G136,$E$6:$U$129,J$133,FALSE)*VLOOKUP($B136,Weighting!$D$15:$G$19,MATCH(Segmented!$C$136,Weighting!$E$15:$H$15,0)+1,FALSE)+VLOOKUP($B136&amp;$D$136&amp;$G136,$E$6:$U$129,J$133,FALSE)*VLOOKUP($B136,Weighting!$D$15:$G$19,MATCH(Segmented!$D$136,Weighting!$E$15:$H$15,0)+1,FALSE)+VLOOKUP($B136&amp;$E$136&amp;$G136,$E$6:$U$129,J$133,FALSE)*VLOOKUP($B136,Weighting!$D$15:$G$19,MATCH(Segmented!$E$136,Weighting!$E$15:$H$15,0)+1,FALSE)</f>
        <v>444.2906023738596</v>
      </c>
      <c r="K136" s="31">
        <f>VLOOKUP($B136&amp;$C$136&amp;$G136,$E$6:$U$129,K$133,FALSE)*VLOOKUP($B136,Weighting!$D$15:$G$19,MATCH(Segmented!$C$136,Weighting!$E$15:$H$15,0)+1,FALSE)+VLOOKUP($B136&amp;$D$136&amp;$G136,$E$6:$U$129,K$133,FALSE)*VLOOKUP($B136,Weighting!$D$15:$G$19,MATCH(Segmented!$D$136,Weighting!$E$15:$H$15,0)+1,FALSE)+VLOOKUP($B136&amp;$E$136&amp;$G136,$E$6:$U$129,K$133,FALSE)*VLOOKUP($B136,Weighting!$D$15:$G$19,MATCH(Segmented!$E$136,Weighting!$E$15:$H$15,0)+1,FALSE)</f>
        <v>0</v>
      </c>
      <c r="L136" t="str">
        <f t="shared" ref="L136:L174" si="4">VLOOKUP($B136&amp;$C$136&amp;$G136,$E$6:$U$129,L$133,FALSE)</f>
        <v>ResSHWX</v>
      </c>
      <c r="M136" s="31">
        <f>VLOOKUP($B136&amp;$C$136&amp;$G136,$E$6:$U$129,M$133,FALSE)*VLOOKUP($B136,Weighting!$D$15:$G$19,MATCH(Segmented!$C$136,Weighting!$E$15:$H$15,0)+1,FALSE)+VLOOKUP($B136&amp;$D$136&amp;$G136,$E$6:$U$129,M$133,FALSE)*VLOOKUP($B136,Weighting!$D$15:$G$19,MATCH(Segmented!$D$136,Weighting!$E$15:$H$15,0)+1,FALSE)+VLOOKUP($B136&amp;$E$136&amp;$G136,$E$6:$U$129,M$133,FALSE)*VLOOKUP($B136,Weighting!$D$15:$G$19,MATCH(Segmented!$E$136,Weighting!$E$15:$H$15,0)+1,FALSE)</f>
        <v>0</v>
      </c>
      <c r="N136" s="31">
        <f>VLOOKUP($B136&amp;$C$136&amp;$G136,$E$6:$U$129,N$133,FALSE)*VLOOKUP($B136,Weighting!$D$15:$G$19,MATCH(Segmented!$C$136,Weighting!$E$15:$H$15,0)+1,FALSE)+VLOOKUP($B136&amp;$D$136&amp;$G136,$E$6:$U$129,N$133,FALSE)*VLOOKUP($B136,Weighting!$D$15:$G$19,MATCH(Segmented!$D$136,Weighting!$E$15:$H$15,0)+1,FALSE)+VLOOKUP($B136&amp;$E$136&amp;$G136,$E$6:$U$129,N$133,FALSE)*VLOOKUP($B136,Weighting!$D$15:$G$19,MATCH(Segmented!$E$136,Weighting!$E$15:$H$15,0)+1,FALSE)</f>
        <v>0</v>
      </c>
      <c r="O136">
        <f t="shared" ref="O136:O174" si="5">VLOOKUP($B136&amp;$C$136&amp;$G136,$E$6:$U$129,O$133,FALSE)</f>
        <v>0</v>
      </c>
      <c r="P136" s="31">
        <f>VLOOKUP($B136&amp;$C$136&amp;$G136,$E$6:$U$129,P$133,FALSE)*VLOOKUP($B136,Weighting!$D$15:$G$19,MATCH(Segmented!$C$136,Weighting!$E$15:$H$15,0)+1,FALSE)+VLOOKUP($B136&amp;$D$136&amp;$G136,$E$6:$U$129,P$133,FALSE)*VLOOKUP($B136,Weighting!$D$15:$G$19,MATCH(Segmented!$D$136,Weighting!$E$15:$H$15,0)+1,FALSE)+VLOOKUP($B136&amp;$E$136&amp;$G136,$E$6:$U$129,P$133,FALSE)*VLOOKUP($B136,Weighting!$D$15:$G$19,MATCH(Segmented!$E$136,Weighting!$E$15:$H$15,0)+1,FALSE)</f>
        <v>0</v>
      </c>
      <c r="Q136">
        <f t="shared" ref="Q136:Q174" si="6">VLOOKUP($B136&amp;$C$136&amp;$G136,$E$6:$U$129,Q$133,FALSE)</f>
        <v>0</v>
      </c>
      <c r="R136" s="31">
        <f>VLOOKUP($B136&amp;$C$136&amp;$G136,$E$6:$U$129,R$133,FALSE)*VLOOKUP($B136,Weighting!$D$15:$G$19,MATCH(Segmented!$C$136,Weighting!$E$15:$H$15,0)+1,FALSE)+VLOOKUP($B136&amp;$D$136&amp;$G136,$E$6:$U$129,R$133,FALSE)*VLOOKUP($B136,Weighting!$D$15:$G$19,MATCH(Segmented!$D$136,Weighting!$E$15:$H$15,0)+1,FALSE)+VLOOKUP($B136&amp;$E$136&amp;$G136,$E$6:$U$129,R$133,FALSE)*VLOOKUP($B136,Weighting!$D$15:$G$19,MATCH(Segmented!$E$136,Weighting!$E$15:$H$15,0)+1,FALSE)</f>
        <v>0</v>
      </c>
      <c r="S136">
        <f t="shared" ref="S136:S174" si="7">VLOOKUP($B136&amp;$C$136&amp;$G136,$E$6:$U$129,S$133,FALSE)</f>
        <v>0</v>
      </c>
      <c r="T136" s="31">
        <f>VLOOKUP($B136&amp;$C$136&amp;$G136,$E$6:$U$129,T$133,FALSE)*VLOOKUP($B136,Weighting!$D$15:$G$19,MATCH(Segmented!$C$136,Weighting!$E$15:$H$15,0)+1,FALSE)+VLOOKUP($B136&amp;$D$136&amp;$G136,$E$6:$U$129,T$133,FALSE)*VLOOKUP($B136,Weighting!$D$15:$G$19,MATCH(Segmented!$D$136,Weighting!$E$15:$H$15,0)+1,FALSE)+VLOOKUP($B136&amp;$E$136&amp;$G136,$E$6:$U$129,T$133,FALSE)*VLOOKUP($B136,Weighting!$D$15:$G$19,MATCH(Segmented!$E$136,Weighting!$E$15:$H$15,0)+1,FALSE)</f>
        <v>0</v>
      </c>
    </row>
    <row r="137" spans="1:21">
      <c r="B137" t="s">
        <v>77</v>
      </c>
      <c r="F137" s="55" t="str">
        <f t="shared" ref="F137:F174" si="8">CONCATENATE(G137,"_",B137)</f>
        <v>FLOOR R0 - R19_Electric Zonal</v>
      </c>
      <c r="G137" s="31" t="s">
        <v>70</v>
      </c>
      <c r="H137" s="31">
        <f>VLOOKUP($B137&amp;$C$136&amp;$G137,$E$6:$U$129,H$133,FALSE)*VLOOKUP($B137,Weighting!$D$15:$G$19,MATCH(Segmented!$C$136,Weighting!$E$15:$H$15,0)+1,FALSE)+VLOOKUP($B137&amp;$D$136&amp;$G137,$E$6:$U$129,H$133,FALSE)*VLOOKUP($B137,Weighting!$D$15:$G$19,MATCH(Segmented!$D$136,Weighting!$E$15:$H$15,0)+1,FALSE)+VLOOKUP($B137&amp;$E$136&amp;$G137,$E$6:$U$129,H$133,FALSE)*VLOOKUP($B137,Weighting!$D$15:$G$19,MATCH(Segmented!$E$136,Weighting!$E$15:$H$15,0)+1,FALSE)</f>
        <v>231.5149137611387</v>
      </c>
      <c r="I137">
        <f t="shared" si="3"/>
        <v>45</v>
      </c>
      <c r="J137" s="31">
        <f>VLOOKUP($B137&amp;$C$136&amp;$G137,$E$6:$U$129,J$133,FALSE)*VLOOKUP($B137,Weighting!$D$15:$G$19,MATCH(Segmented!$C$136,Weighting!$E$15:$H$15,0)+1,FALSE)+VLOOKUP($B137&amp;$D$136&amp;$G137,$E$6:$U$129,J$133,FALSE)*VLOOKUP($B137,Weighting!$D$15:$G$19,MATCH(Segmented!$D$136,Weighting!$E$15:$H$15,0)+1,FALSE)+VLOOKUP($B137&amp;$E$136&amp;$G137,$E$6:$U$129,J$133,FALSE)*VLOOKUP($B137,Weighting!$D$15:$G$19,MATCH(Segmented!$E$136,Weighting!$E$15:$H$15,0)+1,FALSE)</f>
        <v>315.42921929554086</v>
      </c>
      <c r="K137" s="31">
        <f>VLOOKUP($B137&amp;$C$136&amp;$G137,$E$6:$U$129,K$133,FALSE)*VLOOKUP($B137,Weighting!$D$15:$G$19,MATCH(Segmented!$C$136,Weighting!$E$15:$H$15,0)+1,FALSE)+VLOOKUP($B137&amp;$D$136&amp;$G137,$E$6:$U$129,K$133,FALSE)*VLOOKUP($B137,Weighting!$D$15:$G$19,MATCH(Segmented!$D$136,Weighting!$E$15:$H$15,0)+1,FALSE)+VLOOKUP($B137&amp;$E$136&amp;$G137,$E$6:$U$129,K$133,FALSE)*VLOOKUP($B137,Weighting!$D$15:$G$19,MATCH(Segmented!$E$136,Weighting!$E$15:$H$15,0)+1,FALSE)</f>
        <v>0</v>
      </c>
      <c r="L137" t="str">
        <f t="shared" si="4"/>
        <v>ResSHWX</v>
      </c>
      <c r="M137" s="31">
        <f>VLOOKUP($B137&amp;$C$136&amp;$G137,$E$6:$U$129,M$133,FALSE)*VLOOKUP($B137,Weighting!$D$15:$G$19,MATCH(Segmented!$C$136,Weighting!$E$15:$H$15,0)+1,FALSE)+VLOOKUP($B137&amp;$D$136&amp;$G137,$E$6:$U$129,M$133,FALSE)*VLOOKUP($B137,Weighting!$D$15:$G$19,MATCH(Segmented!$D$136,Weighting!$E$15:$H$15,0)+1,FALSE)+VLOOKUP($B137&amp;$E$136&amp;$G137,$E$6:$U$129,M$133,FALSE)*VLOOKUP($B137,Weighting!$D$15:$G$19,MATCH(Segmented!$E$136,Weighting!$E$15:$H$15,0)+1,FALSE)</f>
        <v>0</v>
      </c>
      <c r="N137" s="31">
        <f>VLOOKUP($B137&amp;$C$136&amp;$G137,$E$6:$U$129,N$133,FALSE)*VLOOKUP($B137,Weighting!$D$15:$G$19,MATCH(Segmented!$C$136,Weighting!$E$15:$H$15,0)+1,FALSE)+VLOOKUP($B137&amp;$D$136&amp;$G137,$E$6:$U$129,N$133,FALSE)*VLOOKUP($B137,Weighting!$D$15:$G$19,MATCH(Segmented!$D$136,Weighting!$E$15:$H$15,0)+1,FALSE)+VLOOKUP($B137&amp;$E$136&amp;$G137,$E$6:$U$129,N$133,FALSE)*VLOOKUP($B137,Weighting!$D$15:$G$19,MATCH(Segmented!$E$136,Weighting!$E$15:$H$15,0)+1,FALSE)</f>
        <v>0</v>
      </c>
      <c r="O137">
        <f t="shared" si="5"/>
        <v>0</v>
      </c>
      <c r="P137" s="31">
        <f>VLOOKUP($B137&amp;$C$136&amp;$G137,$E$6:$U$129,P$133,FALSE)*VLOOKUP($B137,Weighting!$D$15:$G$19,MATCH(Segmented!$C$136,Weighting!$E$15:$H$15,0)+1,FALSE)+VLOOKUP($B137&amp;$D$136&amp;$G137,$E$6:$U$129,P$133,FALSE)*VLOOKUP($B137,Weighting!$D$15:$G$19,MATCH(Segmented!$D$136,Weighting!$E$15:$H$15,0)+1,FALSE)+VLOOKUP($B137&amp;$E$136&amp;$G137,$E$6:$U$129,P$133,FALSE)*VLOOKUP($B137,Weighting!$D$15:$G$19,MATCH(Segmented!$E$136,Weighting!$E$15:$H$15,0)+1,FALSE)</f>
        <v>0</v>
      </c>
      <c r="Q137">
        <f t="shared" si="6"/>
        <v>0</v>
      </c>
      <c r="R137" s="31">
        <f>VLOOKUP($B137&amp;$C$136&amp;$G137,$E$6:$U$129,R$133,FALSE)*VLOOKUP($B137,Weighting!$D$15:$G$19,MATCH(Segmented!$C$136,Weighting!$E$15:$H$15,0)+1,FALSE)+VLOOKUP($B137&amp;$D$136&amp;$G137,$E$6:$U$129,R$133,FALSE)*VLOOKUP($B137,Weighting!$D$15:$G$19,MATCH(Segmented!$D$136,Weighting!$E$15:$H$15,0)+1,FALSE)+VLOOKUP($B137&amp;$E$136&amp;$G137,$E$6:$U$129,R$133,FALSE)*VLOOKUP($B137,Weighting!$D$15:$G$19,MATCH(Segmented!$E$136,Weighting!$E$15:$H$15,0)+1,FALSE)</f>
        <v>0</v>
      </c>
      <c r="S137">
        <f t="shared" si="7"/>
        <v>0</v>
      </c>
      <c r="T137" s="31">
        <f>VLOOKUP($B137&amp;$C$136&amp;$G137,$E$6:$U$129,T$133,FALSE)*VLOOKUP($B137,Weighting!$D$15:$G$19,MATCH(Segmented!$C$136,Weighting!$E$15:$H$15,0)+1,FALSE)+VLOOKUP($B137&amp;$D$136&amp;$G137,$E$6:$U$129,T$133,FALSE)*VLOOKUP($B137,Weighting!$D$15:$G$19,MATCH(Segmented!$D$136,Weighting!$E$15:$H$15,0)+1,FALSE)+VLOOKUP($B137&amp;$E$136&amp;$G137,$E$6:$U$129,T$133,FALSE)*VLOOKUP($B137,Weighting!$D$15:$G$19,MATCH(Segmented!$E$136,Weighting!$E$15:$H$15,0)+1,FALSE)</f>
        <v>0</v>
      </c>
    </row>
    <row r="138" spans="1:21">
      <c r="B138" t="s">
        <v>77</v>
      </c>
      <c r="F138" s="55" t="str">
        <f t="shared" si="8"/>
        <v>FLOOR R0 - R30_Electric Zonal</v>
      </c>
      <c r="G138" s="31" t="s">
        <v>71</v>
      </c>
      <c r="H138" s="31">
        <f>VLOOKUP($B138&amp;$C$136&amp;$G138,$E$6:$U$129,H$133,FALSE)*VLOOKUP($B138,Weighting!$D$15:$G$19,MATCH(Segmented!$C$136,Weighting!$E$15:$H$15,0)+1,FALSE)+VLOOKUP($B138&amp;$D$136&amp;$G138,$E$6:$U$129,H$133,FALSE)*VLOOKUP($B138,Weighting!$D$15:$G$19,MATCH(Segmented!$D$136,Weighting!$E$15:$H$15,0)+1,FALSE)+VLOOKUP($B138&amp;$E$136&amp;$G138,$E$6:$U$129,H$133,FALSE)*VLOOKUP($B138,Weighting!$D$15:$G$19,MATCH(Segmented!$E$136,Weighting!$E$15:$H$15,0)+1,FALSE)</f>
        <v>301.65502525173406</v>
      </c>
      <c r="I138">
        <f t="shared" si="3"/>
        <v>45</v>
      </c>
      <c r="J138" s="31">
        <f>VLOOKUP($B138&amp;$C$136&amp;$G138,$E$6:$U$129,J$133,FALSE)*VLOOKUP($B138,Weighting!$D$15:$G$19,MATCH(Segmented!$C$136,Weighting!$E$15:$H$15,0)+1,FALSE)+VLOOKUP($B138&amp;$D$136&amp;$G138,$E$6:$U$129,J$133,FALSE)*VLOOKUP($B138,Weighting!$D$15:$G$19,MATCH(Segmented!$D$136,Weighting!$E$15:$H$15,0)+1,FALSE)+VLOOKUP($B138&amp;$E$136&amp;$G138,$E$6:$U$129,J$133,FALSE)*VLOOKUP($B138,Weighting!$D$15:$G$19,MATCH(Segmented!$E$136,Weighting!$E$15:$H$15,0)+1,FALSE)</f>
        <v>337.57430889025602</v>
      </c>
      <c r="K138" s="31">
        <f>VLOOKUP($B138&amp;$C$136&amp;$G138,$E$6:$U$129,K$133,FALSE)*VLOOKUP($B138,Weighting!$D$15:$G$19,MATCH(Segmented!$C$136,Weighting!$E$15:$H$15,0)+1,FALSE)+VLOOKUP($B138&amp;$D$136&amp;$G138,$E$6:$U$129,K$133,FALSE)*VLOOKUP($B138,Weighting!$D$15:$G$19,MATCH(Segmented!$D$136,Weighting!$E$15:$H$15,0)+1,FALSE)+VLOOKUP($B138&amp;$E$136&amp;$G138,$E$6:$U$129,K$133,FALSE)*VLOOKUP($B138,Weighting!$D$15:$G$19,MATCH(Segmented!$E$136,Weighting!$E$15:$H$15,0)+1,FALSE)</f>
        <v>0</v>
      </c>
      <c r="L138" t="str">
        <f t="shared" si="4"/>
        <v>ResSHWX</v>
      </c>
      <c r="M138" s="31">
        <f>VLOOKUP($B138&amp;$C$136&amp;$G138,$E$6:$U$129,M$133,FALSE)*VLOOKUP($B138,Weighting!$D$15:$G$19,MATCH(Segmented!$C$136,Weighting!$E$15:$H$15,0)+1,FALSE)+VLOOKUP($B138&amp;$D$136&amp;$G138,$E$6:$U$129,M$133,FALSE)*VLOOKUP($B138,Weighting!$D$15:$G$19,MATCH(Segmented!$D$136,Weighting!$E$15:$H$15,0)+1,FALSE)+VLOOKUP($B138&amp;$E$136&amp;$G138,$E$6:$U$129,M$133,FALSE)*VLOOKUP($B138,Weighting!$D$15:$G$19,MATCH(Segmented!$E$136,Weighting!$E$15:$H$15,0)+1,FALSE)</f>
        <v>0</v>
      </c>
      <c r="N138" s="31">
        <f>VLOOKUP($B138&amp;$C$136&amp;$G138,$E$6:$U$129,N$133,FALSE)*VLOOKUP($B138,Weighting!$D$15:$G$19,MATCH(Segmented!$C$136,Weighting!$E$15:$H$15,0)+1,FALSE)+VLOOKUP($B138&amp;$D$136&amp;$G138,$E$6:$U$129,N$133,FALSE)*VLOOKUP($B138,Weighting!$D$15:$G$19,MATCH(Segmented!$D$136,Weighting!$E$15:$H$15,0)+1,FALSE)+VLOOKUP($B138&amp;$E$136&amp;$G138,$E$6:$U$129,N$133,FALSE)*VLOOKUP($B138,Weighting!$D$15:$G$19,MATCH(Segmented!$E$136,Weighting!$E$15:$H$15,0)+1,FALSE)</f>
        <v>0</v>
      </c>
      <c r="O138">
        <f t="shared" si="5"/>
        <v>0</v>
      </c>
      <c r="P138" s="31">
        <f>VLOOKUP($B138&amp;$C$136&amp;$G138,$E$6:$U$129,P$133,FALSE)*VLOOKUP($B138,Weighting!$D$15:$G$19,MATCH(Segmented!$C$136,Weighting!$E$15:$H$15,0)+1,FALSE)+VLOOKUP($B138&amp;$D$136&amp;$G138,$E$6:$U$129,P$133,FALSE)*VLOOKUP($B138,Weighting!$D$15:$G$19,MATCH(Segmented!$D$136,Weighting!$E$15:$H$15,0)+1,FALSE)+VLOOKUP($B138&amp;$E$136&amp;$G138,$E$6:$U$129,P$133,FALSE)*VLOOKUP($B138,Weighting!$D$15:$G$19,MATCH(Segmented!$E$136,Weighting!$E$15:$H$15,0)+1,FALSE)</f>
        <v>0</v>
      </c>
      <c r="Q138">
        <f t="shared" si="6"/>
        <v>0</v>
      </c>
      <c r="R138" s="31">
        <f>VLOOKUP($B138&amp;$C$136&amp;$G138,$E$6:$U$129,R$133,FALSE)*VLOOKUP($B138,Weighting!$D$15:$G$19,MATCH(Segmented!$C$136,Weighting!$E$15:$H$15,0)+1,FALSE)+VLOOKUP($B138&amp;$D$136&amp;$G138,$E$6:$U$129,R$133,FALSE)*VLOOKUP($B138,Weighting!$D$15:$G$19,MATCH(Segmented!$D$136,Weighting!$E$15:$H$15,0)+1,FALSE)+VLOOKUP($B138&amp;$E$136&amp;$G138,$E$6:$U$129,R$133,FALSE)*VLOOKUP($B138,Weighting!$D$15:$G$19,MATCH(Segmented!$E$136,Weighting!$E$15:$H$15,0)+1,FALSE)</f>
        <v>0</v>
      </c>
      <c r="S138">
        <f t="shared" si="7"/>
        <v>0</v>
      </c>
      <c r="T138" s="31">
        <f>VLOOKUP($B138&amp;$C$136&amp;$G138,$E$6:$U$129,T$133,FALSE)*VLOOKUP($B138,Weighting!$D$15:$G$19,MATCH(Segmented!$C$136,Weighting!$E$15:$H$15,0)+1,FALSE)+VLOOKUP($B138&amp;$D$136&amp;$G138,$E$6:$U$129,T$133,FALSE)*VLOOKUP($B138,Weighting!$D$15:$G$19,MATCH(Segmented!$D$136,Weighting!$E$15:$H$15,0)+1,FALSE)+VLOOKUP($B138&amp;$E$136&amp;$G138,$E$6:$U$129,T$133,FALSE)*VLOOKUP($B138,Weighting!$D$15:$G$19,MATCH(Segmented!$E$136,Weighting!$E$15:$H$15,0)+1,FALSE)</f>
        <v>0</v>
      </c>
    </row>
    <row r="139" spans="1:21">
      <c r="B139" t="s">
        <v>77</v>
      </c>
      <c r="F139" s="55" t="str">
        <f t="shared" si="8"/>
        <v>ATTIC R0 - R19_Electric Zonal</v>
      </c>
      <c r="G139" s="31" t="s">
        <v>1080</v>
      </c>
      <c r="H139" s="31">
        <f>VLOOKUP($B139&amp;$C$136&amp;$G139,$E$6:$U$129,H$133,FALSE)*VLOOKUP($B139,Weighting!$D$15:$G$19,MATCH(Segmented!$C$136,Weighting!$E$15:$H$15,0)+1,FALSE)+VLOOKUP($B139&amp;$D$136&amp;$G139,$E$6:$U$129,H$133,FALSE)*VLOOKUP($B139,Weighting!$D$15:$G$19,MATCH(Segmented!$D$136,Weighting!$E$15:$H$15,0)+1,FALSE)+VLOOKUP($B139&amp;$E$136&amp;$G139,$E$6:$U$129,H$133,FALSE)*VLOOKUP($B139,Weighting!$D$15:$G$19,MATCH(Segmented!$E$136,Weighting!$E$15:$H$15,0)+1,FALSE)</f>
        <v>172.2234794592041</v>
      </c>
      <c r="I139">
        <f t="shared" si="3"/>
        <v>45</v>
      </c>
      <c r="J139" s="31">
        <f>VLOOKUP($B139&amp;$C$136&amp;$G139,$E$6:$U$129,J$133,FALSE)*VLOOKUP($B139,Weighting!$D$15:$G$19,MATCH(Segmented!$C$136,Weighting!$E$15:$H$15,0)+1,FALSE)+VLOOKUP($B139&amp;$D$136&amp;$G139,$E$6:$U$129,J$133,FALSE)*VLOOKUP($B139,Weighting!$D$15:$G$19,MATCH(Segmented!$D$136,Weighting!$E$15:$H$15,0)+1,FALSE)+VLOOKUP($B139&amp;$E$136&amp;$G139,$E$6:$U$129,J$133,FALSE)*VLOOKUP($B139,Weighting!$D$15:$G$19,MATCH(Segmented!$E$136,Weighting!$E$15:$H$15,0)+1,FALSE)</f>
        <v>196.91489394951594</v>
      </c>
      <c r="K139" s="31">
        <f>VLOOKUP($B139&amp;$C$136&amp;$G139,$E$6:$U$129,K$133,FALSE)*VLOOKUP($B139,Weighting!$D$15:$G$19,MATCH(Segmented!$C$136,Weighting!$E$15:$H$15,0)+1,FALSE)+VLOOKUP($B139&amp;$D$136&amp;$G139,$E$6:$U$129,K$133,FALSE)*VLOOKUP($B139,Weighting!$D$15:$G$19,MATCH(Segmented!$D$136,Weighting!$E$15:$H$15,0)+1,FALSE)+VLOOKUP($B139&amp;$E$136&amp;$G139,$E$6:$U$129,K$133,FALSE)*VLOOKUP($B139,Weighting!$D$15:$G$19,MATCH(Segmented!$E$136,Weighting!$E$15:$H$15,0)+1,FALSE)</f>
        <v>0</v>
      </c>
      <c r="L139" t="str">
        <f t="shared" si="4"/>
        <v>ResSHWX</v>
      </c>
      <c r="M139" s="31">
        <f>VLOOKUP($B139&amp;$C$136&amp;$G139,$E$6:$U$129,M$133,FALSE)*VLOOKUP($B139,Weighting!$D$15:$G$19,MATCH(Segmented!$C$136,Weighting!$E$15:$H$15,0)+1,FALSE)+VLOOKUP($B139&amp;$D$136&amp;$G139,$E$6:$U$129,M$133,FALSE)*VLOOKUP($B139,Weighting!$D$15:$G$19,MATCH(Segmented!$D$136,Weighting!$E$15:$H$15,0)+1,FALSE)+VLOOKUP($B139&amp;$E$136&amp;$G139,$E$6:$U$129,M$133,FALSE)*VLOOKUP($B139,Weighting!$D$15:$G$19,MATCH(Segmented!$E$136,Weighting!$E$15:$H$15,0)+1,FALSE)</f>
        <v>0</v>
      </c>
      <c r="N139" s="31">
        <f>VLOOKUP($B139&amp;$C$136&amp;$G139,$E$6:$U$129,N$133,FALSE)*VLOOKUP($B139,Weighting!$D$15:$G$19,MATCH(Segmented!$C$136,Weighting!$E$15:$H$15,0)+1,FALSE)+VLOOKUP($B139&amp;$D$136&amp;$G139,$E$6:$U$129,N$133,FALSE)*VLOOKUP($B139,Weighting!$D$15:$G$19,MATCH(Segmented!$D$136,Weighting!$E$15:$H$15,0)+1,FALSE)+VLOOKUP($B139&amp;$E$136&amp;$G139,$E$6:$U$129,N$133,FALSE)*VLOOKUP($B139,Weighting!$D$15:$G$19,MATCH(Segmented!$E$136,Weighting!$E$15:$H$15,0)+1,FALSE)</f>
        <v>0</v>
      </c>
      <c r="O139">
        <f t="shared" si="5"/>
        <v>0</v>
      </c>
      <c r="P139" s="31">
        <f>VLOOKUP($B139&amp;$C$136&amp;$G139,$E$6:$U$129,P$133,FALSE)*VLOOKUP($B139,Weighting!$D$15:$G$19,MATCH(Segmented!$C$136,Weighting!$E$15:$H$15,0)+1,FALSE)+VLOOKUP($B139&amp;$D$136&amp;$G139,$E$6:$U$129,P$133,FALSE)*VLOOKUP($B139,Weighting!$D$15:$G$19,MATCH(Segmented!$D$136,Weighting!$E$15:$H$15,0)+1,FALSE)+VLOOKUP($B139&amp;$E$136&amp;$G139,$E$6:$U$129,P$133,FALSE)*VLOOKUP($B139,Weighting!$D$15:$G$19,MATCH(Segmented!$E$136,Weighting!$E$15:$H$15,0)+1,FALSE)</f>
        <v>0</v>
      </c>
      <c r="Q139">
        <f t="shared" si="6"/>
        <v>0</v>
      </c>
      <c r="R139" s="31">
        <f>VLOOKUP($B139&amp;$C$136&amp;$G139,$E$6:$U$129,R$133,FALSE)*VLOOKUP($B139,Weighting!$D$15:$G$19,MATCH(Segmented!$C$136,Weighting!$E$15:$H$15,0)+1,FALSE)+VLOOKUP($B139&amp;$D$136&amp;$G139,$E$6:$U$129,R$133,FALSE)*VLOOKUP($B139,Weighting!$D$15:$G$19,MATCH(Segmented!$D$136,Weighting!$E$15:$H$15,0)+1,FALSE)+VLOOKUP($B139&amp;$E$136&amp;$G139,$E$6:$U$129,R$133,FALSE)*VLOOKUP($B139,Weighting!$D$15:$G$19,MATCH(Segmented!$E$136,Weighting!$E$15:$H$15,0)+1,FALSE)</f>
        <v>0</v>
      </c>
      <c r="S139">
        <f t="shared" si="7"/>
        <v>0</v>
      </c>
      <c r="T139" s="31">
        <f>VLOOKUP($B139&amp;$C$136&amp;$G139,$E$6:$U$129,T$133,FALSE)*VLOOKUP($B139,Weighting!$D$15:$G$19,MATCH(Segmented!$C$136,Weighting!$E$15:$H$15,0)+1,FALSE)+VLOOKUP($B139&amp;$D$136&amp;$G139,$E$6:$U$129,T$133,FALSE)*VLOOKUP($B139,Weighting!$D$15:$G$19,MATCH(Segmented!$D$136,Weighting!$E$15:$H$15,0)+1,FALSE)+VLOOKUP($B139&amp;$E$136&amp;$G139,$E$6:$U$129,T$133,FALSE)*VLOOKUP($B139,Weighting!$D$15:$G$19,MATCH(Segmented!$E$136,Weighting!$E$15:$H$15,0)+1,FALSE)</f>
        <v>0</v>
      </c>
    </row>
    <row r="140" spans="1:21">
      <c r="B140" t="s">
        <v>77</v>
      </c>
      <c r="F140" s="55" t="str">
        <f t="shared" si="8"/>
        <v>ATTIC R0 - R38_Electric Zonal</v>
      </c>
      <c r="G140" s="31" t="s">
        <v>65</v>
      </c>
      <c r="H140" s="31">
        <f>VLOOKUP($B140&amp;$C$136&amp;$G140,$E$6:$U$129,H$133,FALSE)*VLOOKUP($B140,Weighting!$D$15:$G$19,MATCH(Segmented!$C$136,Weighting!$E$15:$H$15,0)+1,FALSE)+VLOOKUP($B140&amp;$D$136&amp;$G140,$E$6:$U$129,H$133,FALSE)*VLOOKUP($B140,Weighting!$D$15:$G$19,MATCH(Segmented!$D$136,Weighting!$E$15:$H$15,0)+1,FALSE)+VLOOKUP($B140&amp;$E$136&amp;$G140,$E$6:$U$129,H$133,FALSE)*VLOOKUP($B140,Weighting!$D$15:$G$19,MATCH(Segmented!$E$136,Weighting!$E$15:$H$15,0)+1,FALSE)</f>
        <v>234.70130472703235</v>
      </c>
      <c r="I140">
        <f t="shared" si="3"/>
        <v>45</v>
      </c>
      <c r="J140" s="31">
        <f>VLOOKUP($B140&amp;$C$136&amp;$G140,$E$6:$U$129,J$133,FALSE)*VLOOKUP($B140,Weighting!$D$15:$G$19,MATCH(Segmented!$C$136,Weighting!$E$15:$H$15,0)+1,FALSE)+VLOOKUP($B140&amp;$D$136&amp;$G140,$E$6:$U$129,J$133,FALSE)*VLOOKUP($B140,Weighting!$D$15:$G$19,MATCH(Segmented!$D$136,Weighting!$E$15:$H$15,0)+1,FALSE)+VLOOKUP($B140&amp;$E$136&amp;$G140,$E$6:$U$129,J$133,FALSE)*VLOOKUP($B140,Weighting!$D$15:$G$19,MATCH(Segmented!$E$136,Weighting!$E$15:$H$15,0)+1,FALSE)</f>
        <v>262.65009234084528</v>
      </c>
      <c r="K140" s="31">
        <f>VLOOKUP($B140&amp;$C$136&amp;$G140,$E$6:$U$129,K$133,FALSE)*VLOOKUP($B140,Weighting!$D$15:$G$19,MATCH(Segmented!$C$136,Weighting!$E$15:$H$15,0)+1,FALSE)+VLOOKUP($B140&amp;$D$136&amp;$G140,$E$6:$U$129,K$133,FALSE)*VLOOKUP($B140,Weighting!$D$15:$G$19,MATCH(Segmented!$D$136,Weighting!$E$15:$H$15,0)+1,FALSE)+VLOOKUP($B140&amp;$E$136&amp;$G140,$E$6:$U$129,K$133,FALSE)*VLOOKUP($B140,Weighting!$D$15:$G$19,MATCH(Segmented!$E$136,Weighting!$E$15:$H$15,0)+1,FALSE)</f>
        <v>0</v>
      </c>
      <c r="L140" t="str">
        <f t="shared" si="4"/>
        <v>ResSHWX</v>
      </c>
      <c r="M140" s="31">
        <f>VLOOKUP($B140&amp;$C$136&amp;$G140,$E$6:$U$129,M$133,FALSE)*VLOOKUP($B140,Weighting!$D$15:$G$19,MATCH(Segmented!$C$136,Weighting!$E$15:$H$15,0)+1,FALSE)+VLOOKUP($B140&amp;$D$136&amp;$G140,$E$6:$U$129,M$133,FALSE)*VLOOKUP($B140,Weighting!$D$15:$G$19,MATCH(Segmented!$D$136,Weighting!$E$15:$H$15,0)+1,FALSE)+VLOOKUP($B140&amp;$E$136&amp;$G140,$E$6:$U$129,M$133,FALSE)*VLOOKUP($B140,Weighting!$D$15:$G$19,MATCH(Segmented!$E$136,Weighting!$E$15:$H$15,0)+1,FALSE)</f>
        <v>0</v>
      </c>
      <c r="N140" s="31">
        <f>VLOOKUP($B140&amp;$C$136&amp;$G140,$E$6:$U$129,N$133,FALSE)*VLOOKUP($B140,Weighting!$D$15:$G$19,MATCH(Segmented!$C$136,Weighting!$E$15:$H$15,0)+1,FALSE)+VLOOKUP($B140&amp;$D$136&amp;$G140,$E$6:$U$129,N$133,FALSE)*VLOOKUP($B140,Weighting!$D$15:$G$19,MATCH(Segmented!$D$136,Weighting!$E$15:$H$15,0)+1,FALSE)+VLOOKUP($B140&amp;$E$136&amp;$G140,$E$6:$U$129,N$133,FALSE)*VLOOKUP($B140,Weighting!$D$15:$G$19,MATCH(Segmented!$E$136,Weighting!$E$15:$H$15,0)+1,FALSE)</f>
        <v>0</v>
      </c>
      <c r="O140">
        <f t="shared" si="5"/>
        <v>0</v>
      </c>
      <c r="P140" s="31">
        <f>VLOOKUP($B140&amp;$C$136&amp;$G140,$E$6:$U$129,P$133,FALSE)*VLOOKUP($B140,Weighting!$D$15:$G$19,MATCH(Segmented!$C$136,Weighting!$E$15:$H$15,0)+1,FALSE)+VLOOKUP($B140&amp;$D$136&amp;$G140,$E$6:$U$129,P$133,FALSE)*VLOOKUP($B140,Weighting!$D$15:$G$19,MATCH(Segmented!$D$136,Weighting!$E$15:$H$15,0)+1,FALSE)+VLOOKUP($B140&amp;$E$136&amp;$G140,$E$6:$U$129,P$133,FALSE)*VLOOKUP($B140,Weighting!$D$15:$G$19,MATCH(Segmented!$E$136,Weighting!$E$15:$H$15,0)+1,FALSE)</f>
        <v>0</v>
      </c>
      <c r="Q140">
        <f t="shared" si="6"/>
        <v>0</v>
      </c>
      <c r="R140" s="31">
        <f>VLOOKUP($B140&amp;$C$136&amp;$G140,$E$6:$U$129,R$133,FALSE)*VLOOKUP($B140,Weighting!$D$15:$G$19,MATCH(Segmented!$C$136,Weighting!$E$15:$H$15,0)+1,FALSE)+VLOOKUP($B140&amp;$D$136&amp;$G140,$E$6:$U$129,R$133,FALSE)*VLOOKUP($B140,Weighting!$D$15:$G$19,MATCH(Segmented!$D$136,Weighting!$E$15:$H$15,0)+1,FALSE)+VLOOKUP($B140&amp;$E$136&amp;$G140,$E$6:$U$129,R$133,FALSE)*VLOOKUP($B140,Weighting!$D$15:$G$19,MATCH(Segmented!$E$136,Weighting!$E$15:$H$15,0)+1,FALSE)</f>
        <v>0</v>
      </c>
      <c r="S140">
        <f t="shared" si="7"/>
        <v>0</v>
      </c>
      <c r="T140" s="31">
        <f>VLOOKUP($B140&amp;$C$136&amp;$G140,$E$6:$U$129,T$133,FALSE)*VLOOKUP($B140,Weighting!$D$15:$G$19,MATCH(Segmented!$C$136,Weighting!$E$15:$H$15,0)+1,FALSE)+VLOOKUP($B140&amp;$D$136&amp;$G140,$E$6:$U$129,T$133,FALSE)*VLOOKUP($B140,Weighting!$D$15:$G$19,MATCH(Segmented!$D$136,Weighting!$E$15:$H$15,0)+1,FALSE)+VLOOKUP($B140&amp;$E$136&amp;$G140,$E$6:$U$129,T$133,FALSE)*VLOOKUP($B140,Weighting!$D$15:$G$19,MATCH(Segmented!$E$136,Weighting!$E$15:$H$15,0)+1,FALSE)</f>
        <v>0</v>
      </c>
    </row>
    <row r="141" spans="1:21">
      <c r="B141" t="s">
        <v>77</v>
      </c>
      <c r="F141" s="55" t="str">
        <f t="shared" si="8"/>
        <v>ATTIC R0 - R49_Electric Zonal</v>
      </c>
      <c r="G141" s="31" t="s">
        <v>66</v>
      </c>
      <c r="H141" s="31">
        <f>VLOOKUP($B141&amp;$C$136&amp;$G141,$E$6:$U$129,H$133,FALSE)*VLOOKUP($B141,Weighting!$D$15:$G$19,MATCH(Segmented!$C$136,Weighting!$E$15:$H$15,0)+1,FALSE)+VLOOKUP($B141&amp;$D$136&amp;$G141,$E$6:$U$129,H$133,FALSE)*VLOOKUP($B141,Weighting!$D$15:$G$19,MATCH(Segmented!$D$136,Weighting!$E$15:$H$15,0)+1,FALSE)+VLOOKUP($B141&amp;$E$136&amp;$G141,$E$6:$U$129,H$133,FALSE)*VLOOKUP($B141,Weighting!$D$15:$G$19,MATCH(Segmented!$E$136,Weighting!$E$15:$H$15,0)+1,FALSE)</f>
        <v>249.19752687988947</v>
      </c>
      <c r="I141">
        <f t="shared" si="3"/>
        <v>45</v>
      </c>
      <c r="J141" s="31">
        <f>VLOOKUP($B141&amp;$C$136&amp;$G141,$E$6:$U$129,J$133,FALSE)*VLOOKUP($B141,Weighting!$D$15:$G$19,MATCH(Segmented!$C$136,Weighting!$E$15:$H$15,0)+1,FALSE)+VLOOKUP($B141&amp;$D$136&amp;$G141,$E$6:$U$129,J$133,FALSE)*VLOOKUP($B141,Weighting!$D$15:$G$19,MATCH(Segmented!$D$136,Weighting!$E$15:$H$15,0)+1,FALSE)+VLOOKUP($B141&amp;$E$136&amp;$G141,$E$6:$U$129,J$133,FALSE)*VLOOKUP($B141,Weighting!$D$15:$G$19,MATCH(Segmented!$E$136,Weighting!$E$15:$H$15,0)+1,FALSE)</f>
        <v>297.93884832438431</v>
      </c>
      <c r="K141" s="31">
        <f>VLOOKUP($B141&amp;$C$136&amp;$G141,$E$6:$U$129,K$133,FALSE)*VLOOKUP($B141,Weighting!$D$15:$G$19,MATCH(Segmented!$C$136,Weighting!$E$15:$H$15,0)+1,FALSE)+VLOOKUP($B141&amp;$D$136&amp;$G141,$E$6:$U$129,K$133,FALSE)*VLOOKUP($B141,Weighting!$D$15:$G$19,MATCH(Segmented!$D$136,Weighting!$E$15:$H$15,0)+1,FALSE)+VLOOKUP($B141&amp;$E$136&amp;$G141,$E$6:$U$129,K$133,FALSE)*VLOOKUP($B141,Weighting!$D$15:$G$19,MATCH(Segmented!$E$136,Weighting!$E$15:$H$15,0)+1,FALSE)</f>
        <v>0</v>
      </c>
      <c r="L141" t="str">
        <f t="shared" si="4"/>
        <v>ResSHWX</v>
      </c>
      <c r="M141" s="31">
        <f>VLOOKUP($B141&amp;$C$136&amp;$G141,$E$6:$U$129,M$133,FALSE)*VLOOKUP($B141,Weighting!$D$15:$G$19,MATCH(Segmented!$C$136,Weighting!$E$15:$H$15,0)+1,FALSE)+VLOOKUP($B141&amp;$D$136&amp;$G141,$E$6:$U$129,M$133,FALSE)*VLOOKUP($B141,Weighting!$D$15:$G$19,MATCH(Segmented!$D$136,Weighting!$E$15:$H$15,0)+1,FALSE)+VLOOKUP($B141&amp;$E$136&amp;$G141,$E$6:$U$129,M$133,FALSE)*VLOOKUP($B141,Weighting!$D$15:$G$19,MATCH(Segmented!$E$136,Weighting!$E$15:$H$15,0)+1,FALSE)</f>
        <v>0</v>
      </c>
      <c r="N141" s="31">
        <f>VLOOKUP($B141&amp;$C$136&amp;$G141,$E$6:$U$129,N$133,FALSE)*VLOOKUP($B141,Weighting!$D$15:$G$19,MATCH(Segmented!$C$136,Weighting!$E$15:$H$15,0)+1,FALSE)+VLOOKUP($B141&amp;$D$136&amp;$G141,$E$6:$U$129,N$133,FALSE)*VLOOKUP($B141,Weighting!$D$15:$G$19,MATCH(Segmented!$D$136,Weighting!$E$15:$H$15,0)+1,FALSE)+VLOOKUP($B141&amp;$E$136&amp;$G141,$E$6:$U$129,N$133,FALSE)*VLOOKUP($B141,Weighting!$D$15:$G$19,MATCH(Segmented!$E$136,Weighting!$E$15:$H$15,0)+1,FALSE)</f>
        <v>0</v>
      </c>
      <c r="O141">
        <f t="shared" si="5"/>
        <v>0</v>
      </c>
      <c r="P141" s="31">
        <f>VLOOKUP($B141&amp;$C$136&amp;$G141,$E$6:$U$129,P$133,FALSE)*VLOOKUP($B141,Weighting!$D$15:$G$19,MATCH(Segmented!$C$136,Weighting!$E$15:$H$15,0)+1,FALSE)+VLOOKUP($B141&amp;$D$136&amp;$G141,$E$6:$U$129,P$133,FALSE)*VLOOKUP($B141,Weighting!$D$15:$G$19,MATCH(Segmented!$D$136,Weighting!$E$15:$H$15,0)+1,FALSE)+VLOOKUP($B141&amp;$E$136&amp;$G141,$E$6:$U$129,P$133,FALSE)*VLOOKUP($B141,Weighting!$D$15:$G$19,MATCH(Segmented!$E$136,Weighting!$E$15:$H$15,0)+1,FALSE)</f>
        <v>0</v>
      </c>
      <c r="Q141">
        <f t="shared" si="6"/>
        <v>0</v>
      </c>
      <c r="R141" s="31">
        <f>VLOOKUP($B141&amp;$C$136&amp;$G141,$E$6:$U$129,R$133,FALSE)*VLOOKUP($B141,Weighting!$D$15:$G$19,MATCH(Segmented!$C$136,Weighting!$E$15:$H$15,0)+1,FALSE)+VLOOKUP($B141&amp;$D$136&amp;$G141,$E$6:$U$129,R$133,FALSE)*VLOOKUP($B141,Weighting!$D$15:$G$19,MATCH(Segmented!$D$136,Weighting!$E$15:$H$15,0)+1,FALSE)+VLOOKUP($B141&amp;$E$136&amp;$G141,$E$6:$U$129,R$133,FALSE)*VLOOKUP($B141,Weighting!$D$15:$G$19,MATCH(Segmented!$E$136,Weighting!$E$15:$H$15,0)+1,FALSE)</f>
        <v>0</v>
      </c>
      <c r="S141">
        <f t="shared" si="7"/>
        <v>0</v>
      </c>
      <c r="T141" s="31">
        <f>VLOOKUP($B141&amp;$C$136&amp;$G141,$E$6:$U$129,T$133,FALSE)*VLOOKUP($B141,Weighting!$D$15:$G$19,MATCH(Segmented!$C$136,Weighting!$E$15:$H$15,0)+1,FALSE)+VLOOKUP($B141&amp;$D$136&amp;$G141,$E$6:$U$129,T$133,FALSE)*VLOOKUP($B141,Weighting!$D$15:$G$19,MATCH(Segmented!$D$136,Weighting!$E$15:$H$15,0)+1,FALSE)+VLOOKUP($B141&amp;$E$136&amp;$G141,$E$6:$U$129,T$133,FALSE)*VLOOKUP($B141,Weighting!$D$15:$G$19,MATCH(Segmented!$E$136,Weighting!$E$15:$H$15,0)+1,FALSE)</f>
        <v>0</v>
      </c>
    </row>
    <row r="142" spans="1:21">
      <c r="B142" t="s">
        <v>77</v>
      </c>
      <c r="F142" s="55" t="str">
        <f t="shared" si="8"/>
        <v>ATTIC R19 - R30_Electric Zonal</v>
      </c>
      <c r="G142" s="31" t="s">
        <v>1081</v>
      </c>
      <c r="H142" s="31">
        <f>VLOOKUP($B142&amp;$C$136&amp;$G142,$E$6:$U$129,H$133,FALSE)*VLOOKUP($B142,Weighting!$D$15:$G$19,MATCH(Segmented!$C$136,Weighting!$E$15:$H$15,0)+1,FALSE)+VLOOKUP($B142&amp;$D$136&amp;$G142,$E$6:$U$129,H$133,FALSE)*VLOOKUP($B142,Weighting!$D$15:$G$19,MATCH(Segmented!$D$136,Weighting!$E$15:$H$15,0)+1,FALSE)+VLOOKUP($B142&amp;$E$136&amp;$G142,$E$6:$U$129,H$133,FALSE)*VLOOKUP($B142,Weighting!$D$15:$G$19,MATCH(Segmented!$E$136,Weighting!$E$15:$H$15,0)+1,FALSE)</f>
        <v>45.272011880626216</v>
      </c>
      <c r="I142">
        <f t="shared" si="3"/>
        <v>45</v>
      </c>
      <c r="J142" s="31">
        <f>VLOOKUP($B142&amp;$C$136&amp;$G142,$E$6:$U$129,J$133,FALSE)*VLOOKUP($B142,Weighting!$D$15:$G$19,MATCH(Segmented!$C$136,Weighting!$E$15:$H$15,0)+1,FALSE)+VLOOKUP($B142&amp;$D$136&amp;$G142,$E$6:$U$129,J$133,FALSE)*VLOOKUP($B142,Weighting!$D$15:$G$19,MATCH(Segmented!$D$136,Weighting!$E$15:$H$15,0)+1,FALSE)+VLOOKUP($B142&amp;$E$136&amp;$G142,$E$6:$U$129,J$133,FALSE)*VLOOKUP($B142,Weighting!$D$15:$G$19,MATCH(Segmented!$E$136,Weighting!$E$15:$H$15,0)+1,FALSE)</f>
        <v>169.97517278288436</v>
      </c>
      <c r="K142" s="31">
        <f>VLOOKUP($B142&amp;$C$136&amp;$G142,$E$6:$U$129,K$133,FALSE)*VLOOKUP($B142,Weighting!$D$15:$G$19,MATCH(Segmented!$C$136,Weighting!$E$15:$H$15,0)+1,FALSE)+VLOOKUP($B142&amp;$D$136&amp;$G142,$E$6:$U$129,K$133,FALSE)*VLOOKUP($B142,Weighting!$D$15:$G$19,MATCH(Segmented!$D$136,Weighting!$E$15:$H$15,0)+1,FALSE)+VLOOKUP($B142&amp;$E$136&amp;$G142,$E$6:$U$129,K$133,FALSE)*VLOOKUP($B142,Weighting!$D$15:$G$19,MATCH(Segmented!$E$136,Weighting!$E$15:$H$15,0)+1,FALSE)</f>
        <v>0</v>
      </c>
      <c r="L142" t="str">
        <f t="shared" si="4"/>
        <v>ResSHWX</v>
      </c>
      <c r="M142" s="31">
        <f>VLOOKUP($B142&amp;$C$136&amp;$G142,$E$6:$U$129,M$133,FALSE)*VLOOKUP($B142,Weighting!$D$15:$G$19,MATCH(Segmented!$C$136,Weighting!$E$15:$H$15,0)+1,FALSE)+VLOOKUP($B142&amp;$D$136&amp;$G142,$E$6:$U$129,M$133,FALSE)*VLOOKUP($B142,Weighting!$D$15:$G$19,MATCH(Segmented!$D$136,Weighting!$E$15:$H$15,0)+1,FALSE)+VLOOKUP($B142&amp;$E$136&amp;$G142,$E$6:$U$129,M$133,FALSE)*VLOOKUP($B142,Weighting!$D$15:$G$19,MATCH(Segmented!$E$136,Weighting!$E$15:$H$15,0)+1,FALSE)</f>
        <v>0</v>
      </c>
      <c r="N142" s="31">
        <f>VLOOKUP($B142&amp;$C$136&amp;$G142,$E$6:$U$129,N$133,FALSE)*VLOOKUP($B142,Weighting!$D$15:$G$19,MATCH(Segmented!$C$136,Weighting!$E$15:$H$15,0)+1,FALSE)+VLOOKUP($B142&amp;$D$136&amp;$G142,$E$6:$U$129,N$133,FALSE)*VLOOKUP($B142,Weighting!$D$15:$G$19,MATCH(Segmented!$D$136,Weighting!$E$15:$H$15,0)+1,FALSE)+VLOOKUP($B142&amp;$E$136&amp;$G142,$E$6:$U$129,N$133,FALSE)*VLOOKUP($B142,Weighting!$D$15:$G$19,MATCH(Segmented!$E$136,Weighting!$E$15:$H$15,0)+1,FALSE)</f>
        <v>0</v>
      </c>
      <c r="O142">
        <f t="shared" si="5"/>
        <v>0</v>
      </c>
      <c r="P142" s="31">
        <f>VLOOKUP($B142&amp;$C$136&amp;$G142,$E$6:$U$129,P$133,FALSE)*VLOOKUP($B142,Weighting!$D$15:$G$19,MATCH(Segmented!$C$136,Weighting!$E$15:$H$15,0)+1,FALSE)+VLOOKUP($B142&amp;$D$136&amp;$G142,$E$6:$U$129,P$133,FALSE)*VLOOKUP($B142,Weighting!$D$15:$G$19,MATCH(Segmented!$D$136,Weighting!$E$15:$H$15,0)+1,FALSE)+VLOOKUP($B142&amp;$E$136&amp;$G142,$E$6:$U$129,P$133,FALSE)*VLOOKUP($B142,Weighting!$D$15:$G$19,MATCH(Segmented!$E$136,Weighting!$E$15:$H$15,0)+1,FALSE)</f>
        <v>0</v>
      </c>
      <c r="Q142">
        <f t="shared" si="6"/>
        <v>0</v>
      </c>
      <c r="R142" s="31">
        <f>VLOOKUP($B142&amp;$C$136&amp;$G142,$E$6:$U$129,R$133,FALSE)*VLOOKUP($B142,Weighting!$D$15:$G$19,MATCH(Segmented!$C$136,Weighting!$E$15:$H$15,0)+1,FALSE)+VLOOKUP($B142&amp;$D$136&amp;$G142,$E$6:$U$129,R$133,FALSE)*VLOOKUP($B142,Weighting!$D$15:$G$19,MATCH(Segmented!$D$136,Weighting!$E$15:$H$15,0)+1,FALSE)+VLOOKUP($B142&amp;$E$136&amp;$G142,$E$6:$U$129,R$133,FALSE)*VLOOKUP($B142,Weighting!$D$15:$G$19,MATCH(Segmented!$E$136,Weighting!$E$15:$H$15,0)+1,FALSE)</f>
        <v>0</v>
      </c>
      <c r="S142">
        <f t="shared" si="7"/>
        <v>0</v>
      </c>
      <c r="T142" s="31">
        <f>VLOOKUP($B142&amp;$C$136&amp;$G142,$E$6:$U$129,T$133,FALSE)*VLOOKUP($B142,Weighting!$D$15:$G$19,MATCH(Segmented!$C$136,Weighting!$E$15:$H$15,0)+1,FALSE)+VLOOKUP($B142&amp;$D$136&amp;$G142,$E$6:$U$129,T$133,FALSE)*VLOOKUP($B142,Weighting!$D$15:$G$19,MATCH(Segmented!$D$136,Weighting!$E$15:$H$15,0)+1,FALSE)+VLOOKUP($B142&amp;$E$136&amp;$G142,$E$6:$U$129,T$133,FALSE)*VLOOKUP($B142,Weighting!$D$15:$G$19,MATCH(Segmented!$E$136,Weighting!$E$15:$H$15,0)+1,FALSE)</f>
        <v>0</v>
      </c>
    </row>
    <row r="143" spans="1:21">
      <c r="B143" t="s">
        <v>77</v>
      </c>
      <c r="F143" s="55" t="str">
        <f t="shared" si="8"/>
        <v>ATTIC R19 - R38_Electric Zonal</v>
      </c>
      <c r="G143" s="31" t="s">
        <v>67</v>
      </c>
      <c r="H143" s="31">
        <f>VLOOKUP($B143&amp;$C$136&amp;$G143,$E$6:$U$129,H$133,FALSE)*VLOOKUP($B143,Weighting!$D$15:$G$19,MATCH(Segmented!$C$136,Weighting!$E$15:$H$15,0)+1,FALSE)+VLOOKUP($B143&amp;$D$136&amp;$G143,$E$6:$U$129,H$133,FALSE)*VLOOKUP($B143,Weighting!$D$15:$G$19,MATCH(Segmented!$D$136,Weighting!$E$15:$H$15,0)+1,FALSE)+VLOOKUP($B143&amp;$E$136&amp;$G143,$E$6:$U$129,H$133,FALSE)*VLOOKUP($B143,Weighting!$D$15:$G$19,MATCH(Segmented!$E$136,Weighting!$E$15:$H$15,0)+1,FALSE)</f>
        <v>62.477825267828266</v>
      </c>
      <c r="I143">
        <f t="shared" si="3"/>
        <v>45</v>
      </c>
      <c r="J143" s="31">
        <f>VLOOKUP($B143&amp;$C$136&amp;$G143,$E$6:$U$129,J$133,FALSE)*VLOOKUP($B143,Weighting!$D$15:$G$19,MATCH(Segmented!$C$136,Weighting!$E$15:$H$15,0)+1,FALSE)+VLOOKUP($B143&amp;$D$136&amp;$G143,$E$6:$U$129,J$133,FALSE)*VLOOKUP($B143,Weighting!$D$15:$G$19,MATCH(Segmented!$D$136,Weighting!$E$15:$H$15,0)+1,FALSE)+VLOOKUP($B143&amp;$E$136&amp;$G143,$E$6:$U$129,J$133,FALSE)*VLOOKUP($B143,Weighting!$D$15:$G$19,MATCH(Segmented!$E$136,Weighting!$E$15:$H$15,0)+1,FALSE)</f>
        <v>198.23826361528404</v>
      </c>
      <c r="K143" s="31">
        <f>VLOOKUP($B143&amp;$C$136&amp;$G143,$E$6:$U$129,K$133,FALSE)*VLOOKUP($B143,Weighting!$D$15:$G$19,MATCH(Segmented!$C$136,Weighting!$E$15:$H$15,0)+1,FALSE)+VLOOKUP($B143&amp;$D$136&amp;$G143,$E$6:$U$129,K$133,FALSE)*VLOOKUP($B143,Weighting!$D$15:$G$19,MATCH(Segmented!$D$136,Weighting!$E$15:$H$15,0)+1,FALSE)+VLOOKUP($B143&amp;$E$136&amp;$G143,$E$6:$U$129,K$133,FALSE)*VLOOKUP($B143,Weighting!$D$15:$G$19,MATCH(Segmented!$E$136,Weighting!$E$15:$H$15,0)+1,FALSE)</f>
        <v>0</v>
      </c>
      <c r="L143" t="str">
        <f t="shared" si="4"/>
        <v>ResSHWX</v>
      </c>
      <c r="M143" s="31">
        <f>VLOOKUP($B143&amp;$C$136&amp;$G143,$E$6:$U$129,M$133,FALSE)*VLOOKUP($B143,Weighting!$D$15:$G$19,MATCH(Segmented!$C$136,Weighting!$E$15:$H$15,0)+1,FALSE)+VLOOKUP($B143&amp;$D$136&amp;$G143,$E$6:$U$129,M$133,FALSE)*VLOOKUP($B143,Weighting!$D$15:$G$19,MATCH(Segmented!$D$136,Weighting!$E$15:$H$15,0)+1,FALSE)+VLOOKUP($B143&amp;$E$136&amp;$G143,$E$6:$U$129,M$133,FALSE)*VLOOKUP($B143,Weighting!$D$15:$G$19,MATCH(Segmented!$E$136,Weighting!$E$15:$H$15,0)+1,FALSE)</f>
        <v>0</v>
      </c>
      <c r="N143" s="31">
        <f>VLOOKUP($B143&amp;$C$136&amp;$G143,$E$6:$U$129,N$133,FALSE)*VLOOKUP($B143,Weighting!$D$15:$G$19,MATCH(Segmented!$C$136,Weighting!$E$15:$H$15,0)+1,FALSE)+VLOOKUP($B143&amp;$D$136&amp;$G143,$E$6:$U$129,N$133,FALSE)*VLOOKUP($B143,Weighting!$D$15:$G$19,MATCH(Segmented!$D$136,Weighting!$E$15:$H$15,0)+1,FALSE)+VLOOKUP($B143&amp;$E$136&amp;$G143,$E$6:$U$129,N$133,FALSE)*VLOOKUP($B143,Weighting!$D$15:$G$19,MATCH(Segmented!$E$136,Weighting!$E$15:$H$15,0)+1,FALSE)</f>
        <v>0</v>
      </c>
      <c r="O143">
        <f t="shared" si="5"/>
        <v>0</v>
      </c>
      <c r="P143" s="31">
        <f>VLOOKUP($B143&amp;$C$136&amp;$G143,$E$6:$U$129,P$133,FALSE)*VLOOKUP($B143,Weighting!$D$15:$G$19,MATCH(Segmented!$C$136,Weighting!$E$15:$H$15,0)+1,FALSE)+VLOOKUP($B143&amp;$D$136&amp;$G143,$E$6:$U$129,P$133,FALSE)*VLOOKUP($B143,Weighting!$D$15:$G$19,MATCH(Segmented!$D$136,Weighting!$E$15:$H$15,0)+1,FALSE)+VLOOKUP($B143&amp;$E$136&amp;$G143,$E$6:$U$129,P$133,FALSE)*VLOOKUP($B143,Weighting!$D$15:$G$19,MATCH(Segmented!$E$136,Weighting!$E$15:$H$15,0)+1,FALSE)</f>
        <v>0</v>
      </c>
      <c r="Q143">
        <f t="shared" si="6"/>
        <v>0</v>
      </c>
      <c r="R143" s="31">
        <f>VLOOKUP($B143&amp;$C$136&amp;$G143,$E$6:$U$129,R$133,FALSE)*VLOOKUP($B143,Weighting!$D$15:$G$19,MATCH(Segmented!$C$136,Weighting!$E$15:$H$15,0)+1,FALSE)+VLOOKUP($B143&amp;$D$136&amp;$G143,$E$6:$U$129,R$133,FALSE)*VLOOKUP($B143,Weighting!$D$15:$G$19,MATCH(Segmented!$D$136,Weighting!$E$15:$H$15,0)+1,FALSE)+VLOOKUP($B143&amp;$E$136&amp;$G143,$E$6:$U$129,R$133,FALSE)*VLOOKUP($B143,Weighting!$D$15:$G$19,MATCH(Segmented!$E$136,Weighting!$E$15:$H$15,0)+1,FALSE)</f>
        <v>0</v>
      </c>
      <c r="S143">
        <f t="shared" si="7"/>
        <v>0</v>
      </c>
      <c r="T143" s="31">
        <f>VLOOKUP($B143&amp;$C$136&amp;$G143,$E$6:$U$129,T$133,FALSE)*VLOOKUP($B143,Weighting!$D$15:$G$19,MATCH(Segmented!$C$136,Weighting!$E$15:$H$15,0)+1,FALSE)+VLOOKUP($B143&amp;$D$136&amp;$G143,$E$6:$U$129,T$133,FALSE)*VLOOKUP($B143,Weighting!$D$15:$G$19,MATCH(Segmented!$D$136,Weighting!$E$15:$H$15,0)+1,FALSE)+VLOOKUP($B143&amp;$E$136&amp;$G143,$E$6:$U$129,T$133,FALSE)*VLOOKUP($B143,Weighting!$D$15:$G$19,MATCH(Segmented!$E$136,Weighting!$E$15:$H$15,0)+1,FALSE)</f>
        <v>0</v>
      </c>
    </row>
    <row r="144" spans="1:21">
      <c r="B144" t="s">
        <v>77</v>
      </c>
      <c r="F144" s="55" t="str">
        <f t="shared" si="8"/>
        <v>ATTIC R19 - R49_Electric Zonal</v>
      </c>
      <c r="G144" s="31" t="s">
        <v>68</v>
      </c>
      <c r="H144" s="31">
        <f>VLOOKUP($B144&amp;$C$136&amp;$G144,$E$6:$U$129,H$133,FALSE)*VLOOKUP($B144,Weighting!$D$15:$G$19,MATCH(Segmented!$C$136,Weighting!$E$15:$H$15,0)+1,FALSE)+VLOOKUP($B144&amp;$D$136&amp;$G144,$E$6:$U$129,H$133,FALSE)*VLOOKUP($B144,Weighting!$D$15:$G$19,MATCH(Segmented!$D$136,Weighting!$E$15:$H$15,0)+1,FALSE)+VLOOKUP($B144&amp;$E$136&amp;$G144,$E$6:$U$129,H$133,FALSE)*VLOOKUP($B144,Weighting!$D$15:$G$19,MATCH(Segmented!$E$136,Weighting!$E$15:$H$15,0)+1,FALSE)</f>
        <v>76.974047420685338</v>
      </c>
      <c r="I144">
        <f t="shared" si="3"/>
        <v>45</v>
      </c>
      <c r="J144" s="31">
        <f>VLOOKUP($B144&amp;$C$136&amp;$G144,$E$6:$U$129,J$133,FALSE)*VLOOKUP($B144,Weighting!$D$15:$G$19,MATCH(Segmented!$C$136,Weighting!$E$15:$H$15,0)+1,FALSE)+VLOOKUP($B144&amp;$D$136&amp;$G144,$E$6:$U$129,J$133,FALSE)*VLOOKUP($B144,Weighting!$D$15:$G$19,MATCH(Segmented!$D$136,Weighting!$E$15:$H$15,0)+1,FALSE)+VLOOKUP($B144&amp;$E$136&amp;$G144,$E$6:$U$129,J$133,FALSE)*VLOOKUP($B144,Weighting!$D$15:$G$19,MATCH(Segmented!$E$136,Weighting!$E$15:$H$15,0)+1,FALSE)</f>
        <v>235.52932235113522</v>
      </c>
      <c r="K144" s="31">
        <f>VLOOKUP($B144&amp;$C$136&amp;$G144,$E$6:$U$129,K$133,FALSE)*VLOOKUP($B144,Weighting!$D$15:$G$19,MATCH(Segmented!$C$136,Weighting!$E$15:$H$15,0)+1,FALSE)+VLOOKUP($B144&amp;$D$136&amp;$G144,$E$6:$U$129,K$133,FALSE)*VLOOKUP($B144,Weighting!$D$15:$G$19,MATCH(Segmented!$D$136,Weighting!$E$15:$H$15,0)+1,FALSE)+VLOOKUP($B144&amp;$E$136&amp;$G144,$E$6:$U$129,K$133,FALSE)*VLOOKUP($B144,Weighting!$D$15:$G$19,MATCH(Segmented!$E$136,Weighting!$E$15:$H$15,0)+1,FALSE)</f>
        <v>0</v>
      </c>
      <c r="L144" t="str">
        <f t="shared" si="4"/>
        <v>ResSHWX</v>
      </c>
      <c r="M144" s="31">
        <f>VLOOKUP($B144&amp;$C$136&amp;$G144,$E$6:$U$129,M$133,FALSE)*VLOOKUP($B144,Weighting!$D$15:$G$19,MATCH(Segmented!$C$136,Weighting!$E$15:$H$15,0)+1,FALSE)+VLOOKUP($B144&amp;$D$136&amp;$G144,$E$6:$U$129,M$133,FALSE)*VLOOKUP($B144,Weighting!$D$15:$G$19,MATCH(Segmented!$D$136,Weighting!$E$15:$H$15,0)+1,FALSE)+VLOOKUP($B144&amp;$E$136&amp;$G144,$E$6:$U$129,M$133,FALSE)*VLOOKUP($B144,Weighting!$D$15:$G$19,MATCH(Segmented!$E$136,Weighting!$E$15:$H$15,0)+1,FALSE)</f>
        <v>0</v>
      </c>
      <c r="N144" s="31">
        <f>VLOOKUP($B144&amp;$C$136&amp;$G144,$E$6:$U$129,N$133,FALSE)*VLOOKUP($B144,Weighting!$D$15:$G$19,MATCH(Segmented!$C$136,Weighting!$E$15:$H$15,0)+1,FALSE)+VLOOKUP($B144&amp;$D$136&amp;$G144,$E$6:$U$129,N$133,FALSE)*VLOOKUP($B144,Weighting!$D$15:$G$19,MATCH(Segmented!$D$136,Weighting!$E$15:$H$15,0)+1,FALSE)+VLOOKUP($B144&amp;$E$136&amp;$G144,$E$6:$U$129,N$133,FALSE)*VLOOKUP($B144,Weighting!$D$15:$G$19,MATCH(Segmented!$E$136,Weighting!$E$15:$H$15,0)+1,FALSE)</f>
        <v>0</v>
      </c>
      <c r="O144">
        <f t="shared" si="5"/>
        <v>0</v>
      </c>
      <c r="P144" s="31">
        <f>VLOOKUP($B144&amp;$C$136&amp;$G144,$E$6:$U$129,P$133,FALSE)*VLOOKUP($B144,Weighting!$D$15:$G$19,MATCH(Segmented!$C$136,Weighting!$E$15:$H$15,0)+1,FALSE)+VLOOKUP($B144&amp;$D$136&amp;$G144,$E$6:$U$129,P$133,FALSE)*VLOOKUP($B144,Weighting!$D$15:$G$19,MATCH(Segmented!$D$136,Weighting!$E$15:$H$15,0)+1,FALSE)+VLOOKUP($B144&amp;$E$136&amp;$G144,$E$6:$U$129,P$133,FALSE)*VLOOKUP($B144,Weighting!$D$15:$G$19,MATCH(Segmented!$E$136,Weighting!$E$15:$H$15,0)+1,FALSE)</f>
        <v>0</v>
      </c>
      <c r="Q144">
        <f t="shared" si="6"/>
        <v>0</v>
      </c>
      <c r="R144" s="31">
        <f>VLOOKUP($B144&amp;$C$136&amp;$G144,$E$6:$U$129,R$133,FALSE)*VLOOKUP($B144,Weighting!$D$15:$G$19,MATCH(Segmented!$C$136,Weighting!$E$15:$H$15,0)+1,FALSE)+VLOOKUP($B144&amp;$D$136&amp;$G144,$E$6:$U$129,R$133,FALSE)*VLOOKUP($B144,Weighting!$D$15:$G$19,MATCH(Segmented!$D$136,Weighting!$E$15:$H$15,0)+1,FALSE)+VLOOKUP($B144&amp;$E$136&amp;$G144,$E$6:$U$129,R$133,FALSE)*VLOOKUP($B144,Weighting!$D$15:$G$19,MATCH(Segmented!$E$136,Weighting!$E$15:$H$15,0)+1,FALSE)</f>
        <v>0</v>
      </c>
      <c r="S144">
        <f t="shared" si="7"/>
        <v>0</v>
      </c>
      <c r="T144" s="31">
        <f>VLOOKUP($B144&amp;$C$136&amp;$G144,$E$6:$U$129,T$133,FALSE)*VLOOKUP($B144,Weighting!$D$15:$G$19,MATCH(Segmented!$C$136,Weighting!$E$15:$H$15,0)+1,FALSE)+VLOOKUP($B144&amp;$D$136&amp;$G144,$E$6:$U$129,T$133,FALSE)*VLOOKUP($B144,Weighting!$D$15:$G$19,MATCH(Segmented!$D$136,Weighting!$E$15:$H$15,0)+1,FALSE)+VLOOKUP($B144&amp;$E$136&amp;$G144,$E$6:$U$129,T$133,FALSE)*VLOOKUP($B144,Weighting!$D$15:$G$19,MATCH(Segmented!$E$136,Weighting!$E$15:$H$15,0)+1,FALSE)</f>
        <v>0</v>
      </c>
    </row>
    <row r="145" spans="2:20">
      <c r="B145" t="s">
        <v>77</v>
      </c>
      <c r="F145" s="55" t="str">
        <f t="shared" si="8"/>
        <v>WINDOW CL22 Prime Window Replacement of Single Pane Base_Electric Zonal</v>
      </c>
      <c r="G145" s="31" t="s">
        <v>74</v>
      </c>
      <c r="H145" s="31">
        <f>VLOOKUP($B145&amp;$C$136&amp;$G145,$E$6:$U$129,H$133,FALSE)*VLOOKUP($B145,Weighting!$D$15:$G$19,MATCH(Segmented!$C$136,Weighting!$E$15:$H$15,0)+1,FALSE)+VLOOKUP($B145&amp;$D$136&amp;$G145,$E$6:$U$129,H$133,FALSE)*VLOOKUP($B145,Weighting!$D$15:$G$19,MATCH(Segmented!$D$136,Weighting!$E$15:$H$15,0)+1,FALSE)+VLOOKUP($B145&amp;$E$136&amp;$G145,$E$6:$U$129,H$133,FALSE)*VLOOKUP($B145,Weighting!$D$15:$G$19,MATCH(Segmented!$E$136,Weighting!$E$15:$H$15,0)+1,FALSE)</f>
        <v>4362.4664073114282</v>
      </c>
      <c r="I145">
        <f t="shared" si="3"/>
        <v>45</v>
      </c>
      <c r="J145" s="31">
        <f>VLOOKUP($B145&amp;$C$136&amp;$G145,$E$6:$U$129,J$133,FALSE)*VLOOKUP($B145,Weighting!$D$15:$G$19,MATCH(Segmented!$C$136,Weighting!$E$15:$H$15,0)+1,FALSE)+VLOOKUP($B145&amp;$D$136&amp;$G145,$E$6:$U$129,J$133,FALSE)*VLOOKUP($B145,Weighting!$D$15:$G$19,MATCH(Segmented!$D$136,Weighting!$E$15:$H$15,0)+1,FALSE)+VLOOKUP($B145&amp;$E$136&amp;$G145,$E$6:$U$129,J$133,FALSE)*VLOOKUP($B145,Weighting!$D$15:$G$19,MATCH(Segmented!$E$136,Weighting!$E$15:$H$15,0)+1,FALSE)</f>
        <v>3567.2363679851774</v>
      </c>
      <c r="K145" s="31">
        <f>VLOOKUP($B145&amp;$C$136&amp;$G145,$E$6:$U$129,K$133,FALSE)*VLOOKUP($B145,Weighting!$D$15:$G$19,MATCH(Segmented!$C$136,Weighting!$E$15:$H$15,0)+1,FALSE)+VLOOKUP($B145&amp;$D$136&amp;$G145,$E$6:$U$129,K$133,FALSE)*VLOOKUP($B145,Weighting!$D$15:$G$19,MATCH(Segmented!$D$136,Weighting!$E$15:$H$15,0)+1,FALSE)+VLOOKUP($B145&amp;$E$136&amp;$G145,$E$6:$U$129,K$133,FALSE)*VLOOKUP($B145,Weighting!$D$15:$G$19,MATCH(Segmented!$E$136,Weighting!$E$15:$H$15,0)+1,FALSE)</f>
        <v>0</v>
      </c>
      <c r="L145" t="str">
        <f t="shared" si="4"/>
        <v>ResSHWX</v>
      </c>
      <c r="M145" s="31">
        <f>VLOOKUP($B145&amp;$C$136&amp;$G145,$E$6:$U$129,M$133,FALSE)*VLOOKUP($B145,Weighting!$D$15:$G$19,MATCH(Segmented!$C$136,Weighting!$E$15:$H$15,0)+1,FALSE)+VLOOKUP($B145&amp;$D$136&amp;$G145,$E$6:$U$129,M$133,FALSE)*VLOOKUP($B145,Weighting!$D$15:$G$19,MATCH(Segmented!$D$136,Weighting!$E$15:$H$15,0)+1,FALSE)+VLOOKUP($B145&amp;$E$136&amp;$G145,$E$6:$U$129,M$133,FALSE)*VLOOKUP($B145,Weighting!$D$15:$G$19,MATCH(Segmented!$E$136,Weighting!$E$15:$H$15,0)+1,FALSE)</f>
        <v>0</v>
      </c>
      <c r="N145" s="31">
        <f>VLOOKUP($B145&amp;$C$136&amp;$G145,$E$6:$U$129,N$133,FALSE)*VLOOKUP($B145,Weighting!$D$15:$G$19,MATCH(Segmented!$C$136,Weighting!$E$15:$H$15,0)+1,FALSE)+VLOOKUP($B145&amp;$D$136&amp;$G145,$E$6:$U$129,N$133,FALSE)*VLOOKUP($B145,Weighting!$D$15:$G$19,MATCH(Segmented!$D$136,Weighting!$E$15:$H$15,0)+1,FALSE)+VLOOKUP($B145&amp;$E$136&amp;$G145,$E$6:$U$129,N$133,FALSE)*VLOOKUP($B145,Weighting!$D$15:$G$19,MATCH(Segmented!$E$136,Weighting!$E$15:$H$15,0)+1,FALSE)</f>
        <v>0</v>
      </c>
      <c r="O145">
        <f t="shared" si="5"/>
        <v>0</v>
      </c>
      <c r="P145" s="31">
        <f>VLOOKUP($B145&amp;$C$136&amp;$G145,$E$6:$U$129,P$133,FALSE)*VLOOKUP($B145,Weighting!$D$15:$G$19,MATCH(Segmented!$C$136,Weighting!$E$15:$H$15,0)+1,FALSE)+VLOOKUP($B145&amp;$D$136&amp;$G145,$E$6:$U$129,P$133,FALSE)*VLOOKUP($B145,Weighting!$D$15:$G$19,MATCH(Segmented!$D$136,Weighting!$E$15:$H$15,0)+1,FALSE)+VLOOKUP($B145&amp;$E$136&amp;$G145,$E$6:$U$129,P$133,FALSE)*VLOOKUP($B145,Weighting!$D$15:$G$19,MATCH(Segmented!$E$136,Weighting!$E$15:$H$15,0)+1,FALSE)</f>
        <v>0</v>
      </c>
      <c r="Q145">
        <f t="shared" si="6"/>
        <v>0</v>
      </c>
      <c r="R145" s="31">
        <f>VLOOKUP($B145&amp;$C$136&amp;$G145,$E$6:$U$129,R$133,FALSE)*VLOOKUP($B145,Weighting!$D$15:$G$19,MATCH(Segmented!$C$136,Weighting!$E$15:$H$15,0)+1,FALSE)+VLOOKUP($B145&amp;$D$136&amp;$G145,$E$6:$U$129,R$133,FALSE)*VLOOKUP($B145,Weighting!$D$15:$G$19,MATCH(Segmented!$D$136,Weighting!$E$15:$H$15,0)+1,FALSE)+VLOOKUP($B145&amp;$E$136&amp;$G145,$E$6:$U$129,R$133,FALSE)*VLOOKUP($B145,Weighting!$D$15:$G$19,MATCH(Segmented!$E$136,Weighting!$E$15:$H$15,0)+1,FALSE)</f>
        <v>0</v>
      </c>
      <c r="S145">
        <f t="shared" si="7"/>
        <v>0</v>
      </c>
      <c r="T145" s="31">
        <f>VLOOKUP($B145&amp;$C$136&amp;$G145,$E$6:$U$129,T$133,FALSE)*VLOOKUP($B145,Weighting!$D$15:$G$19,MATCH(Segmented!$C$136,Weighting!$E$15:$H$15,0)+1,FALSE)+VLOOKUP($B145&amp;$D$136&amp;$G145,$E$6:$U$129,T$133,FALSE)*VLOOKUP($B145,Weighting!$D$15:$G$19,MATCH(Segmented!$D$136,Weighting!$E$15:$H$15,0)+1,FALSE)+VLOOKUP($B145&amp;$E$136&amp;$G145,$E$6:$U$129,T$133,FALSE)*VLOOKUP($B145,Weighting!$D$15:$G$19,MATCH(Segmented!$E$136,Weighting!$E$15:$H$15,0)+1,FALSE)</f>
        <v>0</v>
      </c>
    </row>
    <row r="146" spans="2:20">
      <c r="B146" t="s">
        <v>77</v>
      </c>
      <c r="F146" s="55" t="str">
        <f t="shared" si="8"/>
        <v>WINDOW CL22 Prime Window Replacement of Double Pane Base_Electric Zonal</v>
      </c>
      <c r="G146" s="31" t="s">
        <v>75</v>
      </c>
      <c r="H146" s="31">
        <f>VLOOKUP($B146&amp;$C$136&amp;$G146,$E$6:$U$129,H$133,FALSE)*VLOOKUP($B146,Weighting!$D$15:$G$19,MATCH(Segmented!$C$136,Weighting!$E$15:$H$15,0)+1,FALSE)+VLOOKUP($B146&amp;$D$136&amp;$G146,$E$6:$U$129,H$133,FALSE)*VLOOKUP($B146,Weighting!$D$15:$G$19,MATCH(Segmented!$D$136,Weighting!$E$15:$H$15,0)+1,FALSE)+VLOOKUP($B146&amp;$E$136&amp;$G146,$E$6:$U$129,H$133,FALSE)*VLOOKUP($B146,Weighting!$D$15:$G$19,MATCH(Segmented!$E$136,Weighting!$E$15:$H$15,0)+1,FALSE)</f>
        <v>2581.7614686726752</v>
      </c>
      <c r="I146">
        <f t="shared" si="3"/>
        <v>45</v>
      </c>
      <c r="J146" s="31">
        <f>VLOOKUP($B146&amp;$C$136&amp;$G146,$E$6:$U$129,J$133,FALSE)*VLOOKUP($B146,Weighting!$D$15:$G$19,MATCH(Segmented!$C$136,Weighting!$E$15:$H$15,0)+1,FALSE)+VLOOKUP($B146&amp;$D$136&amp;$G146,$E$6:$U$129,J$133,FALSE)*VLOOKUP($B146,Weighting!$D$15:$G$19,MATCH(Segmented!$D$136,Weighting!$E$15:$H$15,0)+1,FALSE)+VLOOKUP($B146&amp;$E$136&amp;$G146,$E$6:$U$129,J$133,FALSE)*VLOOKUP($B146,Weighting!$D$15:$G$19,MATCH(Segmented!$E$136,Weighting!$E$15:$H$15,0)+1,FALSE)</f>
        <v>3567.2363679851774</v>
      </c>
      <c r="K146" s="31">
        <f>VLOOKUP($B146&amp;$C$136&amp;$G146,$E$6:$U$129,K$133,FALSE)*VLOOKUP($B146,Weighting!$D$15:$G$19,MATCH(Segmented!$C$136,Weighting!$E$15:$H$15,0)+1,FALSE)+VLOOKUP($B146&amp;$D$136&amp;$G146,$E$6:$U$129,K$133,FALSE)*VLOOKUP($B146,Weighting!$D$15:$G$19,MATCH(Segmented!$D$136,Weighting!$E$15:$H$15,0)+1,FALSE)+VLOOKUP($B146&amp;$E$136&amp;$G146,$E$6:$U$129,K$133,FALSE)*VLOOKUP($B146,Weighting!$D$15:$G$19,MATCH(Segmented!$E$136,Weighting!$E$15:$H$15,0)+1,FALSE)</f>
        <v>0</v>
      </c>
      <c r="L146" t="str">
        <f t="shared" si="4"/>
        <v>ResSHWX</v>
      </c>
      <c r="M146" s="31">
        <f>VLOOKUP($B146&amp;$C$136&amp;$G146,$E$6:$U$129,M$133,FALSE)*VLOOKUP($B146,Weighting!$D$15:$G$19,MATCH(Segmented!$C$136,Weighting!$E$15:$H$15,0)+1,FALSE)+VLOOKUP($B146&amp;$D$136&amp;$G146,$E$6:$U$129,M$133,FALSE)*VLOOKUP($B146,Weighting!$D$15:$G$19,MATCH(Segmented!$D$136,Weighting!$E$15:$H$15,0)+1,FALSE)+VLOOKUP($B146&amp;$E$136&amp;$G146,$E$6:$U$129,M$133,FALSE)*VLOOKUP($B146,Weighting!$D$15:$G$19,MATCH(Segmented!$E$136,Weighting!$E$15:$H$15,0)+1,FALSE)</f>
        <v>0</v>
      </c>
      <c r="N146" s="31">
        <f>VLOOKUP($B146&amp;$C$136&amp;$G146,$E$6:$U$129,N$133,FALSE)*VLOOKUP($B146,Weighting!$D$15:$G$19,MATCH(Segmented!$C$136,Weighting!$E$15:$H$15,0)+1,FALSE)+VLOOKUP($B146&amp;$D$136&amp;$G146,$E$6:$U$129,N$133,FALSE)*VLOOKUP($B146,Weighting!$D$15:$G$19,MATCH(Segmented!$D$136,Weighting!$E$15:$H$15,0)+1,FALSE)+VLOOKUP($B146&amp;$E$136&amp;$G146,$E$6:$U$129,N$133,FALSE)*VLOOKUP($B146,Weighting!$D$15:$G$19,MATCH(Segmented!$E$136,Weighting!$E$15:$H$15,0)+1,FALSE)</f>
        <v>0</v>
      </c>
      <c r="O146">
        <f t="shared" si="5"/>
        <v>0</v>
      </c>
      <c r="P146" s="31">
        <f>VLOOKUP($B146&amp;$C$136&amp;$G146,$E$6:$U$129,P$133,FALSE)*VLOOKUP($B146,Weighting!$D$15:$G$19,MATCH(Segmented!$C$136,Weighting!$E$15:$H$15,0)+1,FALSE)+VLOOKUP($B146&amp;$D$136&amp;$G146,$E$6:$U$129,P$133,FALSE)*VLOOKUP($B146,Weighting!$D$15:$G$19,MATCH(Segmented!$D$136,Weighting!$E$15:$H$15,0)+1,FALSE)+VLOOKUP($B146&amp;$E$136&amp;$G146,$E$6:$U$129,P$133,FALSE)*VLOOKUP($B146,Weighting!$D$15:$G$19,MATCH(Segmented!$E$136,Weighting!$E$15:$H$15,0)+1,FALSE)</f>
        <v>0</v>
      </c>
      <c r="Q146">
        <f t="shared" si="6"/>
        <v>0</v>
      </c>
      <c r="R146" s="31">
        <f>VLOOKUP($B146&amp;$C$136&amp;$G146,$E$6:$U$129,R$133,FALSE)*VLOOKUP($B146,Weighting!$D$15:$G$19,MATCH(Segmented!$C$136,Weighting!$E$15:$H$15,0)+1,FALSE)+VLOOKUP($B146&amp;$D$136&amp;$G146,$E$6:$U$129,R$133,FALSE)*VLOOKUP($B146,Weighting!$D$15:$G$19,MATCH(Segmented!$D$136,Weighting!$E$15:$H$15,0)+1,FALSE)+VLOOKUP($B146&amp;$E$136&amp;$G146,$E$6:$U$129,R$133,FALSE)*VLOOKUP($B146,Weighting!$D$15:$G$19,MATCH(Segmented!$E$136,Weighting!$E$15:$H$15,0)+1,FALSE)</f>
        <v>0</v>
      </c>
      <c r="S146">
        <f t="shared" si="7"/>
        <v>0</v>
      </c>
      <c r="T146" s="31">
        <f>VLOOKUP($B146&amp;$C$136&amp;$G146,$E$6:$U$129,T$133,FALSE)*VLOOKUP($B146,Weighting!$D$15:$G$19,MATCH(Segmented!$C$136,Weighting!$E$15:$H$15,0)+1,FALSE)+VLOOKUP($B146&amp;$D$136&amp;$G146,$E$6:$U$129,T$133,FALSE)*VLOOKUP($B146,Weighting!$D$15:$G$19,MATCH(Segmented!$D$136,Weighting!$E$15:$H$15,0)+1,FALSE)+VLOOKUP($B146&amp;$E$136&amp;$G146,$E$6:$U$129,T$133,FALSE)*VLOOKUP($B146,Weighting!$D$15:$G$19,MATCH(Segmented!$E$136,Weighting!$E$15:$H$15,0)+1,FALSE)</f>
        <v>0</v>
      </c>
    </row>
    <row r="147" spans="2:20">
      <c r="B147" t="s">
        <v>77</v>
      </c>
      <c r="F147" s="55" t="str">
        <f t="shared" si="8"/>
        <v>WINDOW CL30 Prime Window Replacement of Single Pane Base_Electric Zonal</v>
      </c>
      <c r="G147" s="31" t="s">
        <v>72</v>
      </c>
      <c r="H147" s="31">
        <f>VLOOKUP($B147&amp;$C$136&amp;$G147,$E$6:$U$129,H$133,FALSE)*VLOOKUP($B147,Weighting!$D$15:$G$19,MATCH(Segmented!$C$136,Weighting!$E$15:$H$15,0)+1,FALSE)+VLOOKUP($B147&amp;$D$136&amp;$G147,$E$6:$U$129,H$133,FALSE)*VLOOKUP($B147,Weighting!$D$15:$G$19,MATCH(Segmented!$D$136,Weighting!$E$15:$H$15,0)+1,FALSE)+VLOOKUP($B147&amp;$E$136&amp;$G147,$E$6:$U$129,H$133,FALSE)*VLOOKUP($B147,Weighting!$D$15:$G$19,MATCH(Segmented!$E$136,Weighting!$E$15:$H$15,0)+1,FALSE)</f>
        <v>4007.8072645659718</v>
      </c>
      <c r="I147">
        <f t="shared" si="3"/>
        <v>45</v>
      </c>
      <c r="J147" s="31">
        <f>VLOOKUP($B147&amp;$C$136&amp;$G147,$E$6:$U$129,J$133,FALSE)*VLOOKUP($B147,Weighting!$D$15:$G$19,MATCH(Segmented!$C$136,Weighting!$E$15:$H$15,0)+1,FALSE)+VLOOKUP($B147&amp;$D$136&amp;$G147,$E$6:$U$129,J$133,FALSE)*VLOOKUP($B147,Weighting!$D$15:$G$19,MATCH(Segmented!$D$136,Weighting!$E$15:$H$15,0)+1,FALSE)+VLOOKUP($B147&amp;$E$136&amp;$G147,$E$6:$U$129,J$133,FALSE)*VLOOKUP($B147,Weighting!$D$15:$G$19,MATCH(Segmented!$E$136,Weighting!$E$15:$H$15,0)+1,FALSE)</f>
        <v>2730.3075374938753</v>
      </c>
      <c r="K147" s="31">
        <f>VLOOKUP($B147&amp;$C$136&amp;$G147,$E$6:$U$129,K$133,FALSE)*VLOOKUP($B147,Weighting!$D$15:$G$19,MATCH(Segmented!$C$136,Weighting!$E$15:$H$15,0)+1,FALSE)+VLOOKUP($B147&amp;$D$136&amp;$G147,$E$6:$U$129,K$133,FALSE)*VLOOKUP($B147,Weighting!$D$15:$G$19,MATCH(Segmented!$D$136,Weighting!$E$15:$H$15,0)+1,FALSE)+VLOOKUP($B147&amp;$E$136&amp;$G147,$E$6:$U$129,K$133,FALSE)*VLOOKUP($B147,Weighting!$D$15:$G$19,MATCH(Segmented!$E$136,Weighting!$E$15:$H$15,0)+1,FALSE)</f>
        <v>0</v>
      </c>
      <c r="L147" t="str">
        <f t="shared" si="4"/>
        <v>ResSHWX</v>
      </c>
      <c r="M147" s="31">
        <f>VLOOKUP($B147&amp;$C$136&amp;$G147,$E$6:$U$129,M$133,FALSE)*VLOOKUP($B147,Weighting!$D$15:$G$19,MATCH(Segmented!$C$136,Weighting!$E$15:$H$15,0)+1,FALSE)+VLOOKUP($B147&amp;$D$136&amp;$G147,$E$6:$U$129,M$133,FALSE)*VLOOKUP($B147,Weighting!$D$15:$G$19,MATCH(Segmented!$D$136,Weighting!$E$15:$H$15,0)+1,FALSE)+VLOOKUP($B147&amp;$E$136&amp;$G147,$E$6:$U$129,M$133,FALSE)*VLOOKUP($B147,Weighting!$D$15:$G$19,MATCH(Segmented!$E$136,Weighting!$E$15:$H$15,0)+1,FALSE)</f>
        <v>0</v>
      </c>
      <c r="N147" s="31">
        <f>VLOOKUP($B147&amp;$C$136&amp;$G147,$E$6:$U$129,N$133,FALSE)*VLOOKUP($B147,Weighting!$D$15:$G$19,MATCH(Segmented!$C$136,Weighting!$E$15:$H$15,0)+1,FALSE)+VLOOKUP($B147&amp;$D$136&amp;$G147,$E$6:$U$129,N$133,FALSE)*VLOOKUP($B147,Weighting!$D$15:$G$19,MATCH(Segmented!$D$136,Weighting!$E$15:$H$15,0)+1,FALSE)+VLOOKUP($B147&amp;$E$136&amp;$G147,$E$6:$U$129,N$133,FALSE)*VLOOKUP($B147,Weighting!$D$15:$G$19,MATCH(Segmented!$E$136,Weighting!$E$15:$H$15,0)+1,FALSE)</f>
        <v>0</v>
      </c>
      <c r="O147">
        <f t="shared" si="5"/>
        <v>0</v>
      </c>
      <c r="P147" s="31">
        <f>VLOOKUP($B147&amp;$C$136&amp;$G147,$E$6:$U$129,P$133,FALSE)*VLOOKUP($B147,Weighting!$D$15:$G$19,MATCH(Segmented!$C$136,Weighting!$E$15:$H$15,0)+1,FALSE)+VLOOKUP($B147&amp;$D$136&amp;$G147,$E$6:$U$129,P$133,FALSE)*VLOOKUP($B147,Weighting!$D$15:$G$19,MATCH(Segmented!$D$136,Weighting!$E$15:$H$15,0)+1,FALSE)+VLOOKUP($B147&amp;$E$136&amp;$G147,$E$6:$U$129,P$133,FALSE)*VLOOKUP($B147,Weighting!$D$15:$G$19,MATCH(Segmented!$E$136,Weighting!$E$15:$H$15,0)+1,FALSE)</f>
        <v>0</v>
      </c>
      <c r="Q147">
        <f t="shared" si="6"/>
        <v>0</v>
      </c>
      <c r="R147" s="31">
        <f>VLOOKUP($B147&amp;$C$136&amp;$G147,$E$6:$U$129,R$133,FALSE)*VLOOKUP($B147,Weighting!$D$15:$G$19,MATCH(Segmented!$C$136,Weighting!$E$15:$H$15,0)+1,FALSE)+VLOOKUP($B147&amp;$D$136&amp;$G147,$E$6:$U$129,R$133,FALSE)*VLOOKUP($B147,Weighting!$D$15:$G$19,MATCH(Segmented!$D$136,Weighting!$E$15:$H$15,0)+1,FALSE)+VLOOKUP($B147&amp;$E$136&amp;$G147,$E$6:$U$129,R$133,FALSE)*VLOOKUP($B147,Weighting!$D$15:$G$19,MATCH(Segmented!$E$136,Weighting!$E$15:$H$15,0)+1,FALSE)</f>
        <v>0</v>
      </c>
      <c r="S147">
        <f t="shared" si="7"/>
        <v>0</v>
      </c>
      <c r="T147" s="31">
        <f>VLOOKUP($B147&amp;$C$136&amp;$G147,$E$6:$U$129,T$133,FALSE)*VLOOKUP($B147,Weighting!$D$15:$G$19,MATCH(Segmented!$C$136,Weighting!$E$15:$H$15,0)+1,FALSE)+VLOOKUP($B147&amp;$D$136&amp;$G147,$E$6:$U$129,T$133,FALSE)*VLOOKUP($B147,Weighting!$D$15:$G$19,MATCH(Segmented!$D$136,Weighting!$E$15:$H$15,0)+1,FALSE)+VLOOKUP($B147&amp;$E$136&amp;$G147,$E$6:$U$129,T$133,FALSE)*VLOOKUP($B147,Weighting!$D$15:$G$19,MATCH(Segmented!$E$136,Weighting!$E$15:$H$15,0)+1,FALSE)</f>
        <v>0</v>
      </c>
    </row>
    <row r="148" spans="2:20">
      <c r="B148" t="s">
        <v>77</v>
      </c>
      <c r="F148" s="55" t="str">
        <f t="shared" si="8"/>
        <v>WINDOW CL30 Prime Window Replacement of Double Pane Base_Electric Zonal</v>
      </c>
      <c r="G148" s="31" t="s">
        <v>73</v>
      </c>
      <c r="H148" s="31">
        <f>VLOOKUP($B148&amp;$C$136&amp;$G148,$E$6:$U$129,H$133,FALSE)*VLOOKUP($B148,Weighting!$D$15:$G$19,MATCH(Segmented!$C$136,Weighting!$E$15:$H$15,0)+1,FALSE)+VLOOKUP($B148&amp;$D$136&amp;$G148,$E$6:$U$129,H$133,FALSE)*VLOOKUP($B148,Weighting!$D$15:$G$19,MATCH(Segmented!$D$136,Weighting!$E$15:$H$15,0)+1,FALSE)+VLOOKUP($B148&amp;$E$136&amp;$G148,$E$6:$U$129,H$133,FALSE)*VLOOKUP($B148,Weighting!$D$15:$G$19,MATCH(Segmented!$E$136,Weighting!$E$15:$H$15,0)+1,FALSE)</f>
        <v>2227.1023259272174</v>
      </c>
      <c r="I148">
        <f t="shared" si="3"/>
        <v>45</v>
      </c>
      <c r="J148" s="31">
        <f>VLOOKUP($B148&amp;$C$136&amp;$G148,$E$6:$U$129,J$133,FALSE)*VLOOKUP($B148,Weighting!$D$15:$G$19,MATCH(Segmented!$C$136,Weighting!$E$15:$H$15,0)+1,FALSE)+VLOOKUP($B148&amp;$D$136&amp;$G148,$E$6:$U$129,J$133,FALSE)*VLOOKUP($B148,Weighting!$D$15:$G$19,MATCH(Segmented!$D$136,Weighting!$E$15:$H$15,0)+1,FALSE)+VLOOKUP($B148&amp;$E$136&amp;$G148,$E$6:$U$129,J$133,FALSE)*VLOOKUP($B148,Weighting!$D$15:$G$19,MATCH(Segmented!$E$136,Weighting!$E$15:$H$15,0)+1,FALSE)</f>
        <v>2730.3075374938753</v>
      </c>
      <c r="K148" s="31">
        <f>VLOOKUP($B148&amp;$C$136&amp;$G148,$E$6:$U$129,K$133,FALSE)*VLOOKUP($B148,Weighting!$D$15:$G$19,MATCH(Segmented!$C$136,Weighting!$E$15:$H$15,0)+1,FALSE)+VLOOKUP($B148&amp;$D$136&amp;$G148,$E$6:$U$129,K$133,FALSE)*VLOOKUP($B148,Weighting!$D$15:$G$19,MATCH(Segmented!$D$136,Weighting!$E$15:$H$15,0)+1,FALSE)+VLOOKUP($B148&amp;$E$136&amp;$G148,$E$6:$U$129,K$133,FALSE)*VLOOKUP($B148,Weighting!$D$15:$G$19,MATCH(Segmented!$E$136,Weighting!$E$15:$H$15,0)+1,FALSE)</f>
        <v>0</v>
      </c>
      <c r="L148" t="str">
        <f t="shared" si="4"/>
        <v>ResSHWX</v>
      </c>
      <c r="M148" s="31">
        <f>VLOOKUP($B148&amp;$C$136&amp;$G148,$E$6:$U$129,M$133,FALSE)*VLOOKUP($B148,Weighting!$D$15:$G$19,MATCH(Segmented!$C$136,Weighting!$E$15:$H$15,0)+1,FALSE)+VLOOKUP($B148&amp;$D$136&amp;$G148,$E$6:$U$129,M$133,FALSE)*VLOOKUP($B148,Weighting!$D$15:$G$19,MATCH(Segmented!$D$136,Weighting!$E$15:$H$15,0)+1,FALSE)+VLOOKUP($B148&amp;$E$136&amp;$G148,$E$6:$U$129,M$133,FALSE)*VLOOKUP($B148,Weighting!$D$15:$G$19,MATCH(Segmented!$E$136,Weighting!$E$15:$H$15,0)+1,FALSE)</f>
        <v>0</v>
      </c>
      <c r="N148" s="31">
        <f>VLOOKUP($B148&amp;$C$136&amp;$G148,$E$6:$U$129,N$133,FALSE)*VLOOKUP($B148,Weighting!$D$15:$G$19,MATCH(Segmented!$C$136,Weighting!$E$15:$H$15,0)+1,FALSE)+VLOOKUP($B148&amp;$D$136&amp;$G148,$E$6:$U$129,N$133,FALSE)*VLOOKUP($B148,Weighting!$D$15:$G$19,MATCH(Segmented!$D$136,Weighting!$E$15:$H$15,0)+1,FALSE)+VLOOKUP($B148&amp;$E$136&amp;$G148,$E$6:$U$129,N$133,FALSE)*VLOOKUP($B148,Weighting!$D$15:$G$19,MATCH(Segmented!$E$136,Weighting!$E$15:$H$15,0)+1,FALSE)</f>
        <v>0</v>
      </c>
      <c r="O148">
        <f t="shared" si="5"/>
        <v>0</v>
      </c>
      <c r="P148" s="31">
        <f>VLOOKUP($B148&amp;$C$136&amp;$G148,$E$6:$U$129,P$133,FALSE)*VLOOKUP($B148,Weighting!$D$15:$G$19,MATCH(Segmented!$C$136,Weighting!$E$15:$H$15,0)+1,FALSE)+VLOOKUP($B148&amp;$D$136&amp;$G148,$E$6:$U$129,P$133,FALSE)*VLOOKUP($B148,Weighting!$D$15:$G$19,MATCH(Segmented!$D$136,Weighting!$E$15:$H$15,0)+1,FALSE)+VLOOKUP($B148&amp;$E$136&amp;$G148,$E$6:$U$129,P$133,FALSE)*VLOOKUP($B148,Weighting!$D$15:$G$19,MATCH(Segmented!$E$136,Weighting!$E$15:$H$15,0)+1,FALSE)</f>
        <v>0</v>
      </c>
      <c r="Q148">
        <f t="shared" si="6"/>
        <v>0</v>
      </c>
      <c r="R148" s="31">
        <f>VLOOKUP($B148&amp;$C$136&amp;$G148,$E$6:$U$129,R$133,FALSE)*VLOOKUP($B148,Weighting!$D$15:$G$19,MATCH(Segmented!$C$136,Weighting!$E$15:$H$15,0)+1,FALSE)+VLOOKUP($B148&amp;$D$136&amp;$G148,$E$6:$U$129,R$133,FALSE)*VLOOKUP($B148,Weighting!$D$15:$G$19,MATCH(Segmented!$D$136,Weighting!$E$15:$H$15,0)+1,FALSE)+VLOOKUP($B148&amp;$E$136&amp;$G148,$E$6:$U$129,R$133,FALSE)*VLOOKUP($B148,Weighting!$D$15:$G$19,MATCH(Segmented!$E$136,Weighting!$E$15:$H$15,0)+1,FALSE)</f>
        <v>0</v>
      </c>
      <c r="S148">
        <f t="shared" si="7"/>
        <v>0</v>
      </c>
      <c r="T148" s="31">
        <f>VLOOKUP($B148&amp;$C$136&amp;$G148,$E$6:$U$129,T$133,FALSE)*VLOOKUP($B148,Weighting!$D$15:$G$19,MATCH(Segmented!$C$136,Weighting!$E$15:$H$15,0)+1,FALSE)+VLOOKUP($B148&amp;$D$136&amp;$G148,$E$6:$U$129,T$133,FALSE)*VLOOKUP($B148,Weighting!$D$15:$G$19,MATCH(Segmented!$D$136,Weighting!$E$15:$H$15,0)+1,FALSE)+VLOOKUP($B148&amp;$E$136&amp;$G148,$E$6:$U$129,T$133,FALSE)*VLOOKUP($B148,Weighting!$D$15:$G$19,MATCH(Segmented!$E$136,Weighting!$E$15:$H$15,0)+1,FALSE)</f>
        <v>0</v>
      </c>
    </row>
    <row r="149" spans="2:20">
      <c r="B149" t="s">
        <v>76</v>
      </c>
      <c r="F149" s="55" t="str">
        <f t="shared" si="8"/>
        <v>WALL R0 - R11_Electric FAF</v>
      </c>
      <c r="G149" s="31" t="s">
        <v>69</v>
      </c>
      <c r="H149" s="31">
        <f>VLOOKUP($B149&amp;$C$136&amp;$G149,$E$6:$U$129,H$133,FALSE)*VLOOKUP($B149,Weighting!$D$15:$G$19,MATCH(Segmented!$C$136,Weighting!$E$15:$H$15,0)+1,FALSE)+VLOOKUP($B149&amp;$D$136&amp;$G149,$E$6:$U$129,H$133,FALSE)*VLOOKUP($B149,Weighting!$D$15:$G$19,MATCH(Segmented!$D$136,Weighting!$E$15:$H$15,0)+1,FALSE)+VLOOKUP($B149&amp;$E$136&amp;$G149,$E$6:$U$129,H$133,FALSE)*VLOOKUP($B149,Weighting!$D$15:$G$19,MATCH(Segmented!$E$136,Weighting!$E$15:$H$15,0)+1,FALSE)</f>
        <v>598.19707837157569</v>
      </c>
      <c r="I149">
        <f t="shared" si="3"/>
        <v>45</v>
      </c>
      <c r="J149" s="31">
        <f>VLOOKUP($B149&amp;$C$136&amp;$G149,$E$6:$U$129,J$133,FALSE)*VLOOKUP($B149,Weighting!$D$15:$G$19,MATCH(Segmented!$C$136,Weighting!$E$15:$H$15,0)+1,FALSE)+VLOOKUP($B149&amp;$D$136&amp;$G149,$E$6:$U$129,J$133,FALSE)*VLOOKUP($B149,Weighting!$D$15:$G$19,MATCH(Segmented!$D$136,Weighting!$E$15:$H$15,0)+1,FALSE)+VLOOKUP($B149&amp;$E$136&amp;$G149,$E$6:$U$129,J$133,FALSE)*VLOOKUP($B149,Weighting!$D$15:$G$19,MATCH(Segmented!$E$136,Weighting!$E$15:$H$15,0)+1,FALSE)</f>
        <v>444.29060237385954</v>
      </c>
      <c r="K149" s="31">
        <f>VLOOKUP($B149&amp;$C$136&amp;$G149,$E$6:$U$129,K$133,FALSE)*VLOOKUP($B149,Weighting!$D$15:$G$19,MATCH(Segmented!$C$136,Weighting!$E$15:$H$15,0)+1,FALSE)+VLOOKUP($B149&amp;$D$136&amp;$G149,$E$6:$U$129,K$133,FALSE)*VLOOKUP($B149,Weighting!$D$15:$G$19,MATCH(Segmented!$D$136,Weighting!$E$15:$H$15,0)+1,FALSE)+VLOOKUP($B149&amp;$E$136&amp;$G149,$E$6:$U$129,K$133,FALSE)*VLOOKUP($B149,Weighting!$D$15:$G$19,MATCH(Segmented!$E$136,Weighting!$E$15:$H$15,0)+1,FALSE)</f>
        <v>0</v>
      </c>
      <c r="L149" t="str">
        <f t="shared" si="4"/>
        <v>ResSHWX</v>
      </c>
      <c r="M149" s="31">
        <f>VLOOKUP($B149&amp;$C$136&amp;$G149,$E$6:$U$129,M$133,FALSE)*VLOOKUP($B149,Weighting!$D$15:$G$19,MATCH(Segmented!$C$136,Weighting!$E$15:$H$15,0)+1,FALSE)+VLOOKUP($B149&amp;$D$136&amp;$G149,$E$6:$U$129,M$133,FALSE)*VLOOKUP($B149,Weighting!$D$15:$G$19,MATCH(Segmented!$D$136,Weighting!$E$15:$H$15,0)+1,FALSE)+VLOOKUP($B149&amp;$E$136&amp;$G149,$E$6:$U$129,M$133,FALSE)*VLOOKUP($B149,Weighting!$D$15:$G$19,MATCH(Segmented!$E$136,Weighting!$E$15:$H$15,0)+1,FALSE)</f>
        <v>0</v>
      </c>
      <c r="N149" s="31">
        <f>VLOOKUP($B149&amp;$C$136&amp;$G149,$E$6:$U$129,N$133,FALSE)*VLOOKUP($B149,Weighting!$D$15:$G$19,MATCH(Segmented!$C$136,Weighting!$E$15:$H$15,0)+1,FALSE)+VLOOKUP($B149&amp;$D$136&amp;$G149,$E$6:$U$129,N$133,FALSE)*VLOOKUP($B149,Weighting!$D$15:$G$19,MATCH(Segmented!$D$136,Weighting!$E$15:$H$15,0)+1,FALSE)+VLOOKUP($B149&amp;$E$136&amp;$G149,$E$6:$U$129,N$133,FALSE)*VLOOKUP($B149,Weighting!$D$15:$G$19,MATCH(Segmented!$E$136,Weighting!$E$15:$H$15,0)+1,FALSE)</f>
        <v>0</v>
      </c>
      <c r="O149">
        <f t="shared" si="5"/>
        <v>0</v>
      </c>
      <c r="P149" s="31">
        <f>VLOOKUP($B149&amp;$C$136&amp;$G149,$E$6:$U$129,P$133,FALSE)*VLOOKUP($B149,Weighting!$D$15:$G$19,MATCH(Segmented!$C$136,Weighting!$E$15:$H$15,0)+1,FALSE)+VLOOKUP($B149&amp;$D$136&amp;$G149,$E$6:$U$129,P$133,FALSE)*VLOOKUP($B149,Weighting!$D$15:$G$19,MATCH(Segmented!$D$136,Weighting!$E$15:$H$15,0)+1,FALSE)+VLOOKUP($B149&amp;$E$136&amp;$G149,$E$6:$U$129,P$133,FALSE)*VLOOKUP($B149,Weighting!$D$15:$G$19,MATCH(Segmented!$E$136,Weighting!$E$15:$H$15,0)+1,FALSE)</f>
        <v>0</v>
      </c>
      <c r="Q149">
        <f t="shared" si="6"/>
        <v>0</v>
      </c>
      <c r="R149" s="31">
        <f>VLOOKUP($B149&amp;$C$136&amp;$G149,$E$6:$U$129,R$133,FALSE)*VLOOKUP($B149,Weighting!$D$15:$G$19,MATCH(Segmented!$C$136,Weighting!$E$15:$H$15,0)+1,FALSE)+VLOOKUP($B149&amp;$D$136&amp;$G149,$E$6:$U$129,R$133,FALSE)*VLOOKUP($B149,Weighting!$D$15:$G$19,MATCH(Segmented!$D$136,Weighting!$E$15:$H$15,0)+1,FALSE)+VLOOKUP($B149&amp;$E$136&amp;$G149,$E$6:$U$129,R$133,FALSE)*VLOOKUP($B149,Weighting!$D$15:$G$19,MATCH(Segmented!$E$136,Weighting!$E$15:$H$15,0)+1,FALSE)</f>
        <v>0</v>
      </c>
      <c r="S149">
        <f t="shared" si="7"/>
        <v>0</v>
      </c>
      <c r="T149" s="31">
        <f>VLOOKUP($B149&amp;$C$136&amp;$G149,$E$6:$U$129,T$133,FALSE)*VLOOKUP($B149,Weighting!$D$15:$G$19,MATCH(Segmented!$C$136,Weighting!$E$15:$H$15,0)+1,FALSE)+VLOOKUP($B149&amp;$D$136&amp;$G149,$E$6:$U$129,T$133,FALSE)*VLOOKUP($B149,Weighting!$D$15:$G$19,MATCH(Segmented!$D$136,Weighting!$E$15:$H$15,0)+1,FALSE)+VLOOKUP($B149&amp;$E$136&amp;$G149,$E$6:$U$129,T$133,FALSE)*VLOOKUP($B149,Weighting!$D$15:$G$19,MATCH(Segmented!$E$136,Weighting!$E$15:$H$15,0)+1,FALSE)</f>
        <v>0</v>
      </c>
    </row>
    <row r="150" spans="2:20">
      <c r="B150" t="s">
        <v>76</v>
      </c>
      <c r="F150" s="55" t="str">
        <f t="shared" si="8"/>
        <v>FLOOR R0 - R19_Electric FAF</v>
      </c>
      <c r="G150" s="31" t="s">
        <v>70</v>
      </c>
      <c r="H150" s="31">
        <f>VLOOKUP($B150&amp;$C$136&amp;$G150,$E$6:$U$129,H$133,FALSE)*VLOOKUP($B150,Weighting!$D$15:$G$19,MATCH(Segmented!$C$136,Weighting!$E$15:$H$15,0)+1,FALSE)+VLOOKUP($B150&amp;$D$136&amp;$G150,$E$6:$U$129,H$133,FALSE)*VLOOKUP($B150,Weighting!$D$15:$G$19,MATCH(Segmented!$D$136,Weighting!$E$15:$H$15,0)+1,FALSE)+VLOOKUP($B150&amp;$E$136&amp;$G150,$E$6:$U$129,H$133,FALSE)*VLOOKUP($B150,Weighting!$D$15:$G$19,MATCH(Segmented!$E$136,Weighting!$E$15:$H$15,0)+1,FALSE)</f>
        <v>211.22672567616448</v>
      </c>
      <c r="I150">
        <f t="shared" si="3"/>
        <v>45</v>
      </c>
      <c r="J150" s="31">
        <f>VLOOKUP($B150&amp;$C$136&amp;$G150,$E$6:$U$129,J$133,FALSE)*VLOOKUP($B150,Weighting!$D$15:$G$19,MATCH(Segmented!$C$136,Weighting!$E$15:$H$15,0)+1,FALSE)+VLOOKUP($B150&amp;$D$136&amp;$G150,$E$6:$U$129,J$133,FALSE)*VLOOKUP($B150,Weighting!$D$15:$G$19,MATCH(Segmented!$D$136,Weighting!$E$15:$H$15,0)+1,FALSE)+VLOOKUP($B150&amp;$E$136&amp;$G150,$E$6:$U$129,J$133,FALSE)*VLOOKUP($B150,Weighting!$D$15:$G$19,MATCH(Segmented!$E$136,Weighting!$E$15:$H$15,0)+1,FALSE)</f>
        <v>315.42921929554086</v>
      </c>
      <c r="K150" s="31">
        <f>VLOOKUP($B150&amp;$C$136&amp;$G150,$E$6:$U$129,K$133,FALSE)*VLOOKUP($B150,Weighting!$D$15:$G$19,MATCH(Segmented!$C$136,Weighting!$E$15:$H$15,0)+1,FALSE)+VLOOKUP($B150&amp;$D$136&amp;$G150,$E$6:$U$129,K$133,FALSE)*VLOOKUP($B150,Weighting!$D$15:$G$19,MATCH(Segmented!$D$136,Weighting!$E$15:$H$15,0)+1,FALSE)+VLOOKUP($B150&amp;$E$136&amp;$G150,$E$6:$U$129,K$133,FALSE)*VLOOKUP($B150,Weighting!$D$15:$G$19,MATCH(Segmented!$E$136,Weighting!$E$15:$H$15,0)+1,FALSE)</f>
        <v>0</v>
      </c>
      <c r="L150" t="str">
        <f t="shared" si="4"/>
        <v>ResSHWX</v>
      </c>
      <c r="M150" s="31">
        <f>VLOOKUP($B150&amp;$C$136&amp;$G150,$E$6:$U$129,M$133,FALSE)*VLOOKUP($B150,Weighting!$D$15:$G$19,MATCH(Segmented!$C$136,Weighting!$E$15:$H$15,0)+1,FALSE)+VLOOKUP($B150&amp;$D$136&amp;$G150,$E$6:$U$129,M$133,FALSE)*VLOOKUP($B150,Weighting!$D$15:$G$19,MATCH(Segmented!$D$136,Weighting!$E$15:$H$15,0)+1,FALSE)+VLOOKUP($B150&amp;$E$136&amp;$G150,$E$6:$U$129,M$133,FALSE)*VLOOKUP($B150,Weighting!$D$15:$G$19,MATCH(Segmented!$E$136,Weighting!$E$15:$H$15,0)+1,FALSE)</f>
        <v>0</v>
      </c>
      <c r="N150" s="31">
        <f>VLOOKUP($B150&amp;$C$136&amp;$G150,$E$6:$U$129,N$133,FALSE)*VLOOKUP($B150,Weighting!$D$15:$G$19,MATCH(Segmented!$C$136,Weighting!$E$15:$H$15,0)+1,FALSE)+VLOOKUP($B150&amp;$D$136&amp;$G150,$E$6:$U$129,N$133,FALSE)*VLOOKUP($B150,Weighting!$D$15:$G$19,MATCH(Segmented!$D$136,Weighting!$E$15:$H$15,0)+1,FALSE)+VLOOKUP($B150&amp;$E$136&amp;$G150,$E$6:$U$129,N$133,FALSE)*VLOOKUP($B150,Weighting!$D$15:$G$19,MATCH(Segmented!$E$136,Weighting!$E$15:$H$15,0)+1,FALSE)</f>
        <v>0</v>
      </c>
      <c r="O150">
        <f t="shared" si="5"/>
        <v>0</v>
      </c>
      <c r="P150" s="31">
        <f>VLOOKUP($B150&amp;$C$136&amp;$G150,$E$6:$U$129,P$133,FALSE)*VLOOKUP($B150,Weighting!$D$15:$G$19,MATCH(Segmented!$C$136,Weighting!$E$15:$H$15,0)+1,FALSE)+VLOOKUP($B150&amp;$D$136&amp;$G150,$E$6:$U$129,P$133,FALSE)*VLOOKUP($B150,Weighting!$D$15:$G$19,MATCH(Segmented!$D$136,Weighting!$E$15:$H$15,0)+1,FALSE)+VLOOKUP($B150&amp;$E$136&amp;$G150,$E$6:$U$129,P$133,FALSE)*VLOOKUP($B150,Weighting!$D$15:$G$19,MATCH(Segmented!$E$136,Weighting!$E$15:$H$15,0)+1,FALSE)</f>
        <v>0</v>
      </c>
      <c r="Q150">
        <f t="shared" si="6"/>
        <v>0</v>
      </c>
      <c r="R150" s="31">
        <f>VLOOKUP($B150&amp;$C$136&amp;$G150,$E$6:$U$129,R$133,FALSE)*VLOOKUP($B150,Weighting!$D$15:$G$19,MATCH(Segmented!$C$136,Weighting!$E$15:$H$15,0)+1,FALSE)+VLOOKUP($B150&amp;$D$136&amp;$G150,$E$6:$U$129,R$133,FALSE)*VLOOKUP($B150,Weighting!$D$15:$G$19,MATCH(Segmented!$D$136,Weighting!$E$15:$H$15,0)+1,FALSE)+VLOOKUP($B150&amp;$E$136&amp;$G150,$E$6:$U$129,R$133,FALSE)*VLOOKUP($B150,Weighting!$D$15:$G$19,MATCH(Segmented!$E$136,Weighting!$E$15:$H$15,0)+1,FALSE)</f>
        <v>0</v>
      </c>
      <c r="S150">
        <f t="shared" si="7"/>
        <v>0</v>
      </c>
      <c r="T150" s="31">
        <f>VLOOKUP($B150&amp;$C$136&amp;$G150,$E$6:$U$129,T$133,FALSE)*VLOOKUP($B150,Weighting!$D$15:$G$19,MATCH(Segmented!$C$136,Weighting!$E$15:$H$15,0)+1,FALSE)+VLOOKUP($B150&amp;$D$136&amp;$G150,$E$6:$U$129,T$133,FALSE)*VLOOKUP($B150,Weighting!$D$15:$G$19,MATCH(Segmented!$D$136,Weighting!$E$15:$H$15,0)+1,FALSE)+VLOOKUP($B150&amp;$E$136&amp;$G150,$E$6:$U$129,T$133,FALSE)*VLOOKUP($B150,Weighting!$D$15:$G$19,MATCH(Segmented!$E$136,Weighting!$E$15:$H$15,0)+1,FALSE)</f>
        <v>0</v>
      </c>
    </row>
    <row r="151" spans="2:20">
      <c r="B151" t="s">
        <v>76</v>
      </c>
      <c r="F151" s="55" t="str">
        <f t="shared" si="8"/>
        <v>FLOOR R0 - R30_Electric FAF</v>
      </c>
      <c r="G151" s="31" t="s">
        <v>71</v>
      </c>
      <c r="H151" s="31">
        <f>VLOOKUP($B151&amp;$C$136&amp;$G151,$E$6:$U$129,H$133,FALSE)*VLOOKUP($B151,Weighting!$D$15:$G$19,MATCH(Segmented!$C$136,Weighting!$E$15:$H$15,0)+1,FALSE)+VLOOKUP($B151&amp;$D$136&amp;$G151,$E$6:$U$129,H$133,FALSE)*VLOOKUP($B151,Weighting!$D$15:$G$19,MATCH(Segmented!$D$136,Weighting!$E$15:$H$15,0)+1,FALSE)+VLOOKUP($B151&amp;$E$136&amp;$G151,$E$6:$U$129,H$133,FALSE)*VLOOKUP($B151,Weighting!$D$15:$G$19,MATCH(Segmented!$E$136,Weighting!$E$15:$H$15,0)+1,FALSE)</f>
        <v>275.07081083698421</v>
      </c>
      <c r="I151">
        <f t="shared" si="3"/>
        <v>45</v>
      </c>
      <c r="J151" s="31">
        <f>VLOOKUP($B151&amp;$C$136&amp;$G151,$E$6:$U$129,J$133,FALSE)*VLOOKUP($B151,Weighting!$D$15:$G$19,MATCH(Segmented!$C$136,Weighting!$E$15:$H$15,0)+1,FALSE)+VLOOKUP($B151&amp;$D$136&amp;$G151,$E$6:$U$129,J$133,FALSE)*VLOOKUP($B151,Weighting!$D$15:$G$19,MATCH(Segmented!$D$136,Weighting!$E$15:$H$15,0)+1,FALSE)+VLOOKUP($B151&amp;$E$136&amp;$G151,$E$6:$U$129,J$133,FALSE)*VLOOKUP($B151,Weighting!$D$15:$G$19,MATCH(Segmented!$E$136,Weighting!$E$15:$H$15,0)+1,FALSE)</f>
        <v>337.57430889025602</v>
      </c>
      <c r="K151" s="31">
        <f>VLOOKUP($B151&amp;$C$136&amp;$G151,$E$6:$U$129,K$133,FALSE)*VLOOKUP($B151,Weighting!$D$15:$G$19,MATCH(Segmented!$C$136,Weighting!$E$15:$H$15,0)+1,FALSE)+VLOOKUP($B151&amp;$D$136&amp;$G151,$E$6:$U$129,K$133,FALSE)*VLOOKUP($B151,Weighting!$D$15:$G$19,MATCH(Segmented!$D$136,Weighting!$E$15:$H$15,0)+1,FALSE)+VLOOKUP($B151&amp;$E$136&amp;$G151,$E$6:$U$129,K$133,FALSE)*VLOOKUP($B151,Weighting!$D$15:$G$19,MATCH(Segmented!$E$136,Weighting!$E$15:$H$15,0)+1,FALSE)</f>
        <v>0</v>
      </c>
      <c r="L151" t="str">
        <f t="shared" si="4"/>
        <v>ResSHWX</v>
      </c>
      <c r="M151" s="31">
        <f>VLOOKUP($B151&amp;$C$136&amp;$G151,$E$6:$U$129,M$133,FALSE)*VLOOKUP($B151,Weighting!$D$15:$G$19,MATCH(Segmented!$C$136,Weighting!$E$15:$H$15,0)+1,FALSE)+VLOOKUP($B151&amp;$D$136&amp;$G151,$E$6:$U$129,M$133,FALSE)*VLOOKUP($B151,Weighting!$D$15:$G$19,MATCH(Segmented!$D$136,Weighting!$E$15:$H$15,0)+1,FALSE)+VLOOKUP($B151&amp;$E$136&amp;$G151,$E$6:$U$129,M$133,FALSE)*VLOOKUP($B151,Weighting!$D$15:$G$19,MATCH(Segmented!$E$136,Weighting!$E$15:$H$15,0)+1,FALSE)</f>
        <v>0</v>
      </c>
      <c r="N151" s="31">
        <f>VLOOKUP($B151&amp;$C$136&amp;$G151,$E$6:$U$129,N$133,FALSE)*VLOOKUP($B151,Weighting!$D$15:$G$19,MATCH(Segmented!$C$136,Weighting!$E$15:$H$15,0)+1,FALSE)+VLOOKUP($B151&amp;$D$136&amp;$G151,$E$6:$U$129,N$133,FALSE)*VLOOKUP($B151,Weighting!$D$15:$G$19,MATCH(Segmented!$D$136,Weighting!$E$15:$H$15,0)+1,FALSE)+VLOOKUP($B151&amp;$E$136&amp;$G151,$E$6:$U$129,N$133,FALSE)*VLOOKUP($B151,Weighting!$D$15:$G$19,MATCH(Segmented!$E$136,Weighting!$E$15:$H$15,0)+1,FALSE)</f>
        <v>0</v>
      </c>
      <c r="O151">
        <f t="shared" si="5"/>
        <v>0</v>
      </c>
      <c r="P151" s="31">
        <f>VLOOKUP($B151&amp;$C$136&amp;$G151,$E$6:$U$129,P$133,FALSE)*VLOOKUP($B151,Weighting!$D$15:$G$19,MATCH(Segmented!$C$136,Weighting!$E$15:$H$15,0)+1,FALSE)+VLOOKUP($B151&amp;$D$136&amp;$G151,$E$6:$U$129,P$133,FALSE)*VLOOKUP($B151,Weighting!$D$15:$G$19,MATCH(Segmented!$D$136,Weighting!$E$15:$H$15,0)+1,FALSE)+VLOOKUP($B151&amp;$E$136&amp;$G151,$E$6:$U$129,P$133,FALSE)*VLOOKUP($B151,Weighting!$D$15:$G$19,MATCH(Segmented!$E$136,Weighting!$E$15:$H$15,0)+1,FALSE)</f>
        <v>0</v>
      </c>
      <c r="Q151">
        <f t="shared" si="6"/>
        <v>0</v>
      </c>
      <c r="R151" s="31">
        <f>VLOOKUP($B151&amp;$C$136&amp;$G151,$E$6:$U$129,R$133,FALSE)*VLOOKUP($B151,Weighting!$D$15:$G$19,MATCH(Segmented!$C$136,Weighting!$E$15:$H$15,0)+1,FALSE)+VLOOKUP($B151&amp;$D$136&amp;$G151,$E$6:$U$129,R$133,FALSE)*VLOOKUP($B151,Weighting!$D$15:$G$19,MATCH(Segmented!$D$136,Weighting!$E$15:$H$15,0)+1,FALSE)+VLOOKUP($B151&amp;$E$136&amp;$G151,$E$6:$U$129,R$133,FALSE)*VLOOKUP($B151,Weighting!$D$15:$G$19,MATCH(Segmented!$E$136,Weighting!$E$15:$H$15,0)+1,FALSE)</f>
        <v>0</v>
      </c>
      <c r="S151">
        <f t="shared" si="7"/>
        <v>0</v>
      </c>
      <c r="T151" s="31">
        <f>VLOOKUP($B151&amp;$C$136&amp;$G151,$E$6:$U$129,T$133,FALSE)*VLOOKUP($B151,Weighting!$D$15:$G$19,MATCH(Segmented!$C$136,Weighting!$E$15:$H$15,0)+1,FALSE)+VLOOKUP($B151&amp;$D$136&amp;$G151,$E$6:$U$129,T$133,FALSE)*VLOOKUP($B151,Weighting!$D$15:$G$19,MATCH(Segmented!$D$136,Weighting!$E$15:$H$15,0)+1,FALSE)+VLOOKUP($B151&amp;$E$136&amp;$G151,$E$6:$U$129,T$133,FALSE)*VLOOKUP($B151,Weighting!$D$15:$G$19,MATCH(Segmented!$E$136,Weighting!$E$15:$H$15,0)+1,FALSE)</f>
        <v>0</v>
      </c>
    </row>
    <row r="152" spans="2:20">
      <c r="B152" t="s">
        <v>76</v>
      </c>
      <c r="F152" s="55" t="str">
        <f t="shared" si="8"/>
        <v>ATTIC R0 - R19_Electric FAF</v>
      </c>
      <c r="G152" s="31" t="s">
        <v>1080</v>
      </c>
      <c r="H152" s="31">
        <f>VLOOKUP($B152&amp;$C$136&amp;$G152,$E$6:$U$129,H$133,FALSE)*VLOOKUP($B152,Weighting!$D$15:$G$19,MATCH(Segmented!$C$136,Weighting!$E$15:$H$15,0)+1,FALSE)+VLOOKUP($B152&amp;$D$136&amp;$G152,$E$6:$U$129,H$133,FALSE)*VLOOKUP($B152,Weighting!$D$15:$G$19,MATCH(Segmented!$D$136,Weighting!$E$15:$H$15,0)+1,FALSE)+VLOOKUP($B152&amp;$E$136&amp;$G152,$E$6:$U$129,H$133,FALSE)*VLOOKUP($B152,Weighting!$D$15:$G$19,MATCH(Segmented!$E$136,Weighting!$E$15:$H$15,0)+1,FALSE)</f>
        <v>178.09349239717494</v>
      </c>
      <c r="I152">
        <f t="shared" si="3"/>
        <v>45</v>
      </c>
      <c r="J152" s="31">
        <f>VLOOKUP($B152&amp;$C$136&amp;$G152,$E$6:$U$129,J$133,FALSE)*VLOOKUP($B152,Weighting!$D$15:$G$19,MATCH(Segmented!$C$136,Weighting!$E$15:$H$15,0)+1,FALSE)+VLOOKUP($B152&amp;$D$136&amp;$G152,$E$6:$U$129,J$133,FALSE)*VLOOKUP($B152,Weighting!$D$15:$G$19,MATCH(Segmented!$D$136,Weighting!$E$15:$H$15,0)+1,FALSE)+VLOOKUP($B152&amp;$E$136&amp;$G152,$E$6:$U$129,J$133,FALSE)*VLOOKUP($B152,Weighting!$D$15:$G$19,MATCH(Segmented!$E$136,Weighting!$E$15:$H$15,0)+1,FALSE)</f>
        <v>196.91489394951594</v>
      </c>
      <c r="K152" s="31">
        <f>VLOOKUP($B152&amp;$C$136&amp;$G152,$E$6:$U$129,K$133,FALSE)*VLOOKUP($B152,Weighting!$D$15:$G$19,MATCH(Segmented!$C$136,Weighting!$E$15:$H$15,0)+1,FALSE)+VLOOKUP($B152&amp;$D$136&amp;$G152,$E$6:$U$129,K$133,FALSE)*VLOOKUP($B152,Weighting!$D$15:$G$19,MATCH(Segmented!$D$136,Weighting!$E$15:$H$15,0)+1,FALSE)+VLOOKUP($B152&amp;$E$136&amp;$G152,$E$6:$U$129,K$133,FALSE)*VLOOKUP($B152,Weighting!$D$15:$G$19,MATCH(Segmented!$E$136,Weighting!$E$15:$H$15,0)+1,FALSE)</f>
        <v>0</v>
      </c>
      <c r="L152" t="str">
        <f t="shared" si="4"/>
        <v>ResSHWX</v>
      </c>
      <c r="M152" s="31">
        <f>VLOOKUP($B152&amp;$C$136&amp;$G152,$E$6:$U$129,M$133,FALSE)*VLOOKUP($B152,Weighting!$D$15:$G$19,MATCH(Segmented!$C$136,Weighting!$E$15:$H$15,0)+1,FALSE)+VLOOKUP($B152&amp;$D$136&amp;$G152,$E$6:$U$129,M$133,FALSE)*VLOOKUP($B152,Weighting!$D$15:$G$19,MATCH(Segmented!$D$136,Weighting!$E$15:$H$15,0)+1,FALSE)+VLOOKUP($B152&amp;$E$136&amp;$G152,$E$6:$U$129,M$133,FALSE)*VLOOKUP($B152,Weighting!$D$15:$G$19,MATCH(Segmented!$E$136,Weighting!$E$15:$H$15,0)+1,FALSE)</f>
        <v>0</v>
      </c>
      <c r="N152" s="31">
        <f>VLOOKUP($B152&amp;$C$136&amp;$G152,$E$6:$U$129,N$133,FALSE)*VLOOKUP($B152,Weighting!$D$15:$G$19,MATCH(Segmented!$C$136,Weighting!$E$15:$H$15,0)+1,FALSE)+VLOOKUP($B152&amp;$D$136&amp;$G152,$E$6:$U$129,N$133,FALSE)*VLOOKUP($B152,Weighting!$D$15:$G$19,MATCH(Segmented!$D$136,Weighting!$E$15:$H$15,0)+1,FALSE)+VLOOKUP($B152&amp;$E$136&amp;$G152,$E$6:$U$129,N$133,FALSE)*VLOOKUP($B152,Weighting!$D$15:$G$19,MATCH(Segmented!$E$136,Weighting!$E$15:$H$15,0)+1,FALSE)</f>
        <v>0</v>
      </c>
      <c r="O152">
        <f t="shared" si="5"/>
        <v>0</v>
      </c>
      <c r="P152" s="31">
        <f>VLOOKUP($B152&amp;$C$136&amp;$G152,$E$6:$U$129,P$133,FALSE)*VLOOKUP($B152,Weighting!$D$15:$G$19,MATCH(Segmented!$C$136,Weighting!$E$15:$H$15,0)+1,FALSE)+VLOOKUP($B152&amp;$D$136&amp;$G152,$E$6:$U$129,P$133,FALSE)*VLOOKUP($B152,Weighting!$D$15:$G$19,MATCH(Segmented!$D$136,Weighting!$E$15:$H$15,0)+1,FALSE)+VLOOKUP($B152&amp;$E$136&amp;$G152,$E$6:$U$129,P$133,FALSE)*VLOOKUP($B152,Weighting!$D$15:$G$19,MATCH(Segmented!$E$136,Weighting!$E$15:$H$15,0)+1,FALSE)</f>
        <v>0</v>
      </c>
      <c r="Q152">
        <f t="shared" si="6"/>
        <v>0</v>
      </c>
      <c r="R152" s="31">
        <f>VLOOKUP($B152&amp;$C$136&amp;$G152,$E$6:$U$129,R$133,FALSE)*VLOOKUP($B152,Weighting!$D$15:$G$19,MATCH(Segmented!$C$136,Weighting!$E$15:$H$15,0)+1,FALSE)+VLOOKUP($B152&amp;$D$136&amp;$G152,$E$6:$U$129,R$133,FALSE)*VLOOKUP($B152,Weighting!$D$15:$G$19,MATCH(Segmented!$D$136,Weighting!$E$15:$H$15,0)+1,FALSE)+VLOOKUP($B152&amp;$E$136&amp;$G152,$E$6:$U$129,R$133,FALSE)*VLOOKUP($B152,Weighting!$D$15:$G$19,MATCH(Segmented!$E$136,Weighting!$E$15:$H$15,0)+1,FALSE)</f>
        <v>0</v>
      </c>
      <c r="S152">
        <f t="shared" si="7"/>
        <v>0</v>
      </c>
      <c r="T152" s="31">
        <f>VLOOKUP($B152&amp;$C$136&amp;$G152,$E$6:$U$129,T$133,FALSE)*VLOOKUP($B152,Weighting!$D$15:$G$19,MATCH(Segmented!$C$136,Weighting!$E$15:$H$15,0)+1,FALSE)+VLOOKUP($B152&amp;$D$136&amp;$G152,$E$6:$U$129,T$133,FALSE)*VLOOKUP($B152,Weighting!$D$15:$G$19,MATCH(Segmented!$D$136,Weighting!$E$15:$H$15,0)+1,FALSE)+VLOOKUP($B152&amp;$E$136&amp;$G152,$E$6:$U$129,T$133,FALSE)*VLOOKUP($B152,Weighting!$D$15:$G$19,MATCH(Segmented!$E$136,Weighting!$E$15:$H$15,0)+1,FALSE)</f>
        <v>0</v>
      </c>
    </row>
    <row r="153" spans="2:20">
      <c r="B153" t="s">
        <v>76</v>
      </c>
      <c r="F153" s="55" t="str">
        <f t="shared" si="8"/>
        <v>ATTIC R0 - R38_Electric FAF</v>
      </c>
      <c r="G153" s="31" t="s">
        <v>65</v>
      </c>
      <c r="H153" s="31">
        <f>VLOOKUP($B153&amp;$C$136&amp;$G153,$E$6:$U$129,H$133,FALSE)*VLOOKUP($B153,Weighting!$D$15:$G$19,MATCH(Segmented!$C$136,Weighting!$E$15:$H$15,0)+1,FALSE)+VLOOKUP($B153&amp;$D$136&amp;$G153,$E$6:$U$129,H$133,FALSE)*VLOOKUP($B153,Weighting!$D$15:$G$19,MATCH(Segmented!$D$136,Weighting!$E$15:$H$15,0)+1,FALSE)+VLOOKUP($B153&amp;$E$136&amp;$G153,$E$6:$U$129,H$133,FALSE)*VLOOKUP($B153,Weighting!$D$15:$G$19,MATCH(Segmented!$E$136,Weighting!$E$15:$H$15,0)+1,FALSE)</f>
        <v>242.55500610578198</v>
      </c>
      <c r="I153">
        <f t="shared" si="3"/>
        <v>45</v>
      </c>
      <c r="J153" s="31">
        <f>VLOOKUP($B153&amp;$C$136&amp;$G153,$E$6:$U$129,J$133,FALSE)*VLOOKUP($B153,Weighting!$D$15:$G$19,MATCH(Segmented!$C$136,Weighting!$E$15:$H$15,0)+1,FALSE)+VLOOKUP($B153&amp;$D$136&amp;$G153,$E$6:$U$129,J$133,FALSE)*VLOOKUP($B153,Weighting!$D$15:$G$19,MATCH(Segmented!$D$136,Weighting!$E$15:$H$15,0)+1,FALSE)+VLOOKUP($B153&amp;$E$136&amp;$G153,$E$6:$U$129,J$133,FALSE)*VLOOKUP($B153,Weighting!$D$15:$G$19,MATCH(Segmented!$E$136,Weighting!$E$15:$H$15,0)+1,FALSE)</f>
        <v>262.65009234084522</v>
      </c>
      <c r="K153" s="31">
        <f>VLOOKUP($B153&amp;$C$136&amp;$G153,$E$6:$U$129,K$133,FALSE)*VLOOKUP($B153,Weighting!$D$15:$G$19,MATCH(Segmented!$C$136,Weighting!$E$15:$H$15,0)+1,FALSE)+VLOOKUP($B153&amp;$D$136&amp;$G153,$E$6:$U$129,K$133,FALSE)*VLOOKUP($B153,Weighting!$D$15:$G$19,MATCH(Segmented!$D$136,Weighting!$E$15:$H$15,0)+1,FALSE)+VLOOKUP($B153&amp;$E$136&amp;$G153,$E$6:$U$129,K$133,FALSE)*VLOOKUP($B153,Weighting!$D$15:$G$19,MATCH(Segmented!$E$136,Weighting!$E$15:$H$15,0)+1,FALSE)</f>
        <v>0</v>
      </c>
      <c r="L153" t="str">
        <f t="shared" si="4"/>
        <v>ResSHWX</v>
      </c>
      <c r="M153" s="31">
        <f>VLOOKUP($B153&amp;$C$136&amp;$G153,$E$6:$U$129,M$133,FALSE)*VLOOKUP($B153,Weighting!$D$15:$G$19,MATCH(Segmented!$C$136,Weighting!$E$15:$H$15,0)+1,FALSE)+VLOOKUP($B153&amp;$D$136&amp;$G153,$E$6:$U$129,M$133,FALSE)*VLOOKUP($B153,Weighting!$D$15:$G$19,MATCH(Segmented!$D$136,Weighting!$E$15:$H$15,0)+1,FALSE)+VLOOKUP($B153&amp;$E$136&amp;$G153,$E$6:$U$129,M$133,FALSE)*VLOOKUP($B153,Weighting!$D$15:$G$19,MATCH(Segmented!$E$136,Weighting!$E$15:$H$15,0)+1,FALSE)</f>
        <v>0</v>
      </c>
      <c r="N153" s="31">
        <f>VLOOKUP($B153&amp;$C$136&amp;$G153,$E$6:$U$129,N$133,FALSE)*VLOOKUP($B153,Weighting!$D$15:$G$19,MATCH(Segmented!$C$136,Weighting!$E$15:$H$15,0)+1,FALSE)+VLOOKUP($B153&amp;$D$136&amp;$G153,$E$6:$U$129,N$133,FALSE)*VLOOKUP($B153,Weighting!$D$15:$G$19,MATCH(Segmented!$D$136,Weighting!$E$15:$H$15,0)+1,FALSE)+VLOOKUP($B153&amp;$E$136&amp;$G153,$E$6:$U$129,N$133,FALSE)*VLOOKUP($B153,Weighting!$D$15:$G$19,MATCH(Segmented!$E$136,Weighting!$E$15:$H$15,0)+1,FALSE)</f>
        <v>0</v>
      </c>
      <c r="O153">
        <f t="shared" si="5"/>
        <v>0</v>
      </c>
      <c r="P153" s="31">
        <f>VLOOKUP($B153&amp;$C$136&amp;$G153,$E$6:$U$129,P$133,FALSE)*VLOOKUP($B153,Weighting!$D$15:$G$19,MATCH(Segmented!$C$136,Weighting!$E$15:$H$15,0)+1,FALSE)+VLOOKUP($B153&amp;$D$136&amp;$G153,$E$6:$U$129,P$133,FALSE)*VLOOKUP($B153,Weighting!$D$15:$G$19,MATCH(Segmented!$D$136,Weighting!$E$15:$H$15,0)+1,FALSE)+VLOOKUP($B153&amp;$E$136&amp;$G153,$E$6:$U$129,P$133,FALSE)*VLOOKUP($B153,Weighting!$D$15:$G$19,MATCH(Segmented!$E$136,Weighting!$E$15:$H$15,0)+1,FALSE)</f>
        <v>0</v>
      </c>
      <c r="Q153">
        <f t="shared" si="6"/>
        <v>0</v>
      </c>
      <c r="R153" s="31">
        <f>VLOOKUP($B153&amp;$C$136&amp;$G153,$E$6:$U$129,R$133,FALSE)*VLOOKUP($B153,Weighting!$D$15:$G$19,MATCH(Segmented!$C$136,Weighting!$E$15:$H$15,0)+1,FALSE)+VLOOKUP($B153&amp;$D$136&amp;$G153,$E$6:$U$129,R$133,FALSE)*VLOOKUP($B153,Weighting!$D$15:$G$19,MATCH(Segmented!$D$136,Weighting!$E$15:$H$15,0)+1,FALSE)+VLOOKUP($B153&amp;$E$136&amp;$G153,$E$6:$U$129,R$133,FALSE)*VLOOKUP($B153,Weighting!$D$15:$G$19,MATCH(Segmented!$E$136,Weighting!$E$15:$H$15,0)+1,FALSE)</f>
        <v>0</v>
      </c>
      <c r="S153">
        <f t="shared" si="7"/>
        <v>0</v>
      </c>
      <c r="T153" s="31">
        <f>VLOOKUP($B153&amp;$C$136&amp;$G153,$E$6:$U$129,T$133,FALSE)*VLOOKUP($B153,Weighting!$D$15:$G$19,MATCH(Segmented!$C$136,Weighting!$E$15:$H$15,0)+1,FALSE)+VLOOKUP($B153&amp;$D$136&amp;$G153,$E$6:$U$129,T$133,FALSE)*VLOOKUP($B153,Weighting!$D$15:$G$19,MATCH(Segmented!$D$136,Weighting!$E$15:$H$15,0)+1,FALSE)+VLOOKUP($B153&amp;$E$136&amp;$G153,$E$6:$U$129,T$133,FALSE)*VLOOKUP($B153,Weighting!$D$15:$G$19,MATCH(Segmented!$E$136,Weighting!$E$15:$H$15,0)+1,FALSE)</f>
        <v>0</v>
      </c>
    </row>
    <row r="154" spans="2:20">
      <c r="B154" t="s">
        <v>76</v>
      </c>
      <c r="F154" s="55" t="str">
        <f t="shared" si="8"/>
        <v>ATTIC R0 - R49_Electric FAF</v>
      </c>
      <c r="G154" s="31" t="s">
        <v>66</v>
      </c>
      <c r="H154" s="31">
        <f>VLOOKUP($B154&amp;$C$136&amp;$G154,$E$6:$U$129,H$133,FALSE)*VLOOKUP($B154,Weighting!$D$15:$G$19,MATCH(Segmented!$C$136,Weighting!$E$15:$H$15,0)+1,FALSE)+VLOOKUP($B154&amp;$D$136&amp;$G154,$E$6:$U$129,H$133,FALSE)*VLOOKUP($B154,Weighting!$D$15:$G$19,MATCH(Segmented!$D$136,Weighting!$E$15:$H$15,0)+1,FALSE)+VLOOKUP($B154&amp;$E$136&amp;$G154,$E$6:$U$129,H$133,FALSE)*VLOOKUP($B154,Weighting!$D$15:$G$19,MATCH(Segmented!$E$136,Weighting!$E$15:$H$15,0)+1,FALSE)</f>
        <v>257.50228679239945</v>
      </c>
      <c r="I154">
        <f t="shared" si="3"/>
        <v>45</v>
      </c>
      <c r="J154" s="31">
        <f>VLOOKUP($B154&amp;$C$136&amp;$G154,$E$6:$U$129,J$133,FALSE)*VLOOKUP($B154,Weighting!$D$15:$G$19,MATCH(Segmented!$C$136,Weighting!$E$15:$H$15,0)+1,FALSE)+VLOOKUP($B154&amp;$D$136&amp;$G154,$E$6:$U$129,J$133,FALSE)*VLOOKUP($B154,Weighting!$D$15:$G$19,MATCH(Segmented!$D$136,Weighting!$E$15:$H$15,0)+1,FALSE)+VLOOKUP($B154&amp;$E$136&amp;$G154,$E$6:$U$129,J$133,FALSE)*VLOOKUP($B154,Weighting!$D$15:$G$19,MATCH(Segmented!$E$136,Weighting!$E$15:$H$15,0)+1,FALSE)</f>
        <v>297.93884832438431</v>
      </c>
      <c r="K154" s="31">
        <f>VLOOKUP($B154&amp;$C$136&amp;$G154,$E$6:$U$129,K$133,FALSE)*VLOOKUP($B154,Weighting!$D$15:$G$19,MATCH(Segmented!$C$136,Weighting!$E$15:$H$15,0)+1,FALSE)+VLOOKUP($B154&amp;$D$136&amp;$G154,$E$6:$U$129,K$133,FALSE)*VLOOKUP($B154,Weighting!$D$15:$G$19,MATCH(Segmented!$D$136,Weighting!$E$15:$H$15,0)+1,FALSE)+VLOOKUP($B154&amp;$E$136&amp;$G154,$E$6:$U$129,K$133,FALSE)*VLOOKUP($B154,Weighting!$D$15:$G$19,MATCH(Segmented!$E$136,Weighting!$E$15:$H$15,0)+1,FALSE)</f>
        <v>0</v>
      </c>
      <c r="L154" t="str">
        <f t="shared" si="4"/>
        <v>ResSHWX</v>
      </c>
      <c r="M154" s="31">
        <f>VLOOKUP($B154&amp;$C$136&amp;$G154,$E$6:$U$129,M$133,FALSE)*VLOOKUP($B154,Weighting!$D$15:$G$19,MATCH(Segmented!$C$136,Weighting!$E$15:$H$15,0)+1,FALSE)+VLOOKUP($B154&amp;$D$136&amp;$G154,$E$6:$U$129,M$133,FALSE)*VLOOKUP($B154,Weighting!$D$15:$G$19,MATCH(Segmented!$D$136,Weighting!$E$15:$H$15,0)+1,FALSE)+VLOOKUP($B154&amp;$E$136&amp;$G154,$E$6:$U$129,M$133,FALSE)*VLOOKUP($B154,Weighting!$D$15:$G$19,MATCH(Segmented!$E$136,Weighting!$E$15:$H$15,0)+1,FALSE)</f>
        <v>0</v>
      </c>
      <c r="N154" s="31">
        <f>VLOOKUP($B154&amp;$C$136&amp;$G154,$E$6:$U$129,N$133,FALSE)*VLOOKUP($B154,Weighting!$D$15:$G$19,MATCH(Segmented!$C$136,Weighting!$E$15:$H$15,0)+1,FALSE)+VLOOKUP($B154&amp;$D$136&amp;$G154,$E$6:$U$129,N$133,FALSE)*VLOOKUP($B154,Weighting!$D$15:$G$19,MATCH(Segmented!$D$136,Weighting!$E$15:$H$15,0)+1,FALSE)+VLOOKUP($B154&amp;$E$136&amp;$G154,$E$6:$U$129,N$133,FALSE)*VLOOKUP($B154,Weighting!$D$15:$G$19,MATCH(Segmented!$E$136,Weighting!$E$15:$H$15,0)+1,FALSE)</f>
        <v>0</v>
      </c>
      <c r="O154">
        <f t="shared" si="5"/>
        <v>0</v>
      </c>
      <c r="P154" s="31">
        <f>VLOOKUP($B154&amp;$C$136&amp;$G154,$E$6:$U$129,P$133,FALSE)*VLOOKUP($B154,Weighting!$D$15:$G$19,MATCH(Segmented!$C$136,Weighting!$E$15:$H$15,0)+1,FALSE)+VLOOKUP($B154&amp;$D$136&amp;$G154,$E$6:$U$129,P$133,FALSE)*VLOOKUP($B154,Weighting!$D$15:$G$19,MATCH(Segmented!$D$136,Weighting!$E$15:$H$15,0)+1,FALSE)+VLOOKUP($B154&amp;$E$136&amp;$G154,$E$6:$U$129,P$133,FALSE)*VLOOKUP($B154,Weighting!$D$15:$G$19,MATCH(Segmented!$E$136,Weighting!$E$15:$H$15,0)+1,FALSE)</f>
        <v>0</v>
      </c>
      <c r="Q154">
        <f t="shared" si="6"/>
        <v>0</v>
      </c>
      <c r="R154" s="31">
        <f>VLOOKUP($B154&amp;$C$136&amp;$G154,$E$6:$U$129,R$133,FALSE)*VLOOKUP($B154,Weighting!$D$15:$G$19,MATCH(Segmented!$C$136,Weighting!$E$15:$H$15,0)+1,FALSE)+VLOOKUP($B154&amp;$D$136&amp;$G154,$E$6:$U$129,R$133,FALSE)*VLOOKUP($B154,Weighting!$D$15:$G$19,MATCH(Segmented!$D$136,Weighting!$E$15:$H$15,0)+1,FALSE)+VLOOKUP($B154&amp;$E$136&amp;$G154,$E$6:$U$129,R$133,FALSE)*VLOOKUP($B154,Weighting!$D$15:$G$19,MATCH(Segmented!$E$136,Weighting!$E$15:$H$15,0)+1,FALSE)</f>
        <v>0</v>
      </c>
      <c r="S154">
        <f t="shared" si="7"/>
        <v>0</v>
      </c>
      <c r="T154" s="31">
        <f>VLOOKUP($B154&amp;$C$136&amp;$G154,$E$6:$U$129,T$133,FALSE)*VLOOKUP($B154,Weighting!$D$15:$G$19,MATCH(Segmented!$C$136,Weighting!$E$15:$H$15,0)+1,FALSE)+VLOOKUP($B154&amp;$D$136&amp;$G154,$E$6:$U$129,T$133,FALSE)*VLOOKUP($B154,Weighting!$D$15:$G$19,MATCH(Segmented!$D$136,Weighting!$E$15:$H$15,0)+1,FALSE)+VLOOKUP($B154&amp;$E$136&amp;$G154,$E$6:$U$129,T$133,FALSE)*VLOOKUP($B154,Weighting!$D$15:$G$19,MATCH(Segmented!$E$136,Weighting!$E$15:$H$15,0)+1,FALSE)</f>
        <v>0</v>
      </c>
    </row>
    <row r="155" spans="2:20">
      <c r="B155" t="s">
        <v>76</v>
      </c>
      <c r="F155" s="55" t="str">
        <f t="shared" si="8"/>
        <v>ATTIC R19 - R30_Electric FAF</v>
      </c>
      <c r="G155" s="31" t="s">
        <v>1081</v>
      </c>
      <c r="H155" s="31">
        <f>VLOOKUP($B155&amp;$C$136&amp;$G155,$E$6:$U$129,H$133,FALSE)*VLOOKUP($B155,Weighting!$D$15:$G$19,MATCH(Segmented!$C$136,Weighting!$E$15:$H$15,0)+1,FALSE)+VLOOKUP($B155&amp;$D$136&amp;$G155,$E$6:$U$129,H$133,FALSE)*VLOOKUP($B155,Weighting!$D$15:$G$19,MATCH(Segmented!$D$136,Weighting!$E$15:$H$15,0)+1,FALSE)+VLOOKUP($B155&amp;$E$136&amp;$G155,$E$6:$U$129,H$133,FALSE)*VLOOKUP($B155,Weighting!$D$15:$G$19,MATCH(Segmented!$E$136,Weighting!$E$15:$H$15,0)+1,FALSE)</f>
        <v>46.717076442582112</v>
      </c>
      <c r="I155">
        <f t="shared" si="3"/>
        <v>45</v>
      </c>
      <c r="J155" s="31">
        <f>VLOOKUP($B155&amp;$C$136&amp;$G155,$E$6:$U$129,J$133,FALSE)*VLOOKUP($B155,Weighting!$D$15:$G$19,MATCH(Segmented!$C$136,Weighting!$E$15:$H$15,0)+1,FALSE)+VLOOKUP($B155&amp;$D$136&amp;$G155,$E$6:$U$129,J$133,FALSE)*VLOOKUP($B155,Weighting!$D$15:$G$19,MATCH(Segmented!$D$136,Weighting!$E$15:$H$15,0)+1,FALSE)+VLOOKUP($B155&amp;$E$136&amp;$G155,$E$6:$U$129,J$133,FALSE)*VLOOKUP($B155,Weighting!$D$15:$G$19,MATCH(Segmented!$E$136,Weighting!$E$15:$H$15,0)+1,FALSE)</f>
        <v>169.97517278288436</v>
      </c>
      <c r="K155" s="31">
        <f>VLOOKUP($B155&amp;$C$136&amp;$G155,$E$6:$U$129,K$133,FALSE)*VLOOKUP($B155,Weighting!$D$15:$G$19,MATCH(Segmented!$C$136,Weighting!$E$15:$H$15,0)+1,FALSE)+VLOOKUP($B155&amp;$D$136&amp;$G155,$E$6:$U$129,K$133,FALSE)*VLOOKUP($B155,Weighting!$D$15:$G$19,MATCH(Segmented!$D$136,Weighting!$E$15:$H$15,0)+1,FALSE)+VLOOKUP($B155&amp;$E$136&amp;$G155,$E$6:$U$129,K$133,FALSE)*VLOOKUP($B155,Weighting!$D$15:$G$19,MATCH(Segmented!$E$136,Weighting!$E$15:$H$15,0)+1,FALSE)</f>
        <v>0</v>
      </c>
      <c r="L155" t="str">
        <f t="shared" si="4"/>
        <v>ResSHWX</v>
      </c>
      <c r="M155" s="31">
        <f>VLOOKUP($B155&amp;$C$136&amp;$G155,$E$6:$U$129,M$133,FALSE)*VLOOKUP($B155,Weighting!$D$15:$G$19,MATCH(Segmented!$C$136,Weighting!$E$15:$H$15,0)+1,FALSE)+VLOOKUP($B155&amp;$D$136&amp;$G155,$E$6:$U$129,M$133,FALSE)*VLOOKUP($B155,Weighting!$D$15:$G$19,MATCH(Segmented!$D$136,Weighting!$E$15:$H$15,0)+1,FALSE)+VLOOKUP($B155&amp;$E$136&amp;$G155,$E$6:$U$129,M$133,FALSE)*VLOOKUP($B155,Weighting!$D$15:$G$19,MATCH(Segmented!$E$136,Weighting!$E$15:$H$15,0)+1,FALSE)</f>
        <v>0</v>
      </c>
      <c r="N155" s="31">
        <f>VLOOKUP($B155&amp;$C$136&amp;$G155,$E$6:$U$129,N$133,FALSE)*VLOOKUP($B155,Weighting!$D$15:$G$19,MATCH(Segmented!$C$136,Weighting!$E$15:$H$15,0)+1,FALSE)+VLOOKUP($B155&amp;$D$136&amp;$G155,$E$6:$U$129,N$133,FALSE)*VLOOKUP($B155,Weighting!$D$15:$G$19,MATCH(Segmented!$D$136,Weighting!$E$15:$H$15,0)+1,FALSE)+VLOOKUP($B155&amp;$E$136&amp;$G155,$E$6:$U$129,N$133,FALSE)*VLOOKUP($B155,Weighting!$D$15:$G$19,MATCH(Segmented!$E$136,Weighting!$E$15:$H$15,0)+1,FALSE)</f>
        <v>0</v>
      </c>
      <c r="O155">
        <f t="shared" si="5"/>
        <v>0</v>
      </c>
      <c r="P155" s="31">
        <f>VLOOKUP($B155&amp;$C$136&amp;$G155,$E$6:$U$129,P$133,FALSE)*VLOOKUP($B155,Weighting!$D$15:$G$19,MATCH(Segmented!$C$136,Weighting!$E$15:$H$15,0)+1,FALSE)+VLOOKUP($B155&amp;$D$136&amp;$G155,$E$6:$U$129,P$133,FALSE)*VLOOKUP($B155,Weighting!$D$15:$G$19,MATCH(Segmented!$D$136,Weighting!$E$15:$H$15,0)+1,FALSE)+VLOOKUP($B155&amp;$E$136&amp;$G155,$E$6:$U$129,P$133,FALSE)*VLOOKUP($B155,Weighting!$D$15:$G$19,MATCH(Segmented!$E$136,Weighting!$E$15:$H$15,0)+1,FALSE)</f>
        <v>0</v>
      </c>
      <c r="Q155">
        <f t="shared" si="6"/>
        <v>0</v>
      </c>
      <c r="R155" s="31">
        <f>VLOOKUP($B155&amp;$C$136&amp;$G155,$E$6:$U$129,R$133,FALSE)*VLOOKUP($B155,Weighting!$D$15:$G$19,MATCH(Segmented!$C$136,Weighting!$E$15:$H$15,0)+1,FALSE)+VLOOKUP($B155&amp;$D$136&amp;$G155,$E$6:$U$129,R$133,FALSE)*VLOOKUP($B155,Weighting!$D$15:$G$19,MATCH(Segmented!$D$136,Weighting!$E$15:$H$15,0)+1,FALSE)+VLOOKUP($B155&amp;$E$136&amp;$G155,$E$6:$U$129,R$133,FALSE)*VLOOKUP($B155,Weighting!$D$15:$G$19,MATCH(Segmented!$E$136,Weighting!$E$15:$H$15,0)+1,FALSE)</f>
        <v>0</v>
      </c>
      <c r="S155">
        <f t="shared" si="7"/>
        <v>0</v>
      </c>
      <c r="T155" s="31">
        <f>VLOOKUP($B155&amp;$C$136&amp;$G155,$E$6:$U$129,T$133,FALSE)*VLOOKUP($B155,Weighting!$D$15:$G$19,MATCH(Segmented!$C$136,Weighting!$E$15:$H$15,0)+1,FALSE)+VLOOKUP($B155&amp;$D$136&amp;$G155,$E$6:$U$129,T$133,FALSE)*VLOOKUP($B155,Weighting!$D$15:$G$19,MATCH(Segmented!$D$136,Weighting!$E$15:$H$15,0)+1,FALSE)+VLOOKUP($B155&amp;$E$136&amp;$G155,$E$6:$U$129,T$133,FALSE)*VLOOKUP($B155,Weighting!$D$15:$G$19,MATCH(Segmented!$E$136,Weighting!$E$15:$H$15,0)+1,FALSE)</f>
        <v>0</v>
      </c>
    </row>
    <row r="156" spans="2:20">
      <c r="B156" t="s">
        <v>76</v>
      </c>
      <c r="F156" s="55" t="str">
        <f t="shared" si="8"/>
        <v>ATTIC R19 - R38_Electric FAF</v>
      </c>
      <c r="G156" s="31" t="s">
        <v>67</v>
      </c>
      <c r="H156" s="31">
        <f>VLOOKUP($B156&amp;$C$136&amp;$G156,$E$6:$U$129,H$133,FALSE)*VLOOKUP($B156,Weighting!$D$15:$G$19,MATCH(Segmented!$C$136,Weighting!$E$15:$H$15,0)+1,FALSE)+VLOOKUP($B156&amp;$D$136&amp;$G156,$E$6:$U$129,H$133,FALSE)*VLOOKUP($B156,Weighting!$D$15:$G$19,MATCH(Segmented!$D$136,Weighting!$E$15:$H$15,0)+1,FALSE)+VLOOKUP($B156&amp;$E$136&amp;$G156,$E$6:$U$129,H$133,FALSE)*VLOOKUP($B156,Weighting!$D$15:$G$19,MATCH(Segmented!$E$136,Weighting!$E$15:$H$15,0)+1,FALSE)</f>
        <v>64.461513708607058</v>
      </c>
      <c r="I156">
        <f t="shared" si="3"/>
        <v>45</v>
      </c>
      <c r="J156" s="31">
        <f>VLOOKUP($B156&amp;$C$136&amp;$G156,$E$6:$U$129,J$133,FALSE)*VLOOKUP($B156,Weighting!$D$15:$G$19,MATCH(Segmented!$C$136,Weighting!$E$15:$H$15,0)+1,FALSE)+VLOOKUP($B156&amp;$D$136&amp;$G156,$E$6:$U$129,J$133,FALSE)*VLOOKUP($B156,Weighting!$D$15:$G$19,MATCH(Segmented!$D$136,Weighting!$E$15:$H$15,0)+1,FALSE)+VLOOKUP($B156&amp;$E$136&amp;$G156,$E$6:$U$129,J$133,FALSE)*VLOOKUP($B156,Weighting!$D$15:$G$19,MATCH(Segmented!$E$136,Weighting!$E$15:$H$15,0)+1,FALSE)</f>
        <v>198.23826361528401</v>
      </c>
      <c r="K156" s="31">
        <f>VLOOKUP($B156&amp;$C$136&amp;$G156,$E$6:$U$129,K$133,FALSE)*VLOOKUP($B156,Weighting!$D$15:$G$19,MATCH(Segmented!$C$136,Weighting!$E$15:$H$15,0)+1,FALSE)+VLOOKUP($B156&amp;$D$136&amp;$G156,$E$6:$U$129,K$133,FALSE)*VLOOKUP($B156,Weighting!$D$15:$G$19,MATCH(Segmented!$D$136,Weighting!$E$15:$H$15,0)+1,FALSE)+VLOOKUP($B156&amp;$E$136&amp;$G156,$E$6:$U$129,K$133,FALSE)*VLOOKUP($B156,Weighting!$D$15:$G$19,MATCH(Segmented!$E$136,Weighting!$E$15:$H$15,0)+1,FALSE)</f>
        <v>0</v>
      </c>
      <c r="L156" t="str">
        <f t="shared" si="4"/>
        <v>ResSHWX</v>
      </c>
      <c r="M156" s="31">
        <f>VLOOKUP($B156&amp;$C$136&amp;$G156,$E$6:$U$129,M$133,FALSE)*VLOOKUP($B156,Weighting!$D$15:$G$19,MATCH(Segmented!$C$136,Weighting!$E$15:$H$15,0)+1,FALSE)+VLOOKUP($B156&amp;$D$136&amp;$G156,$E$6:$U$129,M$133,FALSE)*VLOOKUP($B156,Weighting!$D$15:$G$19,MATCH(Segmented!$D$136,Weighting!$E$15:$H$15,0)+1,FALSE)+VLOOKUP($B156&amp;$E$136&amp;$G156,$E$6:$U$129,M$133,FALSE)*VLOOKUP($B156,Weighting!$D$15:$G$19,MATCH(Segmented!$E$136,Weighting!$E$15:$H$15,0)+1,FALSE)</f>
        <v>0</v>
      </c>
      <c r="N156" s="31">
        <f>VLOOKUP($B156&amp;$C$136&amp;$G156,$E$6:$U$129,N$133,FALSE)*VLOOKUP($B156,Weighting!$D$15:$G$19,MATCH(Segmented!$C$136,Weighting!$E$15:$H$15,0)+1,FALSE)+VLOOKUP($B156&amp;$D$136&amp;$G156,$E$6:$U$129,N$133,FALSE)*VLOOKUP($B156,Weighting!$D$15:$G$19,MATCH(Segmented!$D$136,Weighting!$E$15:$H$15,0)+1,FALSE)+VLOOKUP($B156&amp;$E$136&amp;$G156,$E$6:$U$129,N$133,FALSE)*VLOOKUP($B156,Weighting!$D$15:$G$19,MATCH(Segmented!$E$136,Weighting!$E$15:$H$15,0)+1,FALSE)</f>
        <v>0</v>
      </c>
      <c r="O156">
        <f t="shared" si="5"/>
        <v>0</v>
      </c>
      <c r="P156" s="31">
        <f>VLOOKUP($B156&amp;$C$136&amp;$G156,$E$6:$U$129,P$133,FALSE)*VLOOKUP($B156,Weighting!$D$15:$G$19,MATCH(Segmented!$C$136,Weighting!$E$15:$H$15,0)+1,FALSE)+VLOOKUP($B156&amp;$D$136&amp;$G156,$E$6:$U$129,P$133,FALSE)*VLOOKUP($B156,Weighting!$D$15:$G$19,MATCH(Segmented!$D$136,Weighting!$E$15:$H$15,0)+1,FALSE)+VLOOKUP($B156&amp;$E$136&amp;$G156,$E$6:$U$129,P$133,FALSE)*VLOOKUP($B156,Weighting!$D$15:$G$19,MATCH(Segmented!$E$136,Weighting!$E$15:$H$15,0)+1,FALSE)</f>
        <v>0</v>
      </c>
      <c r="Q156">
        <f t="shared" si="6"/>
        <v>0</v>
      </c>
      <c r="R156" s="31">
        <f>VLOOKUP($B156&amp;$C$136&amp;$G156,$E$6:$U$129,R$133,FALSE)*VLOOKUP($B156,Weighting!$D$15:$G$19,MATCH(Segmented!$C$136,Weighting!$E$15:$H$15,0)+1,FALSE)+VLOOKUP($B156&amp;$D$136&amp;$G156,$E$6:$U$129,R$133,FALSE)*VLOOKUP($B156,Weighting!$D$15:$G$19,MATCH(Segmented!$D$136,Weighting!$E$15:$H$15,0)+1,FALSE)+VLOOKUP($B156&amp;$E$136&amp;$G156,$E$6:$U$129,R$133,FALSE)*VLOOKUP($B156,Weighting!$D$15:$G$19,MATCH(Segmented!$E$136,Weighting!$E$15:$H$15,0)+1,FALSE)</f>
        <v>0</v>
      </c>
      <c r="S156">
        <f t="shared" si="7"/>
        <v>0</v>
      </c>
      <c r="T156" s="31">
        <f>VLOOKUP($B156&amp;$C$136&amp;$G156,$E$6:$U$129,T$133,FALSE)*VLOOKUP($B156,Weighting!$D$15:$G$19,MATCH(Segmented!$C$136,Weighting!$E$15:$H$15,0)+1,FALSE)+VLOOKUP($B156&amp;$D$136&amp;$G156,$E$6:$U$129,T$133,FALSE)*VLOOKUP($B156,Weighting!$D$15:$G$19,MATCH(Segmented!$D$136,Weighting!$E$15:$H$15,0)+1,FALSE)+VLOOKUP($B156&amp;$E$136&amp;$G156,$E$6:$U$129,T$133,FALSE)*VLOOKUP($B156,Weighting!$D$15:$G$19,MATCH(Segmented!$E$136,Weighting!$E$15:$H$15,0)+1,FALSE)</f>
        <v>0</v>
      </c>
    </row>
    <row r="157" spans="2:20">
      <c r="B157" t="s">
        <v>76</v>
      </c>
      <c r="F157" s="55" t="str">
        <f t="shared" si="8"/>
        <v>ATTIC R19 - R49_Electric FAF</v>
      </c>
      <c r="G157" s="31" t="s">
        <v>68</v>
      </c>
      <c r="H157" s="31">
        <f>VLOOKUP($B157&amp;$C$136&amp;$G157,$E$6:$U$129,H$133,FALSE)*VLOOKUP($B157,Weighting!$D$15:$G$19,MATCH(Segmented!$C$136,Weighting!$E$15:$H$15,0)+1,FALSE)+VLOOKUP($B157&amp;$D$136&amp;$G157,$E$6:$U$129,H$133,FALSE)*VLOOKUP($B157,Weighting!$D$15:$G$19,MATCH(Segmented!$D$136,Weighting!$E$15:$H$15,0)+1,FALSE)+VLOOKUP($B157&amp;$E$136&amp;$G157,$E$6:$U$129,H$133,FALSE)*VLOOKUP($B157,Weighting!$D$15:$G$19,MATCH(Segmented!$E$136,Weighting!$E$15:$H$15,0)+1,FALSE)</f>
        <v>79.408794395224533</v>
      </c>
      <c r="I157">
        <f t="shared" si="3"/>
        <v>45</v>
      </c>
      <c r="J157" s="31">
        <f>VLOOKUP($B157&amp;$C$136&amp;$G157,$E$6:$U$129,J$133,FALSE)*VLOOKUP($B157,Weighting!$D$15:$G$19,MATCH(Segmented!$C$136,Weighting!$E$15:$H$15,0)+1,FALSE)+VLOOKUP($B157&amp;$D$136&amp;$G157,$E$6:$U$129,J$133,FALSE)*VLOOKUP($B157,Weighting!$D$15:$G$19,MATCH(Segmented!$D$136,Weighting!$E$15:$H$15,0)+1,FALSE)+VLOOKUP($B157&amp;$E$136&amp;$G157,$E$6:$U$129,J$133,FALSE)*VLOOKUP($B157,Weighting!$D$15:$G$19,MATCH(Segmented!$E$136,Weighting!$E$15:$H$15,0)+1,FALSE)</f>
        <v>235.52932235113522</v>
      </c>
      <c r="K157" s="31">
        <f>VLOOKUP($B157&amp;$C$136&amp;$G157,$E$6:$U$129,K$133,FALSE)*VLOOKUP($B157,Weighting!$D$15:$G$19,MATCH(Segmented!$C$136,Weighting!$E$15:$H$15,0)+1,FALSE)+VLOOKUP($B157&amp;$D$136&amp;$G157,$E$6:$U$129,K$133,FALSE)*VLOOKUP($B157,Weighting!$D$15:$G$19,MATCH(Segmented!$D$136,Weighting!$E$15:$H$15,0)+1,FALSE)+VLOOKUP($B157&amp;$E$136&amp;$G157,$E$6:$U$129,K$133,FALSE)*VLOOKUP($B157,Weighting!$D$15:$G$19,MATCH(Segmented!$E$136,Weighting!$E$15:$H$15,0)+1,FALSE)</f>
        <v>0</v>
      </c>
      <c r="L157" t="str">
        <f t="shared" si="4"/>
        <v>ResSHWX</v>
      </c>
      <c r="M157" s="31">
        <f>VLOOKUP($B157&amp;$C$136&amp;$G157,$E$6:$U$129,M$133,FALSE)*VLOOKUP($B157,Weighting!$D$15:$G$19,MATCH(Segmented!$C$136,Weighting!$E$15:$H$15,0)+1,FALSE)+VLOOKUP($B157&amp;$D$136&amp;$G157,$E$6:$U$129,M$133,FALSE)*VLOOKUP($B157,Weighting!$D$15:$G$19,MATCH(Segmented!$D$136,Weighting!$E$15:$H$15,0)+1,FALSE)+VLOOKUP($B157&amp;$E$136&amp;$G157,$E$6:$U$129,M$133,FALSE)*VLOOKUP($B157,Weighting!$D$15:$G$19,MATCH(Segmented!$E$136,Weighting!$E$15:$H$15,0)+1,FALSE)</f>
        <v>0</v>
      </c>
      <c r="N157" s="31">
        <f>VLOOKUP($B157&amp;$C$136&amp;$G157,$E$6:$U$129,N$133,FALSE)*VLOOKUP($B157,Weighting!$D$15:$G$19,MATCH(Segmented!$C$136,Weighting!$E$15:$H$15,0)+1,FALSE)+VLOOKUP($B157&amp;$D$136&amp;$G157,$E$6:$U$129,N$133,FALSE)*VLOOKUP($B157,Weighting!$D$15:$G$19,MATCH(Segmented!$D$136,Weighting!$E$15:$H$15,0)+1,FALSE)+VLOOKUP($B157&amp;$E$136&amp;$G157,$E$6:$U$129,N$133,FALSE)*VLOOKUP($B157,Weighting!$D$15:$G$19,MATCH(Segmented!$E$136,Weighting!$E$15:$H$15,0)+1,FALSE)</f>
        <v>0</v>
      </c>
      <c r="O157">
        <f t="shared" si="5"/>
        <v>0</v>
      </c>
      <c r="P157" s="31">
        <f>VLOOKUP($B157&amp;$C$136&amp;$G157,$E$6:$U$129,P$133,FALSE)*VLOOKUP($B157,Weighting!$D$15:$G$19,MATCH(Segmented!$C$136,Weighting!$E$15:$H$15,0)+1,FALSE)+VLOOKUP($B157&amp;$D$136&amp;$G157,$E$6:$U$129,P$133,FALSE)*VLOOKUP($B157,Weighting!$D$15:$G$19,MATCH(Segmented!$D$136,Weighting!$E$15:$H$15,0)+1,FALSE)+VLOOKUP($B157&amp;$E$136&amp;$G157,$E$6:$U$129,P$133,FALSE)*VLOOKUP($B157,Weighting!$D$15:$G$19,MATCH(Segmented!$E$136,Weighting!$E$15:$H$15,0)+1,FALSE)</f>
        <v>0</v>
      </c>
      <c r="Q157">
        <f t="shared" si="6"/>
        <v>0</v>
      </c>
      <c r="R157" s="31">
        <f>VLOOKUP($B157&amp;$C$136&amp;$G157,$E$6:$U$129,R$133,FALSE)*VLOOKUP($B157,Weighting!$D$15:$G$19,MATCH(Segmented!$C$136,Weighting!$E$15:$H$15,0)+1,FALSE)+VLOOKUP($B157&amp;$D$136&amp;$G157,$E$6:$U$129,R$133,FALSE)*VLOOKUP($B157,Weighting!$D$15:$G$19,MATCH(Segmented!$D$136,Weighting!$E$15:$H$15,0)+1,FALSE)+VLOOKUP($B157&amp;$E$136&amp;$G157,$E$6:$U$129,R$133,FALSE)*VLOOKUP($B157,Weighting!$D$15:$G$19,MATCH(Segmented!$E$136,Weighting!$E$15:$H$15,0)+1,FALSE)</f>
        <v>0</v>
      </c>
      <c r="S157">
        <f t="shared" si="7"/>
        <v>0</v>
      </c>
      <c r="T157" s="31">
        <f>VLOOKUP($B157&amp;$C$136&amp;$G157,$E$6:$U$129,T$133,FALSE)*VLOOKUP($B157,Weighting!$D$15:$G$19,MATCH(Segmented!$C$136,Weighting!$E$15:$H$15,0)+1,FALSE)+VLOOKUP($B157&amp;$D$136&amp;$G157,$E$6:$U$129,T$133,FALSE)*VLOOKUP($B157,Weighting!$D$15:$G$19,MATCH(Segmented!$D$136,Weighting!$E$15:$H$15,0)+1,FALSE)+VLOOKUP($B157&amp;$E$136&amp;$G157,$E$6:$U$129,T$133,FALSE)*VLOOKUP($B157,Weighting!$D$15:$G$19,MATCH(Segmented!$E$136,Weighting!$E$15:$H$15,0)+1,FALSE)</f>
        <v>0</v>
      </c>
    </row>
    <row r="158" spans="2:20">
      <c r="B158" t="s">
        <v>76</v>
      </c>
      <c r="F158" s="55" t="str">
        <f t="shared" si="8"/>
        <v>WINDOW CL22 Prime Window Replacement of Single Pane Base_Electric FAF</v>
      </c>
      <c r="G158" s="31" t="s">
        <v>74</v>
      </c>
      <c r="H158" s="31">
        <f>VLOOKUP($B158&amp;$C$136&amp;$G158,$E$6:$U$129,H$133,FALSE)*VLOOKUP($B158,Weighting!$D$15:$G$19,MATCH(Segmented!$C$136,Weighting!$E$15:$H$15,0)+1,FALSE)+VLOOKUP($B158&amp;$D$136&amp;$G158,$E$6:$U$129,H$133,FALSE)*VLOOKUP($B158,Weighting!$D$15:$G$19,MATCH(Segmented!$D$136,Weighting!$E$15:$H$15,0)+1,FALSE)+VLOOKUP($B158&amp;$E$136&amp;$G158,$E$6:$U$129,H$133,FALSE)*VLOOKUP($B158,Weighting!$D$15:$G$19,MATCH(Segmented!$E$136,Weighting!$E$15:$H$15,0)+1,FALSE)</f>
        <v>3912.7654882130341</v>
      </c>
      <c r="I158">
        <f t="shared" si="3"/>
        <v>45</v>
      </c>
      <c r="J158" s="31">
        <f>VLOOKUP($B158&amp;$C$136&amp;$G158,$E$6:$U$129,J$133,FALSE)*VLOOKUP($B158,Weighting!$D$15:$G$19,MATCH(Segmented!$C$136,Weighting!$E$15:$H$15,0)+1,FALSE)+VLOOKUP($B158&amp;$D$136&amp;$G158,$E$6:$U$129,J$133,FALSE)*VLOOKUP($B158,Weighting!$D$15:$G$19,MATCH(Segmented!$D$136,Weighting!$E$15:$H$15,0)+1,FALSE)+VLOOKUP($B158&amp;$E$136&amp;$G158,$E$6:$U$129,J$133,FALSE)*VLOOKUP($B158,Weighting!$D$15:$G$19,MATCH(Segmented!$E$136,Weighting!$E$15:$H$15,0)+1,FALSE)</f>
        <v>3567.2363679851778</v>
      </c>
      <c r="K158" s="31">
        <f>VLOOKUP($B158&amp;$C$136&amp;$G158,$E$6:$U$129,K$133,FALSE)*VLOOKUP($B158,Weighting!$D$15:$G$19,MATCH(Segmented!$C$136,Weighting!$E$15:$H$15,0)+1,FALSE)+VLOOKUP($B158&amp;$D$136&amp;$G158,$E$6:$U$129,K$133,FALSE)*VLOOKUP($B158,Weighting!$D$15:$G$19,MATCH(Segmented!$D$136,Weighting!$E$15:$H$15,0)+1,FALSE)+VLOOKUP($B158&amp;$E$136&amp;$G158,$E$6:$U$129,K$133,FALSE)*VLOOKUP($B158,Weighting!$D$15:$G$19,MATCH(Segmented!$E$136,Weighting!$E$15:$H$15,0)+1,FALSE)</f>
        <v>0</v>
      </c>
      <c r="L158" t="str">
        <f t="shared" si="4"/>
        <v>ResSHWX</v>
      </c>
      <c r="M158" s="31">
        <f>VLOOKUP($B158&amp;$C$136&amp;$G158,$E$6:$U$129,M$133,FALSE)*VLOOKUP($B158,Weighting!$D$15:$G$19,MATCH(Segmented!$C$136,Weighting!$E$15:$H$15,0)+1,FALSE)+VLOOKUP($B158&amp;$D$136&amp;$G158,$E$6:$U$129,M$133,FALSE)*VLOOKUP($B158,Weighting!$D$15:$G$19,MATCH(Segmented!$D$136,Weighting!$E$15:$H$15,0)+1,FALSE)+VLOOKUP($B158&amp;$E$136&amp;$G158,$E$6:$U$129,M$133,FALSE)*VLOOKUP($B158,Weighting!$D$15:$G$19,MATCH(Segmented!$E$136,Weighting!$E$15:$H$15,0)+1,FALSE)</f>
        <v>0</v>
      </c>
      <c r="N158" s="31">
        <f>VLOOKUP($B158&amp;$C$136&amp;$G158,$E$6:$U$129,N$133,FALSE)*VLOOKUP($B158,Weighting!$D$15:$G$19,MATCH(Segmented!$C$136,Weighting!$E$15:$H$15,0)+1,FALSE)+VLOOKUP($B158&amp;$D$136&amp;$G158,$E$6:$U$129,N$133,FALSE)*VLOOKUP($B158,Weighting!$D$15:$G$19,MATCH(Segmented!$D$136,Weighting!$E$15:$H$15,0)+1,FALSE)+VLOOKUP($B158&amp;$E$136&amp;$G158,$E$6:$U$129,N$133,FALSE)*VLOOKUP($B158,Weighting!$D$15:$G$19,MATCH(Segmented!$E$136,Weighting!$E$15:$H$15,0)+1,FALSE)</f>
        <v>0</v>
      </c>
      <c r="O158">
        <f t="shared" si="5"/>
        <v>0</v>
      </c>
      <c r="P158" s="31">
        <f>VLOOKUP($B158&amp;$C$136&amp;$G158,$E$6:$U$129,P$133,FALSE)*VLOOKUP($B158,Weighting!$D$15:$G$19,MATCH(Segmented!$C$136,Weighting!$E$15:$H$15,0)+1,FALSE)+VLOOKUP($B158&amp;$D$136&amp;$G158,$E$6:$U$129,P$133,FALSE)*VLOOKUP($B158,Weighting!$D$15:$G$19,MATCH(Segmented!$D$136,Weighting!$E$15:$H$15,0)+1,FALSE)+VLOOKUP($B158&amp;$E$136&amp;$G158,$E$6:$U$129,P$133,FALSE)*VLOOKUP($B158,Weighting!$D$15:$G$19,MATCH(Segmented!$E$136,Weighting!$E$15:$H$15,0)+1,FALSE)</f>
        <v>0</v>
      </c>
      <c r="Q158">
        <f t="shared" si="6"/>
        <v>0</v>
      </c>
      <c r="R158" s="31">
        <f>VLOOKUP($B158&amp;$C$136&amp;$G158,$E$6:$U$129,R$133,FALSE)*VLOOKUP($B158,Weighting!$D$15:$G$19,MATCH(Segmented!$C$136,Weighting!$E$15:$H$15,0)+1,FALSE)+VLOOKUP($B158&amp;$D$136&amp;$G158,$E$6:$U$129,R$133,FALSE)*VLOOKUP($B158,Weighting!$D$15:$G$19,MATCH(Segmented!$D$136,Weighting!$E$15:$H$15,0)+1,FALSE)+VLOOKUP($B158&amp;$E$136&amp;$G158,$E$6:$U$129,R$133,FALSE)*VLOOKUP($B158,Weighting!$D$15:$G$19,MATCH(Segmented!$E$136,Weighting!$E$15:$H$15,0)+1,FALSE)</f>
        <v>0</v>
      </c>
      <c r="S158">
        <f t="shared" si="7"/>
        <v>0</v>
      </c>
      <c r="T158" s="31">
        <f>VLOOKUP($B158&amp;$C$136&amp;$G158,$E$6:$U$129,T$133,FALSE)*VLOOKUP($B158,Weighting!$D$15:$G$19,MATCH(Segmented!$C$136,Weighting!$E$15:$H$15,0)+1,FALSE)+VLOOKUP($B158&amp;$D$136&amp;$G158,$E$6:$U$129,T$133,FALSE)*VLOOKUP($B158,Weighting!$D$15:$G$19,MATCH(Segmented!$D$136,Weighting!$E$15:$H$15,0)+1,FALSE)+VLOOKUP($B158&amp;$E$136&amp;$G158,$E$6:$U$129,T$133,FALSE)*VLOOKUP($B158,Weighting!$D$15:$G$19,MATCH(Segmented!$E$136,Weighting!$E$15:$H$15,0)+1,FALSE)</f>
        <v>0</v>
      </c>
    </row>
    <row r="159" spans="2:20">
      <c r="B159" t="s">
        <v>76</v>
      </c>
      <c r="F159" s="55" t="str">
        <f t="shared" si="8"/>
        <v>WINDOW CL22 Prime Window Replacement of Double Pane Base_Electric FAF</v>
      </c>
      <c r="G159" s="31" t="s">
        <v>75</v>
      </c>
      <c r="H159" s="31">
        <f>VLOOKUP($B159&amp;$C$136&amp;$G159,$E$6:$U$129,H$133,FALSE)*VLOOKUP($B159,Weighting!$D$15:$G$19,MATCH(Segmented!$C$136,Weighting!$E$15:$H$15,0)+1,FALSE)+VLOOKUP($B159&amp;$D$136&amp;$G159,$E$6:$U$129,H$133,FALSE)*VLOOKUP($B159,Weighting!$D$15:$G$19,MATCH(Segmented!$D$136,Weighting!$E$15:$H$15,0)+1,FALSE)+VLOOKUP($B159&amp;$E$136&amp;$G159,$E$6:$U$129,H$133,FALSE)*VLOOKUP($B159,Weighting!$D$15:$G$19,MATCH(Segmented!$E$136,Weighting!$E$15:$H$15,0)+1,FALSE)</f>
        <v>2298.216537980767</v>
      </c>
      <c r="I159">
        <f t="shared" si="3"/>
        <v>45</v>
      </c>
      <c r="J159" s="31">
        <f>VLOOKUP($B159&amp;$C$136&amp;$G159,$E$6:$U$129,J$133,FALSE)*VLOOKUP($B159,Weighting!$D$15:$G$19,MATCH(Segmented!$C$136,Weighting!$E$15:$H$15,0)+1,FALSE)+VLOOKUP($B159&amp;$D$136&amp;$G159,$E$6:$U$129,J$133,FALSE)*VLOOKUP($B159,Weighting!$D$15:$G$19,MATCH(Segmented!$D$136,Weighting!$E$15:$H$15,0)+1,FALSE)+VLOOKUP($B159&amp;$E$136&amp;$G159,$E$6:$U$129,J$133,FALSE)*VLOOKUP($B159,Weighting!$D$15:$G$19,MATCH(Segmented!$E$136,Weighting!$E$15:$H$15,0)+1,FALSE)</f>
        <v>3567.2363679851778</v>
      </c>
      <c r="K159" s="31">
        <f>VLOOKUP($B159&amp;$C$136&amp;$G159,$E$6:$U$129,K$133,FALSE)*VLOOKUP($B159,Weighting!$D$15:$G$19,MATCH(Segmented!$C$136,Weighting!$E$15:$H$15,0)+1,FALSE)+VLOOKUP($B159&amp;$D$136&amp;$G159,$E$6:$U$129,K$133,FALSE)*VLOOKUP($B159,Weighting!$D$15:$G$19,MATCH(Segmented!$D$136,Weighting!$E$15:$H$15,0)+1,FALSE)+VLOOKUP($B159&amp;$E$136&amp;$G159,$E$6:$U$129,K$133,FALSE)*VLOOKUP($B159,Weighting!$D$15:$G$19,MATCH(Segmented!$E$136,Weighting!$E$15:$H$15,0)+1,FALSE)</f>
        <v>0</v>
      </c>
      <c r="L159" t="str">
        <f t="shared" si="4"/>
        <v>ResSHWX</v>
      </c>
      <c r="M159" s="31">
        <f>VLOOKUP($B159&amp;$C$136&amp;$G159,$E$6:$U$129,M$133,FALSE)*VLOOKUP($B159,Weighting!$D$15:$G$19,MATCH(Segmented!$C$136,Weighting!$E$15:$H$15,0)+1,FALSE)+VLOOKUP($B159&amp;$D$136&amp;$G159,$E$6:$U$129,M$133,FALSE)*VLOOKUP($B159,Weighting!$D$15:$G$19,MATCH(Segmented!$D$136,Weighting!$E$15:$H$15,0)+1,FALSE)+VLOOKUP($B159&amp;$E$136&amp;$G159,$E$6:$U$129,M$133,FALSE)*VLOOKUP($B159,Weighting!$D$15:$G$19,MATCH(Segmented!$E$136,Weighting!$E$15:$H$15,0)+1,FALSE)</f>
        <v>0</v>
      </c>
      <c r="N159" s="31">
        <f>VLOOKUP($B159&amp;$C$136&amp;$G159,$E$6:$U$129,N$133,FALSE)*VLOOKUP($B159,Weighting!$D$15:$G$19,MATCH(Segmented!$C$136,Weighting!$E$15:$H$15,0)+1,FALSE)+VLOOKUP($B159&amp;$D$136&amp;$G159,$E$6:$U$129,N$133,FALSE)*VLOOKUP($B159,Weighting!$D$15:$G$19,MATCH(Segmented!$D$136,Weighting!$E$15:$H$15,0)+1,FALSE)+VLOOKUP($B159&amp;$E$136&amp;$G159,$E$6:$U$129,N$133,FALSE)*VLOOKUP($B159,Weighting!$D$15:$G$19,MATCH(Segmented!$E$136,Weighting!$E$15:$H$15,0)+1,FALSE)</f>
        <v>0</v>
      </c>
      <c r="O159">
        <f t="shared" si="5"/>
        <v>0</v>
      </c>
      <c r="P159" s="31">
        <f>VLOOKUP($B159&amp;$C$136&amp;$G159,$E$6:$U$129,P$133,FALSE)*VLOOKUP($B159,Weighting!$D$15:$G$19,MATCH(Segmented!$C$136,Weighting!$E$15:$H$15,0)+1,FALSE)+VLOOKUP($B159&amp;$D$136&amp;$G159,$E$6:$U$129,P$133,FALSE)*VLOOKUP($B159,Weighting!$D$15:$G$19,MATCH(Segmented!$D$136,Weighting!$E$15:$H$15,0)+1,FALSE)+VLOOKUP($B159&amp;$E$136&amp;$G159,$E$6:$U$129,P$133,FALSE)*VLOOKUP($B159,Weighting!$D$15:$G$19,MATCH(Segmented!$E$136,Weighting!$E$15:$H$15,0)+1,FALSE)</f>
        <v>0</v>
      </c>
      <c r="Q159">
        <f t="shared" si="6"/>
        <v>0</v>
      </c>
      <c r="R159" s="31">
        <f>VLOOKUP($B159&amp;$C$136&amp;$G159,$E$6:$U$129,R$133,FALSE)*VLOOKUP($B159,Weighting!$D$15:$G$19,MATCH(Segmented!$C$136,Weighting!$E$15:$H$15,0)+1,FALSE)+VLOOKUP($B159&amp;$D$136&amp;$G159,$E$6:$U$129,R$133,FALSE)*VLOOKUP($B159,Weighting!$D$15:$G$19,MATCH(Segmented!$D$136,Weighting!$E$15:$H$15,0)+1,FALSE)+VLOOKUP($B159&amp;$E$136&amp;$G159,$E$6:$U$129,R$133,FALSE)*VLOOKUP($B159,Weighting!$D$15:$G$19,MATCH(Segmented!$E$136,Weighting!$E$15:$H$15,0)+1,FALSE)</f>
        <v>0</v>
      </c>
      <c r="S159">
        <f t="shared" si="7"/>
        <v>0</v>
      </c>
      <c r="T159" s="31">
        <f>VLOOKUP($B159&amp;$C$136&amp;$G159,$E$6:$U$129,T$133,FALSE)*VLOOKUP($B159,Weighting!$D$15:$G$19,MATCH(Segmented!$C$136,Weighting!$E$15:$H$15,0)+1,FALSE)+VLOOKUP($B159&amp;$D$136&amp;$G159,$E$6:$U$129,T$133,FALSE)*VLOOKUP($B159,Weighting!$D$15:$G$19,MATCH(Segmented!$D$136,Weighting!$E$15:$H$15,0)+1,FALSE)+VLOOKUP($B159&amp;$E$136&amp;$G159,$E$6:$U$129,T$133,FALSE)*VLOOKUP($B159,Weighting!$D$15:$G$19,MATCH(Segmented!$E$136,Weighting!$E$15:$H$15,0)+1,FALSE)</f>
        <v>0</v>
      </c>
    </row>
    <row r="160" spans="2:20">
      <c r="B160" t="s">
        <v>76</v>
      </c>
      <c r="F160" s="55" t="str">
        <f t="shared" si="8"/>
        <v>WINDOW CL30 Prime Window Replacement of Single Pane Base_Electric FAF</v>
      </c>
      <c r="G160" s="31" t="s">
        <v>72</v>
      </c>
      <c r="H160" s="31">
        <f>VLOOKUP($B160&amp;$C$136&amp;$G160,$E$6:$U$129,H$133,FALSE)*VLOOKUP($B160,Weighting!$D$15:$G$19,MATCH(Segmented!$C$136,Weighting!$E$15:$H$15,0)+1,FALSE)+VLOOKUP($B160&amp;$D$136&amp;$G160,$E$6:$U$129,H$133,FALSE)*VLOOKUP($B160,Weighting!$D$15:$G$19,MATCH(Segmented!$D$136,Weighting!$E$15:$H$15,0)+1,FALSE)+VLOOKUP($B160&amp;$E$136&amp;$G160,$E$6:$U$129,H$133,FALSE)*VLOOKUP($B160,Weighting!$D$15:$G$19,MATCH(Segmented!$E$136,Weighting!$E$15:$H$15,0)+1,FALSE)</f>
        <v>3597.6461680668308</v>
      </c>
      <c r="I160">
        <f t="shared" si="3"/>
        <v>45</v>
      </c>
      <c r="J160" s="31">
        <f>VLOOKUP($B160&amp;$C$136&amp;$G160,$E$6:$U$129,J$133,FALSE)*VLOOKUP($B160,Weighting!$D$15:$G$19,MATCH(Segmented!$C$136,Weighting!$E$15:$H$15,0)+1,FALSE)+VLOOKUP($B160&amp;$D$136&amp;$G160,$E$6:$U$129,J$133,FALSE)*VLOOKUP($B160,Weighting!$D$15:$G$19,MATCH(Segmented!$D$136,Weighting!$E$15:$H$15,0)+1,FALSE)+VLOOKUP($B160&amp;$E$136&amp;$G160,$E$6:$U$129,J$133,FALSE)*VLOOKUP($B160,Weighting!$D$15:$G$19,MATCH(Segmented!$E$136,Weighting!$E$15:$H$15,0)+1,FALSE)</f>
        <v>2730.3075374938753</v>
      </c>
      <c r="K160" s="31">
        <f>VLOOKUP($B160&amp;$C$136&amp;$G160,$E$6:$U$129,K$133,FALSE)*VLOOKUP($B160,Weighting!$D$15:$G$19,MATCH(Segmented!$C$136,Weighting!$E$15:$H$15,0)+1,FALSE)+VLOOKUP($B160&amp;$D$136&amp;$G160,$E$6:$U$129,K$133,FALSE)*VLOOKUP($B160,Weighting!$D$15:$G$19,MATCH(Segmented!$D$136,Weighting!$E$15:$H$15,0)+1,FALSE)+VLOOKUP($B160&amp;$E$136&amp;$G160,$E$6:$U$129,K$133,FALSE)*VLOOKUP($B160,Weighting!$D$15:$G$19,MATCH(Segmented!$E$136,Weighting!$E$15:$H$15,0)+1,FALSE)</f>
        <v>0</v>
      </c>
      <c r="L160" t="str">
        <f t="shared" si="4"/>
        <v>ResSHWX</v>
      </c>
      <c r="M160" s="31">
        <f>VLOOKUP($B160&amp;$C$136&amp;$G160,$E$6:$U$129,M$133,FALSE)*VLOOKUP($B160,Weighting!$D$15:$G$19,MATCH(Segmented!$C$136,Weighting!$E$15:$H$15,0)+1,FALSE)+VLOOKUP($B160&amp;$D$136&amp;$G160,$E$6:$U$129,M$133,FALSE)*VLOOKUP($B160,Weighting!$D$15:$G$19,MATCH(Segmented!$D$136,Weighting!$E$15:$H$15,0)+1,FALSE)+VLOOKUP($B160&amp;$E$136&amp;$G160,$E$6:$U$129,M$133,FALSE)*VLOOKUP($B160,Weighting!$D$15:$G$19,MATCH(Segmented!$E$136,Weighting!$E$15:$H$15,0)+1,FALSE)</f>
        <v>0</v>
      </c>
      <c r="N160" s="31">
        <f>VLOOKUP($B160&amp;$C$136&amp;$G160,$E$6:$U$129,N$133,FALSE)*VLOOKUP($B160,Weighting!$D$15:$G$19,MATCH(Segmented!$C$136,Weighting!$E$15:$H$15,0)+1,FALSE)+VLOOKUP($B160&amp;$D$136&amp;$G160,$E$6:$U$129,N$133,FALSE)*VLOOKUP($B160,Weighting!$D$15:$G$19,MATCH(Segmented!$D$136,Weighting!$E$15:$H$15,0)+1,FALSE)+VLOOKUP($B160&amp;$E$136&amp;$G160,$E$6:$U$129,N$133,FALSE)*VLOOKUP($B160,Weighting!$D$15:$G$19,MATCH(Segmented!$E$136,Weighting!$E$15:$H$15,0)+1,FALSE)</f>
        <v>0</v>
      </c>
      <c r="O160">
        <f t="shared" si="5"/>
        <v>0</v>
      </c>
      <c r="P160" s="31">
        <f>VLOOKUP($B160&amp;$C$136&amp;$G160,$E$6:$U$129,P$133,FALSE)*VLOOKUP($B160,Weighting!$D$15:$G$19,MATCH(Segmented!$C$136,Weighting!$E$15:$H$15,0)+1,FALSE)+VLOOKUP($B160&amp;$D$136&amp;$G160,$E$6:$U$129,P$133,FALSE)*VLOOKUP($B160,Weighting!$D$15:$G$19,MATCH(Segmented!$D$136,Weighting!$E$15:$H$15,0)+1,FALSE)+VLOOKUP($B160&amp;$E$136&amp;$G160,$E$6:$U$129,P$133,FALSE)*VLOOKUP($B160,Weighting!$D$15:$G$19,MATCH(Segmented!$E$136,Weighting!$E$15:$H$15,0)+1,FALSE)</f>
        <v>0</v>
      </c>
      <c r="Q160">
        <f t="shared" si="6"/>
        <v>0</v>
      </c>
      <c r="R160" s="31">
        <f>VLOOKUP($B160&amp;$C$136&amp;$G160,$E$6:$U$129,R$133,FALSE)*VLOOKUP($B160,Weighting!$D$15:$G$19,MATCH(Segmented!$C$136,Weighting!$E$15:$H$15,0)+1,FALSE)+VLOOKUP($B160&amp;$D$136&amp;$G160,$E$6:$U$129,R$133,FALSE)*VLOOKUP($B160,Weighting!$D$15:$G$19,MATCH(Segmented!$D$136,Weighting!$E$15:$H$15,0)+1,FALSE)+VLOOKUP($B160&amp;$E$136&amp;$G160,$E$6:$U$129,R$133,FALSE)*VLOOKUP($B160,Weighting!$D$15:$G$19,MATCH(Segmented!$E$136,Weighting!$E$15:$H$15,0)+1,FALSE)</f>
        <v>0</v>
      </c>
      <c r="S160">
        <f t="shared" si="7"/>
        <v>0</v>
      </c>
      <c r="T160" s="31">
        <f>VLOOKUP($B160&amp;$C$136&amp;$G160,$E$6:$U$129,T$133,FALSE)*VLOOKUP($B160,Weighting!$D$15:$G$19,MATCH(Segmented!$C$136,Weighting!$E$15:$H$15,0)+1,FALSE)+VLOOKUP($B160&amp;$D$136&amp;$G160,$E$6:$U$129,T$133,FALSE)*VLOOKUP($B160,Weighting!$D$15:$G$19,MATCH(Segmented!$D$136,Weighting!$E$15:$H$15,0)+1,FALSE)+VLOOKUP($B160&amp;$E$136&amp;$G160,$E$6:$U$129,T$133,FALSE)*VLOOKUP($B160,Weighting!$D$15:$G$19,MATCH(Segmented!$E$136,Weighting!$E$15:$H$15,0)+1,FALSE)</f>
        <v>0</v>
      </c>
    </row>
    <row r="161" spans="2:20">
      <c r="B161" t="s">
        <v>76</v>
      </c>
      <c r="F161" s="55" t="str">
        <f t="shared" si="8"/>
        <v>WINDOW CL30 Prime Window Replacement of Double Pane Base_Electric FAF</v>
      </c>
      <c r="G161" s="31" t="s">
        <v>73</v>
      </c>
      <c r="H161" s="31">
        <f>VLOOKUP($B161&amp;$C$136&amp;$G161,$E$6:$U$129,H$133,FALSE)*VLOOKUP($B161,Weighting!$D$15:$G$19,MATCH(Segmented!$C$136,Weighting!$E$15:$H$15,0)+1,FALSE)+VLOOKUP($B161&amp;$D$136&amp;$G161,$E$6:$U$129,H$133,FALSE)*VLOOKUP($B161,Weighting!$D$15:$G$19,MATCH(Segmented!$D$136,Weighting!$E$15:$H$15,0)+1,FALSE)+VLOOKUP($B161&amp;$E$136&amp;$G161,$E$6:$U$129,H$133,FALSE)*VLOOKUP($B161,Weighting!$D$15:$G$19,MATCH(Segmented!$E$136,Weighting!$E$15:$H$15,0)+1,FALSE)</f>
        <v>1983.0972178345644</v>
      </c>
      <c r="I161">
        <f t="shared" si="3"/>
        <v>45</v>
      </c>
      <c r="J161" s="31">
        <f>VLOOKUP($B161&amp;$C$136&amp;$G161,$E$6:$U$129,J$133,FALSE)*VLOOKUP($B161,Weighting!$D$15:$G$19,MATCH(Segmented!$C$136,Weighting!$E$15:$H$15,0)+1,FALSE)+VLOOKUP($B161&amp;$D$136&amp;$G161,$E$6:$U$129,J$133,FALSE)*VLOOKUP($B161,Weighting!$D$15:$G$19,MATCH(Segmented!$D$136,Weighting!$E$15:$H$15,0)+1,FALSE)+VLOOKUP($B161&amp;$E$136&amp;$G161,$E$6:$U$129,J$133,FALSE)*VLOOKUP($B161,Weighting!$D$15:$G$19,MATCH(Segmented!$E$136,Weighting!$E$15:$H$15,0)+1,FALSE)</f>
        <v>2730.3075374938753</v>
      </c>
      <c r="K161" s="31">
        <f>VLOOKUP($B161&amp;$C$136&amp;$G161,$E$6:$U$129,K$133,FALSE)*VLOOKUP($B161,Weighting!$D$15:$G$19,MATCH(Segmented!$C$136,Weighting!$E$15:$H$15,0)+1,FALSE)+VLOOKUP($B161&amp;$D$136&amp;$G161,$E$6:$U$129,K$133,FALSE)*VLOOKUP($B161,Weighting!$D$15:$G$19,MATCH(Segmented!$D$136,Weighting!$E$15:$H$15,0)+1,FALSE)+VLOOKUP($B161&amp;$E$136&amp;$G161,$E$6:$U$129,K$133,FALSE)*VLOOKUP($B161,Weighting!$D$15:$G$19,MATCH(Segmented!$E$136,Weighting!$E$15:$H$15,0)+1,FALSE)</f>
        <v>0</v>
      </c>
      <c r="L161" t="str">
        <f t="shared" si="4"/>
        <v>ResSHWX</v>
      </c>
      <c r="M161" s="31">
        <f>VLOOKUP($B161&amp;$C$136&amp;$G161,$E$6:$U$129,M$133,FALSE)*VLOOKUP($B161,Weighting!$D$15:$G$19,MATCH(Segmented!$C$136,Weighting!$E$15:$H$15,0)+1,FALSE)+VLOOKUP($B161&amp;$D$136&amp;$G161,$E$6:$U$129,M$133,FALSE)*VLOOKUP($B161,Weighting!$D$15:$G$19,MATCH(Segmented!$D$136,Weighting!$E$15:$H$15,0)+1,FALSE)+VLOOKUP($B161&amp;$E$136&amp;$G161,$E$6:$U$129,M$133,FALSE)*VLOOKUP($B161,Weighting!$D$15:$G$19,MATCH(Segmented!$E$136,Weighting!$E$15:$H$15,0)+1,FALSE)</f>
        <v>0</v>
      </c>
      <c r="N161" s="31">
        <f>VLOOKUP($B161&amp;$C$136&amp;$G161,$E$6:$U$129,N$133,FALSE)*VLOOKUP($B161,Weighting!$D$15:$G$19,MATCH(Segmented!$C$136,Weighting!$E$15:$H$15,0)+1,FALSE)+VLOOKUP($B161&amp;$D$136&amp;$G161,$E$6:$U$129,N$133,FALSE)*VLOOKUP($B161,Weighting!$D$15:$G$19,MATCH(Segmented!$D$136,Weighting!$E$15:$H$15,0)+1,FALSE)+VLOOKUP($B161&amp;$E$136&amp;$G161,$E$6:$U$129,N$133,FALSE)*VLOOKUP($B161,Weighting!$D$15:$G$19,MATCH(Segmented!$E$136,Weighting!$E$15:$H$15,0)+1,FALSE)</f>
        <v>0</v>
      </c>
      <c r="O161">
        <f t="shared" si="5"/>
        <v>0</v>
      </c>
      <c r="P161" s="31">
        <f>VLOOKUP($B161&amp;$C$136&amp;$G161,$E$6:$U$129,P$133,FALSE)*VLOOKUP($B161,Weighting!$D$15:$G$19,MATCH(Segmented!$C$136,Weighting!$E$15:$H$15,0)+1,FALSE)+VLOOKUP($B161&amp;$D$136&amp;$G161,$E$6:$U$129,P$133,FALSE)*VLOOKUP($B161,Weighting!$D$15:$G$19,MATCH(Segmented!$D$136,Weighting!$E$15:$H$15,0)+1,FALSE)+VLOOKUP($B161&amp;$E$136&amp;$G161,$E$6:$U$129,P$133,FALSE)*VLOOKUP($B161,Weighting!$D$15:$G$19,MATCH(Segmented!$E$136,Weighting!$E$15:$H$15,0)+1,FALSE)</f>
        <v>0</v>
      </c>
      <c r="Q161">
        <f t="shared" si="6"/>
        <v>0</v>
      </c>
      <c r="R161" s="31">
        <f>VLOOKUP($B161&amp;$C$136&amp;$G161,$E$6:$U$129,R$133,FALSE)*VLOOKUP($B161,Weighting!$D$15:$G$19,MATCH(Segmented!$C$136,Weighting!$E$15:$H$15,0)+1,FALSE)+VLOOKUP($B161&amp;$D$136&amp;$G161,$E$6:$U$129,R$133,FALSE)*VLOOKUP($B161,Weighting!$D$15:$G$19,MATCH(Segmented!$D$136,Weighting!$E$15:$H$15,0)+1,FALSE)+VLOOKUP($B161&amp;$E$136&amp;$G161,$E$6:$U$129,R$133,FALSE)*VLOOKUP($B161,Weighting!$D$15:$G$19,MATCH(Segmented!$E$136,Weighting!$E$15:$H$15,0)+1,FALSE)</f>
        <v>0</v>
      </c>
      <c r="S161">
        <f t="shared" si="7"/>
        <v>0</v>
      </c>
      <c r="T161" s="31">
        <f>VLOOKUP($B161&amp;$C$136&amp;$G161,$E$6:$U$129,T$133,FALSE)*VLOOKUP($B161,Weighting!$D$15:$G$19,MATCH(Segmented!$C$136,Weighting!$E$15:$H$15,0)+1,FALSE)+VLOOKUP($B161&amp;$D$136&amp;$G161,$E$6:$U$129,T$133,FALSE)*VLOOKUP($B161,Weighting!$D$15:$G$19,MATCH(Segmented!$D$136,Weighting!$E$15:$H$15,0)+1,FALSE)+VLOOKUP($B161&amp;$E$136&amp;$G161,$E$6:$U$129,T$133,FALSE)*VLOOKUP($B161,Weighting!$D$15:$G$19,MATCH(Segmented!$E$136,Weighting!$E$15:$H$15,0)+1,FALSE)</f>
        <v>0</v>
      </c>
    </row>
    <row r="162" spans="2:20">
      <c r="B162" t="s">
        <v>78</v>
      </c>
      <c r="F162" s="55" t="str">
        <f t="shared" si="8"/>
        <v>WALL R0 - R11_Heat Pump</v>
      </c>
      <c r="G162" s="54" t="s">
        <v>69</v>
      </c>
      <c r="H162" s="31">
        <f>VLOOKUP($B162&amp;$C$136&amp;$G162,$E$6:$U$129,H$133,FALSE)*VLOOKUP($B162,Weighting!$D$15:$G$19,MATCH(Segmented!$C$136,Weighting!$E$15:$H$15,0)+1,FALSE)+VLOOKUP($B162&amp;$D$136&amp;$G162,$E$6:$U$129,H$133,FALSE)*VLOOKUP($B162,Weighting!$D$15:$G$19,MATCH(Segmented!$D$136,Weighting!$E$15:$H$15,0)+1,FALSE)+VLOOKUP($B162&amp;$E$136&amp;$G162,$E$6:$U$129,H$133,FALSE)*VLOOKUP($B162,Weighting!$D$15:$G$19,MATCH(Segmented!$E$136,Weighting!$E$15:$H$15,0)+1,FALSE)</f>
        <v>270.93400411494554</v>
      </c>
      <c r="I162">
        <f t="shared" si="3"/>
        <v>45</v>
      </c>
      <c r="J162" s="31">
        <f>VLOOKUP($B162&amp;$C$136&amp;$G162,$E$6:$U$129,J$133,FALSE)*VLOOKUP($B162,Weighting!$D$15:$G$19,MATCH(Segmented!$C$136,Weighting!$E$15:$H$15,0)+1,FALSE)+VLOOKUP($B162&amp;$D$136&amp;$G162,$E$6:$U$129,J$133,FALSE)*VLOOKUP($B162,Weighting!$D$15:$G$19,MATCH(Segmented!$D$136,Weighting!$E$15:$H$15,0)+1,FALSE)+VLOOKUP($B162&amp;$E$136&amp;$G162,$E$6:$U$129,J$133,FALSE)*VLOOKUP($B162,Weighting!$D$15:$G$19,MATCH(Segmented!$E$136,Weighting!$E$15:$H$15,0)+1,FALSE)</f>
        <v>444.29060237385954</v>
      </c>
      <c r="K162" s="31">
        <f>VLOOKUP($B162&amp;$C$136&amp;$G162,$E$6:$U$129,K$133,FALSE)*VLOOKUP($B162,Weighting!$D$15:$G$19,MATCH(Segmented!$C$136,Weighting!$E$15:$H$15,0)+1,FALSE)+VLOOKUP($B162&amp;$D$136&amp;$G162,$E$6:$U$129,K$133,FALSE)*VLOOKUP($B162,Weighting!$D$15:$G$19,MATCH(Segmented!$D$136,Weighting!$E$15:$H$15,0)+1,FALSE)+VLOOKUP($B162&amp;$E$136&amp;$G162,$E$6:$U$129,K$133,FALSE)*VLOOKUP($B162,Weighting!$D$15:$G$19,MATCH(Segmented!$E$136,Weighting!$E$15:$H$15,0)+1,FALSE)</f>
        <v>0</v>
      </c>
      <c r="L162" t="str">
        <f t="shared" si="4"/>
        <v>ResSHWX</v>
      </c>
      <c r="M162" s="31">
        <f>VLOOKUP($B162&amp;$C$136&amp;$G162,$E$6:$U$129,M$133,FALSE)*VLOOKUP($B162,Weighting!$D$15:$G$19,MATCH(Segmented!$C$136,Weighting!$E$15:$H$15,0)+1,FALSE)+VLOOKUP($B162&amp;$D$136&amp;$G162,$E$6:$U$129,M$133,FALSE)*VLOOKUP($B162,Weighting!$D$15:$G$19,MATCH(Segmented!$D$136,Weighting!$E$15:$H$15,0)+1,FALSE)+VLOOKUP($B162&amp;$E$136&amp;$G162,$E$6:$U$129,M$133,FALSE)*VLOOKUP($B162,Weighting!$D$15:$G$19,MATCH(Segmented!$E$136,Weighting!$E$15:$H$15,0)+1,FALSE)</f>
        <v>0</v>
      </c>
      <c r="N162" s="31">
        <f>VLOOKUP($B162&amp;$C$136&amp;$G162,$E$6:$U$129,N$133,FALSE)*VLOOKUP($B162,Weighting!$D$15:$G$19,MATCH(Segmented!$C$136,Weighting!$E$15:$H$15,0)+1,FALSE)+VLOOKUP($B162&amp;$D$136&amp;$G162,$E$6:$U$129,N$133,FALSE)*VLOOKUP($B162,Weighting!$D$15:$G$19,MATCH(Segmented!$D$136,Weighting!$E$15:$H$15,0)+1,FALSE)+VLOOKUP($B162&amp;$E$136&amp;$G162,$E$6:$U$129,N$133,FALSE)*VLOOKUP($B162,Weighting!$D$15:$G$19,MATCH(Segmented!$E$136,Weighting!$E$15:$H$15,0)+1,FALSE)</f>
        <v>0</v>
      </c>
      <c r="O162">
        <f t="shared" si="5"/>
        <v>0</v>
      </c>
      <c r="P162" s="31">
        <f>VLOOKUP($B162&amp;$C$136&amp;$G162,$E$6:$U$129,P$133,FALSE)*VLOOKUP($B162,Weighting!$D$15:$G$19,MATCH(Segmented!$C$136,Weighting!$E$15:$H$15,0)+1,FALSE)+VLOOKUP($B162&amp;$D$136&amp;$G162,$E$6:$U$129,P$133,FALSE)*VLOOKUP($B162,Weighting!$D$15:$G$19,MATCH(Segmented!$D$136,Weighting!$E$15:$H$15,0)+1,FALSE)+VLOOKUP($B162&amp;$E$136&amp;$G162,$E$6:$U$129,P$133,FALSE)*VLOOKUP($B162,Weighting!$D$15:$G$19,MATCH(Segmented!$E$136,Weighting!$E$15:$H$15,0)+1,FALSE)</f>
        <v>0</v>
      </c>
      <c r="Q162">
        <f t="shared" si="6"/>
        <v>0</v>
      </c>
      <c r="R162" s="31">
        <f>VLOOKUP($B162&amp;$C$136&amp;$G162,$E$6:$U$129,R$133,FALSE)*VLOOKUP($B162,Weighting!$D$15:$G$19,MATCH(Segmented!$C$136,Weighting!$E$15:$H$15,0)+1,FALSE)+VLOOKUP($B162&amp;$D$136&amp;$G162,$E$6:$U$129,R$133,FALSE)*VLOOKUP($B162,Weighting!$D$15:$G$19,MATCH(Segmented!$D$136,Weighting!$E$15:$H$15,0)+1,FALSE)+VLOOKUP($B162&amp;$E$136&amp;$G162,$E$6:$U$129,R$133,FALSE)*VLOOKUP($B162,Weighting!$D$15:$G$19,MATCH(Segmented!$E$136,Weighting!$E$15:$H$15,0)+1,FALSE)</f>
        <v>0</v>
      </c>
      <c r="S162">
        <f t="shared" si="7"/>
        <v>0</v>
      </c>
      <c r="T162" s="31">
        <f>VLOOKUP($B162&amp;$C$136&amp;$G162,$E$6:$U$129,T$133,FALSE)*VLOOKUP($B162,Weighting!$D$15:$G$19,MATCH(Segmented!$C$136,Weighting!$E$15:$H$15,0)+1,FALSE)+VLOOKUP($B162&amp;$D$136&amp;$G162,$E$6:$U$129,T$133,FALSE)*VLOOKUP($B162,Weighting!$D$15:$G$19,MATCH(Segmented!$D$136,Weighting!$E$15:$H$15,0)+1,FALSE)+VLOOKUP($B162&amp;$E$136&amp;$G162,$E$6:$U$129,T$133,FALSE)*VLOOKUP($B162,Weighting!$D$15:$G$19,MATCH(Segmented!$E$136,Weighting!$E$15:$H$15,0)+1,FALSE)</f>
        <v>0</v>
      </c>
    </row>
    <row r="163" spans="2:20">
      <c r="B163" t="s">
        <v>78</v>
      </c>
      <c r="F163" s="55" t="str">
        <f t="shared" si="8"/>
        <v>FLOOR R0 - R19_Heat Pump</v>
      </c>
      <c r="G163" s="54" t="s">
        <v>70</v>
      </c>
      <c r="H163" s="31">
        <f>VLOOKUP($B163&amp;$C$136&amp;$G163,$E$6:$U$129,H$133,FALSE)*VLOOKUP($B163,Weighting!$D$15:$G$19,MATCH(Segmented!$C$136,Weighting!$E$15:$H$15,0)+1,FALSE)+VLOOKUP($B163&amp;$D$136&amp;$G163,$E$6:$U$129,H$133,FALSE)*VLOOKUP($B163,Weighting!$D$15:$G$19,MATCH(Segmented!$D$136,Weighting!$E$15:$H$15,0)+1,FALSE)+VLOOKUP($B163&amp;$E$136&amp;$G163,$E$6:$U$129,H$133,FALSE)*VLOOKUP($B163,Weighting!$D$15:$G$19,MATCH(Segmented!$E$136,Weighting!$E$15:$H$15,0)+1,FALSE)</f>
        <v>56.755374240869628</v>
      </c>
      <c r="I163">
        <f t="shared" si="3"/>
        <v>45</v>
      </c>
      <c r="J163" s="31">
        <f>VLOOKUP($B163&amp;$C$136&amp;$G163,$E$6:$U$129,J$133,FALSE)*VLOOKUP($B163,Weighting!$D$15:$G$19,MATCH(Segmented!$C$136,Weighting!$E$15:$H$15,0)+1,FALSE)+VLOOKUP($B163&amp;$D$136&amp;$G163,$E$6:$U$129,J$133,FALSE)*VLOOKUP($B163,Weighting!$D$15:$G$19,MATCH(Segmented!$D$136,Weighting!$E$15:$H$15,0)+1,FALSE)+VLOOKUP($B163&amp;$E$136&amp;$G163,$E$6:$U$129,J$133,FALSE)*VLOOKUP($B163,Weighting!$D$15:$G$19,MATCH(Segmented!$E$136,Weighting!$E$15:$H$15,0)+1,FALSE)</f>
        <v>315.42921929554086</v>
      </c>
      <c r="K163" s="31">
        <f>VLOOKUP($B163&amp;$C$136&amp;$G163,$E$6:$U$129,K$133,FALSE)*VLOOKUP($B163,Weighting!$D$15:$G$19,MATCH(Segmented!$C$136,Weighting!$E$15:$H$15,0)+1,FALSE)+VLOOKUP($B163&amp;$D$136&amp;$G163,$E$6:$U$129,K$133,FALSE)*VLOOKUP($B163,Weighting!$D$15:$G$19,MATCH(Segmented!$D$136,Weighting!$E$15:$H$15,0)+1,FALSE)+VLOOKUP($B163&amp;$E$136&amp;$G163,$E$6:$U$129,K$133,FALSE)*VLOOKUP($B163,Weighting!$D$15:$G$19,MATCH(Segmented!$E$136,Weighting!$E$15:$H$15,0)+1,FALSE)</f>
        <v>0</v>
      </c>
      <c r="L163" t="str">
        <f t="shared" si="4"/>
        <v>ResSHWX</v>
      </c>
      <c r="M163" s="31">
        <f>VLOOKUP($B163&amp;$C$136&amp;$G163,$E$6:$U$129,M$133,FALSE)*VLOOKUP($B163,Weighting!$D$15:$G$19,MATCH(Segmented!$C$136,Weighting!$E$15:$H$15,0)+1,FALSE)+VLOOKUP($B163&amp;$D$136&amp;$G163,$E$6:$U$129,M$133,FALSE)*VLOOKUP($B163,Weighting!$D$15:$G$19,MATCH(Segmented!$D$136,Weighting!$E$15:$H$15,0)+1,FALSE)+VLOOKUP($B163&amp;$E$136&amp;$G163,$E$6:$U$129,M$133,FALSE)*VLOOKUP($B163,Weighting!$D$15:$G$19,MATCH(Segmented!$E$136,Weighting!$E$15:$H$15,0)+1,FALSE)</f>
        <v>0</v>
      </c>
      <c r="N163" s="31">
        <f>VLOOKUP($B163&amp;$C$136&amp;$G163,$E$6:$U$129,N$133,FALSE)*VLOOKUP($B163,Weighting!$D$15:$G$19,MATCH(Segmented!$C$136,Weighting!$E$15:$H$15,0)+1,FALSE)+VLOOKUP($B163&amp;$D$136&amp;$G163,$E$6:$U$129,N$133,FALSE)*VLOOKUP($B163,Weighting!$D$15:$G$19,MATCH(Segmented!$D$136,Weighting!$E$15:$H$15,0)+1,FALSE)+VLOOKUP($B163&amp;$E$136&amp;$G163,$E$6:$U$129,N$133,FALSE)*VLOOKUP($B163,Weighting!$D$15:$G$19,MATCH(Segmented!$E$136,Weighting!$E$15:$H$15,0)+1,FALSE)</f>
        <v>0</v>
      </c>
      <c r="O163">
        <f t="shared" si="5"/>
        <v>0</v>
      </c>
      <c r="P163" s="31">
        <f>VLOOKUP($B163&amp;$C$136&amp;$G163,$E$6:$U$129,P$133,FALSE)*VLOOKUP($B163,Weighting!$D$15:$G$19,MATCH(Segmented!$C$136,Weighting!$E$15:$H$15,0)+1,FALSE)+VLOOKUP($B163&amp;$D$136&amp;$G163,$E$6:$U$129,P$133,FALSE)*VLOOKUP($B163,Weighting!$D$15:$G$19,MATCH(Segmented!$D$136,Weighting!$E$15:$H$15,0)+1,FALSE)+VLOOKUP($B163&amp;$E$136&amp;$G163,$E$6:$U$129,P$133,FALSE)*VLOOKUP($B163,Weighting!$D$15:$G$19,MATCH(Segmented!$E$136,Weighting!$E$15:$H$15,0)+1,FALSE)</f>
        <v>0</v>
      </c>
      <c r="Q163">
        <f t="shared" si="6"/>
        <v>0</v>
      </c>
      <c r="R163" s="31">
        <f>VLOOKUP($B163&amp;$C$136&amp;$G163,$E$6:$U$129,R$133,FALSE)*VLOOKUP($B163,Weighting!$D$15:$G$19,MATCH(Segmented!$C$136,Weighting!$E$15:$H$15,0)+1,FALSE)+VLOOKUP($B163&amp;$D$136&amp;$G163,$E$6:$U$129,R$133,FALSE)*VLOOKUP($B163,Weighting!$D$15:$G$19,MATCH(Segmented!$D$136,Weighting!$E$15:$H$15,0)+1,FALSE)+VLOOKUP($B163&amp;$E$136&amp;$G163,$E$6:$U$129,R$133,FALSE)*VLOOKUP($B163,Weighting!$D$15:$G$19,MATCH(Segmented!$E$136,Weighting!$E$15:$H$15,0)+1,FALSE)</f>
        <v>0</v>
      </c>
      <c r="S163">
        <f t="shared" si="7"/>
        <v>0</v>
      </c>
      <c r="T163" s="31">
        <f>VLOOKUP($B163&amp;$C$136&amp;$G163,$E$6:$U$129,T$133,FALSE)*VLOOKUP($B163,Weighting!$D$15:$G$19,MATCH(Segmented!$C$136,Weighting!$E$15:$H$15,0)+1,FALSE)+VLOOKUP($B163&amp;$D$136&amp;$G163,$E$6:$U$129,T$133,FALSE)*VLOOKUP($B163,Weighting!$D$15:$G$19,MATCH(Segmented!$D$136,Weighting!$E$15:$H$15,0)+1,FALSE)+VLOOKUP($B163&amp;$E$136&amp;$G163,$E$6:$U$129,T$133,FALSE)*VLOOKUP($B163,Weighting!$D$15:$G$19,MATCH(Segmented!$E$136,Weighting!$E$15:$H$15,0)+1,FALSE)</f>
        <v>0</v>
      </c>
    </row>
    <row r="164" spans="2:20">
      <c r="B164" t="s">
        <v>78</v>
      </c>
      <c r="F164" s="55" t="str">
        <f t="shared" si="8"/>
        <v>FLOOR R0 - R30_Heat Pump</v>
      </c>
      <c r="G164" s="54" t="s">
        <v>71</v>
      </c>
      <c r="H164" s="31">
        <f>VLOOKUP($B164&amp;$C$136&amp;$G164,$E$6:$U$129,H$133,FALSE)*VLOOKUP($B164,Weighting!$D$15:$G$19,MATCH(Segmented!$C$136,Weighting!$E$15:$H$15,0)+1,FALSE)+VLOOKUP($B164&amp;$D$136&amp;$G164,$E$6:$U$129,H$133,FALSE)*VLOOKUP($B164,Weighting!$D$15:$G$19,MATCH(Segmented!$D$136,Weighting!$E$15:$H$15,0)+1,FALSE)+VLOOKUP($B164&amp;$E$136&amp;$G164,$E$6:$U$129,H$133,FALSE)*VLOOKUP($B164,Weighting!$D$15:$G$19,MATCH(Segmented!$E$136,Weighting!$E$15:$H$15,0)+1,FALSE)</f>
        <v>73.360580339801686</v>
      </c>
      <c r="I164">
        <f t="shared" si="3"/>
        <v>45</v>
      </c>
      <c r="J164" s="31">
        <f>VLOOKUP($B164&amp;$C$136&amp;$G164,$E$6:$U$129,J$133,FALSE)*VLOOKUP($B164,Weighting!$D$15:$G$19,MATCH(Segmented!$C$136,Weighting!$E$15:$H$15,0)+1,FALSE)+VLOOKUP($B164&amp;$D$136&amp;$G164,$E$6:$U$129,J$133,FALSE)*VLOOKUP($B164,Weighting!$D$15:$G$19,MATCH(Segmented!$D$136,Weighting!$E$15:$H$15,0)+1,FALSE)+VLOOKUP($B164&amp;$E$136&amp;$G164,$E$6:$U$129,J$133,FALSE)*VLOOKUP($B164,Weighting!$D$15:$G$19,MATCH(Segmented!$E$136,Weighting!$E$15:$H$15,0)+1,FALSE)</f>
        <v>337.57430889025602</v>
      </c>
      <c r="K164" s="31">
        <f>VLOOKUP($B164&amp;$C$136&amp;$G164,$E$6:$U$129,K$133,FALSE)*VLOOKUP($B164,Weighting!$D$15:$G$19,MATCH(Segmented!$C$136,Weighting!$E$15:$H$15,0)+1,FALSE)+VLOOKUP($B164&amp;$D$136&amp;$G164,$E$6:$U$129,K$133,FALSE)*VLOOKUP($B164,Weighting!$D$15:$G$19,MATCH(Segmented!$D$136,Weighting!$E$15:$H$15,0)+1,FALSE)+VLOOKUP($B164&amp;$E$136&amp;$G164,$E$6:$U$129,K$133,FALSE)*VLOOKUP($B164,Weighting!$D$15:$G$19,MATCH(Segmented!$E$136,Weighting!$E$15:$H$15,0)+1,FALSE)</f>
        <v>0</v>
      </c>
      <c r="L164" t="str">
        <f t="shared" si="4"/>
        <v>ResSHWX</v>
      </c>
      <c r="M164" s="31">
        <f>VLOOKUP($B164&amp;$C$136&amp;$G164,$E$6:$U$129,M$133,FALSE)*VLOOKUP($B164,Weighting!$D$15:$G$19,MATCH(Segmented!$C$136,Weighting!$E$15:$H$15,0)+1,FALSE)+VLOOKUP($B164&amp;$D$136&amp;$G164,$E$6:$U$129,M$133,FALSE)*VLOOKUP($B164,Weighting!$D$15:$G$19,MATCH(Segmented!$D$136,Weighting!$E$15:$H$15,0)+1,FALSE)+VLOOKUP($B164&amp;$E$136&amp;$G164,$E$6:$U$129,M$133,FALSE)*VLOOKUP($B164,Weighting!$D$15:$G$19,MATCH(Segmented!$E$136,Weighting!$E$15:$H$15,0)+1,FALSE)</f>
        <v>0</v>
      </c>
      <c r="N164" s="31">
        <f>VLOOKUP($B164&amp;$C$136&amp;$G164,$E$6:$U$129,N$133,FALSE)*VLOOKUP($B164,Weighting!$D$15:$G$19,MATCH(Segmented!$C$136,Weighting!$E$15:$H$15,0)+1,FALSE)+VLOOKUP($B164&amp;$D$136&amp;$G164,$E$6:$U$129,N$133,FALSE)*VLOOKUP($B164,Weighting!$D$15:$G$19,MATCH(Segmented!$D$136,Weighting!$E$15:$H$15,0)+1,FALSE)+VLOOKUP($B164&amp;$E$136&amp;$G164,$E$6:$U$129,N$133,FALSE)*VLOOKUP($B164,Weighting!$D$15:$G$19,MATCH(Segmented!$E$136,Weighting!$E$15:$H$15,0)+1,FALSE)</f>
        <v>0</v>
      </c>
      <c r="O164">
        <f t="shared" si="5"/>
        <v>0</v>
      </c>
      <c r="P164" s="31">
        <f>VLOOKUP($B164&amp;$C$136&amp;$G164,$E$6:$U$129,P$133,FALSE)*VLOOKUP($B164,Weighting!$D$15:$G$19,MATCH(Segmented!$C$136,Weighting!$E$15:$H$15,0)+1,FALSE)+VLOOKUP($B164&amp;$D$136&amp;$G164,$E$6:$U$129,P$133,FALSE)*VLOOKUP($B164,Weighting!$D$15:$G$19,MATCH(Segmented!$D$136,Weighting!$E$15:$H$15,0)+1,FALSE)+VLOOKUP($B164&amp;$E$136&amp;$G164,$E$6:$U$129,P$133,FALSE)*VLOOKUP($B164,Weighting!$D$15:$G$19,MATCH(Segmented!$E$136,Weighting!$E$15:$H$15,0)+1,FALSE)</f>
        <v>0</v>
      </c>
      <c r="Q164">
        <f t="shared" si="6"/>
        <v>0</v>
      </c>
      <c r="R164" s="31">
        <f>VLOOKUP($B164&amp;$C$136&amp;$G164,$E$6:$U$129,R$133,FALSE)*VLOOKUP($B164,Weighting!$D$15:$G$19,MATCH(Segmented!$C$136,Weighting!$E$15:$H$15,0)+1,FALSE)+VLOOKUP($B164&amp;$D$136&amp;$G164,$E$6:$U$129,R$133,FALSE)*VLOOKUP($B164,Weighting!$D$15:$G$19,MATCH(Segmented!$D$136,Weighting!$E$15:$H$15,0)+1,FALSE)+VLOOKUP($B164&amp;$E$136&amp;$G164,$E$6:$U$129,R$133,FALSE)*VLOOKUP($B164,Weighting!$D$15:$G$19,MATCH(Segmented!$E$136,Weighting!$E$15:$H$15,0)+1,FALSE)</f>
        <v>0</v>
      </c>
      <c r="S164">
        <f t="shared" si="7"/>
        <v>0</v>
      </c>
      <c r="T164" s="31">
        <f>VLOOKUP($B164&amp;$C$136&amp;$G164,$E$6:$U$129,T$133,FALSE)*VLOOKUP($B164,Weighting!$D$15:$G$19,MATCH(Segmented!$C$136,Weighting!$E$15:$H$15,0)+1,FALSE)+VLOOKUP($B164&amp;$D$136&amp;$G164,$E$6:$U$129,T$133,FALSE)*VLOOKUP($B164,Weighting!$D$15:$G$19,MATCH(Segmented!$D$136,Weighting!$E$15:$H$15,0)+1,FALSE)+VLOOKUP($B164&amp;$E$136&amp;$G164,$E$6:$U$129,T$133,FALSE)*VLOOKUP($B164,Weighting!$D$15:$G$19,MATCH(Segmented!$E$136,Weighting!$E$15:$H$15,0)+1,FALSE)</f>
        <v>0</v>
      </c>
    </row>
    <row r="165" spans="2:20">
      <c r="B165" t="s">
        <v>78</v>
      </c>
      <c r="F165" s="55" t="str">
        <f t="shared" si="8"/>
        <v>ATTIC R0 - R19_Heat Pump</v>
      </c>
      <c r="G165" s="54" t="s">
        <v>1080</v>
      </c>
      <c r="H165" s="31">
        <f>VLOOKUP($B165&amp;$C$136&amp;$G165,$E$6:$U$129,H$133,FALSE)*VLOOKUP($B165,Weighting!$D$15:$G$19,MATCH(Segmented!$C$136,Weighting!$E$15:$H$15,0)+1,FALSE)+VLOOKUP($B165&amp;$D$136&amp;$G165,$E$6:$U$129,H$133,FALSE)*VLOOKUP($B165,Weighting!$D$15:$G$19,MATCH(Segmented!$D$136,Weighting!$E$15:$H$15,0)+1,FALSE)+VLOOKUP($B165&amp;$E$136&amp;$G165,$E$6:$U$129,H$133,FALSE)*VLOOKUP($B165,Weighting!$D$15:$G$19,MATCH(Segmented!$E$136,Weighting!$E$15:$H$15,0)+1,FALSE)</f>
        <v>87.0509308436541</v>
      </c>
      <c r="I165">
        <f t="shared" si="3"/>
        <v>45</v>
      </c>
      <c r="J165" s="31">
        <f>VLOOKUP($B165&amp;$C$136&amp;$G165,$E$6:$U$129,J$133,FALSE)*VLOOKUP($B165,Weighting!$D$15:$G$19,MATCH(Segmented!$C$136,Weighting!$E$15:$H$15,0)+1,FALSE)+VLOOKUP($B165&amp;$D$136&amp;$G165,$E$6:$U$129,J$133,FALSE)*VLOOKUP($B165,Weighting!$D$15:$G$19,MATCH(Segmented!$D$136,Weighting!$E$15:$H$15,0)+1,FALSE)+VLOOKUP($B165&amp;$E$136&amp;$G165,$E$6:$U$129,J$133,FALSE)*VLOOKUP($B165,Weighting!$D$15:$G$19,MATCH(Segmented!$E$136,Weighting!$E$15:$H$15,0)+1,FALSE)</f>
        <v>196.91489394951594</v>
      </c>
      <c r="K165" s="31">
        <f>VLOOKUP($B165&amp;$C$136&amp;$G165,$E$6:$U$129,K$133,FALSE)*VLOOKUP($B165,Weighting!$D$15:$G$19,MATCH(Segmented!$C$136,Weighting!$E$15:$H$15,0)+1,FALSE)+VLOOKUP($B165&amp;$D$136&amp;$G165,$E$6:$U$129,K$133,FALSE)*VLOOKUP($B165,Weighting!$D$15:$G$19,MATCH(Segmented!$D$136,Weighting!$E$15:$H$15,0)+1,FALSE)+VLOOKUP($B165&amp;$E$136&amp;$G165,$E$6:$U$129,K$133,FALSE)*VLOOKUP($B165,Weighting!$D$15:$G$19,MATCH(Segmented!$E$136,Weighting!$E$15:$H$15,0)+1,FALSE)</f>
        <v>0</v>
      </c>
      <c r="L165" t="str">
        <f t="shared" si="4"/>
        <v>ResSHWX</v>
      </c>
      <c r="M165" s="31">
        <f>VLOOKUP($B165&amp;$C$136&amp;$G165,$E$6:$U$129,M$133,FALSE)*VLOOKUP($B165,Weighting!$D$15:$G$19,MATCH(Segmented!$C$136,Weighting!$E$15:$H$15,0)+1,FALSE)+VLOOKUP($B165&amp;$D$136&amp;$G165,$E$6:$U$129,M$133,FALSE)*VLOOKUP($B165,Weighting!$D$15:$G$19,MATCH(Segmented!$D$136,Weighting!$E$15:$H$15,0)+1,FALSE)+VLOOKUP($B165&amp;$E$136&amp;$G165,$E$6:$U$129,M$133,FALSE)*VLOOKUP($B165,Weighting!$D$15:$G$19,MATCH(Segmented!$E$136,Weighting!$E$15:$H$15,0)+1,FALSE)</f>
        <v>0</v>
      </c>
      <c r="N165" s="31">
        <f>VLOOKUP($B165&amp;$C$136&amp;$G165,$E$6:$U$129,N$133,FALSE)*VLOOKUP($B165,Weighting!$D$15:$G$19,MATCH(Segmented!$C$136,Weighting!$E$15:$H$15,0)+1,FALSE)+VLOOKUP($B165&amp;$D$136&amp;$G165,$E$6:$U$129,N$133,FALSE)*VLOOKUP($B165,Weighting!$D$15:$G$19,MATCH(Segmented!$D$136,Weighting!$E$15:$H$15,0)+1,FALSE)+VLOOKUP($B165&amp;$E$136&amp;$G165,$E$6:$U$129,N$133,FALSE)*VLOOKUP($B165,Weighting!$D$15:$G$19,MATCH(Segmented!$E$136,Weighting!$E$15:$H$15,0)+1,FALSE)</f>
        <v>0</v>
      </c>
      <c r="O165">
        <f t="shared" si="5"/>
        <v>0</v>
      </c>
      <c r="P165" s="31">
        <f>VLOOKUP($B165&amp;$C$136&amp;$G165,$E$6:$U$129,P$133,FALSE)*VLOOKUP($B165,Weighting!$D$15:$G$19,MATCH(Segmented!$C$136,Weighting!$E$15:$H$15,0)+1,FALSE)+VLOOKUP($B165&amp;$D$136&amp;$G165,$E$6:$U$129,P$133,FALSE)*VLOOKUP($B165,Weighting!$D$15:$G$19,MATCH(Segmented!$D$136,Weighting!$E$15:$H$15,0)+1,FALSE)+VLOOKUP($B165&amp;$E$136&amp;$G165,$E$6:$U$129,P$133,FALSE)*VLOOKUP($B165,Weighting!$D$15:$G$19,MATCH(Segmented!$E$136,Weighting!$E$15:$H$15,0)+1,FALSE)</f>
        <v>0</v>
      </c>
      <c r="Q165">
        <f t="shared" si="6"/>
        <v>0</v>
      </c>
      <c r="R165" s="31">
        <f>VLOOKUP($B165&amp;$C$136&amp;$G165,$E$6:$U$129,R$133,FALSE)*VLOOKUP($B165,Weighting!$D$15:$G$19,MATCH(Segmented!$C$136,Weighting!$E$15:$H$15,0)+1,FALSE)+VLOOKUP($B165&amp;$D$136&amp;$G165,$E$6:$U$129,R$133,FALSE)*VLOOKUP($B165,Weighting!$D$15:$G$19,MATCH(Segmented!$D$136,Weighting!$E$15:$H$15,0)+1,FALSE)+VLOOKUP($B165&amp;$E$136&amp;$G165,$E$6:$U$129,R$133,FALSE)*VLOOKUP($B165,Weighting!$D$15:$G$19,MATCH(Segmented!$E$136,Weighting!$E$15:$H$15,0)+1,FALSE)</f>
        <v>0</v>
      </c>
      <c r="S165">
        <f t="shared" si="7"/>
        <v>0</v>
      </c>
      <c r="T165" s="31">
        <f>VLOOKUP($B165&amp;$C$136&amp;$G165,$E$6:$U$129,T$133,FALSE)*VLOOKUP($B165,Weighting!$D$15:$G$19,MATCH(Segmented!$C$136,Weighting!$E$15:$H$15,0)+1,FALSE)+VLOOKUP($B165&amp;$D$136&amp;$G165,$E$6:$U$129,T$133,FALSE)*VLOOKUP($B165,Weighting!$D$15:$G$19,MATCH(Segmented!$D$136,Weighting!$E$15:$H$15,0)+1,FALSE)+VLOOKUP($B165&amp;$E$136&amp;$G165,$E$6:$U$129,T$133,FALSE)*VLOOKUP($B165,Weighting!$D$15:$G$19,MATCH(Segmented!$E$136,Weighting!$E$15:$H$15,0)+1,FALSE)</f>
        <v>0</v>
      </c>
    </row>
    <row r="166" spans="2:20">
      <c r="B166" t="s">
        <v>78</v>
      </c>
      <c r="F166" s="55" t="str">
        <f t="shared" si="8"/>
        <v>ATTIC R0 - R38_Heat Pump</v>
      </c>
      <c r="G166" s="54" t="s">
        <v>65</v>
      </c>
      <c r="H166" s="31">
        <f>VLOOKUP($B166&amp;$C$136&amp;$G166,$E$6:$U$129,H$133,FALSE)*VLOOKUP($B166,Weighting!$D$15:$G$19,MATCH(Segmented!$C$136,Weighting!$E$15:$H$15,0)+1,FALSE)+VLOOKUP($B166&amp;$D$136&amp;$G166,$E$6:$U$129,H$133,FALSE)*VLOOKUP($B166,Weighting!$D$15:$G$19,MATCH(Segmented!$D$136,Weighting!$E$15:$H$15,0)+1,FALSE)+VLOOKUP($B166&amp;$E$136&amp;$G166,$E$6:$U$129,H$133,FALSE)*VLOOKUP($B166,Weighting!$D$15:$G$19,MATCH(Segmented!$E$136,Weighting!$E$15:$H$15,0)+1,FALSE)</f>
        <v>118.86206391348233</v>
      </c>
      <c r="I166">
        <f t="shared" si="3"/>
        <v>45</v>
      </c>
      <c r="J166" s="31">
        <f>VLOOKUP($B166&amp;$C$136&amp;$G166,$E$6:$U$129,J$133,FALSE)*VLOOKUP($B166,Weighting!$D$15:$G$19,MATCH(Segmented!$C$136,Weighting!$E$15:$H$15,0)+1,FALSE)+VLOOKUP($B166&amp;$D$136&amp;$G166,$E$6:$U$129,J$133,FALSE)*VLOOKUP($B166,Weighting!$D$15:$G$19,MATCH(Segmented!$D$136,Weighting!$E$15:$H$15,0)+1,FALSE)+VLOOKUP($B166&amp;$E$136&amp;$G166,$E$6:$U$129,J$133,FALSE)*VLOOKUP($B166,Weighting!$D$15:$G$19,MATCH(Segmented!$E$136,Weighting!$E$15:$H$15,0)+1,FALSE)</f>
        <v>262.65009234084522</v>
      </c>
      <c r="K166" s="31">
        <f>VLOOKUP($B166&amp;$C$136&amp;$G166,$E$6:$U$129,K$133,FALSE)*VLOOKUP($B166,Weighting!$D$15:$G$19,MATCH(Segmented!$C$136,Weighting!$E$15:$H$15,0)+1,FALSE)+VLOOKUP($B166&amp;$D$136&amp;$G166,$E$6:$U$129,K$133,FALSE)*VLOOKUP($B166,Weighting!$D$15:$G$19,MATCH(Segmented!$D$136,Weighting!$E$15:$H$15,0)+1,FALSE)+VLOOKUP($B166&amp;$E$136&amp;$G166,$E$6:$U$129,K$133,FALSE)*VLOOKUP($B166,Weighting!$D$15:$G$19,MATCH(Segmented!$E$136,Weighting!$E$15:$H$15,0)+1,FALSE)</f>
        <v>0</v>
      </c>
      <c r="L166" t="str">
        <f t="shared" si="4"/>
        <v>ResSHWX</v>
      </c>
      <c r="M166" s="31">
        <f>VLOOKUP($B166&amp;$C$136&amp;$G166,$E$6:$U$129,M$133,FALSE)*VLOOKUP($B166,Weighting!$D$15:$G$19,MATCH(Segmented!$C$136,Weighting!$E$15:$H$15,0)+1,FALSE)+VLOOKUP($B166&amp;$D$136&amp;$G166,$E$6:$U$129,M$133,FALSE)*VLOOKUP($B166,Weighting!$D$15:$G$19,MATCH(Segmented!$D$136,Weighting!$E$15:$H$15,0)+1,FALSE)+VLOOKUP($B166&amp;$E$136&amp;$G166,$E$6:$U$129,M$133,FALSE)*VLOOKUP($B166,Weighting!$D$15:$G$19,MATCH(Segmented!$E$136,Weighting!$E$15:$H$15,0)+1,FALSE)</f>
        <v>0</v>
      </c>
      <c r="N166" s="31">
        <f>VLOOKUP($B166&amp;$C$136&amp;$G166,$E$6:$U$129,N$133,FALSE)*VLOOKUP($B166,Weighting!$D$15:$G$19,MATCH(Segmented!$C$136,Weighting!$E$15:$H$15,0)+1,FALSE)+VLOOKUP($B166&amp;$D$136&amp;$G166,$E$6:$U$129,N$133,FALSE)*VLOOKUP($B166,Weighting!$D$15:$G$19,MATCH(Segmented!$D$136,Weighting!$E$15:$H$15,0)+1,FALSE)+VLOOKUP($B166&amp;$E$136&amp;$G166,$E$6:$U$129,N$133,FALSE)*VLOOKUP($B166,Weighting!$D$15:$G$19,MATCH(Segmented!$E$136,Weighting!$E$15:$H$15,0)+1,FALSE)</f>
        <v>0</v>
      </c>
      <c r="O166">
        <f t="shared" si="5"/>
        <v>0</v>
      </c>
      <c r="P166" s="31">
        <f>VLOOKUP($B166&amp;$C$136&amp;$G166,$E$6:$U$129,P$133,FALSE)*VLOOKUP($B166,Weighting!$D$15:$G$19,MATCH(Segmented!$C$136,Weighting!$E$15:$H$15,0)+1,FALSE)+VLOOKUP($B166&amp;$D$136&amp;$G166,$E$6:$U$129,P$133,FALSE)*VLOOKUP($B166,Weighting!$D$15:$G$19,MATCH(Segmented!$D$136,Weighting!$E$15:$H$15,0)+1,FALSE)+VLOOKUP($B166&amp;$E$136&amp;$G166,$E$6:$U$129,P$133,FALSE)*VLOOKUP($B166,Weighting!$D$15:$G$19,MATCH(Segmented!$E$136,Weighting!$E$15:$H$15,0)+1,FALSE)</f>
        <v>0</v>
      </c>
      <c r="Q166">
        <f t="shared" si="6"/>
        <v>0</v>
      </c>
      <c r="R166" s="31">
        <f>VLOOKUP($B166&amp;$C$136&amp;$G166,$E$6:$U$129,R$133,FALSE)*VLOOKUP($B166,Weighting!$D$15:$G$19,MATCH(Segmented!$C$136,Weighting!$E$15:$H$15,0)+1,FALSE)+VLOOKUP($B166&amp;$D$136&amp;$G166,$E$6:$U$129,R$133,FALSE)*VLOOKUP($B166,Weighting!$D$15:$G$19,MATCH(Segmented!$D$136,Weighting!$E$15:$H$15,0)+1,FALSE)+VLOOKUP($B166&amp;$E$136&amp;$G166,$E$6:$U$129,R$133,FALSE)*VLOOKUP($B166,Weighting!$D$15:$G$19,MATCH(Segmented!$E$136,Weighting!$E$15:$H$15,0)+1,FALSE)</f>
        <v>0</v>
      </c>
      <c r="S166">
        <f t="shared" si="7"/>
        <v>0</v>
      </c>
      <c r="T166" s="31">
        <f>VLOOKUP($B166&amp;$C$136&amp;$G166,$E$6:$U$129,T$133,FALSE)*VLOOKUP($B166,Weighting!$D$15:$G$19,MATCH(Segmented!$C$136,Weighting!$E$15:$H$15,0)+1,FALSE)+VLOOKUP($B166&amp;$D$136&amp;$G166,$E$6:$U$129,T$133,FALSE)*VLOOKUP($B166,Weighting!$D$15:$G$19,MATCH(Segmented!$D$136,Weighting!$E$15:$H$15,0)+1,FALSE)+VLOOKUP($B166&amp;$E$136&amp;$G166,$E$6:$U$129,T$133,FALSE)*VLOOKUP($B166,Weighting!$D$15:$G$19,MATCH(Segmented!$E$136,Weighting!$E$15:$H$15,0)+1,FALSE)</f>
        <v>0</v>
      </c>
    </row>
    <row r="167" spans="2:20">
      <c r="B167" t="s">
        <v>78</v>
      </c>
      <c r="F167" s="55" t="str">
        <f t="shared" si="8"/>
        <v>ATTIC R0 - R49_Heat Pump</v>
      </c>
      <c r="G167" s="54" t="s">
        <v>66</v>
      </c>
      <c r="H167" s="31">
        <f>VLOOKUP($B167&amp;$C$136&amp;$G167,$E$6:$U$129,H$133,FALSE)*VLOOKUP($B167,Weighting!$D$15:$G$19,MATCH(Segmented!$C$136,Weighting!$E$15:$H$15,0)+1,FALSE)+VLOOKUP($B167&amp;$D$136&amp;$G167,$E$6:$U$129,H$133,FALSE)*VLOOKUP($B167,Weighting!$D$15:$G$19,MATCH(Segmented!$D$136,Weighting!$E$15:$H$15,0)+1,FALSE)+VLOOKUP($B167&amp;$E$136&amp;$G167,$E$6:$U$129,H$133,FALSE)*VLOOKUP($B167,Weighting!$D$15:$G$19,MATCH(Segmented!$E$136,Weighting!$E$15:$H$15,0)+1,FALSE)</f>
        <v>126.24131955404496</v>
      </c>
      <c r="I167">
        <f t="shared" si="3"/>
        <v>45</v>
      </c>
      <c r="J167" s="31">
        <f>VLOOKUP($B167&amp;$C$136&amp;$G167,$E$6:$U$129,J$133,FALSE)*VLOOKUP($B167,Weighting!$D$15:$G$19,MATCH(Segmented!$C$136,Weighting!$E$15:$H$15,0)+1,FALSE)+VLOOKUP($B167&amp;$D$136&amp;$G167,$E$6:$U$129,J$133,FALSE)*VLOOKUP($B167,Weighting!$D$15:$G$19,MATCH(Segmented!$D$136,Weighting!$E$15:$H$15,0)+1,FALSE)+VLOOKUP($B167&amp;$E$136&amp;$G167,$E$6:$U$129,J$133,FALSE)*VLOOKUP($B167,Weighting!$D$15:$G$19,MATCH(Segmented!$E$136,Weighting!$E$15:$H$15,0)+1,FALSE)</f>
        <v>297.93884832438431</v>
      </c>
      <c r="K167" s="31">
        <f>VLOOKUP($B167&amp;$C$136&amp;$G167,$E$6:$U$129,K$133,FALSE)*VLOOKUP($B167,Weighting!$D$15:$G$19,MATCH(Segmented!$C$136,Weighting!$E$15:$H$15,0)+1,FALSE)+VLOOKUP($B167&amp;$D$136&amp;$G167,$E$6:$U$129,K$133,FALSE)*VLOOKUP($B167,Weighting!$D$15:$G$19,MATCH(Segmented!$D$136,Weighting!$E$15:$H$15,0)+1,FALSE)+VLOOKUP($B167&amp;$E$136&amp;$G167,$E$6:$U$129,K$133,FALSE)*VLOOKUP($B167,Weighting!$D$15:$G$19,MATCH(Segmented!$E$136,Weighting!$E$15:$H$15,0)+1,FALSE)</f>
        <v>0</v>
      </c>
      <c r="L167" t="str">
        <f t="shared" si="4"/>
        <v>ResSHWX</v>
      </c>
      <c r="M167" s="31">
        <f>VLOOKUP($B167&amp;$C$136&amp;$G167,$E$6:$U$129,M$133,FALSE)*VLOOKUP($B167,Weighting!$D$15:$G$19,MATCH(Segmented!$C$136,Weighting!$E$15:$H$15,0)+1,FALSE)+VLOOKUP($B167&amp;$D$136&amp;$G167,$E$6:$U$129,M$133,FALSE)*VLOOKUP($B167,Weighting!$D$15:$G$19,MATCH(Segmented!$D$136,Weighting!$E$15:$H$15,0)+1,FALSE)+VLOOKUP($B167&amp;$E$136&amp;$G167,$E$6:$U$129,M$133,FALSE)*VLOOKUP($B167,Weighting!$D$15:$G$19,MATCH(Segmented!$E$136,Weighting!$E$15:$H$15,0)+1,FALSE)</f>
        <v>0</v>
      </c>
      <c r="N167" s="31">
        <f>VLOOKUP($B167&amp;$C$136&amp;$G167,$E$6:$U$129,N$133,FALSE)*VLOOKUP($B167,Weighting!$D$15:$G$19,MATCH(Segmented!$C$136,Weighting!$E$15:$H$15,0)+1,FALSE)+VLOOKUP($B167&amp;$D$136&amp;$G167,$E$6:$U$129,N$133,FALSE)*VLOOKUP($B167,Weighting!$D$15:$G$19,MATCH(Segmented!$D$136,Weighting!$E$15:$H$15,0)+1,FALSE)+VLOOKUP($B167&amp;$E$136&amp;$G167,$E$6:$U$129,N$133,FALSE)*VLOOKUP($B167,Weighting!$D$15:$G$19,MATCH(Segmented!$E$136,Weighting!$E$15:$H$15,0)+1,FALSE)</f>
        <v>0</v>
      </c>
      <c r="O167">
        <f t="shared" si="5"/>
        <v>0</v>
      </c>
      <c r="P167" s="31">
        <f>VLOOKUP($B167&amp;$C$136&amp;$G167,$E$6:$U$129,P$133,FALSE)*VLOOKUP($B167,Weighting!$D$15:$G$19,MATCH(Segmented!$C$136,Weighting!$E$15:$H$15,0)+1,FALSE)+VLOOKUP($B167&amp;$D$136&amp;$G167,$E$6:$U$129,P$133,FALSE)*VLOOKUP($B167,Weighting!$D$15:$G$19,MATCH(Segmented!$D$136,Weighting!$E$15:$H$15,0)+1,FALSE)+VLOOKUP($B167&amp;$E$136&amp;$G167,$E$6:$U$129,P$133,FALSE)*VLOOKUP($B167,Weighting!$D$15:$G$19,MATCH(Segmented!$E$136,Weighting!$E$15:$H$15,0)+1,FALSE)</f>
        <v>0</v>
      </c>
      <c r="Q167">
        <f t="shared" si="6"/>
        <v>0</v>
      </c>
      <c r="R167" s="31">
        <f>VLOOKUP($B167&amp;$C$136&amp;$G167,$E$6:$U$129,R$133,FALSE)*VLOOKUP($B167,Weighting!$D$15:$G$19,MATCH(Segmented!$C$136,Weighting!$E$15:$H$15,0)+1,FALSE)+VLOOKUP($B167&amp;$D$136&amp;$G167,$E$6:$U$129,R$133,FALSE)*VLOOKUP($B167,Weighting!$D$15:$G$19,MATCH(Segmented!$D$136,Weighting!$E$15:$H$15,0)+1,FALSE)+VLOOKUP($B167&amp;$E$136&amp;$G167,$E$6:$U$129,R$133,FALSE)*VLOOKUP($B167,Weighting!$D$15:$G$19,MATCH(Segmented!$E$136,Weighting!$E$15:$H$15,0)+1,FALSE)</f>
        <v>0</v>
      </c>
      <c r="S167">
        <f t="shared" si="7"/>
        <v>0</v>
      </c>
      <c r="T167" s="31">
        <f>VLOOKUP($B167&amp;$C$136&amp;$G167,$E$6:$U$129,T$133,FALSE)*VLOOKUP($B167,Weighting!$D$15:$G$19,MATCH(Segmented!$C$136,Weighting!$E$15:$H$15,0)+1,FALSE)+VLOOKUP($B167&amp;$D$136&amp;$G167,$E$6:$U$129,T$133,FALSE)*VLOOKUP($B167,Weighting!$D$15:$G$19,MATCH(Segmented!$D$136,Weighting!$E$15:$H$15,0)+1,FALSE)+VLOOKUP($B167&amp;$E$136&amp;$G167,$E$6:$U$129,T$133,FALSE)*VLOOKUP($B167,Weighting!$D$15:$G$19,MATCH(Segmented!$E$136,Weighting!$E$15:$H$15,0)+1,FALSE)</f>
        <v>0</v>
      </c>
    </row>
    <row r="168" spans="2:20">
      <c r="B168" t="s">
        <v>78</v>
      </c>
      <c r="F168" s="55" t="str">
        <f t="shared" si="8"/>
        <v>ATTIC R19 - R30_Heat Pump</v>
      </c>
      <c r="G168" s="54" t="s">
        <v>1081</v>
      </c>
      <c r="H168" s="31">
        <f>VLOOKUP($B168&amp;$C$136&amp;$G168,$E$6:$U$129,H$133,FALSE)*VLOOKUP($B168,Weighting!$D$15:$G$19,MATCH(Segmented!$C$136,Weighting!$E$15:$H$15,0)+1,FALSE)+VLOOKUP($B168&amp;$D$136&amp;$G168,$E$6:$U$129,H$133,FALSE)*VLOOKUP($B168,Weighting!$D$15:$G$19,MATCH(Segmented!$D$136,Weighting!$E$15:$H$15,0)+1,FALSE)+VLOOKUP($B168&amp;$E$136&amp;$G168,$E$6:$U$129,H$133,FALSE)*VLOOKUP($B168,Weighting!$D$15:$G$19,MATCH(Segmented!$E$136,Weighting!$E$15:$H$15,0)+1,FALSE)</f>
        <v>23.08242747071132</v>
      </c>
      <c r="I168">
        <f t="shared" si="3"/>
        <v>45</v>
      </c>
      <c r="J168" s="31">
        <f>VLOOKUP($B168&amp;$C$136&amp;$G168,$E$6:$U$129,J$133,FALSE)*VLOOKUP($B168,Weighting!$D$15:$G$19,MATCH(Segmented!$C$136,Weighting!$E$15:$H$15,0)+1,FALSE)+VLOOKUP($B168&amp;$D$136&amp;$G168,$E$6:$U$129,J$133,FALSE)*VLOOKUP($B168,Weighting!$D$15:$G$19,MATCH(Segmented!$D$136,Weighting!$E$15:$H$15,0)+1,FALSE)+VLOOKUP($B168&amp;$E$136&amp;$G168,$E$6:$U$129,J$133,FALSE)*VLOOKUP($B168,Weighting!$D$15:$G$19,MATCH(Segmented!$E$136,Weighting!$E$15:$H$15,0)+1,FALSE)</f>
        <v>169.97517278288436</v>
      </c>
      <c r="K168" s="31">
        <f>VLOOKUP($B168&amp;$C$136&amp;$G168,$E$6:$U$129,K$133,FALSE)*VLOOKUP($B168,Weighting!$D$15:$G$19,MATCH(Segmented!$C$136,Weighting!$E$15:$H$15,0)+1,FALSE)+VLOOKUP($B168&amp;$D$136&amp;$G168,$E$6:$U$129,K$133,FALSE)*VLOOKUP($B168,Weighting!$D$15:$G$19,MATCH(Segmented!$D$136,Weighting!$E$15:$H$15,0)+1,FALSE)+VLOOKUP($B168&amp;$E$136&amp;$G168,$E$6:$U$129,K$133,FALSE)*VLOOKUP($B168,Weighting!$D$15:$G$19,MATCH(Segmented!$E$136,Weighting!$E$15:$H$15,0)+1,FALSE)</f>
        <v>0</v>
      </c>
      <c r="L168" t="str">
        <f t="shared" si="4"/>
        <v>ResSHWX</v>
      </c>
      <c r="M168" s="31">
        <f>VLOOKUP($B168&amp;$C$136&amp;$G168,$E$6:$U$129,M$133,FALSE)*VLOOKUP($B168,Weighting!$D$15:$G$19,MATCH(Segmented!$C$136,Weighting!$E$15:$H$15,0)+1,FALSE)+VLOOKUP($B168&amp;$D$136&amp;$G168,$E$6:$U$129,M$133,FALSE)*VLOOKUP($B168,Weighting!$D$15:$G$19,MATCH(Segmented!$D$136,Weighting!$E$15:$H$15,0)+1,FALSE)+VLOOKUP($B168&amp;$E$136&amp;$G168,$E$6:$U$129,M$133,FALSE)*VLOOKUP($B168,Weighting!$D$15:$G$19,MATCH(Segmented!$E$136,Weighting!$E$15:$H$15,0)+1,FALSE)</f>
        <v>0</v>
      </c>
      <c r="N168" s="31">
        <f>VLOOKUP($B168&amp;$C$136&amp;$G168,$E$6:$U$129,N$133,FALSE)*VLOOKUP($B168,Weighting!$D$15:$G$19,MATCH(Segmented!$C$136,Weighting!$E$15:$H$15,0)+1,FALSE)+VLOOKUP($B168&amp;$D$136&amp;$G168,$E$6:$U$129,N$133,FALSE)*VLOOKUP($B168,Weighting!$D$15:$G$19,MATCH(Segmented!$D$136,Weighting!$E$15:$H$15,0)+1,FALSE)+VLOOKUP($B168&amp;$E$136&amp;$G168,$E$6:$U$129,N$133,FALSE)*VLOOKUP($B168,Weighting!$D$15:$G$19,MATCH(Segmented!$E$136,Weighting!$E$15:$H$15,0)+1,FALSE)</f>
        <v>0</v>
      </c>
      <c r="O168">
        <f t="shared" si="5"/>
        <v>0</v>
      </c>
      <c r="P168" s="31">
        <f>VLOOKUP($B168&amp;$C$136&amp;$G168,$E$6:$U$129,P$133,FALSE)*VLOOKUP($B168,Weighting!$D$15:$G$19,MATCH(Segmented!$C$136,Weighting!$E$15:$H$15,0)+1,FALSE)+VLOOKUP($B168&amp;$D$136&amp;$G168,$E$6:$U$129,P$133,FALSE)*VLOOKUP($B168,Weighting!$D$15:$G$19,MATCH(Segmented!$D$136,Weighting!$E$15:$H$15,0)+1,FALSE)+VLOOKUP($B168&amp;$E$136&amp;$G168,$E$6:$U$129,P$133,FALSE)*VLOOKUP($B168,Weighting!$D$15:$G$19,MATCH(Segmented!$E$136,Weighting!$E$15:$H$15,0)+1,FALSE)</f>
        <v>0</v>
      </c>
      <c r="Q168">
        <f t="shared" si="6"/>
        <v>0</v>
      </c>
      <c r="R168" s="31">
        <f>VLOOKUP($B168&amp;$C$136&amp;$G168,$E$6:$U$129,R$133,FALSE)*VLOOKUP($B168,Weighting!$D$15:$G$19,MATCH(Segmented!$C$136,Weighting!$E$15:$H$15,0)+1,FALSE)+VLOOKUP($B168&amp;$D$136&amp;$G168,$E$6:$U$129,R$133,FALSE)*VLOOKUP($B168,Weighting!$D$15:$G$19,MATCH(Segmented!$D$136,Weighting!$E$15:$H$15,0)+1,FALSE)+VLOOKUP($B168&amp;$E$136&amp;$G168,$E$6:$U$129,R$133,FALSE)*VLOOKUP($B168,Weighting!$D$15:$G$19,MATCH(Segmented!$E$136,Weighting!$E$15:$H$15,0)+1,FALSE)</f>
        <v>0</v>
      </c>
      <c r="S168">
        <f t="shared" si="7"/>
        <v>0</v>
      </c>
      <c r="T168" s="31">
        <f>VLOOKUP($B168&amp;$C$136&amp;$G168,$E$6:$U$129,T$133,FALSE)*VLOOKUP($B168,Weighting!$D$15:$G$19,MATCH(Segmented!$C$136,Weighting!$E$15:$H$15,0)+1,FALSE)+VLOOKUP($B168&amp;$D$136&amp;$G168,$E$6:$U$129,T$133,FALSE)*VLOOKUP($B168,Weighting!$D$15:$G$19,MATCH(Segmented!$D$136,Weighting!$E$15:$H$15,0)+1,FALSE)+VLOOKUP($B168&amp;$E$136&amp;$G168,$E$6:$U$129,T$133,FALSE)*VLOOKUP($B168,Weighting!$D$15:$G$19,MATCH(Segmented!$E$136,Weighting!$E$15:$H$15,0)+1,FALSE)</f>
        <v>0</v>
      </c>
    </row>
    <row r="169" spans="2:20">
      <c r="B169" t="s">
        <v>78</v>
      </c>
      <c r="F169" s="55" t="str">
        <f t="shared" si="8"/>
        <v>ATTIC R19 - R38_Heat Pump</v>
      </c>
      <c r="G169" s="54" t="s">
        <v>67</v>
      </c>
      <c r="H169" s="31">
        <f>VLOOKUP($B169&amp;$C$136&amp;$G169,$E$6:$U$129,H$133,FALSE)*VLOOKUP($B169,Weighting!$D$15:$G$19,MATCH(Segmented!$C$136,Weighting!$E$15:$H$15,0)+1,FALSE)+VLOOKUP($B169&amp;$D$136&amp;$G169,$E$6:$U$129,H$133,FALSE)*VLOOKUP($B169,Weighting!$D$15:$G$19,MATCH(Segmented!$D$136,Weighting!$E$15:$H$15,0)+1,FALSE)+VLOOKUP($B169&amp;$E$136&amp;$G169,$E$6:$U$129,H$133,FALSE)*VLOOKUP($B169,Weighting!$D$15:$G$19,MATCH(Segmented!$E$136,Weighting!$E$15:$H$15,0)+1,FALSE)</f>
        <v>31.811133069828223</v>
      </c>
      <c r="I169">
        <f t="shared" si="3"/>
        <v>45</v>
      </c>
      <c r="J169" s="31">
        <f>VLOOKUP($B169&amp;$C$136&amp;$G169,$E$6:$U$129,J$133,FALSE)*VLOOKUP($B169,Weighting!$D$15:$G$19,MATCH(Segmented!$C$136,Weighting!$E$15:$H$15,0)+1,FALSE)+VLOOKUP($B169&amp;$D$136&amp;$G169,$E$6:$U$129,J$133,FALSE)*VLOOKUP($B169,Weighting!$D$15:$G$19,MATCH(Segmented!$D$136,Weighting!$E$15:$H$15,0)+1,FALSE)+VLOOKUP($B169&amp;$E$136&amp;$G169,$E$6:$U$129,J$133,FALSE)*VLOOKUP($B169,Weighting!$D$15:$G$19,MATCH(Segmented!$E$136,Weighting!$E$15:$H$15,0)+1,FALSE)</f>
        <v>198.23826361528401</v>
      </c>
      <c r="K169" s="31">
        <f>VLOOKUP($B169&amp;$C$136&amp;$G169,$E$6:$U$129,K$133,FALSE)*VLOOKUP($B169,Weighting!$D$15:$G$19,MATCH(Segmented!$C$136,Weighting!$E$15:$H$15,0)+1,FALSE)+VLOOKUP($B169&amp;$D$136&amp;$G169,$E$6:$U$129,K$133,FALSE)*VLOOKUP($B169,Weighting!$D$15:$G$19,MATCH(Segmented!$D$136,Weighting!$E$15:$H$15,0)+1,FALSE)+VLOOKUP($B169&amp;$E$136&amp;$G169,$E$6:$U$129,K$133,FALSE)*VLOOKUP($B169,Weighting!$D$15:$G$19,MATCH(Segmented!$E$136,Weighting!$E$15:$H$15,0)+1,FALSE)</f>
        <v>0</v>
      </c>
      <c r="L169" t="str">
        <f t="shared" si="4"/>
        <v>ResSHWX</v>
      </c>
      <c r="M169" s="31">
        <f>VLOOKUP($B169&amp;$C$136&amp;$G169,$E$6:$U$129,M$133,FALSE)*VLOOKUP($B169,Weighting!$D$15:$G$19,MATCH(Segmented!$C$136,Weighting!$E$15:$H$15,0)+1,FALSE)+VLOOKUP($B169&amp;$D$136&amp;$G169,$E$6:$U$129,M$133,FALSE)*VLOOKUP($B169,Weighting!$D$15:$G$19,MATCH(Segmented!$D$136,Weighting!$E$15:$H$15,0)+1,FALSE)+VLOOKUP($B169&amp;$E$136&amp;$G169,$E$6:$U$129,M$133,FALSE)*VLOOKUP($B169,Weighting!$D$15:$G$19,MATCH(Segmented!$E$136,Weighting!$E$15:$H$15,0)+1,FALSE)</f>
        <v>0</v>
      </c>
      <c r="N169" s="31">
        <f>VLOOKUP($B169&amp;$C$136&amp;$G169,$E$6:$U$129,N$133,FALSE)*VLOOKUP($B169,Weighting!$D$15:$G$19,MATCH(Segmented!$C$136,Weighting!$E$15:$H$15,0)+1,FALSE)+VLOOKUP($B169&amp;$D$136&amp;$G169,$E$6:$U$129,N$133,FALSE)*VLOOKUP($B169,Weighting!$D$15:$G$19,MATCH(Segmented!$D$136,Weighting!$E$15:$H$15,0)+1,FALSE)+VLOOKUP($B169&amp;$E$136&amp;$G169,$E$6:$U$129,N$133,FALSE)*VLOOKUP($B169,Weighting!$D$15:$G$19,MATCH(Segmented!$E$136,Weighting!$E$15:$H$15,0)+1,FALSE)</f>
        <v>0</v>
      </c>
      <c r="O169">
        <f t="shared" si="5"/>
        <v>0</v>
      </c>
      <c r="P169" s="31">
        <f>VLOOKUP($B169&amp;$C$136&amp;$G169,$E$6:$U$129,P$133,FALSE)*VLOOKUP($B169,Weighting!$D$15:$G$19,MATCH(Segmented!$C$136,Weighting!$E$15:$H$15,0)+1,FALSE)+VLOOKUP($B169&amp;$D$136&amp;$G169,$E$6:$U$129,P$133,FALSE)*VLOOKUP($B169,Weighting!$D$15:$G$19,MATCH(Segmented!$D$136,Weighting!$E$15:$H$15,0)+1,FALSE)+VLOOKUP($B169&amp;$E$136&amp;$G169,$E$6:$U$129,P$133,FALSE)*VLOOKUP($B169,Weighting!$D$15:$G$19,MATCH(Segmented!$E$136,Weighting!$E$15:$H$15,0)+1,FALSE)</f>
        <v>0</v>
      </c>
      <c r="Q169">
        <f t="shared" si="6"/>
        <v>0</v>
      </c>
      <c r="R169" s="31">
        <f>VLOOKUP($B169&amp;$C$136&amp;$G169,$E$6:$U$129,R$133,FALSE)*VLOOKUP($B169,Weighting!$D$15:$G$19,MATCH(Segmented!$C$136,Weighting!$E$15:$H$15,0)+1,FALSE)+VLOOKUP($B169&amp;$D$136&amp;$G169,$E$6:$U$129,R$133,FALSE)*VLOOKUP($B169,Weighting!$D$15:$G$19,MATCH(Segmented!$D$136,Weighting!$E$15:$H$15,0)+1,FALSE)+VLOOKUP($B169&amp;$E$136&amp;$G169,$E$6:$U$129,R$133,FALSE)*VLOOKUP($B169,Weighting!$D$15:$G$19,MATCH(Segmented!$E$136,Weighting!$E$15:$H$15,0)+1,FALSE)</f>
        <v>0</v>
      </c>
      <c r="S169">
        <f t="shared" si="7"/>
        <v>0</v>
      </c>
      <c r="T169" s="31">
        <f>VLOOKUP($B169&amp;$C$136&amp;$G169,$E$6:$U$129,T$133,FALSE)*VLOOKUP($B169,Weighting!$D$15:$G$19,MATCH(Segmented!$C$136,Weighting!$E$15:$H$15,0)+1,FALSE)+VLOOKUP($B169&amp;$D$136&amp;$G169,$E$6:$U$129,T$133,FALSE)*VLOOKUP($B169,Weighting!$D$15:$G$19,MATCH(Segmented!$D$136,Weighting!$E$15:$H$15,0)+1,FALSE)+VLOOKUP($B169&amp;$E$136&amp;$G169,$E$6:$U$129,T$133,FALSE)*VLOOKUP($B169,Weighting!$D$15:$G$19,MATCH(Segmented!$E$136,Weighting!$E$15:$H$15,0)+1,FALSE)</f>
        <v>0</v>
      </c>
    </row>
    <row r="170" spans="2:20">
      <c r="B170" t="s">
        <v>78</v>
      </c>
      <c r="F170" s="55" t="str">
        <f t="shared" si="8"/>
        <v>ATTIC R19 - R49_Heat Pump</v>
      </c>
      <c r="G170" s="54" t="s">
        <v>68</v>
      </c>
      <c r="H170" s="31">
        <f>VLOOKUP($B170&amp;$C$136&amp;$G170,$E$6:$U$129,H$133,FALSE)*VLOOKUP($B170,Weighting!$D$15:$G$19,MATCH(Segmented!$C$136,Weighting!$E$15:$H$15,0)+1,FALSE)+VLOOKUP($B170&amp;$D$136&amp;$G170,$E$6:$U$129,H$133,FALSE)*VLOOKUP($B170,Weighting!$D$15:$G$19,MATCH(Segmented!$D$136,Weighting!$E$15:$H$15,0)+1,FALSE)+VLOOKUP($B170&amp;$E$136&amp;$G170,$E$6:$U$129,H$133,FALSE)*VLOOKUP($B170,Weighting!$D$15:$G$19,MATCH(Segmented!$E$136,Weighting!$E$15:$H$15,0)+1,FALSE)</f>
        <v>39.190388710390856</v>
      </c>
      <c r="I170">
        <f t="shared" si="3"/>
        <v>45</v>
      </c>
      <c r="J170" s="31">
        <f>VLOOKUP($B170&amp;$C$136&amp;$G170,$E$6:$U$129,J$133,FALSE)*VLOOKUP($B170,Weighting!$D$15:$G$19,MATCH(Segmented!$C$136,Weighting!$E$15:$H$15,0)+1,FALSE)+VLOOKUP($B170&amp;$D$136&amp;$G170,$E$6:$U$129,J$133,FALSE)*VLOOKUP($B170,Weighting!$D$15:$G$19,MATCH(Segmented!$D$136,Weighting!$E$15:$H$15,0)+1,FALSE)+VLOOKUP($B170&amp;$E$136&amp;$G170,$E$6:$U$129,J$133,FALSE)*VLOOKUP($B170,Weighting!$D$15:$G$19,MATCH(Segmented!$E$136,Weighting!$E$15:$H$15,0)+1,FALSE)</f>
        <v>235.52932235113522</v>
      </c>
      <c r="K170" s="31">
        <f>VLOOKUP($B170&amp;$C$136&amp;$G170,$E$6:$U$129,K$133,FALSE)*VLOOKUP($B170,Weighting!$D$15:$G$19,MATCH(Segmented!$C$136,Weighting!$E$15:$H$15,0)+1,FALSE)+VLOOKUP($B170&amp;$D$136&amp;$G170,$E$6:$U$129,K$133,FALSE)*VLOOKUP($B170,Weighting!$D$15:$G$19,MATCH(Segmented!$D$136,Weighting!$E$15:$H$15,0)+1,FALSE)+VLOOKUP($B170&amp;$E$136&amp;$G170,$E$6:$U$129,K$133,FALSE)*VLOOKUP($B170,Weighting!$D$15:$G$19,MATCH(Segmented!$E$136,Weighting!$E$15:$H$15,0)+1,FALSE)</f>
        <v>0</v>
      </c>
      <c r="L170" t="str">
        <f t="shared" si="4"/>
        <v>ResSHWX</v>
      </c>
      <c r="M170" s="31">
        <f>VLOOKUP($B170&amp;$C$136&amp;$G170,$E$6:$U$129,M$133,FALSE)*VLOOKUP($B170,Weighting!$D$15:$G$19,MATCH(Segmented!$C$136,Weighting!$E$15:$H$15,0)+1,FALSE)+VLOOKUP($B170&amp;$D$136&amp;$G170,$E$6:$U$129,M$133,FALSE)*VLOOKUP($B170,Weighting!$D$15:$G$19,MATCH(Segmented!$D$136,Weighting!$E$15:$H$15,0)+1,FALSE)+VLOOKUP($B170&amp;$E$136&amp;$G170,$E$6:$U$129,M$133,FALSE)*VLOOKUP($B170,Weighting!$D$15:$G$19,MATCH(Segmented!$E$136,Weighting!$E$15:$H$15,0)+1,FALSE)</f>
        <v>0</v>
      </c>
      <c r="N170" s="31">
        <f>VLOOKUP($B170&amp;$C$136&amp;$G170,$E$6:$U$129,N$133,FALSE)*VLOOKUP($B170,Weighting!$D$15:$G$19,MATCH(Segmented!$C$136,Weighting!$E$15:$H$15,0)+1,FALSE)+VLOOKUP($B170&amp;$D$136&amp;$G170,$E$6:$U$129,N$133,FALSE)*VLOOKUP($B170,Weighting!$D$15:$G$19,MATCH(Segmented!$D$136,Weighting!$E$15:$H$15,0)+1,FALSE)+VLOOKUP($B170&amp;$E$136&amp;$G170,$E$6:$U$129,N$133,FALSE)*VLOOKUP($B170,Weighting!$D$15:$G$19,MATCH(Segmented!$E$136,Weighting!$E$15:$H$15,0)+1,FALSE)</f>
        <v>0</v>
      </c>
      <c r="O170">
        <f t="shared" si="5"/>
        <v>0</v>
      </c>
      <c r="P170" s="31">
        <f>VLOOKUP($B170&amp;$C$136&amp;$G170,$E$6:$U$129,P$133,FALSE)*VLOOKUP($B170,Weighting!$D$15:$G$19,MATCH(Segmented!$C$136,Weighting!$E$15:$H$15,0)+1,FALSE)+VLOOKUP($B170&amp;$D$136&amp;$G170,$E$6:$U$129,P$133,FALSE)*VLOOKUP($B170,Weighting!$D$15:$G$19,MATCH(Segmented!$D$136,Weighting!$E$15:$H$15,0)+1,FALSE)+VLOOKUP($B170&amp;$E$136&amp;$G170,$E$6:$U$129,P$133,FALSE)*VLOOKUP($B170,Weighting!$D$15:$G$19,MATCH(Segmented!$E$136,Weighting!$E$15:$H$15,0)+1,FALSE)</f>
        <v>0</v>
      </c>
      <c r="Q170">
        <f t="shared" si="6"/>
        <v>0</v>
      </c>
      <c r="R170" s="31">
        <f>VLOOKUP($B170&amp;$C$136&amp;$G170,$E$6:$U$129,R$133,FALSE)*VLOOKUP($B170,Weighting!$D$15:$G$19,MATCH(Segmented!$C$136,Weighting!$E$15:$H$15,0)+1,FALSE)+VLOOKUP($B170&amp;$D$136&amp;$G170,$E$6:$U$129,R$133,FALSE)*VLOOKUP($B170,Weighting!$D$15:$G$19,MATCH(Segmented!$D$136,Weighting!$E$15:$H$15,0)+1,FALSE)+VLOOKUP($B170&amp;$E$136&amp;$G170,$E$6:$U$129,R$133,FALSE)*VLOOKUP($B170,Weighting!$D$15:$G$19,MATCH(Segmented!$E$136,Weighting!$E$15:$H$15,0)+1,FALSE)</f>
        <v>0</v>
      </c>
      <c r="S170">
        <f t="shared" si="7"/>
        <v>0</v>
      </c>
      <c r="T170" s="31">
        <f>VLOOKUP($B170&amp;$C$136&amp;$G170,$E$6:$U$129,T$133,FALSE)*VLOOKUP($B170,Weighting!$D$15:$G$19,MATCH(Segmented!$C$136,Weighting!$E$15:$H$15,0)+1,FALSE)+VLOOKUP($B170&amp;$D$136&amp;$G170,$E$6:$U$129,T$133,FALSE)*VLOOKUP($B170,Weighting!$D$15:$G$19,MATCH(Segmented!$D$136,Weighting!$E$15:$H$15,0)+1,FALSE)+VLOOKUP($B170&amp;$E$136&amp;$G170,$E$6:$U$129,T$133,FALSE)*VLOOKUP($B170,Weighting!$D$15:$G$19,MATCH(Segmented!$E$136,Weighting!$E$15:$H$15,0)+1,FALSE)</f>
        <v>0</v>
      </c>
    </row>
    <row r="171" spans="2:20" ht="25.5">
      <c r="B171" t="s">
        <v>78</v>
      </c>
      <c r="F171" s="55" t="str">
        <f t="shared" si="8"/>
        <v>WINDOW CL22 Prime Window Replacement of Single Pane Base_Heat Pump</v>
      </c>
      <c r="G171" s="54" t="s">
        <v>74</v>
      </c>
      <c r="H171" s="31">
        <f>VLOOKUP($B171&amp;$C$136&amp;$G171,$E$6:$U$129,H$133,FALSE)*VLOOKUP($B171,Weighting!$D$15:$G$19,MATCH(Segmented!$C$136,Weighting!$E$15:$H$15,0)+1,FALSE)+VLOOKUP($B171&amp;$D$136&amp;$G171,$E$6:$U$129,H$133,FALSE)*VLOOKUP($B171,Weighting!$D$15:$G$19,MATCH(Segmented!$D$136,Weighting!$E$15:$H$15,0)+1,FALSE)+VLOOKUP($B171&amp;$E$136&amp;$G171,$E$6:$U$129,H$133,FALSE)*VLOOKUP($B171,Weighting!$D$15:$G$19,MATCH(Segmented!$E$136,Weighting!$E$15:$H$15,0)+1,FALSE)</f>
        <v>2125.5702799692135</v>
      </c>
      <c r="I171">
        <f t="shared" si="3"/>
        <v>45</v>
      </c>
      <c r="J171" s="31">
        <f>VLOOKUP($B171&amp;$C$136&amp;$G171,$E$6:$U$129,J$133,FALSE)*VLOOKUP($B171,Weighting!$D$15:$G$19,MATCH(Segmented!$C$136,Weighting!$E$15:$H$15,0)+1,FALSE)+VLOOKUP($B171&amp;$D$136&amp;$G171,$E$6:$U$129,J$133,FALSE)*VLOOKUP($B171,Weighting!$D$15:$G$19,MATCH(Segmented!$D$136,Weighting!$E$15:$H$15,0)+1,FALSE)+VLOOKUP($B171&amp;$E$136&amp;$G171,$E$6:$U$129,J$133,FALSE)*VLOOKUP($B171,Weighting!$D$15:$G$19,MATCH(Segmented!$E$136,Weighting!$E$15:$H$15,0)+1,FALSE)</f>
        <v>3567.2363679851778</v>
      </c>
      <c r="K171" s="31">
        <f>VLOOKUP($B171&amp;$C$136&amp;$G171,$E$6:$U$129,K$133,FALSE)*VLOOKUP($B171,Weighting!$D$15:$G$19,MATCH(Segmented!$C$136,Weighting!$E$15:$H$15,0)+1,FALSE)+VLOOKUP($B171&amp;$D$136&amp;$G171,$E$6:$U$129,K$133,FALSE)*VLOOKUP($B171,Weighting!$D$15:$G$19,MATCH(Segmented!$D$136,Weighting!$E$15:$H$15,0)+1,FALSE)+VLOOKUP($B171&amp;$E$136&amp;$G171,$E$6:$U$129,K$133,FALSE)*VLOOKUP($B171,Weighting!$D$15:$G$19,MATCH(Segmented!$E$136,Weighting!$E$15:$H$15,0)+1,FALSE)</f>
        <v>0</v>
      </c>
      <c r="L171" t="str">
        <f t="shared" si="4"/>
        <v>ResSHWX</v>
      </c>
      <c r="M171" s="31">
        <f>VLOOKUP($B171&amp;$C$136&amp;$G171,$E$6:$U$129,M$133,FALSE)*VLOOKUP($B171,Weighting!$D$15:$G$19,MATCH(Segmented!$C$136,Weighting!$E$15:$H$15,0)+1,FALSE)+VLOOKUP($B171&amp;$D$136&amp;$G171,$E$6:$U$129,M$133,FALSE)*VLOOKUP($B171,Weighting!$D$15:$G$19,MATCH(Segmented!$D$136,Weighting!$E$15:$H$15,0)+1,FALSE)+VLOOKUP($B171&amp;$E$136&amp;$G171,$E$6:$U$129,M$133,FALSE)*VLOOKUP($B171,Weighting!$D$15:$G$19,MATCH(Segmented!$E$136,Weighting!$E$15:$H$15,0)+1,FALSE)</f>
        <v>0</v>
      </c>
      <c r="N171" s="31">
        <f>VLOOKUP($B171&amp;$C$136&amp;$G171,$E$6:$U$129,N$133,FALSE)*VLOOKUP($B171,Weighting!$D$15:$G$19,MATCH(Segmented!$C$136,Weighting!$E$15:$H$15,0)+1,FALSE)+VLOOKUP($B171&amp;$D$136&amp;$G171,$E$6:$U$129,N$133,FALSE)*VLOOKUP($B171,Weighting!$D$15:$G$19,MATCH(Segmented!$D$136,Weighting!$E$15:$H$15,0)+1,FALSE)+VLOOKUP($B171&amp;$E$136&amp;$G171,$E$6:$U$129,N$133,FALSE)*VLOOKUP($B171,Weighting!$D$15:$G$19,MATCH(Segmented!$E$136,Weighting!$E$15:$H$15,0)+1,FALSE)</f>
        <v>0</v>
      </c>
      <c r="O171">
        <f t="shared" si="5"/>
        <v>0</v>
      </c>
      <c r="P171" s="31">
        <f>VLOOKUP($B171&amp;$C$136&amp;$G171,$E$6:$U$129,P$133,FALSE)*VLOOKUP($B171,Weighting!$D$15:$G$19,MATCH(Segmented!$C$136,Weighting!$E$15:$H$15,0)+1,FALSE)+VLOOKUP($B171&amp;$D$136&amp;$G171,$E$6:$U$129,P$133,FALSE)*VLOOKUP($B171,Weighting!$D$15:$G$19,MATCH(Segmented!$D$136,Weighting!$E$15:$H$15,0)+1,FALSE)+VLOOKUP($B171&amp;$E$136&amp;$G171,$E$6:$U$129,P$133,FALSE)*VLOOKUP($B171,Weighting!$D$15:$G$19,MATCH(Segmented!$E$136,Weighting!$E$15:$H$15,0)+1,FALSE)</f>
        <v>0</v>
      </c>
      <c r="Q171">
        <f t="shared" si="6"/>
        <v>0</v>
      </c>
      <c r="R171" s="31">
        <f>VLOOKUP($B171&amp;$C$136&amp;$G171,$E$6:$U$129,R$133,FALSE)*VLOOKUP($B171,Weighting!$D$15:$G$19,MATCH(Segmented!$C$136,Weighting!$E$15:$H$15,0)+1,FALSE)+VLOOKUP($B171&amp;$D$136&amp;$G171,$E$6:$U$129,R$133,FALSE)*VLOOKUP($B171,Weighting!$D$15:$G$19,MATCH(Segmented!$D$136,Weighting!$E$15:$H$15,0)+1,FALSE)+VLOOKUP($B171&amp;$E$136&amp;$G171,$E$6:$U$129,R$133,FALSE)*VLOOKUP($B171,Weighting!$D$15:$G$19,MATCH(Segmented!$E$136,Weighting!$E$15:$H$15,0)+1,FALSE)</f>
        <v>0</v>
      </c>
      <c r="S171">
        <f t="shared" si="7"/>
        <v>0</v>
      </c>
      <c r="T171" s="31">
        <f>VLOOKUP($B171&amp;$C$136&amp;$G171,$E$6:$U$129,T$133,FALSE)*VLOOKUP($B171,Weighting!$D$15:$G$19,MATCH(Segmented!$C$136,Weighting!$E$15:$H$15,0)+1,FALSE)+VLOOKUP($B171&amp;$D$136&amp;$G171,$E$6:$U$129,T$133,FALSE)*VLOOKUP($B171,Weighting!$D$15:$G$19,MATCH(Segmented!$D$136,Weighting!$E$15:$H$15,0)+1,FALSE)+VLOOKUP($B171&amp;$E$136&amp;$G171,$E$6:$U$129,T$133,FALSE)*VLOOKUP($B171,Weighting!$D$15:$G$19,MATCH(Segmented!$E$136,Weighting!$E$15:$H$15,0)+1,FALSE)</f>
        <v>0</v>
      </c>
    </row>
    <row r="172" spans="2:20" ht="25.5">
      <c r="B172" t="s">
        <v>78</v>
      </c>
      <c r="F172" s="55" t="str">
        <f t="shared" si="8"/>
        <v>WINDOW CL22 Prime Window Replacement of Double Pane Base_Heat Pump</v>
      </c>
      <c r="G172" s="54" t="s">
        <v>75</v>
      </c>
      <c r="H172" s="31">
        <f>VLOOKUP($B172&amp;$C$136&amp;$G172,$E$6:$U$129,H$133,FALSE)*VLOOKUP($B172,Weighting!$D$15:$G$19,MATCH(Segmented!$C$136,Weighting!$E$15:$H$15,0)+1,FALSE)+VLOOKUP($B172&amp;$D$136&amp;$G172,$E$6:$U$129,H$133,FALSE)*VLOOKUP($B172,Weighting!$D$15:$G$19,MATCH(Segmented!$D$136,Weighting!$E$15:$H$15,0)+1,FALSE)+VLOOKUP($B172&amp;$E$136&amp;$G172,$E$6:$U$129,H$133,FALSE)*VLOOKUP($B172,Weighting!$D$15:$G$19,MATCH(Segmented!$E$136,Weighting!$E$15:$H$15,0)+1,FALSE)</f>
        <v>1365.8084233833233</v>
      </c>
      <c r="I172">
        <f t="shared" si="3"/>
        <v>45</v>
      </c>
      <c r="J172" s="31">
        <f>VLOOKUP($B172&amp;$C$136&amp;$G172,$E$6:$U$129,J$133,FALSE)*VLOOKUP($B172,Weighting!$D$15:$G$19,MATCH(Segmented!$C$136,Weighting!$E$15:$H$15,0)+1,FALSE)+VLOOKUP($B172&amp;$D$136&amp;$G172,$E$6:$U$129,J$133,FALSE)*VLOOKUP($B172,Weighting!$D$15:$G$19,MATCH(Segmented!$D$136,Weighting!$E$15:$H$15,0)+1,FALSE)+VLOOKUP($B172&amp;$E$136&amp;$G172,$E$6:$U$129,J$133,FALSE)*VLOOKUP($B172,Weighting!$D$15:$G$19,MATCH(Segmented!$E$136,Weighting!$E$15:$H$15,0)+1,FALSE)</f>
        <v>3567.2363679851778</v>
      </c>
      <c r="K172" s="31">
        <f>VLOOKUP($B172&amp;$C$136&amp;$G172,$E$6:$U$129,K$133,FALSE)*VLOOKUP($B172,Weighting!$D$15:$G$19,MATCH(Segmented!$C$136,Weighting!$E$15:$H$15,0)+1,FALSE)+VLOOKUP($B172&amp;$D$136&amp;$G172,$E$6:$U$129,K$133,FALSE)*VLOOKUP($B172,Weighting!$D$15:$G$19,MATCH(Segmented!$D$136,Weighting!$E$15:$H$15,0)+1,FALSE)+VLOOKUP($B172&amp;$E$136&amp;$G172,$E$6:$U$129,K$133,FALSE)*VLOOKUP($B172,Weighting!$D$15:$G$19,MATCH(Segmented!$E$136,Weighting!$E$15:$H$15,0)+1,FALSE)</f>
        <v>0</v>
      </c>
      <c r="L172" t="str">
        <f t="shared" si="4"/>
        <v>ResSHWX</v>
      </c>
      <c r="M172" s="31">
        <f>VLOOKUP($B172&amp;$C$136&amp;$G172,$E$6:$U$129,M$133,FALSE)*VLOOKUP($B172,Weighting!$D$15:$G$19,MATCH(Segmented!$C$136,Weighting!$E$15:$H$15,0)+1,FALSE)+VLOOKUP($B172&amp;$D$136&amp;$G172,$E$6:$U$129,M$133,FALSE)*VLOOKUP($B172,Weighting!$D$15:$G$19,MATCH(Segmented!$D$136,Weighting!$E$15:$H$15,0)+1,FALSE)+VLOOKUP($B172&amp;$E$136&amp;$G172,$E$6:$U$129,M$133,FALSE)*VLOOKUP($B172,Weighting!$D$15:$G$19,MATCH(Segmented!$E$136,Weighting!$E$15:$H$15,0)+1,FALSE)</f>
        <v>0</v>
      </c>
      <c r="N172" s="31">
        <f>VLOOKUP($B172&amp;$C$136&amp;$G172,$E$6:$U$129,N$133,FALSE)*VLOOKUP($B172,Weighting!$D$15:$G$19,MATCH(Segmented!$C$136,Weighting!$E$15:$H$15,0)+1,FALSE)+VLOOKUP($B172&amp;$D$136&amp;$G172,$E$6:$U$129,N$133,FALSE)*VLOOKUP($B172,Weighting!$D$15:$G$19,MATCH(Segmented!$D$136,Weighting!$E$15:$H$15,0)+1,FALSE)+VLOOKUP($B172&amp;$E$136&amp;$G172,$E$6:$U$129,N$133,FALSE)*VLOOKUP($B172,Weighting!$D$15:$G$19,MATCH(Segmented!$E$136,Weighting!$E$15:$H$15,0)+1,FALSE)</f>
        <v>0</v>
      </c>
      <c r="O172">
        <f t="shared" si="5"/>
        <v>0</v>
      </c>
      <c r="P172" s="31">
        <f>VLOOKUP($B172&amp;$C$136&amp;$G172,$E$6:$U$129,P$133,FALSE)*VLOOKUP($B172,Weighting!$D$15:$G$19,MATCH(Segmented!$C$136,Weighting!$E$15:$H$15,0)+1,FALSE)+VLOOKUP($B172&amp;$D$136&amp;$G172,$E$6:$U$129,P$133,FALSE)*VLOOKUP($B172,Weighting!$D$15:$G$19,MATCH(Segmented!$D$136,Weighting!$E$15:$H$15,0)+1,FALSE)+VLOOKUP($B172&amp;$E$136&amp;$G172,$E$6:$U$129,P$133,FALSE)*VLOOKUP($B172,Weighting!$D$15:$G$19,MATCH(Segmented!$E$136,Weighting!$E$15:$H$15,0)+1,FALSE)</f>
        <v>0</v>
      </c>
      <c r="Q172">
        <f t="shared" si="6"/>
        <v>0</v>
      </c>
      <c r="R172" s="31">
        <f>VLOOKUP($B172&amp;$C$136&amp;$G172,$E$6:$U$129,R$133,FALSE)*VLOOKUP($B172,Weighting!$D$15:$G$19,MATCH(Segmented!$C$136,Weighting!$E$15:$H$15,0)+1,FALSE)+VLOOKUP($B172&amp;$D$136&amp;$G172,$E$6:$U$129,R$133,FALSE)*VLOOKUP($B172,Weighting!$D$15:$G$19,MATCH(Segmented!$D$136,Weighting!$E$15:$H$15,0)+1,FALSE)+VLOOKUP($B172&amp;$E$136&amp;$G172,$E$6:$U$129,R$133,FALSE)*VLOOKUP($B172,Weighting!$D$15:$G$19,MATCH(Segmented!$E$136,Weighting!$E$15:$H$15,0)+1,FALSE)</f>
        <v>0</v>
      </c>
      <c r="S172">
        <f t="shared" si="7"/>
        <v>0</v>
      </c>
      <c r="T172" s="31">
        <f>VLOOKUP($B172&amp;$C$136&amp;$G172,$E$6:$U$129,T$133,FALSE)*VLOOKUP($B172,Weighting!$D$15:$G$19,MATCH(Segmented!$C$136,Weighting!$E$15:$H$15,0)+1,FALSE)+VLOOKUP($B172&amp;$D$136&amp;$G172,$E$6:$U$129,T$133,FALSE)*VLOOKUP($B172,Weighting!$D$15:$G$19,MATCH(Segmented!$D$136,Weighting!$E$15:$H$15,0)+1,FALSE)+VLOOKUP($B172&amp;$E$136&amp;$G172,$E$6:$U$129,T$133,FALSE)*VLOOKUP($B172,Weighting!$D$15:$G$19,MATCH(Segmented!$E$136,Weighting!$E$15:$H$15,0)+1,FALSE)</f>
        <v>0</v>
      </c>
    </row>
    <row r="173" spans="2:20" ht="25.5">
      <c r="B173" t="s">
        <v>78</v>
      </c>
      <c r="F173" s="55" t="str">
        <f t="shared" si="8"/>
        <v>WINDOW CL30 Prime Window Replacement of Single Pane Base_Heat Pump</v>
      </c>
      <c r="G173" s="54" t="s">
        <v>72</v>
      </c>
      <c r="H173" s="31">
        <f>VLOOKUP($B173&amp;$C$136&amp;$G173,$E$6:$U$129,H$133,FALSE)*VLOOKUP($B173,Weighting!$D$15:$G$19,MATCH(Segmented!$C$136,Weighting!$E$15:$H$15,0)+1,FALSE)+VLOOKUP($B173&amp;$D$136&amp;$G173,$E$6:$U$129,H$133,FALSE)*VLOOKUP($B173,Weighting!$D$15:$G$19,MATCH(Segmented!$D$136,Weighting!$E$15:$H$15,0)+1,FALSE)+VLOOKUP($B173&amp;$E$136&amp;$G173,$E$6:$U$129,H$133,FALSE)*VLOOKUP($B173,Weighting!$D$15:$G$19,MATCH(Segmented!$E$136,Weighting!$E$15:$H$15,0)+1,FALSE)</f>
        <v>1971.0088610812727</v>
      </c>
      <c r="I173">
        <f t="shared" si="3"/>
        <v>45</v>
      </c>
      <c r="J173" s="31">
        <f>VLOOKUP($B173&amp;$C$136&amp;$G173,$E$6:$U$129,J$133,FALSE)*VLOOKUP($B173,Weighting!$D$15:$G$19,MATCH(Segmented!$C$136,Weighting!$E$15:$H$15,0)+1,FALSE)+VLOOKUP($B173&amp;$D$136&amp;$G173,$E$6:$U$129,J$133,FALSE)*VLOOKUP($B173,Weighting!$D$15:$G$19,MATCH(Segmented!$D$136,Weighting!$E$15:$H$15,0)+1,FALSE)+VLOOKUP($B173&amp;$E$136&amp;$G173,$E$6:$U$129,J$133,FALSE)*VLOOKUP($B173,Weighting!$D$15:$G$19,MATCH(Segmented!$E$136,Weighting!$E$15:$H$15,0)+1,FALSE)</f>
        <v>2730.3075374938753</v>
      </c>
      <c r="K173" s="31">
        <f>VLOOKUP($B173&amp;$C$136&amp;$G173,$E$6:$U$129,K$133,FALSE)*VLOOKUP($B173,Weighting!$D$15:$G$19,MATCH(Segmented!$C$136,Weighting!$E$15:$H$15,0)+1,FALSE)+VLOOKUP($B173&amp;$D$136&amp;$G173,$E$6:$U$129,K$133,FALSE)*VLOOKUP($B173,Weighting!$D$15:$G$19,MATCH(Segmented!$D$136,Weighting!$E$15:$H$15,0)+1,FALSE)+VLOOKUP($B173&amp;$E$136&amp;$G173,$E$6:$U$129,K$133,FALSE)*VLOOKUP($B173,Weighting!$D$15:$G$19,MATCH(Segmented!$E$136,Weighting!$E$15:$H$15,0)+1,FALSE)</f>
        <v>0</v>
      </c>
      <c r="L173" t="str">
        <f t="shared" si="4"/>
        <v>ResSHWX</v>
      </c>
      <c r="M173" s="31">
        <f>VLOOKUP($B173&amp;$C$136&amp;$G173,$E$6:$U$129,M$133,FALSE)*VLOOKUP($B173,Weighting!$D$15:$G$19,MATCH(Segmented!$C$136,Weighting!$E$15:$H$15,0)+1,FALSE)+VLOOKUP($B173&amp;$D$136&amp;$G173,$E$6:$U$129,M$133,FALSE)*VLOOKUP($B173,Weighting!$D$15:$G$19,MATCH(Segmented!$D$136,Weighting!$E$15:$H$15,0)+1,FALSE)+VLOOKUP($B173&amp;$E$136&amp;$G173,$E$6:$U$129,M$133,FALSE)*VLOOKUP($B173,Weighting!$D$15:$G$19,MATCH(Segmented!$E$136,Weighting!$E$15:$H$15,0)+1,FALSE)</f>
        <v>0</v>
      </c>
      <c r="N173" s="31">
        <f>VLOOKUP($B173&amp;$C$136&amp;$G173,$E$6:$U$129,N$133,FALSE)*VLOOKUP($B173,Weighting!$D$15:$G$19,MATCH(Segmented!$C$136,Weighting!$E$15:$H$15,0)+1,FALSE)+VLOOKUP($B173&amp;$D$136&amp;$G173,$E$6:$U$129,N$133,FALSE)*VLOOKUP($B173,Weighting!$D$15:$G$19,MATCH(Segmented!$D$136,Weighting!$E$15:$H$15,0)+1,FALSE)+VLOOKUP($B173&amp;$E$136&amp;$G173,$E$6:$U$129,N$133,FALSE)*VLOOKUP($B173,Weighting!$D$15:$G$19,MATCH(Segmented!$E$136,Weighting!$E$15:$H$15,0)+1,FALSE)</f>
        <v>0</v>
      </c>
      <c r="O173">
        <f t="shared" si="5"/>
        <v>0</v>
      </c>
      <c r="P173" s="31">
        <f>VLOOKUP($B173&amp;$C$136&amp;$G173,$E$6:$U$129,P$133,FALSE)*VLOOKUP($B173,Weighting!$D$15:$G$19,MATCH(Segmented!$C$136,Weighting!$E$15:$H$15,0)+1,FALSE)+VLOOKUP($B173&amp;$D$136&amp;$G173,$E$6:$U$129,P$133,FALSE)*VLOOKUP($B173,Weighting!$D$15:$G$19,MATCH(Segmented!$D$136,Weighting!$E$15:$H$15,0)+1,FALSE)+VLOOKUP($B173&amp;$E$136&amp;$G173,$E$6:$U$129,P$133,FALSE)*VLOOKUP($B173,Weighting!$D$15:$G$19,MATCH(Segmented!$E$136,Weighting!$E$15:$H$15,0)+1,FALSE)</f>
        <v>0</v>
      </c>
      <c r="Q173">
        <f t="shared" si="6"/>
        <v>0</v>
      </c>
      <c r="R173" s="31">
        <f>VLOOKUP($B173&amp;$C$136&amp;$G173,$E$6:$U$129,R$133,FALSE)*VLOOKUP($B173,Weighting!$D$15:$G$19,MATCH(Segmented!$C$136,Weighting!$E$15:$H$15,0)+1,FALSE)+VLOOKUP($B173&amp;$D$136&amp;$G173,$E$6:$U$129,R$133,FALSE)*VLOOKUP($B173,Weighting!$D$15:$G$19,MATCH(Segmented!$D$136,Weighting!$E$15:$H$15,0)+1,FALSE)+VLOOKUP($B173&amp;$E$136&amp;$G173,$E$6:$U$129,R$133,FALSE)*VLOOKUP($B173,Weighting!$D$15:$G$19,MATCH(Segmented!$E$136,Weighting!$E$15:$H$15,0)+1,FALSE)</f>
        <v>0</v>
      </c>
      <c r="S173">
        <f t="shared" si="7"/>
        <v>0</v>
      </c>
      <c r="T173" s="31">
        <f>VLOOKUP($B173&amp;$C$136&amp;$G173,$E$6:$U$129,T$133,FALSE)*VLOOKUP($B173,Weighting!$D$15:$G$19,MATCH(Segmented!$C$136,Weighting!$E$15:$H$15,0)+1,FALSE)+VLOOKUP($B173&amp;$D$136&amp;$G173,$E$6:$U$129,T$133,FALSE)*VLOOKUP($B173,Weighting!$D$15:$G$19,MATCH(Segmented!$D$136,Weighting!$E$15:$H$15,0)+1,FALSE)+VLOOKUP($B173&amp;$E$136&amp;$G173,$E$6:$U$129,T$133,FALSE)*VLOOKUP($B173,Weighting!$D$15:$G$19,MATCH(Segmented!$E$136,Weighting!$E$15:$H$15,0)+1,FALSE)</f>
        <v>0</v>
      </c>
    </row>
    <row r="174" spans="2:20" ht="25.5">
      <c r="B174" t="s">
        <v>78</v>
      </c>
      <c r="F174" s="55" t="str">
        <f t="shared" si="8"/>
        <v>WINDOW CL30 Prime Window Replacement of Double Pane Base_Heat Pump</v>
      </c>
      <c r="G174" s="54" t="s">
        <v>73</v>
      </c>
      <c r="H174" s="31">
        <f>VLOOKUP($B174&amp;$C$136&amp;$G174,$E$6:$U$129,H$133,FALSE)*VLOOKUP($B174,Weighting!$D$15:$G$19,MATCH(Segmented!$C$136,Weighting!$E$15:$H$15,0)+1,FALSE)+VLOOKUP($B174&amp;$D$136&amp;$G174,$E$6:$U$129,H$133,FALSE)*VLOOKUP($B174,Weighting!$D$15:$G$19,MATCH(Segmented!$D$136,Weighting!$E$15:$H$15,0)+1,FALSE)+VLOOKUP($B174&amp;$E$136&amp;$G174,$E$6:$U$129,H$133,FALSE)*VLOOKUP($B174,Weighting!$D$15:$G$19,MATCH(Segmented!$E$136,Weighting!$E$15:$H$15,0)+1,FALSE)</f>
        <v>1211.2470044953825</v>
      </c>
      <c r="I174">
        <f t="shared" si="3"/>
        <v>45</v>
      </c>
      <c r="J174" s="31">
        <f>VLOOKUP($B174&amp;$C$136&amp;$G174,$E$6:$U$129,J$133,FALSE)*VLOOKUP($B174,Weighting!$D$15:$G$19,MATCH(Segmented!$C$136,Weighting!$E$15:$H$15,0)+1,FALSE)+VLOOKUP($B174&amp;$D$136&amp;$G174,$E$6:$U$129,J$133,FALSE)*VLOOKUP($B174,Weighting!$D$15:$G$19,MATCH(Segmented!$D$136,Weighting!$E$15:$H$15,0)+1,FALSE)+VLOOKUP($B174&amp;$E$136&amp;$G174,$E$6:$U$129,J$133,FALSE)*VLOOKUP($B174,Weighting!$D$15:$G$19,MATCH(Segmented!$E$136,Weighting!$E$15:$H$15,0)+1,FALSE)</f>
        <v>2730.3075374938753</v>
      </c>
      <c r="K174" s="31">
        <f>VLOOKUP($B174&amp;$C$136&amp;$G174,$E$6:$U$129,K$133,FALSE)*VLOOKUP($B174,Weighting!$D$15:$G$19,MATCH(Segmented!$C$136,Weighting!$E$15:$H$15,0)+1,FALSE)+VLOOKUP($B174&amp;$D$136&amp;$G174,$E$6:$U$129,K$133,FALSE)*VLOOKUP($B174,Weighting!$D$15:$G$19,MATCH(Segmented!$D$136,Weighting!$E$15:$H$15,0)+1,FALSE)+VLOOKUP($B174&amp;$E$136&amp;$G174,$E$6:$U$129,K$133,FALSE)*VLOOKUP($B174,Weighting!$D$15:$G$19,MATCH(Segmented!$E$136,Weighting!$E$15:$H$15,0)+1,FALSE)</f>
        <v>0</v>
      </c>
      <c r="L174" t="str">
        <f t="shared" si="4"/>
        <v>ResSHWX</v>
      </c>
      <c r="M174" s="31">
        <f>VLOOKUP($B174&amp;$C$136&amp;$G174,$E$6:$U$129,M$133,FALSE)*VLOOKUP($B174,Weighting!$D$15:$G$19,MATCH(Segmented!$C$136,Weighting!$E$15:$H$15,0)+1,FALSE)+VLOOKUP($B174&amp;$D$136&amp;$G174,$E$6:$U$129,M$133,FALSE)*VLOOKUP($B174,Weighting!$D$15:$G$19,MATCH(Segmented!$D$136,Weighting!$E$15:$H$15,0)+1,FALSE)+VLOOKUP($B174&amp;$E$136&amp;$G174,$E$6:$U$129,M$133,FALSE)*VLOOKUP($B174,Weighting!$D$15:$G$19,MATCH(Segmented!$E$136,Weighting!$E$15:$H$15,0)+1,FALSE)</f>
        <v>0</v>
      </c>
      <c r="N174" s="31">
        <f>VLOOKUP($B174&amp;$C$136&amp;$G174,$E$6:$U$129,N$133,FALSE)*VLOOKUP($B174,Weighting!$D$15:$G$19,MATCH(Segmented!$C$136,Weighting!$E$15:$H$15,0)+1,FALSE)+VLOOKUP($B174&amp;$D$136&amp;$G174,$E$6:$U$129,N$133,FALSE)*VLOOKUP($B174,Weighting!$D$15:$G$19,MATCH(Segmented!$D$136,Weighting!$E$15:$H$15,0)+1,FALSE)+VLOOKUP($B174&amp;$E$136&amp;$G174,$E$6:$U$129,N$133,FALSE)*VLOOKUP($B174,Weighting!$D$15:$G$19,MATCH(Segmented!$E$136,Weighting!$E$15:$H$15,0)+1,FALSE)</f>
        <v>0</v>
      </c>
      <c r="O174">
        <f t="shared" si="5"/>
        <v>0</v>
      </c>
      <c r="P174" s="31">
        <f>VLOOKUP($B174&amp;$C$136&amp;$G174,$E$6:$U$129,P$133,FALSE)*VLOOKUP($B174,Weighting!$D$15:$G$19,MATCH(Segmented!$C$136,Weighting!$E$15:$H$15,0)+1,FALSE)+VLOOKUP($B174&amp;$D$136&amp;$G174,$E$6:$U$129,P$133,FALSE)*VLOOKUP($B174,Weighting!$D$15:$G$19,MATCH(Segmented!$D$136,Weighting!$E$15:$H$15,0)+1,FALSE)+VLOOKUP($B174&amp;$E$136&amp;$G174,$E$6:$U$129,P$133,FALSE)*VLOOKUP($B174,Weighting!$D$15:$G$19,MATCH(Segmented!$E$136,Weighting!$E$15:$H$15,0)+1,FALSE)</f>
        <v>0</v>
      </c>
      <c r="Q174">
        <f t="shared" si="6"/>
        <v>0</v>
      </c>
      <c r="R174" s="31">
        <f>VLOOKUP($B174&amp;$C$136&amp;$G174,$E$6:$U$129,R$133,FALSE)*VLOOKUP($B174,Weighting!$D$15:$G$19,MATCH(Segmented!$C$136,Weighting!$E$15:$H$15,0)+1,FALSE)+VLOOKUP($B174&amp;$D$136&amp;$G174,$E$6:$U$129,R$133,FALSE)*VLOOKUP($B174,Weighting!$D$15:$G$19,MATCH(Segmented!$D$136,Weighting!$E$15:$H$15,0)+1,FALSE)+VLOOKUP($B174&amp;$E$136&amp;$G174,$E$6:$U$129,R$133,FALSE)*VLOOKUP($B174,Weighting!$D$15:$G$19,MATCH(Segmented!$E$136,Weighting!$E$15:$H$15,0)+1,FALSE)</f>
        <v>0</v>
      </c>
      <c r="S174">
        <f t="shared" si="7"/>
        <v>0</v>
      </c>
      <c r="T174" s="31">
        <f>VLOOKUP($B174&amp;$C$136&amp;$G174,$E$6:$U$129,T$133,FALSE)*VLOOKUP($B174,Weighting!$D$15:$G$19,MATCH(Segmented!$C$136,Weighting!$E$15:$H$15,0)+1,FALSE)+VLOOKUP($B174&amp;$D$136&amp;$G174,$E$6:$U$129,T$133,FALSE)*VLOOKUP($B174,Weighting!$D$15:$G$19,MATCH(Segmented!$D$136,Weighting!$E$15:$H$15,0)+1,FALSE)+VLOOKUP($B174&amp;$E$136&amp;$G174,$E$6:$U$129,T$133,FALSE)*VLOOKUP($B174,Weighting!$D$15:$G$19,MATCH(Segmented!$E$136,Weighting!$E$15:$H$15,0)+1,FALSE)</f>
        <v>0</v>
      </c>
    </row>
  </sheetData>
  <mergeCells count="4">
    <mergeCell ref="N4:S4"/>
    <mergeCell ref="T4:U4"/>
    <mergeCell ref="N134:S134"/>
    <mergeCell ref="T134:U134"/>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C2:I21"/>
  <sheetViews>
    <sheetView topLeftCell="D1" workbookViewId="0">
      <selection activeCell="E6" sqref="E6"/>
    </sheetView>
  </sheetViews>
  <sheetFormatPr defaultRowHeight="12.75"/>
  <cols>
    <col min="4" max="4" width="51.140625" customWidth="1"/>
    <col min="5" max="5" width="39.140625" customWidth="1"/>
    <col min="6" max="6" width="12.28515625" bestFit="1" customWidth="1"/>
    <col min="7" max="7" width="19.42578125" bestFit="1" customWidth="1"/>
    <col min="8" max="8" width="19.85546875" bestFit="1" customWidth="1"/>
  </cols>
  <sheetData>
    <row r="2" spans="3:8">
      <c r="F2" s="51"/>
    </row>
    <row r="3" spans="3:8">
      <c r="E3" s="550"/>
      <c r="F3" s="51"/>
    </row>
    <row r="4" spans="3:8">
      <c r="F4" s="51"/>
    </row>
    <row r="5" spans="3:8">
      <c r="C5" s="51"/>
      <c r="D5" s="551"/>
      <c r="E5" s="552" t="s">
        <v>59</v>
      </c>
      <c r="F5" s="553" t="s">
        <v>60</v>
      </c>
      <c r="G5" s="554" t="s">
        <v>61</v>
      </c>
      <c r="H5" s="51" t="s">
        <v>215</v>
      </c>
    </row>
    <row r="6" spans="3:8">
      <c r="D6" s="555" t="s">
        <v>76</v>
      </c>
      <c r="E6" s="556">
        <f>[3]MF_Estimates!$AD$22</f>
        <v>1</v>
      </c>
      <c r="F6" s="557">
        <f>[3]MF_Estimates!$AD$23</f>
        <v>0</v>
      </c>
      <c r="G6" s="558">
        <f>[3]MF_Estimates!$AD$24</f>
        <v>0</v>
      </c>
      <c r="H6" s="53">
        <f>[3]MF_Estimates!$AD$8</f>
        <v>1.8522654825686893E-2</v>
      </c>
    </row>
    <row r="7" spans="3:8">
      <c r="D7" s="559" t="s">
        <v>77</v>
      </c>
      <c r="E7" s="556">
        <f>[3]MF_Estimates!$AB$22</f>
        <v>0.68450854702444841</v>
      </c>
      <c r="F7" s="557">
        <f>[3]MF_Estimates!$AB$23</f>
        <v>0.22937589745883932</v>
      </c>
      <c r="G7" s="558">
        <f>[3]MF_Estimates!$AB$24</f>
        <v>8.6115555516712267E-2</v>
      </c>
      <c r="H7" s="53">
        <f>[3]MF_Estimates!$AE$8</f>
        <v>2.3490497002329143E-2</v>
      </c>
    </row>
    <row r="8" spans="3:8">
      <c r="D8" s="559" t="s">
        <v>78</v>
      </c>
      <c r="E8" s="556">
        <f>[3]MF_Estimates!$AE$22</f>
        <v>0.59792533212714805</v>
      </c>
      <c r="F8" s="557">
        <f>[3]MF_Estimates!$AE$23</f>
        <v>0.4020746678728519</v>
      </c>
      <c r="G8" s="558">
        <f>[3]MF_Estimates!$AE$24</f>
        <v>0</v>
      </c>
      <c r="H8" s="53">
        <f>[3]MF_Estimates!$AB$8</f>
        <v>0.92129049708007305</v>
      </c>
    </row>
    <row r="9" spans="3:8">
      <c r="D9" s="560" t="s">
        <v>180</v>
      </c>
      <c r="E9" s="561">
        <f>[3]MF_Estimates!$AC$22</f>
        <v>1</v>
      </c>
      <c r="F9" s="562">
        <f>[3]MF_Estimates!$AC$23</f>
        <v>0</v>
      </c>
      <c r="G9" s="563">
        <f>[3]MF_Estimates!$AC$24</f>
        <v>0</v>
      </c>
      <c r="H9" s="53">
        <f>[3]MF_Estimates!$AC$8</f>
        <v>3.6696351091910953E-2</v>
      </c>
    </row>
    <row r="10" spans="3:8">
      <c r="C10" s="51"/>
    </row>
    <row r="13" spans="3:8">
      <c r="C13" s="51"/>
      <c r="E13" t="s">
        <v>1665</v>
      </c>
      <c r="F13" s="51">
        <f>[3]MF_Estimates!$U$8</f>
        <v>0.88103855953347165</v>
      </c>
    </row>
    <row r="14" spans="3:8">
      <c r="C14" s="51"/>
    </row>
    <row r="15" spans="3:8">
      <c r="D15" s="551"/>
      <c r="E15" s="552" t="s">
        <v>59</v>
      </c>
      <c r="F15" s="553" t="s">
        <v>60</v>
      </c>
      <c r="G15" s="554" t="s">
        <v>61</v>
      </c>
      <c r="H15" s="51" t="s">
        <v>215</v>
      </c>
    </row>
    <row r="16" spans="3:8">
      <c r="D16" s="555" t="s">
        <v>76</v>
      </c>
      <c r="E16" s="556">
        <f>E6*$F$13</f>
        <v>0.88103855953347165</v>
      </c>
      <c r="F16" s="556">
        <f t="shared" ref="F16:H16" si="0">F6*$F$13</f>
        <v>0</v>
      </c>
      <c r="G16" s="564">
        <f t="shared" si="0"/>
        <v>0</v>
      </c>
      <c r="H16" s="51">
        <f t="shared" si="0"/>
        <v>1.6319173126358888E-2</v>
      </c>
    </row>
    <row r="17" spans="3:9">
      <c r="C17" s="51"/>
      <c r="D17" s="559" t="s">
        <v>77</v>
      </c>
      <c r="E17" s="556">
        <f>E7*$F$13</f>
        <v>0.60307842425876967</v>
      </c>
      <c r="F17" s="556">
        <f t="shared" ref="F17:G17" si="1">F7*$F$13</f>
        <v>0.20208901028883311</v>
      </c>
      <c r="G17" s="564">
        <f t="shared" si="1"/>
        <v>7.5871124985868885E-2</v>
      </c>
      <c r="H17" s="51">
        <f>H7*$F$13+H9*$F$13</f>
        <v>5.302693394780917E-2</v>
      </c>
      <c r="I17" t="s">
        <v>1666</v>
      </c>
    </row>
    <row r="18" spans="3:9">
      <c r="C18" s="51"/>
      <c r="D18" s="559" t="s">
        <v>78</v>
      </c>
      <c r="E18" s="556">
        <f>E8*$F$13</f>
        <v>0.52679527332587517</v>
      </c>
      <c r="F18" s="556">
        <f t="shared" ref="F18:G18" si="2">F8*$F$13</f>
        <v>0.35424328620759649</v>
      </c>
      <c r="G18" s="564">
        <f t="shared" si="2"/>
        <v>0</v>
      </c>
      <c r="H18" s="51">
        <f>H8*$F$13</f>
        <v>0.81169245245930366</v>
      </c>
    </row>
    <row r="19" spans="3:9">
      <c r="D19" s="560" t="s">
        <v>180</v>
      </c>
      <c r="E19" s="561">
        <f>E9*$F$13</f>
        <v>0.88103855953347165</v>
      </c>
      <c r="F19" s="561">
        <f t="shared" ref="F19:G19" si="3">F9*$F$13</f>
        <v>0</v>
      </c>
      <c r="G19" s="565">
        <f t="shared" si="3"/>
        <v>0</v>
      </c>
      <c r="H19" s="51"/>
    </row>
    <row r="21" spans="3:9">
      <c r="C21" s="5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B302"/>
  <sheetViews>
    <sheetView workbookViewId="0">
      <selection activeCell="A70" sqref="A70:XFD71"/>
    </sheetView>
  </sheetViews>
  <sheetFormatPr defaultRowHeight="12.75"/>
  <cols>
    <col min="1" max="1" width="38.5703125" customWidth="1"/>
    <col min="2" max="2" width="90.28515625" bestFit="1" customWidth="1"/>
    <col min="3" max="3" width="20.5703125" customWidth="1"/>
    <col min="16" max="16" width="10.5703125" customWidth="1"/>
  </cols>
  <sheetData>
    <row r="1" spans="1:106">
      <c r="A1" s="26" t="s">
        <v>1713</v>
      </c>
    </row>
    <row r="3" spans="1:106" s="7" customFormat="1">
      <c r="B3" s="12" t="s">
        <v>2</v>
      </c>
      <c r="C3" s="13"/>
      <c r="D3" s="13"/>
      <c r="E3" s="13"/>
      <c r="F3" s="13"/>
      <c r="G3" s="13"/>
      <c r="H3" s="14"/>
      <c r="I3" s="15"/>
      <c r="J3" s="637" t="s">
        <v>3</v>
      </c>
      <c r="K3" s="638"/>
      <c r="L3" s="638"/>
      <c r="M3" s="638"/>
      <c r="N3" s="638"/>
      <c r="O3" s="639"/>
      <c r="P3" s="640" t="s">
        <v>4</v>
      </c>
      <c r="Q3" s="641"/>
      <c r="R3" s="16"/>
      <c r="S3" s="17"/>
      <c r="T3" s="17"/>
      <c r="U3" s="17"/>
      <c r="V3" s="17"/>
      <c r="W3" s="17"/>
      <c r="X3" s="17"/>
      <c r="Y3" s="18"/>
      <c r="Z3" s="19"/>
      <c r="AA3" s="17"/>
      <c r="AB3" s="17"/>
      <c r="AC3" s="17"/>
      <c r="AD3" s="17"/>
      <c r="AE3" s="17"/>
      <c r="AF3" s="20"/>
      <c r="AG3" s="20"/>
      <c r="AH3" s="20"/>
      <c r="AI3" s="20"/>
      <c r="AJ3" s="20"/>
      <c r="AK3" s="20"/>
      <c r="AL3" s="20"/>
      <c r="AM3" s="20"/>
      <c r="AN3" s="20"/>
      <c r="AO3" s="20"/>
      <c r="AP3" s="20"/>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s="7" customFormat="1" ht="25.5">
      <c r="A4" s="7" t="s">
        <v>20</v>
      </c>
      <c r="B4" s="21" t="s">
        <v>5</v>
      </c>
      <c r="C4" s="21" t="s">
        <v>6</v>
      </c>
      <c r="D4" s="21" t="s">
        <v>7</v>
      </c>
      <c r="E4" s="21" t="s">
        <v>8</v>
      </c>
      <c r="F4" s="21" t="s">
        <v>9</v>
      </c>
      <c r="G4" s="21" t="s">
        <v>10</v>
      </c>
      <c r="H4" s="22" t="s">
        <v>11</v>
      </c>
      <c r="I4" s="23" t="s">
        <v>12</v>
      </c>
      <c r="J4" s="23" t="s">
        <v>13</v>
      </c>
      <c r="K4" s="23" t="s">
        <v>14</v>
      </c>
      <c r="L4" s="23" t="s">
        <v>15</v>
      </c>
      <c r="M4" s="23" t="s">
        <v>16</v>
      </c>
      <c r="N4" s="23" t="s">
        <v>17</v>
      </c>
      <c r="O4" s="23" t="s">
        <v>18</v>
      </c>
      <c r="P4" s="24" t="s">
        <v>19</v>
      </c>
      <c r="Q4" s="23" t="s">
        <v>11</v>
      </c>
      <c r="R4" s="25"/>
      <c r="S4" s="25"/>
      <c r="T4" s="25"/>
      <c r="U4" s="25"/>
      <c r="V4" s="25"/>
      <c r="W4" s="25"/>
      <c r="X4" s="25"/>
      <c r="Y4" s="25"/>
      <c r="Z4" s="25"/>
      <c r="AA4" s="25"/>
      <c r="AB4" s="25"/>
      <c r="AC4" s="25"/>
      <c r="AD4" s="25"/>
      <c r="AE4" s="25"/>
      <c r="AF4" s="20"/>
      <c r="AG4" s="20"/>
      <c r="AH4" s="20"/>
      <c r="AI4" s="20"/>
      <c r="AJ4" s="20"/>
      <c r="AK4" s="20"/>
      <c r="AL4" s="20"/>
      <c r="AM4" s="20"/>
      <c r="AN4" s="20"/>
      <c r="AO4" s="20"/>
      <c r="AP4" s="20"/>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t="str">
        <f t="shared" ref="A5:A10" si="0">CONCATENATE(B5,C5)</f>
        <v>Multi Family Weatherization - Insulate Walls - R-0 to R-11 - Heating Zone 1 (Zonal Heating System)WALL R0 - R11</v>
      </c>
      <c r="B5" s="99" t="str">
        <f>'Raw RTF'!B65</f>
        <v>Multi Family Weatherization - Insulate Walls - R-0 to R-11 - Heating Zone 1 (Zonal Heating System)</v>
      </c>
      <c r="C5" s="99" t="s">
        <v>69</v>
      </c>
      <c r="D5">
        <f>VLOOKUP($B5,'Raw RTF'!$B$8:$Q$1000,'Raw RTF'!D$5,FALSE)</f>
        <v>1.3619811756822695</v>
      </c>
      <c r="E5">
        <f>VLOOKUP($B5,'Raw RTF'!$B$8:$Q$1000,'Raw RTF'!E$5,FALSE)</f>
        <v>45</v>
      </c>
      <c r="F5">
        <f>VLOOKUP($B5,'Raw RTF'!$B$8:$Q$1000,'Raw RTF'!F$5,FALSE)</f>
        <v>1.0354836592527603</v>
      </c>
      <c r="G5">
        <f>VLOOKUP($B5,'Raw RTF'!$B$8:$Q$1000,'Raw RTF'!G$5,FALSE)</f>
        <v>0</v>
      </c>
      <c r="H5" t="str">
        <f>VLOOKUP($B5,'Raw RTF'!$B$8:$Q$1000,'Raw RTF'!H$5,FALSE)</f>
        <v>ResSHWX</v>
      </c>
      <c r="I5">
        <f>VLOOKUP($B5,'Raw RTF'!$B$8:$Q$1000,'Raw RTF'!I$5,FALSE)</f>
        <v>0</v>
      </c>
      <c r="J5">
        <f>VLOOKUP($B5,'Raw RTF'!$B$8:$Q$1000,'Raw RTF'!J$5,FALSE)</f>
        <v>0</v>
      </c>
      <c r="K5">
        <f>VLOOKUP($B5,'Raw RTF'!$B$8:$Q$1000,'Raw RTF'!K$5,FALSE)</f>
        <v>0</v>
      </c>
      <c r="L5">
        <f>VLOOKUP($B5,'Raw RTF'!$B$8:$Q$1000,'Raw RTF'!L$5,FALSE)</f>
        <v>0</v>
      </c>
      <c r="M5">
        <f>VLOOKUP($B5,'Raw RTF'!$B$8:$Q$1000,'Raw RTF'!M$5,FALSE)</f>
        <v>0</v>
      </c>
      <c r="N5">
        <f>VLOOKUP($B5,'Raw RTF'!$B$8:$Q$1000,'Raw RTF'!N$5,FALSE)</f>
        <v>0</v>
      </c>
      <c r="O5">
        <f>VLOOKUP($B5,'Raw RTF'!$B$8:$Q$1000,'Raw RTF'!O$5,FALSE)</f>
        <v>0</v>
      </c>
      <c r="P5">
        <f>VLOOKUP($B5,'Raw RTF'!$B$8:$Q$1000,'Raw RTF'!P$5,FALSE)</f>
        <v>0</v>
      </c>
      <c r="Q5">
        <f>VLOOKUP($B5,'Raw RTF'!$B$8:$Q$1000,'Raw RTF'!Q$5,FALSE)</f>
        <v>0</v>
      </c>
    </row>
    <row r="6" spans="1:106">
      <c r="A6" t="str">
        <f t="shared" si="0"/>
        <v>Multi Family Weatherization - Insulate Floors - R-0 to R-19 - Heating Zone 1 (Zonal Heating System)FLOOR R0 - R19</v>
      </c>
      <c r="B6" s="99" t="str">
        <f>'Raw RTF'!B66</f>
        <v>Multi Family Weatherization - Insulate Floors - R-0 to R-19 - Heating Zone 1 (Zonal Heating System)</v>
      </c>
      <c r="C6" s="99" t="s">
        <v>70</v>
      </c>
      <c r="D6">
        <f>VLOOKUP($B6,'Raw RTF'!$B$8:$Q$1000,'Raw RTF'!D$5,FALSE)</f>
        <v>0.61745309474478649</v>
      </c>
      <c r="E6">
        <f>VLOOKUP($B6,'Raw RTF'!$B$8:$Q$1000,'Raw RTF'!E$5,FALSE)</f>
        <v>45</v>
      </c>
      <c r="F6">
        <f>VLOOKUP($B6,'Raw RTF'!$B$8:$Q$1000,'Raw RTF'!F$5,FALSE)</f>
        <v>0.91799940108959477</v>
      </c>
      <c r="G6">
        <f>VLOOKUP($B6,'Raw RTF'!$B$8:$Q$1000,'Raw RTF'!G$5,FALSE)</f>
        <v>0</v>
      </c>
      <c r="H6" t="str">
        <f>VLOOKUP($B6,'Raw RTF'!$B$8:$Q$1000,'Raw RTF'!H$5,FALSE)</f>
        <v>ResSHWX</v>
      </c>
      <c r="I6">
        <f>VLOOKUP($B6,'Raw RTF'!$B$8:$Q$1000,'Raw RTF'!I$5,FALSE)</f>
        <v>0</v>
      </c>
      <c r="J6">
        <f>VLOOKUP($B6,'Raw RTF'!$B$8:$Q$1000,'Raw RTF'!J$5,FALSE)</f>
        <v>0</v>
      </c>
      <c r="K6">
        <f>VLOOKUP($B6,'Raw RTF'!$B$8:$Q$1000,'Raw RTF'!K$5,FALSE)</f>
        <v>0</v>
      </c>
      <c r="L6">
        <f>VLOOKUP($B6,'Raw RTF'!$B$8:$Q$1000,'Raw RTF'!L$5,FALSE)</f>
        <v>0</v>
      </c>
      <c r="M6">
        <f>VLOOKUP($B6,'Raw RTF'!$B$8:$Q$1000,'Raw RTF'!M$5,FALSE)</f>
        <v>0</v>
      </c>
      <c r="N6">
        <f>VLOOKUP($B6,'Raw RTF'!$B$8:$Q$1000,'Raw RTF'!N$5,FALSE)</f>
        <v>0</v>
      </c>
      <c r="O6">
        <f>VLOOKUP($B6,'Raw RTF'!$B$8:$Q$1000,'Raw RTF'!O$5,FALSE)</f>
        <v>0</v>
      </c>
      <c r="P6">
        <f>VLOOKUP($B6,'Raw RTF'!$B$8:$Q$1000,'Raw RTF'!P$5,FALSE)</f>
        <v>0</v>
      </c>
      <c r="Q6">
        <f>VLOOKUP($B6,'Raw RTF'!$B$8:$Q$1000,'Raw RTF'!Q$5,FALSE)</f>
        <v>0</v>
      </c>
    </row>
    <row r="7" spans="1:106">
      <c r="A7" t="str">
        <f t="shared" si="0"/>
        <v>Multi Family Weatherization - Insulate Floors - R-0 to R-30 - Heating Zone 1 (Zonal Heating System)FLOOR R0 - R30</v>
      </c>
      <c r="B7" s="99" t="str">
        <f>'Raw RTF'!B67</f>
        <v>Multi Family Weatherization - Insulate Floors - R-0 to R-30 - Heating Zone 1 (Zonal Heating System)</v>
      </c>
      <c r="C7" s="99" t="s">
        <v>71</v>
      </c>
      <c r="D7">
        <f>VLOOKUP($B7,'Raw RTF'!$B$8:$Q$1000,'Raw RTF'!D$5,FALSE)</f>
        <v>0.80371456332005364</v>
      </c>
      <c r="E7">
        <f>VLOOKUP($B7,'Raw RTF'!$B$8:$Q$1000,'Raw RTF'!E$5,FALSE)</f>
        <v>45</v>
      </c>
      <c r="F7">
        <f>VLOOKUP($B7,'Raw RTF'!$B$8:$Q$1000,'Raw RTF'!F$5,FALSE)</f>
        <v>0.98244865861375763</v>
      </c>
      <c r="G7">
        <f>VLOOKUP($B7,'Raw RTF'!$B$8:$Q$1000,'Raw RTF'!G$5,FALSE)</f>
        <v>0</v>
      </c>
      <c r="H7" t="str">
        <f>VLOOKUP($B7,'Raw RTF'!$B$8:$Q$1000,'Raw RTF'!H$5,FALSE)</f>
        <v>ResSHWX</v>
      </c>
      <c r="I7">
        <f>VLOOKUP($B7,'Raw RTF'!$B$8:$Q$1000,'Raw RTF'!I$5,FALSE)</f>
        <v>0</v>
      </c>
      <c r="J7">
        <f>VLOOKUP($B7,'Raw RTF'!$B$8:$Q$1000,'Raw RTF'!J$5,FALSE)</f>
        <v>0</v>
      </c>
      <c r="K7">
        <f>VLOOKUP($B7,'Raw RTF'!$B$8:$Q$1000,'Raw RTF'!K$5,FALSE)</f>
        <v>0</v>
      </c>
      <c r="L7">
        <f>VLOOKUP($B7,'Raw RTF'!$B$8:$Q$1000,'Raw RTF'!L$5,FALSE)</f>
        <v>0</v>
      </c>
      <c r="M7">
        <f>VLOOKUP($B7,'Raw RTF'!$B$8:$Q$1000,'Raw RTF'!M$5,FALSE)</f>
        <v>0</v>
      </c>
      <c r="N7">
        <f>VLOOKUP($B7,'Raw RTF'!$B$8:$Q$1000,'Raw RTF'!N$5,FALSE)</f>
        <v>0</v>
      </c>
      <c r="O7">
        <f>VLOOKUP($B7,'Raw RTF'!$B$8:$Q$1000,'Raw RTF'!O$5,FALSE)</f>
        <v>0</v>
      </c>
      <c r="P7">
        <f>VLOOKUP($B7,'Raw RTF'!$B$8:$Q$1000,'Raw RTF'!P$5,FALSE)</f>
        <v>0</v>
      </c>
      <c r="Q7">
        <f>VLOOKUP($B7,'Raw RTF'!$B$8:$Q$1000,'Raw RTF'!Q$5,FALSE)</f>
        <v>0</v>
      </c>
    </row>
    <row r="8" spans="1:106">
      <c r="A8" t="str">
        <f t="shared" si="0"/>
        <v>Multi Family Weatherization - Insulate Attic - R-0 to R-19 - Heating Zone 1 (Zonal Heating System)ATTIC R0 - R19</v>
      </c>
      <c r="B8" s="99" t="str">
        <f>'Raw RTF'!B69</f>
        <v>Multi Family Weatherization - Insulate Attic - R-0 to R-19 - Heating Zone 1 (Zonal Heating System)</v>
      </c>
      <c r="C8" s="99" t="s">
        <v>1080</v>
      </c>
      <c r="D8">
        <f>VLOOKUP($B8,'Raw RTF'!$B$8:$Q$1000,'Raw RTF'!D$5,FALSE)</f>
        <v>0.4856782402243181</v>
      </c>
      <c r="E8">
        <f>VLOOKUP($B8,'Raw RTF'!$B$8:$Q$1000,'Raw RTF'!E$5,FALSE)</f>
        <v>45</v>
      </c>
      <c r="F8">
        <f>VLOOKUP($B8,'Raw RTF'!$B$8:$Q$1000,'Raw RTF'!F$5,FALSE)</f>
        <v>0.54914779043329487</v>
      </c>
      <c r="G8">
        <f>VLOOKUP($B8,'Raw RTF'!$B$8:$Q$1000,'Raw RTF'!G$5,FALSE)</f>
        <v>0</v>
      </c>
      <c r="H8" t="str">
        <f>VLOOKUP($B8,'Raw RTF'!$B$8:$Q$1000,'Raw RTF'!H$5,FALSE)</f>
        <v>ResSHWX</v>
      </c>
      <c r="I8">
        <f>VLOOKUP($B8,'Raw RTF'!$B$8:$Q$1000,'Raw RTF'!I$5,FALSE)</f>
        <v>0</v>
      </c>
      <c r="J8">
        <f>VLOOKUP($B8,'Raw RTF'!$B$8:$Q$1000,'Raw RTF'!J$5,FALSE)</f>
        <v>0</v>
      </c>
      <c r="K8">
        <f>VLOOKUP($B8,'Raw RTF'!$B$8:$Q$1000,'Raw RTF'!K$5,FALSE)</f>
        <v>0</v>
      </c>
      <c r="L8">
        <f>VLOOKUP($B8,'Raw RTF'!$B$8:$Q$1000,'Raw RTF'!L$5,FALSE)</f>
        <v>0</v>
      </c>
      <c r="M8">
        <f>VLOOKUP($B8,'Raw RTF'!$B$8:$Q$1000,'Raw RTF'!M$5,FALSE)</f>
        <v>0</v>
      </c>
      <c r="N8">
        <f>VLOOKUP($B8,'Raw RTF'!$B$8:$Q$1000,'Raw RTF'!N$5,FALSE)</f>
        <v>0</v>
      </c>
      <c r="O8">
        <f>VLOOKUP($B8,'Raw RTF'!$B$8:$Q$1000,'Raw RTF'!O$5,FALSE)</f>
        <v>0</v>
      </c>
      <c r="P8">
        <f>VLOOKUP($B8,'Raw RTF'!$B$8:$Q$1000,'Raw RTF'!P$5,FALSE)</f>
        <v>0</v>
      </c>
      <c r="Q8">
        <f>VLOOKUP($B8,'Raw RTF'!$B$8:$Q$1000,'Raw RTF'!Q$5,FALSE)</f>
        <v>0</v>
      </c>
    </row>
    <row r="9" spans="1:106">
      <c r="A9" t="str">
        <f t="shared" si="0"/>
        <v>Multi Family Weatherization - Insulate Attic - R-0 to R-38 - Heating Zone 1 (Zonal Heating System)ATTIC R0 - R38</v>
      </c>
      <c r="B9" s="99" t="str">
        <f>'Raw RTF'!B70</f>
        <v>Multi Family Weatherization - Insulate Attic - R-0 to R-38 - Heating Zone 1 (Zonal Heating System)</v>
      </c>
      <c r="C9" s="99" t="s">
        <v>65</v>
      </c>
      <c r="D9">
        <f>VLOOKUP($B9,'Raw RTF'!$B$8:$Q$1000,'Raw RTF'!D$5,FALSE)</f>
        <v>0.66141462946318141</v>
      </c>
      <c r="E9">
        <f>VLOOKUP($B9,'Raw RTF'!$B$8:$Q$1000,'Raw RTF'!E$5,FALSE)</f>
        <v>45</v>
      </c>
      <c r="F9">
        <f>VLOOKUP($B9,'Raw RTF'!$B$8:$Q$1000,'Raw RTF'!F$5,FALSE)</f>
        <v>0.73246728560336305</v>
      </c>
      <c r="G9">
        <f>VLOOKUP($B9,'Raw RTF'!$B$8:$Q$1000,'Raw RTF'!G$5,FALSE)</f>
        <v>0</v>
      </c>
      <c r="H9" t="str">
        <f>VLOOKUP($B9,'Raw RTF'!$B$8:$Q$1000,'Raw RTF'!H$5,FALSE)</f>
        <v>ResSHWX</v>
      </c>
      <c r="I9">
        <f>VLOOKUP($B9,'Raw RTF'!$B$8:$Q$1000,'Raw RTF'!I$5,FALSE)</f>
        <v>0</v>
      </c>
      <c r="J9">
        <f>VLOOKUP($B9,'Raw RTF'!$B$8:$Q$1000,'Raw RTF'!J$5,FALSE)</f>
        <v>0</v>
      </c>
      <c r="K9">
        <f>VLOOKUP($B9,'Raw RTF'!$B$8:$Q$1000,'Raw RTF'!K$5,FALSE)</f>
        <v>0</v>
      </c>
      <c r="L9">
        <f>VLOOKUP($B9,'Raw RTF'!$B$8:$Q$1000,'Raw RTF'!L$5,FALSE)</f>
        <v>0</v>
      </c>
      <c r="M9">
        <f>VLOOKUP($B9,'Raw RTF'!$B$8:$Q$1000,'Raw RTF'!M$5,FALSE)</f>
        <v>0</v>
      </c>
      <c r="N9">
        <f>VLOOKUP($B9,'Raw RTF'!$B$8:$Q$1000,'Raw RTF'!N$5,FALSE)</f>
        <v>0</v>
      </c>
      <c r="O9">
        <f>VLOOKUP($B9,'Raw RTF'!$B$8:$Q$1000,'Raw RTF'!O$5,FALSE)</f>
        <v>0</v>
      </c>
      <c r="P9">
        <f>VLOOKUP($B9,'Raw RTF'!$B$8:$Q$1000,'Raw RTF'!P$5,FALSE)</f>
        <v>0</v>
      </c>
      <c r="Q9">
        <f>VLOOKUP($B9,'Raw RTF'!$B$8:$Q$1000,'Raw RTF'!Q$5,FALSE)</f>
        <v>0</v>
      </c>
    </row>
    <row r="10" spans="1:106">
      <c r="A10" t="str">
        <f t="shared" si="0"/>
        <v>Multi Family Weatherization - Insulate Attic - R-0 to R-49 - Heating Zone 1 (Zonal Heating System)ATTIC R0 - R49</v>
      </c>
      <c r="B10" s="99" t="str">
        <f>'Raw RTF'!B71</f>
        <v>Multi Family Weatherization - Insulate Attic - R-0 to R-49 - Heating Zone 1 (Zonal Heating System)</v>
      </c>
      <c r="C10" s="99" t="s">
        <v>66</v>
      </c>
      <c r="D10">
        <f>VLOOKUP($B10,'Raw RTF'!$B$8:$Q$1000,'Raw RTF'!D$5,FALSE)</f>
        <v>0.7021594817529544</v>
      </c>
      <c r="E10">
        <f>VLOOKUP($B10,'Raw RTF'!$B$8:$Q$1000,'Raw RTF'!E$5,FALSE)</f>
        <v>45</v>
      </c>
      <c r="F10">
        <f>VLOOKUP($B10,'Raw RTF'!$B$8:$Q$1000,'Raw RTF'!F$5,FALSE)</f>
        <v>0.83087905114745864</v>
      </c>
      <c r="G10">
        <f>VLOOKUP($B10,'Raw RTF'!$B$8:$Q$1000,'Raw RTF'!G$5,FALSE)</f>
        <v>0</v>
      </c>
      <c r="H10" t="str">
        <f>VLOOKUP($B10,'Raw RTF'!$B$8:$Q$1000,'Raw RTF'!H$5,FALSE)</f>
        <v>ResSHWX</v>
      </c>
      <c r="I10">
        <f>VLOOKUP($B10,'Raw RTF'!$B$8:$Q$1000,'Raw RTF'!I$5,FALSE)</f>
        <v>0</v>
      </c>
      <c r="J10">
        <f>VLOOKUP($B10,'Raw RTF'!$B$8:$Q$1000,'Raw RTF'!J$5,FALSE)</f>
        <v>0</v>
      </c>
      <c r="K10">
        <f>VLOOKUP($B10,'Raw RTF'!$B$8:$Q$1000,'Raw RTF'!K$5,FALSE)</f>
        <v>0</v>
      </c>
      <c r="L10">
        <f>VLOOKUP($B10,'Raw RTF'!$B$8:$Q$1000,'Raw RTF'!L$5,FALSE)</f>
        <v>0</v>
      </c>
      <c r="M10">
        <f>VLOOKUP($B10,'Raw RTF'!$B$8:$Q$1000,'Raw RTF'!M$5,FALSE)</f>
        <v>0</v>
      </c>
      <c r="N10">
        <f>VLOOKUP($B10,'Raw RTF'!$B$8:$Q$1000,'Raw RTF'!N$5,FALSE)</f>
        <v>0</v>
      </c>
      <c r="O10">
        <f>VLOOKUP($B10,'Raw RTF'!$B$8:$Q$1000,'Raw RTF'!O$5,FALSE)</f>
        <v>0</v>
      </c>
      <c r="P10">
        <f>VLOOKUP($B10,'Raw RTF'!$B$8:$Q$1000,'Raw RTF'!P$5,FALSE)</f>
        <v>0</v>
      </c>
      <c r="Q10">
        <f>VLOOKUP($B10,'Raw RTF'!$B$8:$Q$1000,'Raw RTF'!Q$5,FALSE)</f>
        <v>0</v>
      </c>
    </row>
    <row r="11" spans="1:106">
      <c r="A11" t="str">
        <f t="shared" ref="A11:A54" si="1">CONCATENATE(B11,C11)</f>
        <v>Multi Family Weatherization - Insulate Attic - R-19 to R-30 - Heating Zone 1 (Zonal Heating System)ATTIC R19 - R30</v>
      </c>
      <c r="B11" s="99" t="str">
        <f>'Raw RTF'!B75</f>
        <v>Multi Family Weatherization - Insulate Attic - R-19 to R-30 - Heating Zone 1 (Zonal Heating System)</v>
      </c>
      <c r="C11" s="99" t="s">
        <v>1081</v>
      </c>
      <c r="D11">
        <f>VLOOKUP($B11,'Raw RTF'!$B$8:$Q$1000,'Raw RTF'!D$5,FALSE)</f>
        <v>0.12736346213659086</v>
      </c>
      <c r="E11">
        <f>VLOOKUP($B11,'Raw RTF'!$B$8:$Q$1000,'Raw RTF'!E$5,FALSE)</f>
        <v>45</v>
      </c>
      <c r="F11">
        <f>VLOOKUP($B11,'Raw RTF'!$B$8:$Q$1000,'Raw RTF'!F$5,FALSE)</f>
        <v>0.47401945424285125</v>
      </c>
      <c r="G11">
        <f>VLOOKUP($B11,'Raw RTF'!$B$8:$Q$1000,'Raw RTF'!G$5,FALSE)</f>
        <v>0</v>
      </c>
      <c r="H11" t="str">
        <f>VLOOKUP($B11,'Raw RTF'!$B$8:$Q$1000,'Raw RTF'!H$5,FALSE)</f>
        <v>ResSHWX</v>
      </c>
      <c r="I11">
        <f>VLOOKUP($B11,'Raw RTF'!$B$8:$Q$1000,'Raw RTF'!I$5,FALSE)</f>
        <v>0</v>
      </c>
      <c r="J11">
        <f>VLOOKUP($B11,'Raw RTF'!$B$8:$Q$1000,'Raw RTF'!J$5,FALSE)</f>
        <v>0</v>
      </c>
      <c r="K11">
        <f>VLOOKUP($B11,'Raw RTF'!$B$8:$Q$1000,'Raw RTF'!K$5,FALSE)</f>
        <v>0</v>
      </c>
      <c r="L11">
        <f>VLOOKUP($B11,'Raw RTF'!$B$8:$Q$1000,'Raw RTF'!L$5,FALSE)</f>
        <v>0</v>
      </c>
      <c r="M11">
        <f>VLOOKUP($B11,'Raw RTF'!$B$8:$Q$1000,'Raw RTF'!M$5,FALSE)</f>
        <v>0</v>
      </c>
      <c r="N11">
        <f>VLOOKUP($B11,'Raw RTF'!$B$8:$Q$1000,'Raw RTF'!N$5,FALSE)</f>
        <v>0</v>
      </c>
      <c r="O11">
        <f>VLOOKUP($B11,'Raw RTF'!$B$8:$Q$1000,'Raw RTF'!O$5,FALSE)</f>
        <v>0</v>
      </c>
      <c r="P11">
        <f>VLOOKUP($B11,'Raw RTF'!$B$8:$Q$1000,'Raw RTF'!P$5,FALSE)</f>
        <v>0</v>
      </c>
      <c r="Q11">
        <f>VLOOKUP($B11,'Raw RTF'!$B$8:$Q$1000,'Raw RTF'!Q$5,FALSE)</f>
        <v>0</v>
      </c>
    </row>
    <row r="12" spans="1:106">
      <c r="A12" t="str">
        <f t="shared" si="1"/>
        <v>Multi Family Weatherization - Insulate Attic - R-19 to R-38 - Heating Zone 1 (Zonal Heating System)ATTIC R19 - R38</v>
      </c>
      <c r="B12" s="99" t="str">
        <f>'Raw RTF'!B76</f>
        <v>Multi Family Weatherization - Insulate Attic - R-19 to R-38 - Heating Zone 1 (Zonal Heating System)</v>
      </c>
      <c r="C12" s="99" t="s">
        <v>67</v>
      </c>
      <c r="D12">
        <f>VLOOKUP($B12,'Raw RTF'!$B$8:$Q$1000,'Raw RTF'!D$5,FALSE)</f>
        <v>0.17573638923886342</v>
      </c>
      <c r="E12">
        <f>VLOOKUP($B12,'Raw RTF'!$B$8:$Q$1000,'Raw RTF'!E$5,FALSE)</f>
        <v>45</v>
      </c>
      <c r="F12">
        <f>VLOOKUP($B12,'Raw RTF'!$B$8:$Q$1000,'Raw RTF'!F$5,FALSE)</f>
        <v>0.55283834686255773</v>
      </c>
      <c r="G12">
        <f>VLOOKUP($B12,'Raw RTF'!$B$8:$Q$1000,'Raw RTF'!G$5,FALSE)</f>
        <v>0</v>
      </c>
      <c r="H12" t="str">
        <f>VLOOKUP($B12,'Raw RTF'!$B$8:$Q$1000,'Raw RTF'!H$5,FALSE)</f>
        <v>ResSHWX</v>
      </c>
      <c r="I12">
        <f>VLOOKUP($B12,'Raw RTF'!$B$8:$Q$1000,'Raw RTF'!I$5,FALSE)</f>
        <v>0</v>
      </c>
      <c r="J12">
        <f>VLOOKUP($B12,'Raw RTF'!$B$8:$Q$1000,'Raw RTF'!J$5,FALSE)</f>
        <v>0</v>
      </c>
      <c r="K12">
        <f>VLOOKUP($B12,'Raw RTF'!$B$8:$Q$1000,'Raw RTF'!K$5,FALSE)</f>
        <v>0</v>
      </c>
      <c r="L12">
        <f>VLOOKUP($B12,'Raw RTF'!$B$8:$Q$1000,'Raw RTF'!L$5,FALSE)</f>
        <v>0</v>
      </c>
      <c r="M12">
        <f>VLOOKUP($B12,'Raw RTF'!$B$8:$Q$1000,'Raw RTF'!M$5,FALSE)</f>
        <v>0</v>
      </c>
      <c r="N12">
        <f>VLOOKUP($B12,'Raw RTF'!$B$8:$Q$1000,'Raw RTF'!N$5,FALSE)</f>
        <v>0</v>
      </c>
      <c r="O12">
        <f>VLOOKUP($B12,'Raw RTF'!$B$8:$Q$1000,'Raw RTF'!O$5,FALSE)</f>
        <v>0</v>
      </c>
      <c r="P12">
        <f>VLOOKUP($B12,'Raw RTF'!$B$8:$Q$1000,'Raw RTF'!P$5,FALSE)</f>
        <v>0</v>
      </c>
      <c r="Q12">
        <f>VLOOKUP($B12,'Raw RTF'!$B$8:$Q$1000,'Raw RTF'!Q$5,FALSE)</f>
        <v>0</v>
      </c>
    </row>
    <row r="13" spans="1:106">
      <c r="A13" t="str">
        <f t="shared" si="1"/>
        <v>Multi Family Weatherization - Insulate Attic - R-19 to R-49 - Heating Zone 1 (Zonal Heating System)ATTIC R19 - R49</v>
      </c>
      <c r="B13" s="99" t="str">
        <f>'Raw RTF'!B77</f>
        <v>Multi Family Weatherization - Insulate Attic - R-19 to R-49 - Heating Zone 1 (Zonal Heating System)</v>
      </c>
      <c r="C13" s="99" t="s">
        <v>68</v>
      </c>
      <c r="D13">
        <f>VLOOKUP($B13,'Raw RTF'!$B$8:$Q$1000,'Raw RTF'!D$5,FALSE)</f>
        <v>0.21648124152863615</v>
      </c>
      <c r="E13">
        <f>VLOOKUP($B13,'Raw RTF'!$B$8:$Q$1000,'Raw RTF'!E$5,FALSE)</f>
        <v>45</v>
      </c>
      <c r="F13">
        <f>VLOOKUP($B13,'Raw RTF'!$B$8:$Q$1000,'Raw RTF'!F$5,FALSE)</f>
        <v>0.65683404823881342</v>
      </c>
      <c r="G13">
        <f>VLOOKUP($B13,'Raw RTF'!$B$8:$Q$1000,'Raw RTF'!G$5,FALSE)</f>
        <v>0</v>
      </c>
      <c r="H13" t="str">
        <f>VLOOKUP($B13,'Raw RTF'!$B$8:$Q$1000,'Raw RTF'!H$5,FALSE)</f>
        <v>ResSHWX</v>
      </c>
      <c r="I13">
        <f>VLOOKUP($B13,'Raw RTF'!$B$8:$Q$1000,'Raw RTF'!I$5,FALSE)</f>
        <v>0</v>
      </c>
      <c r="J13">
        <f>VLOOKUP($B13,'Raw RTF'!$B$8:$Q$1000,'Raw RTF'!J$5,FALSE)</f>
        <v>0</v>
      </c>
      <c r="K13">
        <f>VLOOKUP($B13,'Raw RTF'!$B$8:$Q$1000,'Raw RTF'!K$5,FALSE)</f>
        <v>0</v>
      </c>
      <c r="L13">
        <f>VLOOKUP($B13,'Raw RTF'!$B$8:$Q$1000,'Raw RTF'!L$5,FALSE)</f>
        <v>0</v>
      </c>
      <c r="M13">
        <f>VLOOKUP($B13,'Raw RTF'!$B$8:$Q$1000,'Raw RTF'!M$5,FALSE)</f>
        <v>0</v>
      </c>
      <c r="N13">
        <f>VLOOKUP($B13,'Raw RTF'!$B$8:$Q$1000,'Raw RTF'!N$5,FALSE)</f>
        <v>0</v>
      </c>
      <c r="O13">
        <f>VLOOKUP($B13,'Raw RTF'!$B$8:$Q$1000,'Raw RTF'!O$5,FALSE)</f>
        <v>0</v>
      </c>
      <c r="P13">
        <f>VLOOKUP($B13,'Raw RTF'!$B$8:$Q$1000,'Raw RTF'!P$5,FALSE)</f>
        <v>0</v>
      </c>
      <c r="Q13">
        <f>VLOOKUP($B13,'Raw RTF'!$B$8:$Q$1000,'Raw RTF'!Q$5,FALSE)</f>
        <v>0</v>
      </c>
    </row>
    <row r="14" spans="1:106" ht="38.25">
      <c r="A14" t="str">
        <f t="shared" si="1"/>
        <v>Windows - Single Pane to Class 22 - Heating Zone 1 (Zonal Heating System)WINDOW CL22 Prime Window Replacement of Single Pane Base</v>
      </c>
      <c r="B14" s="99" t="str">
        <f>'Raw RTF'!B78</f>
        <v>Windows - Single Pane to Class 22 - Heating Zone 1 (Zonal Heating System)</v>
      </c>
      <c r="C14" s="99" t="s">
        <v>74</v>
      </c>
      <c r="D14">
        <f>VLOOKUP($B14,'Raw RTF'!$B$8:$Q$1000,'Raw RTF'!D$5,FALSE)</f>
        <v>25.063764899824584</v>
      </c>
      <c r="E14">
        <f>VLOOKUP($B14,'Raw RTF'!$B$8:$Q$1000,'Raw RTF'!E$5,FALSE)</f>
        <v>45</v>
      </c>
      <c r="F14">
        <f>VLOOKUP($B14,'Raw RTF'!$B$8:$Q$1000,'Raw RTF'!F$5,FALSE)</f>
        <v>23.269535952606116</v>
      </c>
      <c r="G14">
        <f>VLOOKUP($B14,'Raw RTF'!$B$8:$Q$1000,'Raw RTF'!G$5,FALSE)</f>
        <v>0</v>
      </c>
      <c r="H14" t="str">
        <f>VLOOKUP($B14,'Raw RTF'!$B$8:$Q$1000,'Raw RTF'!H$5,FALSE)</f>
        <v>ResSHWX</v>
      </c>
      <c r="I14">
        <f>VLOOKUP($B14,'Raw RTF'!$B$8:$Q$1000,'Raw RTF'!I$5,FALSE)</f>
        <v>0</v>
      </c>
      <c r="J14">
        <f>VLOOKUP($B14,'Raw RTF'!$B$8:$Q$1000,'Raw RTF'!J$5,FALSE)</f>
        <v>0</v>
      </c>
      <c r="K14">
        <f>VLOOKUP($B14,'Raw RTF'!$B$8:$Q$1000,'Raw RTF'!K$5,FALSE)</f>
        <v>0</v>
      </c>
      <c r="L14">
        <f>VLOOKUP($B14,'Raw RTF'!$B$8:$Q$1000,'Raw RTF'!L$5,FALSE)</f>
        <v>0</v>
      </c>
      <c r="M14">
        <f>VLOOKUP($B14,'Raw RTF'!$B$8:$Q$1000,'Raw RTF'!M$5,FALSE)</f>
        <v>0</v>
      </c>
      <c r="N14">
        <f>VLOOKUP($B14,'Raw RTF'!$B$8:$Q$1000,'Raw RTF'!N$5,FALSE)</f>
        <v>0</v>
      </c>
      <c r="O14">
        <f>VLOOKUP($B14,'Raw RTF'!$B$8:$Q$1000,'Raw RTF'!O$5,FALSE)</f>
        <v>0</v>
      </c>
      <c r="P14">
        <f>VLOOKUP($B14,'Raw RTF'!$B$8:$Q$1000,'Raw RTF'!P$5,FALSE)</f>
        <v>0</v>
      </c>
      <c r="Q14">
        <f>VLOOKUP($B14,'Raw RTF'!$B$8:$Q$1000,'Raw RTF'!Q$5,FALSE)</f>
        <v>0</v>
      </c>
    </row>
    <row r="15" spans="1:106" ht="38.25">
      <c r="A15" t="str">
        <f t="shared" si="1"/>
        <v>Windows - Double Pane to Class 22 - Heating Zone 1 (Zonal Heating System)WINDOW CL22 Prime Window Replacement of Double Pane Base</v>
      </c>
      <c r="B15" s="99" t="str">
        <f>'Raw RTF'!B79</f>
        <v>Windows - Double Pane to Class 22 - Heating Zone 1 (Zonal Heating System)</v>
      </c>
      <c r="C15" s="99" t="s">
        <v>75</v>
      </c>
      <c r="D15">
        <f>VLOOKUP($B15,'Raw RTF'!$B$8:$Q$1000,'Raw RTF'!D$5,FALSE)</f>
        <v>14.717901643645687</v>
      </c>
      <c r="E15">
        <f>VLOOKUP($B15,'Raw RTF'!$B$8:$Q$1000,'Raw RTF'!E$5,FALSE)</f>
        <v>45</v>
      </c>
      <c r="F15">
        <f>VLOOKUP($B15,'Raw RTF'!$B$8:$Q$1000,'Raw RTF'!F$5,FALSE)</f>
        <v>23.269535952606116</v>
      </c>
      <c r="G15">
        <f>VLOOKUP($B15,'Raw RTF'!$B$8:$Q$1000,'Raw RTF'!G$5,FALSE)</f>
        <v>0</v>
      </c>
      <c r="H15" t="str">
        <f>VLOOKUP($B15,'Raw RTF'!$B$8:$Q$1000,'Raw RTF'!H$5,FALSE)</f>
        <v>ResSHWX</v>
      </c>
      <c r="I15">
        <f>VLOOKUP($B15,'Raw RTF'!$B$8:$Q$1000,'Raw RTF'!I$5,FALSE)</f>
        <v>0</v>
      </c>
      <c r="J15">
        <f>VLOOKUP($B15,'Raw RTF'!$B$8:$Q$1000,'Raw RTF'!J$5,FALSE)</f>
        <v>0</v>
      </c>
      <c r="K15">
        <f>VLOOKUP($B15,'Raw RTF'!$B$8:$Q$1000,'Raw RTF'!K$5,FALSE)</f>
        <v>0</v>
      </c>
      <c r="L15">
        <f>VLOOKUP($B15,'Raw RTF'!$B$8:$Q$1000,'Raw RTF'!L$5,FALSE)</f>
        <v>0</v>
      </c>
      <c r="M15">
        <f>VLOOKUP($B15,'Raw RTF'!$B$8:$Q$1000,'Raw RTF'!M$5,FALSE)</f>
        <v>0</v>
      </c>
      <c r="N15">
        <f>VLOOKUP($B15,'Raw RTF'!$B$8:$Q$1000,'Raw RTF'!N$5,FALSE)</f>
        <v>0</v>
      </c>
      <c r="O15">
        <f>VLOOKUP($B15,'Raw RTF'!$B$8:$Q$1000,'Raw RTF'!O$5,FALSE)</f>
        <v>0</v>
      </c>
      <c r="P15">
        <f>VLOOKUP($B15,'Raw RTF'!$B$8:$Q$1000,'Raw RTF'!P$5,FALSE)</f>
        <v>0</v>
      </c>
      <c r="Q15">
        <f>VLOOKUP($B15,'Raw RTF'!$B$8:$Q$1000,'Raw RTF'!Q$5,FALSE)</f>
        <v>0</v>
      </c>
    </row>
    <row r="16" spans="1:106" ht="38.25">
      <c r="A16" t="str">
        <f t="shared" si="1"/>
        <v>Windows - Single Pane to Class 30 - Heating Zone 1 (Zonal Heating System)WINDOW CL30 Prime Window Replacement of Single Pane Base</v>
      </c>
      <c r="B16" s="99" t="str">
        <f>'Raw RTF'!B80</f>
        <v>Windows - Single Pane to Class 30 - Heating Zone 1 (Zonal Heating System)</v>
      </c>
      <c r="C16" s="99" t="s">
        <v>72</v>
      </c>
      <c r="D16">
        <f>VLOOKUP($B16,'Raw RTF'!$B$8:$Q$1000,'Raw RTF'!D$5,FALSE)</f>
        <v>23.0506223914796</v>
      </c>
      <c r="E16">
        <f>VLOOKUP($B16,'Raw RTF'!$B$8:$Q$1000,'Raw RTF'!E$5,FALSE)</f>
        <v>45</v>
      </c>
      <c r="F16">
        <f>VLOOKUP($B16,'Raw RTF'!$B$8:$Q$1000,'Raw RTF'!F$5,FALSE)</f>
        <v>17.810142881355933</v>
      </c>
      <c r="G16">
        <f>VLOOKUP($B16,'Raw RTF'!$B$8:$Q$1000,'Raw RTF'!G$5,FALSE)</f>
        <v>0</v>
      </c>
      <c r="H16" t="str">
        <f>VLOOKUP($B16,'Raw RTF'!$B$8:$Q$1000,'Raw RTF'!H$5,FALSE)</f>
        <v>ResSHWX</v>
      </c>
      <c r="I16">
        <f>VLOOKUP($B16,'Raw RTF'!$B$8:$Q$1000,'Raw RTF'!I$5,FALSE)</f>
        <v>0</v>
      </c>
      <c r="J16">
        <f>VLOOKUP($B16,'Raw RTF'!$B$8:$Q$1000,'Raw RTF'!J$5,FALSE)</f>
        <v>0</v>
      </c>
      <c r="K16">
        <f>VLOOKUP($B16,'Raw RTF'!$B$8:$Q$1000,'Raw RTF'!K$5,FALSE)</f>
        <v>0</v>
      </c>
      <c r="L16">
        <f>VLOOKUP($B16,'Raw RTF'!$B$8:$Q$1000,'Raw RTF'!L$5,FALSE)</f>
        <v>0</v>
      </c>
      <c r="M16">
        <f>VLOOKUP($B16,'Raw RTF'!$B$8:$Q$1000,'Raw RTF'!M$5,FALSE)</f>
        <v>0</v>
      </c>
      <c r="N16">
        <f>VLOOKUP($B16,'Raw RTF'!$B$8:$Q$1000,'Raw RTF'!N$5,FALSE)</f>
        <v>0</v>
      </c>
      <c r="O16">
        <f>VLOOKUP($B16,'Raw RTF'!$B$8:$Q$1000,'Raw RTF'!O$5,FALSE)</f>
        <v>0</v>
      </c>
      <c r="P16">
        <f>VLOOKUP($B16,'Raw RTF'!$B$8:$Q$1000,'Raw RTF'!P$5,FALSE)</f>
        <v>0</v>
      </c>
      <c r="Q16">
        <f>VLOOKUP($B16,'Raw RTF'!$B$8:$Q$1000,'Raw RTF'!Q$5,FALSE)</f>
        <v>0</v>
      </c>
    </row>
    <row r="17" spans="1:17" ht="38.25">
      <c r="A17" t="str">
        <f t="shared" si="1"/>
        <v>Windows - Double Pane to Class 30 - Heating Zone 1 (Zonal Heating System)WINDOW CL30 Prime Window Replacement of Double Pane Base</v>
      </c>
      <c r="B17" s="99" t="str">
        <f>'Raw RTF'!B81</f>
        <v>Windows - Double Pane to Class 30 - Heating Zone 1 (Zonal Heating System)</v>
      </c>
      <c r="C17" s="99" t="s">
        <v>73</v>
      </c>
      <c r="D17">
        <f>VLOOKUP($B17,'Raw RTF'!$B$8:$Q$1000,'Raw RTF'!D$5,FALSE)</f>
        <v>12.704759135300696</v>
      </c>
      <c r="E17">
        <f>VLOOKUP($B17,'Raw RTF'!$B$8:$Q$1000,'Raw RTF'!E$5,FALSE)</f>
        <v>45</v>
      </c>
      <c r="F17">
        <f>VLOOKUP($B17,'Raw RTF'!$B$8:$Q$1000,'Raw RTF'!F$5,FALSE)</f>
        <v>17.810142881355933</v>
      </c>
      <c r="G17">
        <f>VLOOKUP($B17,'Raw RTF'!$B$8:$Q$1000,'Raw RTF'!G$5,FALSE)</f>
        <v>0</v>
      </c>
      <c r="H17" t="str">
        <f>VLOOKUP($B17,'Raw RTF'!$B$8:$Q$1000,'Raw RTF'!H$5,FALSE)</f>
        <v>ResSHWX</v>
      </c>
      <c r="I17">
        <f>VLOOKUP($B17,'Raw RTF'!$B$8:$Q$1000,'Raw RTF'!I$5,FALSE)</f>
        <v>0</v>
      </c>
      <c r="J17">
        <f>VLOOKUP($B17,'Raw RTF'!$B$8:$Q$1000,'Raw RTF'!J$5,FALSE)</f>
        <v>0</v>
      </c>
      <c r="K17">
        <f>VLOOKUP($B17,'Raw RTF'!$B$8:$Q$1000,'Raw RTF'!K$5,FALSE)</f>
        <v>0</v>
      </c>
      <c r="L17">
        <f>VLOOKUP($B17,'Raw RTF'!$B$8:$Q$1000,'Raw RTF'!L$5,FALSE)</f>
        <v>0</v>
      </c>
      <c r="M17">
        <f>VLOOKUP($B17,'Raw RTF'!$B$8:$Q$1000,'Raw RTF'!M$5,FALSE)</f>
        <v>0</v>
      </c>
      <c r="N17">
        <f>VLOOKUP($B17,'Raw RTF'!$B$8:$Q$1000,'Raw RTF'!N$5,FALSE)</f>
        <v>0</v>
      </c>
      <c r="O17">
        <f>VLOOKUP($B17,'Raw RTF'!$B$8:$Q$1000,'Raw RTF'!O$5,FALSE)</f>
        <v>0</v>
      </c>
      <c r="P17">
        <f>VLOOKUP($B17,'Raw RTF'!$B$8:$Q$1000,'Raw RTF'!P$5,FALSE)</f>
        <v>0</v>
      </c>
      <c r="Q17">
        <f>VLOOKUP($B17,'Raw RTF'!$B$8:$Q$1000,'Raw RTF'!Q$5,FALSE)</f>
        <v>0</v>
      </c>
    </row>
    <row r="18" spans="1:17">
      <c r="A18" t="str">
        <f t="shared" si="1"/>
        <v>Multi Family Weatherization - Insulate Walls - R-0 to R-11 - Heating Zone 2 (Zonal Heating System)WALL R0 - R11</v>
      </c>
      <c r="B18" s="99" t="str">
        <f>'Raw RTF'!B84</f>
        <v>Multi Family Weatherization - Insulate Walls - R-0 to R-11 - Heating Zone 2 (Zonal Heating System)</v>
      </c>
      <c r="C18" s="99" t="s">
        <v>69</v>
      </c>
      <c r="D18">
        <f>VLOOKUP($B18,'Raw RTF'!$B$8:$Q$1000,'Raw RTF'!D$5,FALSE)</f>
        <v>1.859176348801709</v>
      </c>
      <c r="E18">
        <f>VLOOKUP($B18,'Raw RTF'!$B$8:$Q$1000,'Raw RTF'!E$5,FALSE)</f>
        <v>45</v>
      </c>
      <c r="F18">
        <f>VLOOKUP($B18,'Raw RTF'!$B$8:$Q$1000,'Raw RTF'!F$5,FALSE)</f>
        <v>1.0354836592527603</v>
      </c>
      <c r="G18">
        <f>VLOOKUP($B18,'Raw RTF'!$B$8:$Q$1000,'Raw RTF'!G$5,FALSE)</f>
        <v>0</v>
      </c>
      <c r="H18" t="str">
        <f>VLOOKUP($B18,'Raw RTF'!$B$8:$Q$1000,'Raw RTF'!H$5,FALSE)</f>
        <v>ResSHWX</v>
      </c>
      <c r="I18">
        <f>VLOOKUP($B18,'Raw RTF'!$B$8:$Q$1000,'Raw RTF'!I$5,FALSE)</f>
        <v>0</v>
      </c>
      <c r="J18">
        <f>VLOOKUP($B18,'Raw RTF'!$B$8:$Q$1000,'Raw RTF'!J$5,FALSE)</f>
        <v>0</v>
      </c>
      <c r="K18">
        <f>VLOOKUP($B18,'Raw RTF'!$B$8:$Q$1000,'Raw RTF'!K$5,FALSE)</f>
        <v>0</v>
      </c>
      <c r="L18">
        <f>VLOOKUP($B18,'Raw RTF'!$B$8:$Q$1000,'Raw RTF'!L$5,FALSE)</f>
        <v>0</v>
      </c>
      <c r="M18">
        <f>VLOOKUP($B18,'Raw RTF'!$B$8:$Q$1000,'Raw RTF'!M$5,FALSE)</f>
        <v>0</v>
      </c>
      <c r="N18">
        <f>VLOOKUP($B18,'Raw RTF'!$B$8:$Q$1000,'Raw RTF'!N$5,FALSE)</f>
        <v>0</v>
      </c>
      <c r="O18">
        <f>VLOOKUP($B18,'Raw RTF'!$B$8:$Q$1000,'Raw RTF'!O$5,FALSE)</f>
        <v>0</v>
      </c>
      <c r="P18">
        <f>VLOOKUP($B18,'Raw RTF'!$B$8:$Q$1000,'Raw RTF'!P$5,FALSE)</f>
        <v>0</v>
      </c>
      <c r="Q18">
        <f>VLOOKUP($B18,'Raw RTF'!$B$8:$Q$1000,'Raw RTF'!Q$5,FALSE)</f>
        <v>0</v>
      </c>
    </row>
    <row r="19" spans="1:17">
      <c r="A19" t="str">
        <f t="shared" si="1"/>
        <v>Multi Family Weatherization - Insulate Floors - R-0 to R-19 - Heating Zone 2 (Zonal Heating System)FLOOR R0 - R19</v>
      </c>
      <c r="B19" s="99" t="str">
        <f>'Raw RTF'!B85</f>
        <v>Multi Family Weatherization - Insulate Floors - R-0 to R-19 - Heating Zone 2 (Zonal Heating System)</v>
      </c>
      <c r="C19" s="99" t="s">
        <v>70</v>
      </c>
      <c r="D19">
        <f>VLOOKUP($B19,'Raw RTF'!$B$8:$Q$1000,'Raw RTF'!D$5,FALSE)</f>
        <v>0.76270627381911749</v>
      </c>
      <c r="E19">
        <f>VLOOKUP($B19,'Raw RTF'!$B$8:$Q$1000,'Raw RTF'!E$5,FALSE)</f>
        <v>45</v>
      </c>
      <c r="F19">
        <f>VLOOKUP($B19,'Raw RTF'!$B$8:$Q$1000,'Raw RTF'!F$5,FALSE)</f>
        <v>0.91799940108959477</v>
      </c>
      <c r="G19">
        <f>VLOOKUP($B19,'Raw RTF'!$B$8:$Q$1000,'Raw RTF'!G$5,FALSE)</f>
        <v>0</v>
      </c>
      <c r="H19" t="str">
        <f>VLOOKUP($B19,'Raw RTF'!$B$8:$Q$1000,'Raw RTF'!H$5,FALSE)</f>
        <v>ResSHWX</v>
      </c>
      <c r="I19">
        <f>VLOOKUP($B19,'Raw RTF'!$B$8:$Q$1000,'Raw RTF'!I$5,FALSE)</f>
        <v>0</v>
      </c>
      <c r="J19">
        <f>VLOOKUP($B19,'Raw RTF'!$B$8:$Q$1000,'Raw RTF'!J$5,FALSE)</f>
        <v>0</v>
      </c>
      <c r="K19">
        <f>VLOOKUP($B19,'Raw RTF'!$B$8:$Q$1000,'Raw RTF'!K$5,FALSE)</f>
        <v>0</v>
      </c>
      <c r="L19">
        <f>VLOOKUP($B19,'Raw RTF'!$B$8:$Q$1000,'Raw RTF'!L$5,FALSE)</f>
        <v>0</v>
      </c>
      <c r="M19">
        <f>VLOOKUP($B19,'Raw RTF'!$B$8:$Q$1000,'Raw RTF'!M$5,FALSE)</f>
        <v>0</v>
      </c>
      <c r="N19">
        <f>VLOOKUP($B19,'Raw RTF'!$B$8:$Q$1000,'Raw RTF'!N$5,FALSE)</f>
        <v>0</v>
      </c>
      <c r="O19">
        <f>VLOOKUP($B19,'Raw RTF'!$B$8:$Q$1000,'Raw RTF'!O$5,FALSE)</f>
        <v>0</v>
      </c>
      <c r="P19">
        <f>VLOOKUP($B19,'Raw RTF'!$B$8:$Q$1000,'Raw RTF'!P$5,FALSE)</f>
        <v>0</v>
      </c>
      <c r="Q19">
        <f>VLOOKUP($B19,'Raw RTF'!$B$8:$Q$1000,'Raw RTF'!Q$5,FALSE)</f>
        <v>0</v>
      </c>
    </row>
    <row r="20" spans="1:17">
      <c r="A20" t="str">
        <f t="shared" si="1"/>
        <v>Multi Family Weatherization - Insulate Floors - R-0 to R-30 - Heating Zone 2 (Zonal Heating System)FLOOR R0 - R30</v>
      </c>
      <c r="B20" s="99" t="str">
        <f>'Raw RTF'!B86</f>
        <v>Multi Family Weatherization - Insulate Floors - R-0 to R-30 - Heating Zone 2 (Zonal Heating System)</v>
      </c>
      <c r="C20" s="99" t="s">
        <v>71</v>
      </c>
      <c r="D20">
        <f>VLOOKUP($B20,'Raw RTF'!$B$8:$Q$1000,'Raw RTF'!D$5,FALSE)</f>
        <v>0.99549709654184426</v>
      </c>
      <c r="E20">
        <f>VLOOKUP($B20,'Raw RTF'!$B$8:$Q$1000,'Raw RTF'!E$5,FALSE)</f>
        <v>45</v>
      </c>
      <c r="F20">
        <f>VLOOKUP($B20,'Raw RTF'!$B$8:$Q$1000,'Raw RTF'!F$5,FALSE)</f>
        <v>0.98244865861375763</v>
      </c>
      <c r="G20">
        <f>VLOOKUP($B20,'Raw RTF'!$B$8:$Q$1000,'Raw RTF'!G$5,FALSE)</f>
        <v>0</v>
      </c>
      <c r="H20" t="str">
        <f>VLOOKUP($B20,'Raw RTF'!$B$8:$Q$1000,'Raw RTF'!H$5,FALSE)</f>
        <v>ResSHWX</v>
      </c>
      <c r="I20">
        <f>VLOOKUP($B20,'Raw RTF'!$B$8:$Q$1000,'Raw RTF'!I$5,FALSE)</f>
        <v>0</v>
      </c>
      <c r="J20">
        <f>VLOOKUP($B20,'Raw RTF'!$B$8:$Q$1000,'Raw RTF'!J$5,FALSE)</f>
        <v>0</v>
      </c>
      <c r="K20">
        <f>VLOOKUP($B20,'Raw RTF'!$B$8:$Q$1000,'Raw RTF'!K$5,FALSE)</f>
        <v>0</v>
      </c>
      <c r="L20">
        <f>VLOOKUP($B20,'Raw RTF'!$B$8:$Q$1000,'Raw RTF'!L$5,FALSE)</f>
        <v>0</v>
      </c>
      <c r="M20">
        <f>VLOOKUP($B20,'Raw RTF'!$B$8:$Q$1000,'Raw RTF'!M$5,FALSE)</f>
        <v>0</v>
      </c>
      <c r="N20">
        <f>VLOOKUP($B20,'Raw RTF'!$B$8:$Q$1000,'Raw RTF'!N$5,FALSE)</f>
        <v>0</v>
      </c>
      <c r="O20">
        <f>VLOOKUP($B20,'Raw RTF'!$B$8:$Q$1000,'Raw RTF'!O$5,FALSE)</f>
        <v>0</v>
      </c>
      <c r="P20">
        <f>VLOOKUP($B20,'Raw RTF'!$B$8:$Q$1000,'Raw RTF'!P$5,FALSE)</f>
        <v>0</v>
      </c>
      <c r="Q20">
        <f>VLOOKUP($B20,'Raw RTF'!$B$8:$Q$1000,'Raw RTF'!Q$5,FALSE)</f>
        <v>0</v>
      </c>
    </row>
    <row r="21" spans="1:17">
      <c r="A21" t="str">
        <f t="shared" si="1"/>
        <v>Multi Family Weatherization - Insulate Attic - R-0 to R-19 - Heating Zone 2 (Zonal Heating System)ATTIC R0 - R19</v>
      </c>
      <c r="B21" s="99" t="str">
        <f>'Raw RTF'!B88</f>
        <v>Multi Family Weatherization - Insulate Attic - R-0 to R-19 - Heating Zone 2 (Zonal Heating System)</v>
      </c>
      <c r="C21" s="99" t="s">
        <v>1080</v>
      </c>
      <c r="D21">
        <f>VLOOKUP($B21,'Raw RTF'!$B$8:$Q$1000,'Raw RTF'!D$5,FALSE)</f>
        <v>0.48317606585602269</v>
      </c>
      <c r="E21">
        <f>VLOOKUP($B21,'Raw RTF'!$B$8:$Q$1000,'Raw RTF'!E$5,FALSE)</f>
        <v>45</v>
      </c>
      <c r="F21">
        <f>VLOOKUP($B21,'Raw RTF'!$B$8:$Q$1000,'Raw RTF'!F$5,FALSE)</f>
        <v>0.54914779043329487</v>
      </c>
      <c r="G21">
        <f>VLOOKUP($B21,'Raw RTF'!$B$8:$Q$1000,'Raw RTF'!G$5,FALSE)</f>
        <v>0</v>
      </c>
      <c r="H21" t="str">
        <f>VLOOKUP($B21,'Raw RTF'!$B$8:$Q$1000,'Raw RTF'!H$5,FALSE)</f>
        <v>ResSHWX</v>
      </c>
      <c r="I21">
        <f>VLOOKUP($B21,'Raw RTF'!$B$8:$Q$1000,'Raw RTF'!I$5,FALSE)</f>
        <v>0</v>
      </c>
      <c r="J21">
        <f>VLOOKUP($B21,'Raw RTF'!$B$8:$Q$1000,'Raw RTF'!J$5,FALSE)</f>
        <v>0</v>
      </c>
      <c r="K21">
        <f>VLOOKUP($B21,'Raw RTF'!$B$8:$Q$1000,'Raw RTF'!K$5,FALSE)</f>
        <v>0</v>
      </c>
      <c r="L21">
        <f>VLOOKUP($B21,'Raw RTF'!$B$8:$Q$1000,'Raw RTF'!L$5,FALSE)</f>
        <v>0</v>
      </c>
      <c r="M21">
        <f>VLOOKUP($B21,'Raw RTF'!$B$8:$Q$1000,'Raw RTF'!M$5,FALSE)</f>
        <v>0</v>
      </c>
      <c r="N21">
        <f>VLOOKUP($B21,'Raw RTF'!$B$8:$Q$1000,'Raw RTF'!N$5,FALSE)</f>
        <v>0</v>
      </c>
      <c r="O21">
        <f>VLOOKUP($B21,'Raw RTF'!$B$8:$Q$1000,'Raw RTF'!O$5,FALSE)</f>
        <v>0</v>
      </c>
      <c r="P21">
        <f>VLOOKUP($B21,'Raw RTF'!$B$8:$Q$1000,'Raw RTF'!P$5,FALSE)</f>
        <v>0</v>
      </c>
      <c r="Q21">
        <f>VLOOKUP($B21,'Raw RTF'!$B$8:$Q$1000,'Raw RTF'!Q$5,FALSE)</f>
        <v>0</v>
      </c>
    </row>
    <row r="22" spans="1:17">
      <c r="A22" t="str">
        <f t="shared" si="1"/>
        <v>Multi Family Weatherization - Insulate Attic - R-0 to R-38 - Heating Zone 2 (Zonal Heating System)ATTIC R0 - R38</v>
      </c>
      <c r="B22" s="99" t="str">
        <f>'Raw RTF'!B89</f>
        <v>Multi Family Weatherization - Insulate Attic - R-0 to R-38 - Heating Zone 2 (Zonal Heating System)</v>
      </c>
      <c r="C22" s="99" t="s">
        <v>65</v>
      </c>
      <c r="D22">
        <f>VLOOKUP($B22,'Raw RTF'!$B$8:$Q$1000,'Raw RTF'!D$5,FALSE)</f>
        <v>0.65943074865693219</v>
      </c>
      <c r="E22">
        <f>VLOOKUP($B22,'Raw RTF'!$B$8:$Q$1000,'Raw RTF'!E$5,FALSE)</f>
        <v>45</v>
      </c>
      <c r="F22">
        <f>VLOOKUP($B22,'Raw RTF'!$B$8:$Q$1000,'Raw RTF'!F$5,FALSE)</f>
        <v>0.73246728560336305</v>
      </c>
      <c r="G22">
        <f>VLOOKUP($B22,'Raw RTF'!$B$8:$Q$1000,'Raw RTF'!G$5,FALSE)</f>
        <v>0</v>
      </c>
      <c r="H22" t="str">
        <f>VLOOKUP($B22,'Raw RTF'!$B$8:$Q$1000,'Raw RTF'!H$5,FALSE)</f>
        <v>ResSHWX</v>
      </c>
      <c r="I22">
        <f>VLOOKUP($B22,'Raw RTF'!$B$8:$Q$1000,'Raw RTF'!I$5,FALSE)</f>
        <v>0</v>
      </c>
      <c r="J22">
        <f>VLOOKUP($B22,'Raw RTF'!$B$8:$Q$1000,'Raw RTF'!J$5,FALSE)</f>
        <v>0</v>
      </c>
      <c r="K22">
        <f>VLOOKUP($B22,'Raw RTF'!$B$8:$Q$1000,'Raw RTF'!K$5,FALSE)</f>
        <v>0</v>
      </c>
      <c r="L22">
        <f>VLOOKUP($B22,'Raw RTF'!$B$8:$Q$1000,'Raw RTF'!L$5,FALSE)</f>
        <v>0</v>
      </c>
      <c r="M22">
        <f>VLOOKUP($B22,'Raw RTF'!$B$8:$Q$1000,'Raw RTF'!M$5,FALSE)</f>
        <v>0</v>
      </c>
      <c r="N22">
        <f>VLOOKUP($B22,'Raw RTF'!$B$8:$Q$1000,'Raw RTF'!N$5,FALSE)</f>
        <v>0</v>
      </c>
      <c r="O22">
        <f>VLOOKUP($B22,'Raw RTF'!$B$8:$Q$1000,'Raw RTF'!O$5,FALSE)</f>
        <v>0</v>
      </c>
      <c r="P22">
        <f>VLOOKUP($B22,'Raw RTF'!$B$8:$Q$1000,'Raw RTF'!P$5,FALSE)</f>
        <v>0</v>
      </c>
      <c r="Q22">
        <f>VLOOKUP($B22,'Raw RTF'!$B$8:$Q$1000,'Raw RTF'!Q$5,FALSE)</f>
        <v>0</v>
      </c>
    </row>
    <row r="23" spans="1:17">
      <c r="A23" t="str">
        <f t="shared" si="1"/>
        <v>Multi Family Weatherization - Insulate Attic - R-0 to R-49 - Heating Zone 2 (Zonal Heating System)ATTIC R0 - R49</v>
      </c>
      <c r="B23" s="99" t="str">
        <f>'Raw RTF'!B90</f>
        <v>Multi Family Weatherization - Insulate Attic - R-0 to R-49 - Heating Zone 2 (Zonal Heating System)</v>
      </c>
      <c r="C23" s="99" t="s">
        <v>66</v>
      </c>
      <c r="D23">
        <f>VLOOKUP($B23,'Raw RTF'!$B$8:$Q$1000,'Raw RTF'!D$5,FALSE)</f>
        <v>0.70037432234965902</v>
      </c>
      <c r="E23">
        <f>VLOOKUP($B23,'Raw RTF'!$B$8:$Q$1000,'Raw RTF'!E$5,FALSE)</f>
        <v>45</v>
      </c>
      <c r="F23">
        <f>VLOOKUP($B23,'Raw RTF'!$B$8:$Q$1000,'Raw RTF'!F$5,FALSE)</f>
        <v>0.83087905114745864</v>
      </c>
      <c r="G23">
        <f>VLOOKUP($B23,'Raw RTF'!$B$8:$Q$1000,'Raw RTF'!G$5,FALSE)</f>
        <v>0</v>
      </c>
      <c r="H23" t="str">
        <f>VLOOKUP($B23,'Raw RTF'!$B$8:$Q$1000,'Raw RTF'!H$5,FALSE)</f>
        <v>ResSHWX</v>
      </c>
      <c r="I23">
        <f>VLOOKUP($B23,'Raw RTF'!$B$8:$Q$1000,'Raw RTF'!I$5,FALSE)</f>
        <v>0</v>
      </c>
      <c r="J23">
        <f>VLOOKUP($B23,'Raw RTF'!$B$8:$Q$1000,'Raw RTF'!J$5,FALSE)</f>
        <v>0</v>
      </c>
      <c r="K23">
        <f>VLOOKUP($B23,'Raw RTF'!$B$8:$Q$1000,'Raw RTF'!K$5,FALSE)</f>
        <v>0</v>
      </c>
      <c r="L23">
        <f>VLOOKUP($B23,'Raw RTF'!$B$8:$Q$1000,'Raw RTF'!L$5,FALSE)</f>
        <v>0</v>
      </c>
      <c r="M23">
        <f>VLOOKUP($B23,'Raw RTF'!$B$8:$Q$1000,'Raw RTF'!M$5,FALSE)</f>
        <v>0</v>
      </c>
      <c r="N23">
        <f>VLOOKUP($B23,'Raw RTF'!$B$8:$Q$1000,'Raw RTF'!N$5,FALSE)</f>
        <v>0</v>
      </c>
      <c r="O23">
        <f>VLOOKUP($B23,'Raw RTF'!$B$8:$Q$1000,'Raw RTF'!O$5,FALSE)</f>
        <v>0</v>
      </c>
      <c r="P23">
        <f>VLOOKUP($B23,'Raw RTF'!$B$8:$Q$1000,'Raw RTF'!P$5,FALSE)</f>
        <v>0</v>
      </c>
      <c r="Q23">
        <f>VLOOKUP($B23,'Raw RTF'!$B$8:$Q$1000,'Raw RTF'!Q$5,FALSE)</f>
        <v>0</v>
      </c>
    </row>
    <row r="24" spans="1:17">
      <c r="A24" t="str">
        <f t="shared" si="1"/>
        <v>Multi Family Weatherization - Insulate Attic - R-19 to R-30 - Heating Zone 2 (Zonal Heating System)ATTIC R19 - R30</v>
      </c>
      <c r="B24" s="99" t="str">
        <f>'Raw RTF'!B94</f>
        <v>Multi Family Weatherization - Insulate Attic - R-19 to R-30 - Heating Zone 2 (Zonal Heating System)</v>
      </c>
      <c r="C24" s="99" t="s">
        <v>1081</v>
      </c>
      <c r="D24">
        <f>VLOOKUP($B24,'Raw RTF'!$B$8:$Q$1000,'Raw RTF'!D$5,FALSE)</f>
        <v>0.12767940604227285</v>
      </c>
      <c r="E24">
        <f>VLOOKUP($B24,'Raw RTF'!$B$8:$Q$1000,'Raw RTF'!E$5,FALSE)</f>
        <v>45</v>
      </c>
      <c r="F24">
        <f>VLOOKUP($B24,'Raw RTF'!$B$8:$Q$1000,'Raw RTF'!F$5,FALSE)</f>
        <v>0.47401945424285125</v>
      </c>
      <c r="G24">
        <f>VLOOKUP($B24,'Raw RTF'!$B$8:$Q$1000,'Raw RTF'!G$5,FALSE)</f>
        <v>0</v>
      </c>
      <c r="H24" t="str">
        <f>VLOOKUP($B24,'Raw RTF'!$B$8:$Q$1000,'Raw RTF'!H$5,FALSE)</f>
        <v>ResSHWX</v>
      </c>
      <c r="I24">
        <f>VLOOKUP($B24,'Raw RTF'!$B$8:$Q$1000,'Raw RTF'!I$5,FALSE)</f>
        <v>0</v>
      </c>
      <c r="J24">
        <f>VLOOKUP($B24,'Raw RTF'!$B$8:$Q$1000,'Raw RTF'!J$5,FALSE)</f>
        <v>0</v>
      </c>
      <c r="K24">
        <f>VLOOKUP($B24,'Raw RTF'!$B$8:$Q$1000,'Raw RTF'!K$5,FALSE)</f>
        <v>0</v>
      </c>
      <c r="L24">
        <f>VLOOKUP($B24,'Raw RTF'!$B$8:$Q$1000,'Raw RTF'!L$5,FALSE)</f>
        <v>0</v>
      </c>
      <c r="M24">
        <f>VLOOKUP($B24,'Raw RTF'!$B$8:$Q$1000,'Raw RTF'!M$5,FALSE)</f>
        <v>0</v>
      </c>
      <c r="N24">
        <f>VLOOKUP($B24,'Raw RTF'!$B$8:$Q$1000,'Raw RTF'!N$5,FALSE)</f>
        <v>0</v>
      </c>
      <c r="O24">
        <f>VLOOKUP($B24,'Raw RTF'!$B$8:$Q$1000,'Raw RTF'!O$5,FALSE)</f>
        <v>0</v>
      </c>
      <c r="P24">
        <f>VLOOKUP($B24,'Raw RTF'!$B$8:$Q$1000,'Raw RTF'!P$5,FALSE)</f>
        <v>0</v>
      </c>
      <c r="Q24">
        <f>VLOOKUP($B24,'Raw RTF'!$B$8:$Q$1000,'Raw RTF'!Q$5,FALSE)</f>
        <v>0</v>
      </c>
    </row>
    <row r="25" spans="1:17">
      <c r="A25" t="str">
        <f t="shared" si="1"/>
        <v>Multi Family Weatherization - Insulate Attic - R-19 to R-38 - Heating Zone 2 (Zonal Heating System)ATTIC R19 - R38</v>
      </c>
      <c r="B25" s="99" t="str">
        <f>'Raw RTF'!B95</f>
        <v>Multi Family Weatherization - Insulate Attic - R-19 to R-38 - Heating Zone 2 (Zonal Heating System)</v>
      </c>
      <c r="C25" s="99" t="s">
        <v>67</v>
      </c>
      <c r="D25">
        <f>VLOOKUP($B25,'Raw RTF'!$B$8:$Q$1000,'Raw RTF'!D$5,FALSE)</f>
        <v>0.17625468280090947</v>
      </c>
      <c r="E25">
        <f>VLOOKUP($B25,'Raw RTF'!$B$8:$Q$1000,'Raw RTF'!E$5,FALSE)</f>
        <v>45</v>
      </c>
      <c r="F25">
        <f>VLOOKUP($B25,'Raw RTF'!$B$8:$Q$1000,'Raw RTF'!F$5,FALSE)</f>
        <v>0.55283834686255773</v>
      </c>
      <c r="G25">
        <f>VLOOKUP($B25,'Raw RTF'!$B$8:$Q$1000,'Raw RTF'!G$5,FALSE)</f>
        <v>0</v>
      </c>
      <c r="H25" t="str">
        <f>VLOOKUP($B25,'Raw RTF'!$B$8:$Q$1000,'Raw RTF'!H$5,FALSE)</f>
        <v>ResSHWX</v>
      </c>
      <c r="I25">
        <f>VLOOKUP($B25,'Raw RTF'!$B$8:$Q$1000,'Raw RTF'!I$5,FALSE)</f>
        <v>0</v>
      </c>
      <c r="J25">
        <f>VLOOKUP($B25,'Raw RTF'!$B$8:$Q$1000,'Raw RTF'!J$5,FALSE)</f>
        <v>0</v>
      </c>
      <c r="K25">
        <f>VLOOKUP($B25,'Raw RTF'!$B$8:$Q$1000,'Raw RTF'!K$5,FALSE)</f>
        <v>0</v>
      </c>
      <c r="L25">
        <f>VLOOKUP($B25,'Raw RTF'!$B$8:$Q$1000,'Raw RTF'!L$5,FALSE)</f>
        <v>0</v>
      </c>
      <c r="M25">
        <f>VLOOKUP($B25,'Raw RTF'!$B$8:$Q$1000,'Raw RTF'!M$5,FALSE)</f>
        <v>0</v>
      </c>
      <c r="N25">
        <f>VLOOKUP($B25,'Raw RTF'!$B$8:$Q$1000,'Raw RTF'!N$5,FALSE)</f>
        <v>0</v>
      </c>
      <c r="O25">
        <f>VLOOKUP($B25,'Raw RTF'!$B$8:$Q$1000,'Raw RTF'!O$5,FALSE)</f>
        <v>0</v>
      </c>
      <c r="P25">
        <f>VLOOKUP($B25,'Raw RTF'!$B$8:$Q$1000,'Raw RTF'!P$5,FALSE)</f>
        <v>0</v>
      </c>
      <c r="Q25">
        <f>VLOOKUP($B25,'Raw RTF'!$B$8:$Q$1000,'Raw RTF'!Q$5,FALSE)</f>
        <v>0</v>
      </c>
    </row>
    <row r="26" spans="1:17">
      <c r="A26" t="str">
        <f t="shared" si="1"/>
        <v>Multi Family Weatherization - Insulate Attic - R-19 to R-49 - Heating Zone 2 (Zonal Heating System)ATTIC R19 - R49</v>
      </c>
      <c r="B26" s="99" t="str">
        <f>'Raw RTF'!B96</f>
        <v>Multi Family Weatherization - Insulate Attic - R-19 to R-49 - Heating Zone 2 (Zonal Heating System)</v>
      </c>
      <c r="C26" s="99" t="s">
        <v>68</v>
      </c>
      <c r="D26">
        <f>VLOOKUP($B26,'Raw RTF'!$B$8:$Q$1000,'Raw RTF'!D$5,FALSE)</f>
        <v>0.21719825649363625</v>
      </c>
      <c r="E26">
        <f>VLOOKUP($B26,'Raw RTF'!$B$8:$Q$1000,'Raw RTF'!E$5,FALSE)</f>
        <v>45</v>
      </c>
      <c r="F26">
        <f>VLOOKUP($B26,'Raw RTF'!$B$8:$Q$1000,'Raw RTF'!F$5,FALSE)</f>
        <v>0.65683404823881342</v>
      </c>
      <c r="G26">
        <f>VLOOKUP($B26,'Raw RTF'!$B$8:$Q$1000,'Raw RTF'!G$5,FALSE)</f>
        <v>0</v>
      </c>
      <c r="H26" t="str">
        <f>VLOOKUP($B26,'Raw RTF'!$B$8:$Q$1000,'Raw RTF'!H$5,FALSE)</f>
        <v>ResSHWX</v>
      </c>
      <c r="I26">
        <f>VLOOKUP($B26,'Raw RTF'!$B$8:$Q$1000,'Raw RTF'!I$5,FALSE)</f>
        <v>0</v>
      </c>
      <c r="J26">
        <f>VLOOKUP($B26,'Raw RTF'!$B$8:$Q$1000,'Raw RTF'!J$5,FALSE)</f>
        <v>0</v>
      </c>
      <c r="K26">
        <f>VLOOKUP($B26,'Raw RTF'!$B$8:$Q$1000,'Raw RTF'!K$5,FALSE)</f>
        <v>0</v>
      </c>
      <c r="L26">
        <f>VLOOKUP($B26,'Raw RTF'!$B$8:$Q$1000,'Raw RTF'!L$5,FALSE)</f>
        <v>0</v>
      </c>
      <c r="M26">
        <f>VLOOKUP($B26,'Raw RTF'!$B$8:$Q$1000,'Raw RTF'!M$5,FALSE)</f>
        <v>0</v>
      </c>
      <c r="N26">
        <f>VLOOKUP($B26,'Raw RTF'!$B$8:$Q$1000,'Raw RTF'!N$5,FALSE)</f>
        <v>0</v>
      </c>
      <c r="O26">
        <f>VLOOKUP($B26,'Raw RTF'!$B$8:$Q$1000,'Raw RTF'!O$5,FALSE)</f>
        <v>0</v>
      </c>
      <c r="P26">
        <f>VLOOKUP($B26,'Raw RTF'!$B$8:$Q$1000,'Raw RTF'!P$5,FALSE)</f>
        <v>0</v>
      </c>
      <c r="Q26">
        <f>VLOOKUP($B26,'Raw RTF'!$B$8:$Q$1000,'Raw RTF'!Q$5,FALSE)</f>
        <v>0</v>
      </c>
    </row>
    <row r="27" spans="1:17" ht="38.25">
      <c r="A27" t="str">
        <f t="shared" si="1"/>
        <v>Windows - Single Pane to Class 22 - Heating Zone 2 (Zonal Heating System)WINDOW CL22 Prime Window Replacement of Single Pane Base</v>
      </c>
      <c r="B27" s="99" t="str">
        <f>'Raw RTF'!B97</f>
        <v>Windows - Single Pane to Class 22 - Heating Zone 2 (Zonal Heating System)</v>
      </c>
      <c r="C27" s="99" t="s">
        <v>74</v>
      </c>
      <c r="D27">
        <f>VLOOKUP($B27,'Raw RTF'!$B$8:$Q$1000,'Raw RTF'!D$5,FALSE)</f>
        <v>33.880879731729017</v>
      </c>
      <c r="E27">
        <f>VLOOKUP($B27,'Raw RTF'!$B$8:$Q$1000,'Raw RTF'!E$5,FALSE)</f>
        <v>45</v>
      </c>
      <c r="F27">
        <f>VLOOKUP($B27,'Raw RTF'!$B$8:$Q$1000,'Raw RTF'!F$5,FALSE)</f>
        <v>23.269535952606116</v>
      </c>
      <c r="G27">
        <f>VLOOKUP($B27,'Raw RTF'!$B$8:$Q$1000,'Raw RTF'!G$5,FALSE)</f>
        <v>0</v>
      </c>
      <c r="H27" t="str">
        <f>VLOOKUP($B27,'Raw RTF'!$B$8:$Q$1000,'Raw RTF'!H$5,FALSE)</f>
        <v>ResSHWX</v>
      </c>
      <c r="I27">
        <f>VLOOKUP($B27,'Raw RTF'!$B$8:$Q$1000,'Raw RTF'!I$5,FALSE)</f>
        <v>0</v>
      </c>
      <c r="J27">
        <f>VLOOKUP($B27,'Raw RTF'!$B$8:$Q$1000,'Raw RTF'!J$5,FALSE)</f>
        <v>0</v>
      </c>
      <c r="K27">
        <f>VLOOKUP($B27,'Raw RTF'!$B$8:$Q$1000,'Raw RTF'!K$5,FALSE)</f>
        <v>0</v>
      </c>
      <c r="L27">
        <f>VLOOKUP($B27,'Raw RTF'!$B$8:$Q$1000,'Raw RTF'!L$5,FALSE)</f>
        <v>0</v>
      </c>
      <c r="M27">
        <f>VLOOKUP($B27,'Raw RTF'!$B$8:$Q$1000,'Raw RTF'!M$5,FALSE)</f>
        <v>0</v>
      </c>
      <c r="N27">
        <f>VLOOKUP($B27,'Raw RTF'!$B$8:$Q$1000,'Raw RTF'!N$5,FALSE)</f>
        <v>0</v>
      </c>
      <c r="O27">
        <f>VLOOKUP($B27,'Raw RTF'!$B$8:$Q$1000,'Raw RTF'!O$5,FALSE)</f>
        <v>0</v>
      </c>
      <c r="P27">
        <f>VLOOKUP($B27,'Raw RTF'!$B$8:$Q$1000,'Raw RTF'!P$5,FALSE)</f>
        <v>0</v>
      </c>
      <c r="Q27">
        <f>VLOOKUP($B27,'Raw RTF'!$B$8:$Q$1000,'Raw RTF'!Q$5,FALSE)</f>
        <v>0</v>
      </c>
    </row>
    <row r="28" spans="1:17" ht="38.25">
      <c r="A28" t="str">
        <f t="shared" si="1"/>
        <v>Windows - Double Pane to Class 22 - Heating Zone 2 (Zonal Heating System)WINDOW CL22 Prime Window Replacement of Double Pane Base</v>
      </c>
      <c r="B28" s="99" t="str">
        <f>'Raw RTF'!B98</f>
        <v>Windows - Double Pane to Class 22 - Heating Zone 2 (Zonal Heating System)</v>
      </c>
      <c r="C28" s="99" t="s">
        <v>75</v>
      </c>
      <c r="D28">
        <f>VLOOKUP($B28,'Raw RTF'!$B$8:$Q$1000,'Raw RTF'!D$5,FALSE)</f>
        <v>20.204047936502523</v>
      </c>
      <c r="E28">
        <f>VLOOKUP($B28,'Raw RTF'!$B$8:$Q$1000,'Raw RTF'!E$5,FALSE)</f>
        <v>45</v>
      </c>
      <c r="F28">
        <f>VLOOKUP($B28,'Raw RTF'!$B$8:$Q$1000,'Raw RTF'!F$5,FALSE)</f>
        <v>23.269535952606116</v>
      </c>
      <c r="G28">
        <f>VLOOKUP($B28,'Raw RTF'!$B$8:$Q$1000,'Raw RTF'!G$5,FALSE)</f>
        <v>0</v>
      </c>
      <c r="H28" t="str">
        <f>VLOOKUP($B28,'Raw RTF'!$B$8:$Q$1000,'Raw RTF'!H$5,FALSE)</f>
        <v>ResSHWX</v>
      </c>
      <c r="I28">
        <f>VLOOKUP($B28,'Raw RTF'!$B$8:$Q$1000,'Raw RTF'!I$5,FALSE)</f>
        <v>0</v>
      </c>
      <c r="J28">
        <f>VLOOKUP($B28,'Raw RTF'!$B$8:$Q$1000,'Raw RTF'!J$5,FALSE)</f>
        <v>0</v>
      </c>
      <c r="K28">
        <f>VLOOKUP($B28,'Raw RTF'!$B$8:$Q$1000,'Raw RTF'!K$5,FALSE)</f>
        <v>0</v>
      </c>
      <c r="L28">
        <f>VLOOKUP($B28,'Raw RTF'!$B$8:$Q$1000,'Raw RTF'!L$5,FALSE)</f>
        <v>0</v>
      </c>
      <c r="M28">
        <f>VLOOKUP($B28,'Raw RTF'!$B$8:$Q$1000,'Raw RTF'!M$5,FALSE)</f>
        <v>0</v>
      </c>
      <c r="N28">
        <f>VLOOKUP($B28,'Raw RTF'!$B$8:$Q$1000,'Raw RTF'!N$5,FALSE)</f>
        <v>0</v>
      </c>
      <c r="O28">
        <f>VLOOKUP($B28,'Raw RTF'!$B$8:$Q$1000,'Raw RTF'!O$5,FALSE)</f>
        <v>0</v>
      </c>
      <c r="P28">
        <f>VLOOKUP($B28,'Raw RTF'!$B$8:$Q$1000,'Raw RTF'!P$5,FALSE)</f>
        <v>0</v>
      </c>
      <c r="Q28">
        <f>VLOOKUP($B28,'Raw RTF'!$B$8:$Q$1000,'Raw RTF'!Q$5,FALSE)</f>
        <v>0</v>
      </c>
    </row>
    <row r="29" spans="1:17" ht="38.25">
      <c r="A29" t="str">
        <f t="shared" si="1"/>
        <v>Windows - Single Pane to Class 30 - Heating Zone 2 (Zonal Heating System)WINDOW CL30 Prime Window Replacement of Single Pane Base</v>
      </c>
      <c r="B29" s="99" t="str">
        <f>'Raw RTF'!B99</f>
        <v>Windows - Single Pane to Class 30 - Heating Zone 2 (Zonal Heating System)</v>
      </c>
      <c r="C29" s="99" t="s">
        <v>72</v>
      </c>
      <c r="D29">
        <f>VLOOKUP($B29,'Raw RTF'!$B$8:$Q$1000,'Raw RTF'!D$5,FALSE)</f>
        <v>31.081808636926379</v>
      </c>
      <c r="E29">
        <f>VLOOKUP($B29,'Raw RTF'!$B$8:$Q$1000,'Raw RTF'!E$5,FALSE)</f>
        <v>45</v>
      </c>
      <c r="F29">
        <f>VLOOKUP($B29,'Raw RTF'!$B$8:$Q$1000,'Raw RTF'!F$5,FALSE)</f>
        <v>17.810142881355933</v>
      </c>
      <c r="G29">
        <f>VLOOKUP($B29,'Raw RTF'!$B$8:$Q$1000,'Raw RTF'!G$5,FALSE)</f>
        <v>0</v>
      </c>
      <c r="H29" t="str">
        <f>VLOOKUP($B29,'Raw RTF'!$B$8:$Q$1000,'Raw RTF'!H$5,FALSE)</f>
        <v>ResSHWX</v>
      </c>
      <c r="I29">
        <f>VLOOKUP($B29,'Raw RTF'!$B$8:$Q$1000,'Raw RTF'!I$5,FALSE)</f>
        <v>0</v>
      </c>
      <c r="J29">
        <f>VLOOKUP($B29,'Raw RTF'!$B$8:$Q$1000,'Raw RTF'!J$5,FALSE)</f>
        <v>0</v>
      </c>
      <c r="K29">
        <f>VLOOKUP($B29,'Raw RTF'!$B$8:$Q$1000,'Raw RTF'!K$5,FALSE)</f>
        <v>0</v>
      </c>
      <c r="L29">
        <f>VLOOKUP($B29,'Raw RTF'!$B$8:$Q$1000,'Raw RTF'!L$5,FALSE)</f>
        <v>0</v>
      </c>
      <c r="M29">
        <f>VLOOKUP($B29,'Raw RTF'!$B$8:$Q$1000,'Raw RTF'!M$5,FALSE)</f>
        <v>0</v>
      </c>
      <c r="N29">
        <f>VLOOKUP($B29,'Raw RTF'!$B$8:$Q$1000,'Raw RTF'!N$5,FALSE)</f>
        <v>0</v>
      </c>
      <c r="O29">
        <f>VLOOKUP($B29,'Raw RTF'!$B$8:$Q$1000,'Raw RTF'!O$5,FALSE)</f>
        <v>0</v>
      </c>
      <c r="P29">
        <f>VLOOKUP($B29,'Raw RTF'!$B$8:$Q$1000,'Raw RTF'!P$5,FALSE)</f>
        <v>0</v>
      </c>
      <c r="Q29">
        <f>VLOOKUP($B29,'Raw RTF'!$B$8:$Q$1000,'Raw RTF'!Q$5,FALSE)</f>
        <v>0</v>
      </c>
    </row>
    <row r="30" spans="1:17" ht="38.25">
      <c r="A30" t="str">
        <f t="shared" si="1"/>
        <v>Windows - Double Pane to Class 30 - Heating Zone 2 (Zonal Heating System)WINDOW CL30 Prime Window Replacement of Double Pane Base</v>
      </c>
      <c r="B30" s="99" t="str">
        <f>'Raw RTF'!B100</f>
        <v>Windows - Double Pane to Class 30 - Heating Zone 2 (Zonal Heating System)</v>
      </c>
      <c r="C30" s="99" t="s">
        <v>73</v>
      </c>
      <c r="D30">
        <f>VLOOKUP($B30,'Raw RTF'!$B$8:$Q$1000,'Raw RTF'!D$5,FALSE)</f>
        <v>17.404976841699881</v>
      </c>
      <c r="E30">
        <f>VLOOKUP($B30,'Raw RTF'!$B$8:$Q$1000,'Raw RTF'!E$5,FALSE)</f>
        <v>45</v>
      </c>
      <c r="F30">
        <f>VLOOKUP($B30,'Raw RTF'!$B$8:$Q$1000,'Raw RTF'!F$5,FALSE)</f>
        <v>17.810142881355933</v>
      </c>
      <c r="G30">
        <f>VLOOKUP($B30,'Raw RTF'!$B$8:$Q$1000,'Raw RTF'!G$5,FALSE)</f>
        <v>0</v>
      </c>
      <c r="H30" t="str">
        <f>VLOOKUP($B30,'Raw RTF'!$B$8:$Q$1000,'Raw RTF'!H$5,FALSE)</f>
        <v>ResSHWX</v>
      </c>
      <c r="I30">
        <f>VLOOKUP($B30,'Raw RTF'!$B$8:$Q$1000,'Raw RTF'!I$5,FALSE)</f>
        <v>0</v>
      </c>
      <c r="J30">
        <f>VLOOKUP($B30,'Raw RTF'!$B$8:$Q$1000,'Raw RTF'!J$5,FALSE)</f>
        <v>0</v>
      </c>
      <c r="K30">
        <f>VLOOKUP($B30,'Raw RTF'!$B$8:$Q$1000,'Raw RTF'!K$5,FALSE)</f>
        <v>0</v>
      </c>
      <c r="L30">
        <f>VLOOKUP($B30,'Raw RTF'!$B$8:$Q$1000,'Raw RTF'!L$5,FALSE)</f>
        <v>0</v>
      </c>
      <c r="M30">
        <f>VLOOKUP($B30,'Raw RTF'!$B$8:$Q$1000,'Raw RTF'!M$5,FALSE)</f>
        <v>0</v>
      </c>
      <c r="N30">
        <f>VLOOKUP($B30,'Raw RTF'!$B$8:$Q$1000,'Raw RTF'!N$5,FALSE)</f>
        <v>0</v>
      </c>
      <c r="O30">
        <f>VLOOKUP($B30,'Raw RTF'!$B$8:$Q$1000,'Raw RTF'!O$5,FALSE)</f>
        <v>0</v>
      </c>
      <c r="P30">
        <f>VLOOKUP($B30,'Raw RTF'!$B$8:$Q$1000,'Raw RTF'!P$5,FALSE)</f>
        <v>0</v>
      </c>
      <c r="Q30">
        <f>VLOOKUP($B30,'Raw RTF'!$B$8:$Q$1000,'Raw RTF'!Q$5,FALSE)</f>
        <v>0</v>
      </c>
    </row>
    <row r="31" spans="1:17">
      <c r="A31" t="str">
        <f t="shared" si="1"/>
        <v>Multi Family Weatherization - Insulate Walls - R-0 to R-11 - Heating Zone 3 (Zonal Heating System)WALL R0 - R11</v>
      </c>
      <c r="B31" s="99" t="str">
        <f>'Raw RTF'!B103</f>
        <v>Multi Family Weatherization - Insulate Walls - R-0 to R-11 - Heating Zone 3 (Zonal Heating System)</v>
      </c>
      <c r="C31" s="99" t="s">
        <v>69</v>
      </c>
      <c r="D31">
        <f>VLOOKUP($B31,'Raw RTF'!$B$8:$Q$1000,'Raw RTF'!D$5,FALSE)</f>
        <v>2.2317370823219416</v>
      </c>
      <c r="E31">
        <f>VLOOKUP($B31,'Raw RTF'!$B$8:$Q$1000,'Raw RTF'!E$5,FALSE)</f>
        <v>45</v>
      </c>
      <c r="F31">
        <f>VLOOKUP($B31,'Raw RTF'!$B$8:$Q$1000,'Raw RTF'!F$5,FALSE)</f>
        <v>1.0354836592527603</v>
      </c>
      <c r="G31">
        <f>VLOOKUP($B31,'Raw RTF'!$B$8:$Q$1000,'Raw RTF'!G$5,FALSE)</f>
        <v>0</v>
      </c>
      <c r="H31" t="str">
        <f>VLOOKUP($B31,'Raw RTF'!$B$8:$Q$1000,'Raw RTF'!H$5,FALSE)</f>
        <v>ResSHWX</v>
      </c>
      <c r="I31">
        <f>VLOOKUP($B31,'Raw RTF'!$B$8:$Q$1000,'Raw RTF'!I$5,FALSE)</f>
        <v>0</v>
      </c>
      <c r="J31">
        <f>VLOOKUP($B31,'Raw RTF'!$B$8:$Q$1000,'Raw RTF'!J$5,FALSE)</f>
        <v>0</v>
      </c>
      <c r="K31">
        <f>VLOOKUP($B31,'Raw RTF'!$B$8:$Q$1000,'Raw RTF'!K$5,FALSE)</f>
        <v>0</v>
      </c>
      <c r="L31">
        <f>VLOOKUP($B31,'Raw RTF'!$B$8:$Q$1000,'Raw RTF'!L$5,FALSE)</f>
        <v>0</v>
      </c>
      <c r="M31">
        <f>VLOOKUP($B31,'Raw RTF'!$B$8:$Q$1000,'Raw RTF'!M$5,FALSE)</f>
        <v>0</v>
      </c>
      <c r="N31">
        <f>VLOOKUP($B31,'Raw RTF'!$B$8:$Q$1000,'Raw RTF'!N$5,FALSE)</f>
        <v>0</v>
      </c>
      <c r="O31">
        <f>VLOOKUP($B31,'Raw RTF'!$B$8:$Q$1000,'Raw RTF'!O$5,FALSE)</f>
        <v>0</v>
      </c>
      <c r="P31">
        <f>VLOOKUP($B31,'Raw RTF'!$B$8:$Q$1000,'Raw RTF'!P$5,FALSE)</f>
        <v>0</v>
      </c>
      <c r="Q31">
        <f>VLOOKUP($B31,'Raw RTF'!$B$8:$Q$1000,'Raw RTF'!Q$5,FALSE)</f>
        <v>0</v>
      </c>
    </row>
    <row r="32" spans="1:17">
      <c r="A32" t="str">
        <f t="shared" si="1"/>
        <v>Multi Family Weatherization - Insulate Floors - R-0 to R-19 - Heating Zone 3 (Zonal Heating System)FLOOR R0 - R19</v>
      </c>
      <c r="B32" s="99" t="str">
        <f>'Raw RTF'!B104</f>
        <v>Multi Family Weatherization - Insulate Floors - R-0 to R-19 - Heating Zone 3 (Zonal Heating System)</v>
      </c>
      <c r="C32" s="99" t="s">
        <v>70</v>
      </c>
      <c r="D32">
        <f>VLOOKUP($B32,'Raw RTF'!$B$8:$Q$1000,'Raw RTF'!D$5,FALSE)</f>
        <v>0.88466842380214095</v>
      </c>
      <c r="E32">
        <f>VLOOKUP($B32,'Raw RTF'!$B$8:$Q$1000,'Raw RTF'!E$5,FALSE)</f>
        <v>45</v>
      </c>
      <c r="F32">
        <f>VLOOKUP($B32,'Raw RTF'!$B$8:$Q$1000,'Raw RTF'!F$5,FALSE)</f>
        <v>0.91799940108959477</v>
      </c>
      <c r="G32">
        <f>VLOOKUP($B32,'Raw RTF'!$B$8:$Q$1000,'Raw RTF'!G$5,FALSE)</f>
        <v>0</v>
      </c>
      <c r="H32" t="str">
        <f>VLOOKUP($B32,'Raw RTF'!$B$8:$Q$1000,'Raw RTF'!H$5,FALSE)</f>
        <v>ResSHWX</v>
      </c>
      <c r="I32">
        <f>VLOOKUP($B32,'Raw RTF'!$B$8:$Q$1000,'Raw RTF'!I$5,FALSE)</f>
        <v>0</v>
      </c>
      <c r="J32">
        <f>VLOOKUP($B32,'Raw RTF'!$B$8:$Q$1000,'Raw RTF'!J$5,FALSE)</f>
        <v>0</v>
      </c>
      <c r="K32">
        <f>VLOOKUP($B32,'Raw RTF'!$B$8:$Q$1000,'Raw RTF'!K$5,FALSE)</f>
        <v>0</v>
      </c>
      <c r="L32">
        <f>VLOOKUP($B32,'Raw RTF'!$B$8:$Q$1000,'Raw RTF'!L$5,FALSE)</f>
        <v>0</v>
      </c>
      <c r="M32">
        <f>VLOOKUP($B32,'Raw RTF'!$B$8:$Q$1000,'Raw RTF'!M$5,FALSE)</f>
        <v>0</v>
      </c>
      <c r="N32">
        <f>VLOOKUP($B32,'Raw RTF'!$B$8:$Q$1000,'Raw RTF'!N$5,FALSE)</f>
        <v>0</v>
      </c>
      <c r="O32">
        <f>VLOOKUP($B32,'Raw RTF'!$B$8:$Q$1000,'Raw RTF'!O$5,FALSE)</f>
        <v>0</v>
      </c>
      <c r="P32">
        <f>VLOOKUP($B32,'Raw RTF'!$B$8:$Q$1000,'Raw RTF'!P$5,FALSE)</f>
        <v>0</v>
      </c>
      <c r="Q32">
        <f>VLOOKUP($B32,'Raw RTF'!$B$8:$Q$1000,'Raw RTF'!Q$5,FALSE)</f>
        <v>0</v>
      </c>
    </row>
    <row r="33" spans="1:17">
      <c r="A33" t="str">
        <f t="shared" si="1"/>
        <v>Multi Family Weatherization - Insulate Floors - R-0 to R-30 - Heating Zone 3 (Zonal Heating System)FLOOR R0 - R30</v>
      </c>
      <c r="B33" s="99" t="str">
        <f>'Raw RTF'!B105</f>
        <v>Multi Family Weatherization - Insulate Floors - R-0 to R-30 - Heating Zone 3 (Zonal Heating System)</v>
      </c>
      <c r="C33" s="99" t="s">
        <v>71</v>
      </c>
      <c r="D33">
        <f>VLOOKUP($B33,'Raw RTF'!$B$8:$Q$1000,'Raw RTF'!D$5,FALSE)</f>
        <v>1.1544904382566858</v>
      </c>
      <c r="E33">
        <f>VLOOKUP($B33,'Raw RTF'!$B$8:$Q$1000,'Raw RTF'!E$5,FALSE)</f>
        <v>45</v>
      </c>
      <c r="F33">
        <f>VLOOKUP($B33,'Raw RTF'!$B$8:$Q$1000,'Raw RTF'!F$5,FALSE)</f>
        <v>0.98244865861375763</v>
      </c>
      <c r="G33">
        <f>VLOOKUP($B33,'Raw RTF'!$B$8:$Q$1000,'Raw RTF'!G$5,FALSE)</f>
        <v>0</v>
      </c>
      <c r="H33" t="str">
        <f>VLOOKUP($B33,'Raw RTF'!$B$8:$Q$1000,'Raw RTF'!H$5,FALSE)</f>
        <v>ResSHWX</v>
      </c>
      <c r="I33">
        <f>VLOOKUP($B33,'Raw RTF'!$B$8:$Q$1000,'Raw RTF'!I$5,FALSE)</f>
        <v>0</v>
      </c>
      <c r="J33">
        <f>VLOOKUP($B33,'Raw RTF'!$B$8:$Q$1000,'Raw RTF'!J$5,FALSE)</f>
        <v>0</v>
      </c>
      <c r="K33">
        <f>VLOOKUP($B33,'Raw RTF'!$B$8:$Q$1000,'Raw RTF'!K$5,FALSE)</f>
        <v>0</v>
      </c>
      <c r="L33">
        <f>VLOOKUP($B33,'Raw RTF'!$B$8:$Q$1000,'Raw RTF'!L$5,FALSE)</f>
        <v>0</v>
      </c>
      <c r="M33">
        <f>VLOOKUP($B33,'Raw RTF'!$B$8:$Q$1000,'Raw RTF'!M$5,FALSE)</f>
        <v>0</v>
      </c>
      <c r="N33">
        <f>VLOOKUP($B33,'Raw RTF'!$B$8:$Q$1000,'Raw RTF'!N$5,FALSE)</f>
        <v>0</v>
      </c>
      <c r="O33">
        <f>VLOOKUP($B33,'Raw RTF'!$B$8:$Q$1000,'Raw RTF'!O$5,FALSE)</f>
        <v>0</v>
      </c>
      <c r="P33">
        <f>VLOOKUP($B33,'Raw RTF'!$B$8:$Q$1000,'Raw RTF'!P$5,FALSE)</f>
        <v>0</v>
      </c>
      <c r="Q33">
        <f>VLOOKUP($B33,'Raw RTF'!$B$8:$Q$1000,'Raw RTF'!Q$5,FALSE)</f>
        <v>0</v>
      </c>
    </row>
    <row r="34" spans="1:17">
      <c r="A34" t="str">
        <f t="shared" si="1"/>
        <v>Multi Family Weatherization - Insulate Attic - R-0 to R-19 - Heating Zone 3 (Zonal Heating System)ATTIC R0 - R19</v>
      </c>
      <c r="B34" s="99" t="str">
        <f>'Raw RTF'!B107</f>
        <v>Multi Family Weatherization - Insulate Attic - R-0 to R-19 - Heating Zone 3 (Zonal Heating System)</v>
      </c>
      <c r="C34" s="99" t="s">
        <v>1080</v>
      </c>
      <c r="D34">
        <f>VLOOKUP($B34,'Raw RTF'!$B$8:$Q$1000,'Raw RTF'!D$5,FALSE)</f>
        <v>0.42976654735909225</v>
      </c>
      <c r="E34">
        <f>VLOOKUP($B34,'Raw RTF'!$B$8:$Q$1000,'Raw RTF'!E$5,FALSE)</f>
        <v>45</v>
      </c>
      <c r="F34">
        <f>VLOOKUP($B34,'Raw RTF'!$B$8:$Q$1000,'Raw RTF'!F$5,FALSE)</f>
        <v>0.54914779043329487</v>
      </c>
      <c r="G34">
        <f>VLOOKUP($B34,'Raw RTF'!$B$8:$Q$1000,'Raw RTF'!G$5,FALSE)</f>
        <v>0</v>
      </c>
      <c r="H34" t="str">
        <f>VLOOKUP($B34,'Raw RTF'!$B$8:$Q$1000,'Raw RTF'!H$5,FALSE)</f>
        <v>ResSHWX</v>
      </c>
      <c r="I34">
        <f>VLOOKUP($B34,'Raw RTF'!$B$8:$Q$1000,'Raw RTF'!I$5,FALSE)</f>
        <v>0</v>
      </c>
      <c r="J34">
        <f>VLOOKUP($B34,'Raw RTF'!$B$8:$Q$1000,'Raw RTF'!J$5,FALSE)</f>
        <v>0</v>
      </c>
      <c r="K34">
        <f>VLOOKUP($B34,'Raw RTF'!$B$8:$Q$1000,'Raw RTF'!K$5,FALSE)</f>
        <v>0</v>
      </c>
      <c r="L34">
        <f>VLOOKUP($B34,'Raw RTF'!$B$8:$Q$1000,'Raw RTF'!L$5,FALSE)</f>
        <v>0</v>
      </c>
      <c r="M34">
        <f>VLOOKUP($B34,'Raw RTF'!$B$8:$Q$1000,'Raw RTF'!M$5,FALSE)</f>
        <v>0</v>
      </c>
      <c r="N34">
        <f>VLOOKUP($B34,'Raw RTF'!$B$8:$Q$1000,'Raw RTF'!N$5,FALSE)</f>
        <v>0</v>
      </c>
      <c r="O34">
        <f>VLOOKUP($B34,'Raw RTF'!$B$8:$Q$1000,'Raw RTF'!O$5,FALSE)</f>
        <v>0</v>
      </c>
      <c r="P34">
        <f>VLOOKUP($B34,'Raw RTF'!$B$8:$Q$1000,'Raw RTF'!P$5,FALSE)</f>
        <v>0</v>
      </c>
      <c r="Q34">
        <f>VLOOKUP($B34,'Raw RTF'!$B$8:$Q$1000,'Raw RTF'!Q$5,FALSE)</f>
        <v>0</v>
      </c>
    </row>
    <row r="35" spans="1:17">
      <c r="A35" t="str">
        <f t="shared" si="1"/>
        <v>Multi Family Weatherization - Insulate Attic - R-0 to R-38 - Heating Zone 3 (Zonal Heating System)ATTIC R0 - R38</v>
      </c>
      <c r="B35" s="99" t="str">
        <f>'Raw RTF'!B108</f>
        <v>Multi Family Weatherization - Insulate Attic - R-0 to R-38 - Heating Zone 3 (Zonal Heating System)</v>
      </c>
      <c r="C35" s="99" t="s">
        <v>65</v>
      </c>
      <c r="D35">
        <f>VLOOKUP($B35,'Raw RTF'!$B$8:$Q$1000,'Raw RTF'!D$5,FALSE)</f>
        <v>0.58669332392045492</v>
      </c>
      <c r="E35">
        <f>VLOOKUP($B35,'Raw RTF'!$B$8:$Q$1000,'Raw RTF'!E$5,FALSE)</f>
        <v>45</v>
      </c>
      <c r="F35">
        <f>VLOOKUP($B35,'Raw RTF'!$B$8:$Q$1000,'Raw RTF'!F$5,FALSE)</f>
        <v>0.73246728560336305</v>
      </c>
      <c r="G35">
        <f>VLOOKUP($B35,'Raw RTF'!$B$8:$Q$1000,'Raw RTF'!G$5,FALSE)</f>
        <v>0</v>
      </c>
      <c r="H35" t="str">
        <f>VLOOKUP($B35,'Raw RTF'!$B$8:$Q$1000,'Raw RTF'!H$5,FALSE)</f>
        <v>ResSHWX</v>
      </c>
      <c r="I35">
        <f>VLOOKUP($B35,'Raw RTF'!$B$8:$Q$1000,'Raw RTF'!I$5,FALSE)</f>
        <v>0</v>
      </c>
      <c r="J35">
        <f>VLOOKUP($B35,'Raw RTF'!$B$8:$Q$1000,'Raw RTF'!J$5,FALSE)</f>
        <v>0</v>
      </c>
      <c r="K35">
        <f>VLOOKUP($B35,'Raw RTF'!$B$8:$Q$1000,'Raw RTF'!K$5,FALSE)</f>
        <v>0</v>
      </c>
      <c r="L35">
        <f>VLOOKUP($B35,'Raw RTF'!$B$8:$Q$1000,'Raw RTF'!L$5,FALSE)</f>
        <v>0</v>
      </c>
      <c r="M35">
        <f>VLOOKUP($B35,'Raw RTF'!$B$8:$Q$1000,'Raw RTF'!M$5,FALSE)</f>
        <v>0</v>
      </c>
      <c r="N35">
        <f>VLOOKUP($B35,'Raw RTF'!$B$8:$Q$1000,'Raw RTF'!N$5,FALSE)</f>
        <v>0</v>
      </c>
      <c r="O35">
        <f>VLOOKUP($B35,'Raw RTF'!$B$8:$Q$1000,'Raw RTF'!O$5,FALSE)</f>
        <v>0</v>
      </c>
      <c r="P35">
        <f>VLOOKUP($B35,'Raw RTF'!$B$8:$Q$1000,'Raw RTF'!P$5,FALSE)</f>
        <v>0</v>
      </c>
      <c r="Q35">
        <f>VLOOKUP($B35,'Raw RTF'!$B$8:$Q$1000,'Raw RTF'!Q$5,FALSE)</f>
        <v>0</v>
      </c>
    </row>
    <row r="36" spans="1:17">
      <c r="A36" t="str">
        <f t="shared" si="1"/>
        <v>Multi Family Weatherization - Insulate Attic - R-0 to R-49 - Heating Zone 3 (Zonal Heating System)ATTIC R0 - R49</v>
      </c>
      <c r="B36" s="99" t="str">
        <f>'Raw RTF'!B109</f>
        <v>Multi Family Weatherization - Insulate Attic - R-0 to R-49 - Heating Zone 3 (Zonal Heating System)</v>
      </c>
      <c r="C36" s="99" t="s">
        <v>66</v>
      </c>
      <c r="D36">
        <f>VLOOKUP($B36,'Raw RTF'!$B$8:$Q$1000,'Raw RTF'!D$5,FALSE)</f>
        <v>0.6232113780090921</v>
      </c>
      <c r="E36">
        <f>VLOOKUP($B36,'Raw RTF'!$B$8:$Q$1000,'Raw RTF'!E$5,FALSE)</f>
        <v>45</v>
      </c>
      <c r="F36">
        <f>VLOOKUP($B36,'Raw RTF'!$B$8:$Q$1000,'Raw RTF'!F$5,FALSE)</f>
        <v>0.83087905114745864</v>
      </c>
      <c r="G36">
        <f>VLOOKUP($B36,'Raw RTF'!$B$8:$Q$1000,'Raw RTF'!G$5,FALSE)</f>
        <v>0</v>
      </c>
      <c r="H36" t="str">
        <f>VLOOKUP($B36,'Raw RTF'!$B$8:$Q$1000,'Raw RTF'!H$5,FALSE)</f>
        <v>ResSHWX</v>
      </c>
      <c r="I36">
        <f>VLOOKUP($B36,'Raw RTF'!$B$8:$Q$1000,'Raw RTF'!I$5,FALSE)</f>
        <v>0</v>
      </c>
      <c r="J36">
        <f>VLOOKUP($B36,'Raw RTF'!$B$8:$Q$1000,'Raw RTF'!J$5,FALSE)</f>
        <v>0</v>
      </c>
      <c r="K36">
        <f>VLOOKUP($B36,'Raw RTF'!$B$8:$Q$1000,'Raw RTF'!K$5,FALSE)</f>
        <v>0</v>
      </c>
      <c r="L36">
        <f>VLOOKUP($B36,'Raw RTF'!$B$8:$Q$1000,'Raw RTF'!L$5,FALSE)</f>
        <v>0</v>
      </c>
      <c r="M36">
        <f>VLOOKUP($B36,'Raw RTF'!$B$8:$Q$1000,'Raw RTF'!M$5,FALSE)</f>
        <v>0</v>
      </c>
      <c r="N36">
        <f>VLOOKUP($B36,'Raw RTF'!$B$8:$Q$1000,'Raw RTF'!N$5,FALSE)</f>
        <v>0</v>
      </c>
      <c r="O36">
        <f>VLOOKUP($B36,'Raw RTF'!$B$8:$Q$1000,'Raw RTF'!O$5,FALSE)</f>
        <v>0</v>
      </c>
      <c r="P36">
        <f>VLOOKUP($B36,'Raw RTF'!$B$8:$Q$1000,'Raw RTF'!P$5,FALSE)</f>
        <v>0</v>
      </c>
      <c r="Q36">
        <f>VLOOKUP($B36,'Raw RTF'!$B$8:$Q$1000,'Raw RTF'!Q$5,FALSE)</f>
        <v>0</v>
      </c>
    </row>
    <row r="37" spans="1:17">
      <c r="A37" t="str">
        <f t="shared" si="1"/>
        <v>Multi Family Weatherization - Insulate Attic - R-19 to R-30 - Heating Zone 3 (Zonal Heating System)ATTIC R19 - R30</v>
      </c>
      <c r="B37" s="99" t="str">
        <f>'Raw RTF'!B113</f>
        <v>Multi Family Weatherization - Insulate Attic - R-19 to R-30 - Heating Zone 3 (Zonal Heating System)</v>
      </c>
      <c r="C37" s="99" t="s">
        <v>1081</v>
      </c>
      <c r="D37">
        <f>VLOOKUP($B37,'Raw RTF'!$B$8:$Q$1000,'Raw RTF'!D$5,FALSE)</f>
        <v>0.11362271972272704</v>
      </c>
      <c r="E37">
        <f>VLOOKUP($B37,'Raw RTF'!$B$8:$Q$1000,'Raw RTF'!E$5,FALSE)</f>
        <v>45</v>
      </c>
      <c r="F37">
        <f>VLOOKUP($B37,'Raw RTF'!$B$8:$Q$1000,'Raw RTF'!F$5,FALSE)</f>
        <v>0.47401945424285125</v>
      </c>
      <c r="G37">
        <f>VLOOKUP($B37,'Raw RTF'!$B$8:$Q$1000,'Raw RTF'!G$5,FALSE)</f>
        <v>0</v>
      </c>
      <c r="H37" t="str">
        <f>VLOOKUP($B37,'Raw RTF'!$B$8:$Q$1000,'Raw RTF'!H$5,FALSE)</f>
        <v>ResSHWX</v>
      </c>
      <c r="I37">
        <f>VLOOKUP($B37,'Raw RTF'!$B$8:$Q$1000,'Raw RTF'!I$5,FALSE)</f>
        <v>0</v>
      </c>
      <c r="J37">
        <f>VLOOKUP($B37,'Raw RTF'!$B$8:$Q$1000,'Raw RTF'!J$5,FALSE)</f>
        <v>0</v>
      </c>
      <c r="K37">
        <f>VLOOKUP($B37,'Raw RTF'!$B$8:$Q$1000,'Raw RTF'!K$5,FALSE)</f>
        <v>0</v>
      </c>
      <c r="L37">
        <f>VLOOKUP($B37,'Raw RTF'!$B$8:$Q$1000,'Raw RTF'!L$5,FALSE)</f>
        <v>0</v>
      </c>
      <c r="M37">
        <f>VLOOKUP($B37,'Raw RTF'!$B$8:$Q$1000,'Raw RTF'!M$5,FALSE)</f>
        <v>0</v>
      </c>
      <c r="N37">
        <f>VLOOKUP($B37,'Raw RTF'!$B$8:$Q$1000,'Raw RTF'!N$5,FALSE)</f>
        <v>0</v>
      </c>
      <c r="O37">
        <f>VLOOKUP($B37,'Raw RTF'!$B$8:$Q$1000,'Raw RTF'!O$5,FALSE)</f>
        <v>0</v>
      </c>
      <c r="P37">
        <f>VLOOKUP($B37,'Raw RTF'!$B$8:$Q$1000,'Raw RTF'!P$5,FALSE)</f>
        <v>0</v>
      </c>
      <c r="Q37">
        <f>VLOOKUP($B37,'Raw RTF'!$B$8:$Q$1000,'Raw RTF'!Q$5,FALSE)</f>
        <v>0</v>
      </c>
    </row>
    <row r="38" spans="1:17">
      <c r="A38" t="str">
        <f t="shared" si="1"/>
        <v>Multi Family Weatherization - Insulate Attic - R-19 to R-38 - Heating Zone 3 (Zonal Heating System)ATTIC R19 - R38</v>
      </c>
      <c r="B38" s="99" t="str">
        <f>'Raw RTF'!B114</f>
        <v>Multi Family Weatherization - Insulate Attic - R-19 to R-38 - Heating Zone 3 (Zonal Heating System)</v>
      </c>
      <c r="C38" s="99" t="s">
        <v>67</v>
      </c>
      <c r="D38">
        <f>VLOOKUP($B38,'Raw RTF'!$B$8:$Q$1000,'Raw RTF'!D$5,FALSE)</f>
        <v>0.15692677656136267</v>
      </c>
      <c r="E38">
        <f>VLOOKUP($B38,'Raw RTF'!$B$8:$Q$1000,'Raw RTF'!E$5,FALSE)</f>
        <v>45</v>
      </c>
      <c r="F38">
        <f>VLOOKUP($B38,'Raw RTF'!$B$8:$Q$1000,'Raw RTF'!F$5,FALSE)</f>
        <v>0.55283834686255773</v>
      </c>
      <c r="G38">
        <f>VLOOKUP($B38,'Raw RTF'!$B$8:$Q$1000,'Raw RTF'!G$5,FALSE)</f>
        <v>0</v>
      </c>
      <c r="H38" t="str">
        <f>VLOOKUP($B38,'Raw RTF'!$B$8:$Q$1000,'Raw RTF'!H$5,FALSE)</f>
        <v>ResSHWX</v>
      </c>
      <c r="I38">
        <f>VLOOKUP($B38,'Raw RTF'!$B$8:$Q$1000,'Raw RTF'!I$5,FALSE)</f>
        <v>0</v>
      </c>
      <c r="J38">
        <f>VLOOKUP($B38,'Raw RTF'!$B$8:$Q$1000,'Raw RTF'!J$5,FALSE)</f>
        <v>0</v>
      </c>
      <c r="K38">
        <f>VLOOKUP($B38,'Raw RTF'!$B$8:$Q$1000,'Raw RTF'!K$5,FALSE)</f>
        <v>0</v>
      </c>
      <c r="L38">
        <f>VLOOKUP($B38,'Raw RTF'!$B$8:$Q$1000,'Raw RTF'!L$5,FALSE)</f>
        <v>0</v>
      </c>
      <c r="M38">
        <f>VLOOKUP($B38,'Raw RTF'!$B$8:$Q$1000,'Raw RTF'!M$5,FALSE)</f>
        <v>0</v>
      </c>
      <c r="N38">
        <f>VLOOKUP($B38,'Raw RTF'!$B$8:$Q$1000,'Raw RTF'!N$5,FALSE)</f>
        <v>0</v>
      </c>
      <c r="O38">
        <f>VLOOKUP($B38,'Raw RTF'!$B$8:$Q$1000,'Raw RTF'!O$5,FALSE)</f>
        <v>0</v>
      </c>
      <c r="P38">
        <f>VLOOKUP($B38,'Raw RTF'!$B$8:$Q$1000,'Raw RTF'!P$5,FALSE)</f>
        <v>0</v>
      </c>
      <c r="Q38">
        <f>VLOOKUP($B38,'Raw RTF'!$B$8:$Q$1000,'Raw RTF'!Q$5,FALSE)</f>
        <v>0</v>
      </c>
    </row>
    <row r="39" spans="1:17">
      <c r="A39" t="str">
        <f t="shared" si="1"/>
        <v>Multi Family Weatherization - Insulate Attic - R-19 to R-49 - Heating Zone 3 (Zonal Heating System)ATTIC R19 - R49</v>
      </c>
      <c r="B39" s="99" t="str">
        <f>'Raw RTF'!B115</f>
        <v>Multi Family Weatherization - Insulate Attic - R-19 to R-49 - Heating Zone 3 (Zonal Heating System)</v>
      </c>
      <c r="C39" s="99" t="s">
        <v>68</v>
      </c>
      <c r="D39">
        <f>VLOOKUP($B39,'Raw RTF'!$B$8:$Q$1000,'Raw RTF'!D$5,FALSE)</f>
        <v>0.19344483064999987</v>
      </c>
      <c r="E39">
        <f>VLOOKUP($B39,'Raw RTF'!$B$8:$Q$1000,'Raw RTF'!E$5,FALSE)</f>
        <v>45</v>
      </c>
      <c r="F39">
        <f>VLOOKUP($B39,'Raw RTF'!$B$8:$Q$1000,'Raw RTF'!F$5,FALSE)</f>
        <v>0.65683404823881342</v>
      </c>
      <c r="G39">
        <f>VLOOKUP($B39,'Raw RTF'!$B$8:$Q$1000,'Raw RTF'!G$5,FALSE)</f>
        <v>0</v>
      </c>
      <c r="H39" t="str">
        <f>VLOOKUP($B39,'Raw RTF'!$B$8:$Q$1000,'Raw RTF'!H$5,FALSE)</f>
        <v>ResSHWX</v>
      </c>
      <c r="I39">
        <f>VLOOKUP($B39,'Raw RTF'!$B$8:$Q$1000,'Raw RTF'!I$5,FALSE)</f>
        <v>0</v>
      </c>
      <c r="J39">
        <f>VLOOKUP($B39,'Raw RTF'!$B$8:$Q$1000,'Raw RTF'!J$5,FALSE)</f>
        <v>0</v>
      </c>
      <c r="K39">
        <f>VLOOKUP($B39,'Raw RTF'!$B$8:$Q$1000,'Raw RTF'!K$5,FALSE)</f>
        <v>0</v>
      </c>
      <c r="L39">
        <f>VLOOKUP($B39,'Raw RTF'!$B$8:$Q$1000,'Raw RTF'!L$5,FALSE)</f>
        <v>0</v>
      </c>
      <c r="M39">
        <f>VLOOKUP($B39,'Raw RTF'!$B$8:$Q$1000,'Raw RTF'!M$5,FALSE)</f>
        <v>0</v>
      </c>
      <c r="N39">
        <f>VLOOKUP($B39,'Raw RTF'!$B$8:$Q$1000,'Raw RTF'!N$5,FALSE)</f>
        <v>0</v>
      </c>
      <c r="O39">
        <f>VLOOKUP($B39,'Raw RTF'!$B$8:$Q$1000,'Raw RTF'!O$5,FALSE)</f>
        <v>0</v>
      </c>
      <c r="P39">
        <f>VLOOKUP($B39,'Raw RTF'!$B$8:$Q$1000,'Raw RTF'!P$5,FALSE)</f>
        <v>0</v>
      </c>
      <c r="Q39">
        <f>VLOOKUP($B39,'Raw RTF'!$B$8:$Q$1000,'Raw RTF'!Q$5,FALSE)</f>
        <v>0</v>
      </c>
    </row>
    <row r="40" spans="1:17" ht="38.25">
      <c r="A40" t="str">
        <f t="shared" si="1"/>
        <v>Windows - Single Pane to Class 22 - Heating Zone 3 (Zonal Heating System)WINDOW CL22 Prime Window Replacement of Single Pane Base</v>
      </c>
      <c r="B40" s="99" t="str">
        <f>'Raw RTF'!B116</f>
        <v>Windows - Single Pane to Class 22 - Heating Zone 3 (Zonal Heating System)</v>
      </c>
      <c r="C40" s="99" t="s">
        <v>74</v>
      </c>
      <c r="D40">
        <f>VLOOKUP($B40,'Raw RTF'!$B$8:$Q$1000,'Raw RTF'!D$5,FALSE)</f>
        <v>40.981028357385391</v>
      </c>
      <c r="E40">
        <f>VLOOKUP($B40,'Raw RTF'!$B$8:$Q$1000,'Raw RTF'!E$5,FALSE)</f>
        <v>45</v>
      </c>
      <c r="F40">
        <f>VLOOKUP($B40,'Raw RTF'!$B$8:$Q$1000,'Raw RTF'!F$5,FALSE)</f>
        <v>23.269535952606116</v>
      </c>
      <c r="G40">
        <f>VLOOKUP($B40,'Raw RTF'!$B$8:$Q$1000,'Raw RTF'!G$5,FALSE)</f>
        <v>0</v>
      </c>
      <c r="H40" t="str">
        <f>VLOOKUP($B40,'Raw RTF'!$B$8:$Q$1000,'Raw RTF'!H$5,FALSE)</f>
        <v>ResSHWX</v>
      </c>
      <c r="I40">
        <f>VLOOKUP($B40,'Raw RTF'!$B$8:$Q$1000,'Raw RTF'!I$5,FALSE)</f>
        <v>0</v>
      </c>
      <c r="J40">
        <f>VLOOKUP($B40,'Raw RTF'!$B$8:$Q$1000,'Raw RTF'!J$5,FALSE)</f>
        <v>0</v>
      </c>
      <c r="K40">
        <f>VLOOKUP($B40,'Raw RTF'!$B$8:$Q$1000,'Raw RTF'!K$5,FALSE)</f>
        <v>0</v>
      </c>
      <c r="L40">
        <f>VLOOKUP($B40,'Raw RTF'!$B$8:$Q$1000,'Raw RTF'!L$5,FALSE)</f>
        <v>0</v>
      </c>
      <c r="M40">
        <f>VLOOKUP($B40,'Raw RTF'!$B$8:$Q$1000,'Raw RTF'!M$5,FALSE)</f>
        <v>0</v>
      </c>
      <c r="N40">
        <f>VLOOKUP($B40,'Raw RTF'!$B$8:$Q$1000,'Raw RTF'!N$5,FALSE)</f>
        <v>0</v>
      </c>
      <c r="O40">
        <f>VLOOKUP($B40,'Raw RTF'!$B$8:$Q$1000,'Raw RTF'!O$5,FALSE)</f>
        <v>0</v>
      </c>
      <c r="P40">
        <f>VLOOKUP($B40,'Raw RTF'!$B$8:$Q$1000,'Raw RTF'!P$5,FALSE)</f>
        <v>0</v>
      </c>
      <c r="Q40">
        <f>VLOOKUP($B40,'Raw RTF'!$B$8:$Q$1000,'Raw RTF'!Q$5,FALSE)</f>
        <v>0</v>
      </c>
    </row>
    <row r="41" spans="1:17" ht="38.25">
      <c r="A41" t="str">
        <f t="shared" si="1"/>
        <v>Windows - Double Pane to Class 22 - Heating Zone 3 (Zonal Heating System)WINDOW CL22 Prime Window Replacement of Double Pane Base</v>
      </c>
      <c r="B41" s="99" t="str">
        <f>'Raw RTF'!B117</f>
        <v>Windows - Double Pane to Class 22 - Heating Zone 3 (Zonal Heating System)</v>
      </c>
      <c r="C41" s="99" t="s">
        <v>75</v>
      </c>
      <c r="D41">
        <f>VLOOKUP($B41,'Raw RTF'!$B$8:$Q$1000,'Raw RTF'!D$5,FALSE)</f>
        <v>24.760995799935891</v>
      </c>
      <c r="E41">
        <f>VLOOKUP($B41,'Raw RTF'!$B$8:$Q$1000,'Raw RTF'!E$5,FALSE)</f>
        <v>45</v>
      </c>
      <c r="F41">
        <f>VLOOKUP($B41,'Raw RTF'!$B$8:$Q$1000,'Raw RTF'!F$5,FALSE)</f>
        <v>23.269535952606116</v>
      </c>
      <c r="G41">
        <f>VLOOKUP($B41,'Raw RTF'!$B$8:$Q$1000,'Raw RTF'!G$5,FALSE)</f>
        <v>0</v>
      </c>
      <c r="H41" t="str">
        <f>VLOOKUP($B41,'Raw RTF'!$B$8:$Q$1000,'Raw RTF'!H$5,FALSE)</f>
        <v>ResSHWX</v>
      </c>
      <c r="I41">
        <f>VLOOKUP($B41,'Raw RTF'!$B$8:$Q$1000,'Raw RTF'!I$5,FALSE)</f>
        <v>0</v>
      </c>
      <c r="J41">
        <f>VLOOKUP($B41,'Raw RTF'!$B$8:$Q$1000,'Raw RTF'!J$5,FALSE)</f>
        <v>0</v>
      </c>
      <c r="K41">
        <f>VLOOKUP($B41,'Raw RTF'!$B$8:$Q$1000,'Raw RTF'!K$5,FALSE)</f>
        <v>0</v>
      </c>
      <c r="L41">
        <f>VLOOKUP($B41,'Raw RTF'!$B$8:$Q$1000,'Raw RTF'!L$5,FALSE)</f>
        <v>0</v>
      </c>
      <c r="M41">
        <f>VLOOKUP($B41,'Raw RTF'!$B$8:$Q$1000,'Raw RTF'!M$5,FALSE)</f>
        <v>0</v>
      </c>
      <c r="N41">
        <f>VLOOKUP($B41,'Raw RTF'!$B$8:$Q$1000,'Raw RTF'!N$5,FALSE)</f>
        <v>0</v>
      </c>
      <c r="O41">
        <f>VLOOKUP($B41,'Raw RTF'!$B$8:$Q$1000,'Raw RTF'!O$5,FALSE)</f>
        <v>0</v>
      </c>
      <c r="P41">
        <f>VLOOKUP($B41,'Raw RTF'!$B$8:$Q$1000,'Raw RTF'!P$5,FALSE)</f>
        <v>0</v>
      </c>
      <c r="Q41">
        <f>VLOOKUP($B41,'Raw RTF'!$B$8:$Q$1000,'Raw RTF'!Q$5,FALSE)</f>
        <v>0</v>
      </c>
    </row>
    <row r="42" spans="1:17" ht="38.25">
      <c r="A42" t="str">
        <f t="shared" si="1"/>
        <v>Windows - Single Pane to Class 30 - Heating Zone 3 (Zonal Heating System)WINDOW CL30 Prime Window Replacement of Single Pane Base</v>
      </c>
      <c r="B42" s="99" t="str">
        <f>'Raw RTF'!B118</f>
        <v>Windows - Single Pane to Class 30 - Heating Zone 3 (Zonal Heating System)</v>
      </c>
      <c r="C42" s="99" t="s">
        <v>72</v>
      </c>
      <c r="D42">
        <f>VLOOKUP($B42,'Raw RTF'!$B$8:$Q$1000,'Raw RTF'!D$5,FALSE)</f>
        <v>37.57358426914918</v>
      </c>
      <c r="E42">
        <f>VLOOKUP($B42,'Raw RTF'!$B$8:$Q$1000,'Raw RTF'!E$5,FALSE)</f>
        <v>45</v>
      </c>
      <c r="F42">
        <f>VLOOKUP($B42,'Raw RTF'!$B$8:$Q$1000,'Raw RTF'!F$5,FALSE)</f>
        <v>17.810142881355933</v>
      </c>
      <c r="G42">
        <f>VLOOKUP($B42,'Raw RTF'!$B$8:$Q$1000,'Raw RTF'!G$5,FALSE)</f>
        <v>0</v>
      </c>
      <c r="H42" t="str">
        <f>VLOOKUP($B42,'Raw RTF'!$B$8:$Q$1000,'Raw RTF'!H$5,FALSE)</f>
        <v>ResSHWX</v>
      </c>
      <c r="I42">
        <f>VLOOKUP($B42,'Raw RTF'!$B$8:$Q$1000,'Raw RTF'!I$5,FALSE)</f>
        <v>0</v>
      </c>
      <c r="J42">
        <f>VLOOKUP($B42,'Raw RTF'!$B$8:$Q$1000,'Raw RTF'!J$5,FALSE)</f>
        <v>0</v>
      </c>
      <c r="K42">
        <f>VLOOKUP($B42,'Raw RTF'!$B$8:$Q$1000,'Raw RTF'!K$5,FALSE)</f>
        <v>0</v>
      </c>
      <c r="L42">
        <f>VLOOKUP($B42,'Raw RTF'!$B$8:$Q$1000,'Raw RTF'!L$5,FALSE)</f>
        <v>0</v>
      </c>
      <c r="M42">
        <f>VLOOKUP($B42,'Raw RTF'!$B$8:$Q$1000,'Raw RTF'!M$5,FALSE)</f>
        <v>0</v>
      </c>
      <c r="N42">
        <f>VLOOKUP($B42,'Raw RTF'!$B$8:$Q$1000,'Raw RTF'!N$5,FALSE)</f>
        <v>0</v>
      </c>
      <c r="O42">
        <f>VLOOKUP($B42,'Raw RTF'!$B$8:$Q$1000,'Raw RTF'!O$5,FALSE)</f>
        <v>0</v>
      </c>
      <c r="P42">
        <f>VLOOKUP($B42,'Raw RTF'!$B$8:$Q$1000,'Raw RTF'!P$5,FALSE)</f>
        <v>0</v>
      </c>
      <c r="Q42">
        <f>VLOOKUP($B42,'Raw RTF'!$B$8:$Q$1000,'Raw RTF'!Q$5,FALSE)</f>
        <v>0</v>
      </c>
    </row>
    <row r="43" spans="1:17" ht="38.25">
      <c r="A43" t="str">
        <f t="shared" si="1"/>
        <v>Windows - Double Pane to Class 30 - Heating Zone 3 (Zonal Heating System)WINDOW CL30 Prime Window Replacement of Double Pane Base</v>
      </c>
      <c r="B43" s="99" t="str">
        <f>'Raw RTF'!B119</f>
        <v>Windows - Double Pane to Class 30 - Heating Zone 3 (Zonal Heating System)</v>
      </c>
      <c r="C43" s="99" t="s">
        <v>73</v>
      </c>
      <c r="D43">
        <f>VLOOKUP($B43,'Raw RTF'!$B$8:$Q$1000,'Raw RTF'!D$5,FALSE)</f>
        <v>21.353551711699687</v>
      </c>
      <c r="E43">
        <f>VLOOKUP($B43,'Raw RTF'!$B$8:$Q$1000,'Raw RTF'!E$5,FALSE)</f>
        <v>45</v>
      </c>
      <c r="F43">
        <f>VLOOKUP($B43,'Raw RTF'!$B$8:$Q$1000,'Raw RTF'!F$5,FALSE)</f>
        <v>17.810142881355933</v>
      </c>
      <c r="G43">
        <f>VLOOKUP($B43,'Raw RTF'!$B$8:$Q$1000,'Raw RTF'!G$5,FALSE)</f>
        <v>0</v>
      </c>
      <c r="H43" t="str">
        <f>VLOOKUP($B43,'Raw RTF'!$B$8:$Q$1000,'Raw RTF'!H$5,FALSE)</f>
        <v>ResSHWX</v>
      </c>
      <c r="I43">
        <f>VLOOKUP($B43,'Raw RTF'!$B$8:$Q$1000,'Raw RTF'!I$5,FALSE)</f>
        <v>0</v>
      </c>
      <c r="J43">
        <f>VLOOKUP($B43,'Raw RTF'!$B$8:$Q$1000,'Raw RTF'!J$5,FALSE)</f>
        <v>0</v>
      </c>
      <c r="K43">
        <f>VLOOKUP($B43,'Raw RTF'!$B$8:$Q$1000,'Raw RTF'!K$5,FALSE)</f>
        <v>0</v>
      </c>
      <c r="L43">
        <f>VLOOKUP($B43,'Raw RTF'!$B$8:$Q$1000,'Raw RTF'!L$5,FALSE)</f>
        <v>0</v>
      </c>
      <c r="M43">
        <f>VLOOKUP($B43,'Raw RTF'!$B$8:$Q$1000,'Raw RTF'!M$5,FALSE)</f>
        <v>0</v>
      </c>
      <c r="N43">
        <f>VLOOKUP($B43,'Raw RTF'!$B$8:$Q$1000,'Raw RTF'!N$5,FALSE)</f>
        <v>0</v>
      </c>
      <c r="O43">
        <f>VLOOKUP($B43,'Raw RTF'!$B$8:$Q$1000,'Raw RTF'!O$5,FALSE)</f>
        <v>0</v>
      </c>
      <c r="P43">
        <f>VLOOKUP($B43,'Raw RTF'!$B$8:$Q$1000,'Raw RTF'!P$5,FALSE)</f>
        <v>0</v>
      </c>
      <c r="Q43">
        <f>VLOOKUP($B43,'Raw RTF'!$B$8:$Q$1000,'Raw RTF'!Q$5,FALSE)</f>
        <v>0</v>
      </c>
    </row>
    <row r="44" spans="1:17" ht="25.5">
      <c r="A44" t="str">
        <f t="shared" si="1"/>
        <v>Multi Family Weatherization - Insulate Walls - R-0 to R-11 - Heating Zone 1 (Electric FAF Heating System)WALL R0 - R11</v>
      </c>
      <c r="B44" s="99" t="str">
        <f>'Raw RTF'!B122</f>
        <v>Multi Family Weatherization - Insulate Walls - R-0 to R-11 - Heating Zone 1 (Electric FAF Heating System)</v>
      </c>
      <c r="C44" s="99" t="s">
        <v>69</v>
      </c>
      <c r="D44">
        <f>VLOOKUP($B44,'Raw RTF'!$B$8:$Q$1000,'Raw RTF'!D$5,FALSE)</f>
        <v>1.3941850139456249</v>
      </c>
      <c r="E44">
        <f>VLOOKUP($B44,'Raw RTF'!$B$8:$Q$1000,'Raw RTF'!E$5,FALSE)</f>
        <v>45</v>
      </c>
      <c r="F44">
        <f>VLOOKUP($B44,'Raw RTF'!$B$8:$Q$1000,'Raw RTF'!F$5,FALSE)</f>
        <v>1.0354836592527603</v>
      </c>
      <c r="G44">
        <f>VLOOKUP($B44,'Raw RTF'!$B$8:$Q$1000,'Raw RTF'!G$5,FALSE)</f>
        <v>0</v>
      </c>
      <c r="H44" t="str">
        <f>VLOOKUP($B44,'Raw RTF'!$B$8:$Q$1000,'Raw RTF'!H$5,FALSE)</f>
        <v>ResSHWX</v>
      </c>
      <c r="I44">
        <f>VLOOKUP($B44,'Raw RTF'!$B$8:$Q$1000,'Raw RTF'!I$5,FALSE)</f>
        <v>0</v>
      </c>
      <c r="J44">
        <f>VLOOKUP($B44,'Raw RTF'!$B$8:$Q$1000,'Raw RTF'!J$5,FALSE)</f>
        <v>0</v>
      </c>
      <c r="K44">
        <f>VLOOKUP($B44,'Raw RTF'!$B$8:$Q$1000,'Raw RTF'!K$5,FALSE)</f>
        <v>0</v>
      </c>
      <c r="L44">
        <f>VLOOKUP($B44,'Raw RTF'!$B$8:$Q$1000,'Raw RTF'!L$5,FALSE)</f>
        <v>0</v>
      </c>
      <c r="M44">
        <f>VLOOKUP($B44,'Raw RTF'!$B$8:$Q$1000,'Raw RTF'!M$5,FALSE)</f>
        <v>0</v>
      </c>
      <c r="N44">
        <f>VLOOKUP($B44,'Raw RTF'!$B$8:$Q$1000,'Raw RTF'!N$5,FALSE)</f>
        <v>0</v>
      </c>
      <c r="O44">
        <f>VLOOKUP($B44,'Raw RTF'!$B$8:$Q$1000,'Raw RTF'!O$5,FALSE)</f>
        <v>0</v>
      </c>
      <c r="P44">
        <f>VLOOKUP($B44,'Raw RTF'!$B$8:$Q$1000,'Raw RTF'!P$5,FALSE)</f>
        <v>0</v>
      </c>
      <c r="Q44">
        <f>VLOOKUP($B44,'Raw RTF'!$B$8:$Q$1000,'Raw RTF'!Q$5,FALSE)</f>
        <v>0</v>
      </c>
    </row>
    <row r="45" spans="1:17" ht="25.5">
      <c r="A45" t="str">
        <f t="shared" si="1"/>
        <v>Multi Family Weatherization - Insulate Floors - R-0 to R-19 - Heating Zone 1 (Electric FAF Heating System)FLOOR R0 - R19</v>
      </c>
      <c r="B45" s="99" t="str">
        <f>'Raw RTF'!B123</f>
        <v>Multi Family Weatherization - Insulate Floors - R-0 to R-19 - Heating Zone 1 (Electric FAF Heating System)</v>
      </c>
      <c r="C45" s="99" t="s">
        <v>70</v>
      </c>
      <c r="D45">
        <f>VLOOKUP($B45,'Raw RTF'!$B$8:$Q$1000,'Raw RTF'!D$5,FALSE)</f>
        <v>0.61473698631310125</v>
      </c>
      <c r="E45">
        <f>VLOOKUP($B45,'Raw RTF'!$B$8:$Q$1000,'Raw RTF'!E$5,FALSE)</f>
        <v>45</v>
      </c>
      <c r="F45">
        <f>VLOOKUP($B45,'Raw RTF'!$B$8:$Q$1000,'Raw RTF'!F$5,FALSE)</f>
        <v>0.91799940108959477</v>
      </c>
      <c r="G45">
        <f>VLOOKUP($B45,'Raw RTF'!$B$8:$Q$1000,'Raw RTF'!G$5,FALSE)</f>
        <v>0</v>
      </c>
      <c r="H45" t="str">
        <f>VLOOKUP($B45,'Raw RTF'!$B$8:$Q$1000,'Raw RTF'!H$5,FALSE)</f>
        <v>ResSHWX</v>
      </c>
      <c r="I45">
        <f>VLOOKUP($B45,'Raw RTF'!$B$8:$Q$1000,'Raw RTF'!I$5,FALSE)</f>
        <v>0</v>
      </c>
      <c r="J45">
        <f>VLOOKUP($B45,'Raw RTF'!$B$8:$Q$1000,'Raw RTF'!J$5,FALSE)</f>
        <v>0</v>
      </c>
      <c r="K45">
        <f>VLOOKUP($B45,'Raw RTF'!$B$8:$Q$1000,'Raw RTF'!K$5,FALSE)</f>
        <v>0</v>
      </c>
      <c r="L45">
        <f>VLOOKUP($B45,'Raw RTF'!$B$8:$Q$1000,'Raw RTF'!L$5,FALSE)</f>
        <v>0</v>
      </c>
      <c r="M45">
        <f>VLOOKUP($B45,'Raw RTF'!$B$8:$Q$1000,'Raw RTF'!M$5,FALSE)</f>
        <v>0</v>
      </c>
      <c r="N45">
        <f>VLOOKUP($B45,'Raw RTF'!$B$8:$Q$1000,'Raw RTF'!N$5,FALSE)</f>
        <v>0</v>
      </c>
      <c r="O45">
        <f>VLOOKUP($B45,'Raw RTF'!$B$8:$Q$1000,'Raw RTF'!O$5,FALSE)</f>
        <v>0</v>
      </c>
      <c r="P45">
        <f>VLOOKUP($B45,'Raw RTF'!$B$8:$Q$1000,'Raw RTF'!P$5,FALSE)</f>
        <v>0</v>
      </c>
      <c r="Q45">
        <f>VLOOKUP($B45,'Raw RTF'!$B$8:$Q$1000,'Raw RTF'!Q$5,FALSE)</f>
        <v>0</v>
      </c>
    </row>
    <row r="46" spans="1:17" ht="25.5">
      <c r="A46" t="str">
        <f t="shared" si="1"/>
        <v>Multi Family Weatherization - Insulate Floors - R-0 to R-30 - Heating Zone 1 (Electric FAF Heating System)FLOOR R0 - R30</v>
      </c>
      <c r="B46" s="99" t="str">
        <f>'Raw RTF'!B124</f>
        <v>Multi Family Weatherization - Insulate Floors - R-0 to R-30 - Heating Zone 1 (Electric FAF Heating System)</v>
      </c>
      <c r="C46" s="99" t="s">
        <v>71</v>
      </c>
      <c r="D46">
        <f>VLOOKUP($B46,'Raw RTF'!$B$8:$Q$1000,'Raw RTF'!D$5,FALSE)</f>
        <v>0.80054358999946484</v>
      </c>
      <c r="E46">
        <f>VLOOKUP($B46,'Raw RTF'!$B$8:$Q$1000,'Raw RTF'!E$5,FALSE)</f>
        <v>45</v>
      </c>
      <c r="F46">
        <f>VLOOKUP($B46,'Raw RTF'!$B$8:$Q$1000,'Raw RTF'!F$5,FALSE)</f>
        <v>0.98244865861375763</v>
      </c>
      <c r="G46">
        <f>VLOOKUP($B46,'Raw RTF'!$B$8:$Q$1000,'Raw RTF'!G$5,FALSE)</f>
        <v>0</v>
      </c>
      <c r="H46" t="str">
        <f>VLOOKUP($B46,'Raw RTF'!$B$8:$Q$1000,'Raw RTF'!H$5,FALSE)</f>
        <v>ResSHWX</v>
      </c>
      <c r="I46">
        <f>VLOOKUP($B46,'Raw RTF'!$B$8:$Q$1000,'Raw RTF'!I$5,FALSE)</f>
        <v>0</v>
      </c>
      <c r="J46">
        <f>VLOOKUP($B46,'Raw RTF'!$B$8:$Q$1000,'Raw RTF'!J$5,FALSE)</f>
        <v>0</v>
      </c>
      <c r="K46">
        <f>VLOOKUP($B46,'Raw RTF'!$B$8:$Q$1000,'Raw RTF'!K$5,FALSE)</f>
        <v>0</v>
      </c>
      <c r="L46">
        <f>VLOOKUP($B46,'Raw RTF'!$B$8:$Q$1000,'Raw RTF'!L$5,FALSE)</f>
        <v>0</v>
      </c>
      <c r="M46">
        <f>VLOOKUP($B46,'Raw RTF'!$B$8:$Q$1000,'Raw RTF'!M$5,FALSE)</f>
        <v>0</v>
      </c>
      <c r="N46">
        <f>VLOOKUP($B46,'Raw RTF'!$B$8:$Q$1000,'Raw RTF'!N$5,FALSE)</f>
        <v>0</v>
      </c>
      <c r="O46">
        <f>VLOOKUP($B46,'Raw RTF'!$B$8:$Q$1000,'Raw RTF'!O$5,FALSE)</f>
        <v>0</v>
      </c>
      <c r="P46">
        <f>VLOOKUP($B46,'Raw RTF'!$B$8:$Q$1000,'Raw RTF'!P$5,FALSE)</f>
        <v>0</v>
      </c>
      <c r="Q46">
        <f>VLOOKUP($B46,'Raw RTF'!$B$8:$Q$1000,'Raw RTF'!Q$5,FALSE)</f>
        <v>0</v>
      </c>
    </row>
    <row r="47" spans="1:17" ht="25.5">
      <c r="A47" t="str">
        <f t="shared" si="1"/>
        <v>Multi Family Weatherization - Insulate Attic - R-0 to R-19 - Heating Zone 1 (Electric FAF Heating System)ATTIC R0 - R19</v>
      </c>
      <c r="B47" s="99" t="str">
        <f>'Raw RTF'!B126</f>
        <v>Multi Family Weatherization - Insulate Attic - R-0 to R-19 - Heating Zone 1 (Electric FAF Heating System)</v>
      </c>
      <c r="C47" s="99" t="s">
        <v>1080</v>
      </c>
      <c r="D47">
        <f>VLOOKUP($B47,'Raw RTF'!$B$8:$Q$1000,'Raw RTF'!D$5,FALSE)</f>
        <v>0.49665947495840923</v>
      </c>
      <c r="E47">
        <f>VLOOKUP($B47,'Raw RTF'!$B$8:$Q$1000,'Raw RTF'!E$5,FALSE)</f>
        <v>45</v>
      </c>
      <c r="F47">
        <f>VLOOKUP($B47,'Raw RTF'!$B$8:$Q$1000,'Raw RTF'!F$5,FALSE)</f>
        <v>0.54914779043329487</v>
      </c>
      <c r="G47">
        <f>VLOOKUP($B47,'Raw RTF'!$B$8:$Q$1000,'Raw RTF'!G$5,FALSE)</f>
        <v>0</v>
      </c>
      <c r="H47" t="str">
        <f>VLOOKUP($B47,'Raw RTF'!$B$8:$Q$1000,'Raw RTF'!H$5,FALSE)</f>
        <v>ResSHWX</v>
      </c>
      <c r="I47">
        <f>VLOOKUP($B47,'Raw RTF'!$B$8:$Q$1000,'Raw RTF'!I$5,FALSE)</f>
        <v>0</v>
      </c>
      <c r="J47">
        <f>VLOOKUP($B47,'Raw RTF'!$B$8:$Q$1000,'Raw RTF'!J$5,FALSE)</f>
        <v>0</v>
      </c>
      <c r="K47">
        <f>VLOOKUP($B47,'Raw RTF'!$B$8:$Q$1000,'Raw RTF'!K$5,FALSE)</f>
        <v>0</v>
      </c>
      <c r="L47">
        <f>VLOOKUP($B47,'Raw RTF'!$B$8:$Q$1000,'Raw RTF'!L$5,FALSE)</f>
        <v>0</v>
      </c>
      <c r="M47">
        <f>VLOOKUP($B47,'Raw RTF'!$B$8:$Q$1000,'Raw RTF'!M$5,FALSE)</f>
        <v>0</v>
      </c>
      <c r="N47">
        <f>VLOOKUP($B47,'Raw RTF'!$B$8:$Q$1000,'Raw RTF'!N$5,FALSE)</f>
        <v>0</v>
      </c>
      <c r="O47">
        <f>VLOOKUP($B47,'Raw RTF'!$B$8:$Q$1000,'Raw RTF'!O$5,FALSE)</f>
        <v>0</v>
      </c>
      <c r="P47">
        <f>VLOOKUP($B47,'Raw RTF'!$B$8:$Q$1000,'Raw RTF'!P$5,FALSE)</f>
        <v>0</v>
      </c>
      <c r="Q47">
        <f>VLOOKUP($B47,'Raw RTF'!$B$8:$Q$1000,'Raw RTF'!Q$5,FALSE)</f>
        <v>0</v>
      </c>
    </row>
    <row r="48" spans="1:17" ht="25.5">
      <c r="A48" t="str">
        <f t="shared" si="1"/>
        <v>Multi Family Weatherization - Insulate Attic - R-0 to R-38 - Heating Zone 1 (Electric FAF Heating System)ATTIC R0 - R38</v>
      </c>
      <c r="B48" s="99" t="str">
        <f>'Raw RTF'!B127</f>
        <v>Multi Family Weatherization - Insulate Attic - R-0 to R-38 - Heating Zone 1 (Electric FAF Heating System)</v>
      </c>
      <c r="C48" s="99" t="s">
        <v>65</v>
      </c>
      <c r="D48">
        <f>VLOOKUP($B48,'Raw RTF'!$B$8:$Q$1000,'Raw RTF'!D$5,FALSE)</f>
        <v>0.6764269730438639</v>
      </c>
      <c r="E48">
        <f>VLOOKUP($B48,'Raw RTF'!$B$8:$Q$1000,'Raw RTF'!E$5,FALSE)</f>
        <v>45</v>
      </c>
      <c r="F48">
        <f>VLOOKUP($B48,'Raw RTF'!$B$8:$Q$1000,'Raw RTF'!F$5,FALSE)</f>
        <v>0.73246728560336305</v>
      </c>
      <c r="G48">
        <f>VLOOKUP($B48,'Raw RTF'!$B$8:$Q$1000,'Raw RTF'!G$5,FALSE)</f>
        <v>0</v>
      </c>
      <c r="H48" t="str">
        <f>VLOOKUP($B48,'Raw RTF'!$B$8:$Q$1000,'Raw RTF'!H$5,FALSE)</f>
        <v>ResSHWX</v>
      </c>
      <c r="I48">
        <f>VLOOKUP($B48,'Raw RTF'!$B$8:$Q$1000,'Raw RTF'!I$5,FALSE)</f>
        <v>0</v>
      </c>
      <c r="J48">
        <f>VLOOKUP($B48,'Raw RTF'!$B$8:$Q$1000,'Raw RTF'!J$5,FALSE)</f>
        <v>0</v>
      </c>
      <c r="K48">
        <f>VLOOKUP($B48,'Raw RTF'!$B$8:$Q$1000,'Raw RTF'!K$5,FALSE)</f>
        <v>0</v>
      </c>
      <c r="L48">
        <f>VLOOKUP($B48,'Raw RTF'!$B$8:$Q$1000,'Raw RTF'!L$5,FALSE)</f>
        <v>0</v>
      </c>
      <c r="M48">
        <f>VLOOKUP($B48,'Raw RTF'!$B$8:$Q$1000,'Raw RTF'!M$5,FALSE)</f>
        <v>0</v>
      </c>
      <c r="N48">
        <f>VLOOKUP($B48,'Raw RTF'!$B$8:$Q$1000,'Raw RTF'!N$5,FALSE)</f>
        <v>0</v>
      </c>
      <c r="O48">
        <f>VLOOKUP($B48,'Raw RTF'!$B$8:$Q$1000,'Raw RTF'!O$5,FALSE)</f>
        <v>0</v>
      </c>
      <c r="P48">
        <f>VLOOKUP($B48,'Raw RTF'!$B$8:$Q$1000,'Raw RTF'!P$5,FALSE)</f>
        <v>0</v>
      </c>
      <c r="Q48">
        <f>VLOOKUP($B48,'Raw RTF'!$B$8:$Q$1000,'Raw RTF'!Q$5,FALSE)</f>
        <v>0</v>
      </c>
    </row>
    <row r="49" spans="1:17" ht="25.5">
      <c r="A49" t="str">
        <f t="shared" si="1"/>
        <v>Multi Family Weatherization - Insulate Attic - R-0 to R-49 - Heating Zone 1 (Electric FAF Heating System)ATTIC R0 - R49</v>
      </c>
      <c r="B49" s="99" t="str">
        <f>'Raw RTF'!B128</f>
        <v>Multi Family Weatherization - Insulate Attic - R-0 to R-49 - Heating Zone 1 (Electric FAF Heating System)</v>
      </c>
      <c r="C49" s="99" t="s">
        <v>66</v>
      </c>
      <c r="D49">
        <f>VLOOKUP($B49,'Raw RTF'!$B$8:$Q$1000,'Raw RTF'!D$5,FALSE)</f>
        <v>0.71811130680556834</v>
      </c>
      <c r="E49">
        <f>VLOOKUP($B49,'Raw RTF'!$B$8:$Q$1000,'Raw RTF'!E$5,FALSE)</f>
        <v>45</v>
      </c>
      <c r="F49">
        <f>VLOOKUP($B49,'Raw RTF'!$B$8:$Q$1000,'Raw RTF'!F$5,FALSE)</f>
        <v>0.83087905114745864</v>
      </c>
      <c r="G49">
        <f>VLOOKUP($B49,'Raw RTF'!$B$8:$Q$1000,'Raw RTF'!G$5,FALSE)</f>
        <v>0</v>
      </c>
      <c r="H49" t="str">
        <f>VLOOKUP($B49,'Raw RTF'!$B$8:$Q$1000,'Raw RTF'!H$5,FALSE)</f>
        <v>ResSHWX</v>
      </c>
      <c r="I49">
        <f>VLOOKUP($B49,'Raw RTF'!$B$8:$Q$1000,'Raw RTF'!I$5,FALSE)</f>
        <v>0</v>
      </c>
      <c r="J49">
        <f>VLOOKUP($B49,'Raw RTF'!$B$8:$Q$1000,'Raw RTF'!J$5,FALSE)</f>
        <v>0</v>
      </c>
      <c r="K49">
        <f>VLOOKUP($B49,'Raw RTF'!$B$8:$Q$1000,'Raw RTF'!K$5,FALSE)</f>
        <v>0</v>
      </c>
      <c r="L49">
        <f>VLOOKUP($B49,'Raw RTF'!$B$8:$Q$1000,'Raw RTF'!L$5,FALSE)</f>
        <v>0</v>
      </c>
      <c r="M49">
        <f>VLOOKUP($B49,'Raw RTF'!$B$8:$Q$1000,'Raw RTF'!M$5,FALSE)</f>
        <v>0</v>
      </c>
      <c r="N49">
        <f>VLOOKUP($B49,'Raw RTF'!$B$8:$Q$1000,'Raw RTF'!N$5,FALSE)</f>
        <v>0</v>
      </c>
      <c r="O49">
        <f>VLOOKUP($B49,'Raw RTF'!$B$8:$Q$1000,'Raw RTF'!O$5,FALSE)</f>
        <v>0</v>
      </c>
      <c r="P49">
        <f>VLOOKUP($B49,'Raw RTF'!$B$8:$Q$1000,'Raw RTF'!P$5,FALSE)</f>
        <v>0</v>
      </c>
      <c r="Q49">
        <f>VLOOKUP($B49,'Raw RTF'!$B$8:$Q$1000,'Raw RTF'!Q$5,FALSE)</f>
        <v>0</v>
      </c>
    </row>
    <row r="50" spans="1:17" ht="25.5">
      <c r="A50" t="str">
        <f t="shared" si="1"/>
        <v>Multi Family Weatherization - Insulate Attic - R-19 to R-30 - Heating Zone 1 (Electric FAF Heating System)ATTIC R19 - R30</v>
      </c>
      <c r="B50" s="99" t="str">
        <f>'Raw RTF'!B132</f>
        <v>Multi Family Weatherization - Insulate Attic - R-19 to R-30 - Heating Zone 1 (Electric FAF Heating System)</v>
      </c>
      <c r="C50" s="99" t="s">
        <v>1081</v>
      </c>
      <c r="D50">
        <f>VLOOKUP($B50,'Raw RTF'!$B$8:$Q$1000,'Raw RTF'!D$5,FALSE)</f>
        <v>0.13028257431113613</v>
      </c>
      <c r="E50">
        <f>VLOOKUP($B50,'Raw RTF'!$B$8:$Q$1000,'Raw RTF'!E$5,FALSE)</f>
        <v>45</v>
      </c>
      <c r="F50">
        <f>VLOOKUP($B50,'Raw RTF'!$B$8:$Q$1000,'Raw RTF'!F$5,FALSE)</f>
        <v>0.47401945424285125</v>
      </c>
      <c r="G50">
        <f>VLOOKUP($B50,'Raw RTF'!$B$8:$Q$1000,'Raw RTF'!G$5,FALSE)</f>
        <v>0</v>
      </c>
      <c r="H50" t="str">
        <f>VLOOKUP($B50,'Raw RTF'!$B$8:$Q$1000,'Raw RTF'!H$5,FALSE)</f>
        <v>ResSHWX</v>
      </c>
      <c r="I50">
        <f>VLOOKUP($B50,'Raw RTF'!$B$8:$Q$1000,'Raw RTF'!I$5,FALSE)</f>
        <v>0</v>
      </c>
      <c r="J50">
        <f>VLOOKUP($B50,'Raw RTF'!$B$8:$Q$1000,'Raw RTF'!J$5,FALSE)</f>
        <v>0</v>
      </c>
      <c r="K50">
        <f>VLOOKUP($B50,'Raw RTF'!$B$8:$Q$1000,'Raw RTF'!K$5,FALSE)</f>
        <v>0</v>
      </c>
      <c r="L50">
        <f>VLOOKUP($B50,'Raw RTF'!$B$8:$Q$1000,'Raw RTF'!L$5,FALSE)</f>
        <v>0</v>
      </c>
      <c r="M50">
        <f>VLOOKUP($B50,'Raw RTF'!$B$8:$Q$1000,'Raw RTF'!M$5,FALSE)</f>
        <v>0</v>
      </c>
      <c r="N50">
        <f>VLOOKUP($B50,'Raw RTF'!$B$8:$Q$1000,'Raw RTF'!N$5,FALSE)</f>
        <v>0</v>
      </c>
      <c r="O50">
        <f>VLOOKUP($B50,'Raw RTF'!$B$8:$Q$1000,'Raw RTF'!O$5,FALSE)</f>
        <v>0</v>
      </c>
      <c r="P50">
        <f>VLOOKUP($B50,'Raw RTF'!$B$8:$Q$1000,'Raw RTF'!P$5,FALSE)</f>
        <v>0</v>
      </c>
      <c r="Q50">
        <f>VLOOKUP($B50,'Raw RTF'!$B$8:$Q$1000,'Raw RTF'!Q$5,FALSE)</f>
        <v>0</v>
      </c>
    </row>
    <row r="51" spans="1:17" ht="25.5">
      <c r="A51" t="str">
        <f t="shared" si="1"/>
        <v>Multi Family Weatherization - Insulate Attic - R-19 to R-38 - Heating Zone 1 (Electric FAF Heating System)ATTIC R19 - R38</v>
      </c>
      <c r="B51" s="99" t="str">
        <f>'Raw RTF'!B133</f>
        <v>Multi Family Weatherization - Insulate Attic - R-19 to R-38 - Heating Zone 1 (Electric FAF Heating System)</v>
      </c>
      <c r="C51" s="99" t="s">
        <v>67</v>
      </c>
      <c r="D51">
        <f>VLOOKUP($B51,'Raw RTF'!$B$8:$Q$1000,'Raw RTF'!D$5,FALSE)</f>
        <v>0.17976749808545464</v>
      </c>
      <c r="E51">
        <f>VLOOKUP($B51,'Raw RTF'!$B$8:$Q$1000,'Raw RTF'!E$5,FALSE)</f>
        <v>45</v>
      </c>
      <c r="F51">
        <f>VLOOKUP($B51,'Raw RTF'!$B$8:$Q$1000,'Raw RTF'!F$5,FALSE)</f>
        <v>0.55283834686255773</v>
      </c>
      <c r="G51">
        <f>VLOOKUP($B51,'Raw RTF'!$B$8:$Q$1000,'Raw RTF'!G$5,FALSE)</f>
        <v>0</v>
      </c>
      <c r="H51" t="str">
        <f>VLOOKUP($B51,'Raw RTF'!$B$8:$Q$1000,'Raw RTF'!H$5,FALSE)</f>
        <v>ResSHWX</v>
      </c>
      <c r="I51">
        <f>VLOOKUP($B51,'Raw RTF'!$B$8:$Q$1000,'Raw RTF'!I$5,FALSE)</f>
        <v>0</v>
      </c>
      <c r="J51">
        <f>VLOOKUP($B51,'Raw RTF'!$B$8:$Q$1000,'Raw RTF'!J$5,FALSE)</f>
        <v>0</v>
      </c>
      <c r="K51">
        <f>VLOOKUP($B51,'Raw RTF'!$B$8:$Q$1000,'Raw RTF'!K$5,FALSE)</f>
        <v>0</v>
      </c>
      <c r="L51">
        <f>VLOOKUP($B51,'Raw RTF'!$B$8:$Q$1000,'Raw RTF'!L$5,FALSE)</f>
        <v>0</v>
      </c>
      <c r="M51">
        <f>VLOOKUP($B51,'Raw RTF'!$B$8:$Q$1000,'Raw RTF'!M$5,FALSE)</f>
        <v>0</v>
      </c>
      <c r="N51">
        <f>VLOOKUP($B51,'Raw RTF'!$B$8:$Q$1000,'Raw RTF'!N$5,FALSE)</f>
        <v>0</v>
      </c>
      <c r="O51">
        <f>VLOOKUP($B51,'Raw RTF'!$B$8:$Q$1000,'Raw RTF'!O$5,FALSE)</f>
        <v>0</v>
      </c>
      <c r="P51">
        <f>VLOOKUP($B51,'Raw RTF'!$B$8:$Q$1000,'Raw RTF'!P$5,FALSE)</f>
        <v>0</v>
      </c>
      <c r="Q51">
        <f>VLOOKUP($B51,'Raw RTF'!$B$8:$Q$1000,'Raw RTF'!Q$5,FALSE)</f>
        <v>0</v>
      </c>
    </row>
    <row r="52" spans="1:17" ht="25.5">
      <c r="A52" t="str">
        <f t="shared" si="1"/>
        <v>Multi Family Weatherization - Insulate Attic - R-19 to R-49 - Heating Zone 1 (Electric FAF Heating System)ATTIC R19 - R49</v>
      </c>
      <c r="B52" s="99" t="str">
        <f>'Raw RTF'!B134</f>
        <v>Multi Family Weatherization - Insulate Attic - R-19 to R-49 - Heating Zone 1 (Electric FAF Heating System)</v>
      </c>
      <c r="C52" s="99" t="s">
        <v>68</v>
      </c>
      <c r="D52">
        <f>VLOOKUP($B52,'Raw RTF'!$B$8:$Q$1000,'Raw RTF'!D$5,FALSE)</f>
        <v>0.22145183184715905</v>
      </c>
      <c r="E52">
        <f>VLOOKUP($B52,'Raw RTF'!$B$8:$Q$1000,'Raw RTF'!E$5,FALSE)</f>
        <v>45</v>
      </c>
      <c r="F52">
        <f>VLOOKUP($B52,'Raw RTF'!$B$8:$Q$1000,'Raw RTF'!F$5,FALSE)</f>
        <v>0.65683404823881342</v>
      </c>
      <c r="G52">
        <f>VLOOKUP($B52,'Raw RTF'!$B$8:$Q$1000,'Raw RTF'!G$5,FALSE)</f>
        <v>0</v>
      </c>
      <c r="H52" t="str">
        <f>VLOOKUP($B52,'Raw RTF'!$B$8:$Q$1000,'Raw RTF'!H$5,FALSE)</f>
        <v>ResSHWX</v>
      </c>
      <c r="I52">
        <f>VLOOKUP($B52,'Raw RTF'!$B$8:$Q$1000,'Raw RTF'!I$5,FALSE)</f>
        <v>0</v>
      </c>
      <c r="J52">
        <f>VLOOKUP($B52,'Raw RTF'!$B$8:$Q$1000,'Raw RTF'!J$5,FALSE)</f>
        <v>0</v>
      </c>
      <c r="K52">
        <f>VLOOKUP($B52,'Raw RTF'!$B$8:$Q$1000,'Raw RTF'!K$5,FALSE)</f>
        <v>0</v>
      </c>
      <c r="L52">
        <f>VLOOKUP($B52,'Raw RTF'!$B$8:$Q$1000,'Raw RTF'!L$5,FALSE)</f>
        <v>0</v>
      </c>
      <c r="M52">
        <f>VLOOKUP($B52,'Raw RTF'!$B$8:$Q$1000,'Raw RTF'!M$5,FALSE)</f>
        <v>0</v>
      </c>
      <c r="N52">
        <f>VLOOKUP($B52,'Raw RTF'!$B$8:$Q$1000,'Raw RTF'!N$5,FALSE)</f>
        <v>0</v>
      </c>
      <c r="O52">
        <f>VLOOKUP($B52,'Raw RTF'!$B$8:$Q$1000,'Raw RTF'!O$5,FALSE)</f>
        <v>0</v>
      </c>
      <c r="P52">
        <f>VLOOKUP($B52,'Raw RTF'!$B$8:$Q$1000,'Raw RTF'!P$5,FALSE)</f>
        <v>0</v>
      </c>
      <c r="Q52">
        <f>VLOOKUP($B52,'Raw RTF'!$B$8:$Q$1000,'Raw RTF'!Q$5,FALSE)</f>
        <v>0</v>
      </c>
    </row>
    <row r="53" spans="1:17" ht="38.25">
      <c r="A53" t="str">
        <f t="shared" si="1"/>
        <v>Windows - Single Pane to Class 22 - Heating Zone 1 (Electric FAF Heating System)WINDOW CL22 Prime Window Replacement of Single Pane Base</v>
      </c>
      <c r="B53" s="99" t="str">
        <f>'Raw RTF'!B135</f>
        <v>Windows - Single Pane to Class 22 - Heating Zone 1 (Electric FAF Heating System)</v>
      </c>
      <c r="C53" s="99" t="s">
        <v>74</v>
      </c>
      <c r="D53">
        <f>VLOOKUP($B53,'Raw RTF'!$B$8:$Q$1000,'Raw RTF'!D$5,FALSE)</f>
        <v>25.523466294305265</v>
      </c>
      <c r="E53">
        <f>VLOOKUP($B53,'Raw RTF'!$B$8:$Q$1000,'Raw RTF'!E$5,FALSE)</f>
        <v>45</v>
      </c>
      <c r="F53">
        <f>VLOOKUP($B53,'Raw RTF'!$B$8:$Q$1000,'Raw RTF'!F$5,FALSE)</f>
        <v>23.269535952606116</v>
      </c>
      <c r="G53">
        <f>VLOOKUP($B53,'Raw RTF'!$B$8:$Q$1000,'Raw RTF'!G$5,FALSE)</f>
        <v>0</v>
      </c>
      <c r="H53" t="str">
        <f>VLOOKUP($B53,'Raw RTF'!$B$8:$Q$1000,'Raw RTF'!H$5,FALSE)</f>
        <v>ResSHWX</v>
      </c>
      <c r="I53">
        <f>VLOOKUP($B53,'Raw RTF'!$B$8:$Q$1000,'Raw RTF'!I$5,FALSE)</f>
        <v>0</v>
      </c>
      <c r="J53">
        <f>VLOOKUP($B53,'Raw RTF'!$B$8:$Q$1000,'Raw RTF'!J$5,FALSE)</f>
        <v>0</v>
      </c>
      <c r="K53">
        <f>VLOOKUP($B53,'Raw RTF'!$B$8:$Q$1000,'Raw RTF'!K$5,FALSE)</f>
        <v>0</v>
      </c>
      <c r="L53">
        <f>VLOOKUP($B53,'Raw RTF'!$B$8:$Q$1000,'Raw RTF'!L$5,FALSE)</f>
        <v>0</v>
      </c>
      <c r="M53">
        <f>VLOOKUP($B53,'Raw RTF'!$B$8:$Q$1000,'Raw RTF'!M$5,FALSE)</f>
        <v>0</v>
      </c>
      <c r="N53">
        <f>VLOOKUP($B53,'Raw RTF'!$B$8:$Q$1000,'Raw RTF'!N$5,FALSE)</f>
        <v>0</v>
      </c>
      <c r="O53">
        <f>VLOOKUP($B53,'Raw RTF'!$B$8:$Q$1000,'Raw RTF'!O$5,FALSE)</f>
        <v>0</v>
      </c>
      <c r="P53">
        <f>VLOOKUP($B53,'Raw RTF'!$B$8:$Q$1000,'Raw RTF'!P$5,FALSE)</f>
        <v>0</v>
      </c>
      <c r="Q53">
        <f>VLOOKUP($B53,'Raw RTF'!$B$8:$Q$1000,'Raw RTF'!Q$5,FALSE)</f>
        <v>0</v>
      </c>
    </row>
    <row r="54" spans="1:17" ht="38.25">
      <c r="A54" t="str">
        <f t="shared" si="1"/>
        <v>Windows - Double Pane to Class 22 - Heating Zone 1 (Electric FAF Heating System)WINDOW CL22 Prime Window Replacement of Double Pane Base</v>
      </c>
      <c r="B54" s="99" t="str">
        <f>'Raw RTF'!B136</f>
        <v>Windows - Double Pane to Class 22 - Heating Zone 1 (Electric FAF Heating System)</v>
      </c>
      <c r="C54" s="99" t="s">
        <v>75</v>
      </c>
      <c r="D54">
        <f>VLOOKUP($B54,'Raw RTF'!$B$8:$Q$1000,'Raw RTF'!D$5,FALSE)</f>
        <v>14.991558405652484</v>
      </c>
      <c r="E54">
        <f>VLOOKUP($B54,'Raw RTF'!$B$8:$Q$1000,'Raw RTF'!E$5,FALSE)</f>
        <v>45</v>
      </c>
      <c r="F54">
        <f>VLOOKUP($B54,'Raw RTF'!$B$8:$Q$1000,'Raw RTF'!F$5,FALSE)</f>
        <v>23.269535952606116</v>
      </c>
      <c r="G54">
        <f>VLOOKUP($B54,'Raw RTF'!$B$8:$Q$1000,'Raw RTF'!G$5,FALSE)</f>
        <v>0</v>
      </c>
      <c r="H54" t="str">
        <f>VLOOKUP($B54,'Raw RTF'!$B$8:$Q$1000,'Raw RTF'!H$5,FALSE)</f>
        <v>ResSHWX</v>
      </c>
      <c r="I54">
        <f>VLOOKUP($B54,'Raw RTF'!$B$8:$Q$1000,'Raw RTF'!I$5,FALSE)</f>
        <v>0</v>
      </c>
      <c r="J54">
        <f>VLOOKUP($B54,'Raw RTF'!$B$8:$Q$1000,'Raw RTF'!J$5,FALSE)</f>
        <v>0</v>
      </c>
      <c r="K54">
        <f>VLOOKUP($B54,'Raw RTF'!$B$8:$Q$1000,'Raw RTF'!K$5,FALSE)</f>
        <v>0</v>
      </c>
      <c r="L54">
        <f>VLOOKUP($B54,'Raw RTF'!$B$8:$Q$1000,'Raw RTF'!L$5,FALSE)</f>
        <v>0</v>
      </c>
      <c r="M54">
        <f>VLOOKUP($B54,'Raw RTF'!$B$8:$Q$1000,'Raw RTF'!M$5,FALSE)</f>
        <v>0</v>
      </c>
      <c r="N54">
        <f>VLOOKUP($B54,'Raw RTF'!$B$8:$Q$1000,'Raw RTF'!N$5,FALSE)</f>
        <v>0</v>
      </c>
      <c r="O54">
        <f>VLOOKUP($B54,'Raw RTF'!$B$8:$Q$1000,'Raw RTF'!O$5,FALSE)</f>
        <v>0</v>
      </c>
      <c r="P54">
        <f>VLOOKUP($B54,'Raw RTF'!$B$8:$Q$1000,'Raw RTF'!P$5,FALSE)</f>
        <v>0</v>
      </c>
      <c r="Q54">
        <f>VLOOKUP($B54,'Raw RTF'!$B$8:$Q$1000,'Raw RTF'!Q$5,FALSE)</f>
        <v>0</v>
      </c>
    </row>
    <row r="55" spans="1:17" ht="38.25">
      <c r="A55" t="str">
        <f t="shared" ref="A55:A98" si="2">CONCATENATE(B55,C55)</f>
        <v>Windows - Single Pane to Class 30 - Heating Zone 1 (Electric FAF Heating System)WINDOW CL30 Prime Window Replacement of Single Pane Base</v>
      </c>
      <c r="B55" s="99" t="str">
        <f>'Raw RTF'!B137</f>
        <v>Windows - Single Pane to Class 30 - Heating Zone 1 (Electric FAF Heating System)</v>
      </c>
      <c r="C55" s="99" t="s">
        <v>72</v>
      </c>
      <c r="D55">
        <f>VLOOKUP($B55,'Raw RTF'!$B$8:$Q$1000,'Raw RTF'!D$5,FALSE)</f>
        <v>23.467902941309831</v>
      </c>
      <c r="E55">
        <f>VLOOKUP($B55,'Raw RTF'!$B$8:$Q$1000,'Raw RTF'!E$5,FALSE)</f>
        <v>45</v>
      </c>
      <c r="F55">
        <f>VLOOKUP($B55,'Raw RTF'!$B$8:$Q$1000,'Raw RTF'!F$5,FALSE)</f>
        <v>17.810142881355933</v>
      </c>
      <c r="G55">
        <f>VLOOKUP($B55,'Raw RTF'!$B$8:$Q$1000,'Raw RTF'!G$5,FALSE)</f>
        <v>0</v>
      </c>
      <c r="H55" t="str">
        <f>VLOOKUP($B55,'Raw RTF'!$B$8:$Q$1000,'Raw RTF'!H$5,FALSE)</f>
        <v>ResSHWX</v>
      </c>
      <c r="I55">
        <f>VLOOKUP($B55,'Raw RTF'!$B$8:$Q$1000,'Raw RTF'!I$5,FALSE)</f>
        <v>0</v>
      </c>
      <c r="J55">
        <f>VLOOKUP($B55,'Raw RTF'!$B$8:$Q$1000,'Raw RTF'!J$5,FALSE)</f>
        <v>0</v>
      </c>
      <c r="K55">
        <f>VLOOKUP($B55,'Raw RTF'!$B$8:$Q$1000,'Raw RTF'!K$5,FALSE)</f>
        <v>0</v>
      </c>
      <c r="L55">
        <f>VLOOKUP($B55,'Raw RTF'!$B$8:$Q$1000,'Raw RTF'!L$5,FALSE)</f>
        <v>0</v>
      </c>
      <c r="M55">
        <f>VLOOKUP($B55,'Raw RTF'!$B$8:$Q$1000,'Raw RTF'!M$5,FALSE)</f>
        <v>0</v>
      </c>
      <c r="N55">
        <f>VLOOKUP($B55,'Raw RTF'!$B$8:$Q$1000,'Raw RTF'!N$5,FALSE)</f>
        <v>0</v>
      </c>
      <c r="O55">
        <f>VLOOKUP($B55,'Raw RTF'!$B$8:$Q$1000,'Raw RTF'!O$5,FALSE)</f>
        <v>0</v>
      </c>
      <c r="P55">
        <f>VLOOKUP($B55,'Raw RTF'!$B$8:$Q$1000,'Raw RTF'!P$5,FALSE)</f>
        <v>0</v>
      </c>
      <c r="Q55">
        <f>VLOOKUP($B55,'Raw RTF'!$B$8:$Q$1000,'Raw RTF'!Q$5,FALSE)</f>
        <v>0</v>
      </c>
    </row>
    <row r="56" spans="1:17" ht="38.25">
      <c r="A56" t="str">
        <f t="shared" si="2"/>
        <v>Windows - Double Pane to Class 30 - Heating Zone 1 (Electric FAF Heating System)WINDOW CL30 Prime Window Replacement of Double Pane Base</v>
      </c>
      <c r="B56" s="99" t="str">
        <f>'Raw RTF'!B138</f>
        <v>Windows - Double Pane to Class 30 - Heating Zone 1 (Electric FAF Heating System)</v>
      </c>
      <c r="C56" s="99" t="s">
        <v>73</v>
      </c>
      <c r="D56">
        <f>VLOOKUP($B56,'Raw RTF'!$B$8:$Q$1000,'Raw RTF'!D$5,FALSE)</f>
        <v>12.93599505265705</v>
      </c>
      <c r="E56">
        <f>VLOOKUP($B56,'Raw RTF'!$B$8:$Q$1000,'Raw RTF'!E$5,FALSE)</f>
        <v>45</v>
      </c>
      <c r="F56">
        <f>VLOOKUP($B56,'Raw RTF'!$B$8:$Q$1000,'Raw RTF'!F$5,FALSE)</f>
        <v>17.810142881355933</v>
      </c>
      <c r="G56">
        <f>VLOOKUP($B56,'Raw RTF'!$B$8:$Q$1000,'Raw RTF'!G$5,FALSE)</f>
        <v>0</v>
      </c>
      <c r="H56" t="str">
        <f>VLOOKUP($B56,'Raw RTF'!$B$8:$Q$1000,'Raw RTF'!H$5,FALSE)</f>
        <v>ResSHWX</v>
      </c>
      <c r="I56">
        <f>VLOOKUP($B56,'Raw RTF'!$B$8:$Q$1000,'Raw RTF'!I$5,FALSE)</f>
        <v>0</v>
      </c>
      <c r="J56">
        <f>VLOOKUP($B56,'Raw RTF'!$B$8:$Q$1000,'Raw RTF'!J$5,FALSE)</f>
        <v>0</v>
      </c>
      <c r="K56">
        <f>VLOOKUP($B56,'Raw RTF'!$B$8:$Q$1000,'Raw RTF'!K$5,FALSE)</f>
        <v>0</v>
      </c>
      <c r="L56">
        <f>VLOOKUP($B56,'Raw RTF'!$B$8:$Q$1000,'Raw RTF'!L$5,FALSE)</f>
        <v>0</v>
      </c>
      <c r="M56">
        <f>VLOOKUP($B56,'Raw RTF'!$B$8:$Q$1000,'Raw RTF'!M$5,FALSE)</f>
        <v>0</v>
      </c>
      <c r="N56">
        <f>VLOOKUP($B56,'Raw RTF'!$B$8:$Q$1000,'Raw RTF'!N$5,FALSE)</f>
        <v>0</v>
      </c>
      <c r="O56">
        <f>VLOOKUP($B56,'Raw RTF'!$B$8:$Q$1000,'Raw RTF'!O$5,FALSE)</f>
        <v>0</v>
      </c>
      <c r="P56">
        <f>VLOOKUP($B56,'Raw RTF'!$B$8:$Q$1000,'Raw RTF'!P$5,FALSE)</f>
        <v>0</v>
      </c>
      <c r="Q56">
        <f>VLOOKUP($B56,'Raw RTF'!$B$8:$Q$1000,'Raw RTF'!Q$5,FALSE)</f>
        <v>0</v>
      </c>
    </row>
    <row r="57" spans="1:17" ht="25.5">
      <c r="A57" t="str">
        <f t="shared" si="2"/>
        <v>Multi Family Weatherization - Insulate Walls - R-0 to R-11 - Heating Zone 2 (Electric FAF Heating System)WALL R0 - R11</v>
      </c>
      <c r="B57" s="99" t="str">
        <f>'Raw RTF'!B141</f>
        <v>Multi Family Weatherization - Insulate Walls - R-0 to R-11 - Heating Zone 2 (Electric FAF Heating System)</v>
      </c>
      <c r="C57" s="99" t="s">
        <v>69</v>
      </c>
      <c r="D57">
        <f>VLOOKUP($B57,'Raw RTF'!$B$8:$Q$1000,'Raw RTF'!D$5,FALSE)</f>
        <v>1.8981031007016897</v>
      </c>
      <c r="E57">
        <f>VLOOKUP($B57,'Raw RTF'!$B$8:$Q$1000,'Raw RTF'!E$5,FALSE)</f>
        <v>45</v>
      </c>
      <c r="F57">
        <f>VLOOKUP($B57,'Raw RTF'!$B$8:$Q$1000,'Raw RTF'!F$5,FALSE)</f>
        <v>1.0354836592527603</v>
      </c>
      <c r="G57">
        <f>VLOOKUP($B57,'Raw RTF'!$B$8:$Q$1000,'Raw RTF'!G$5,FALSE)</f>
        <v>0</v>
      </c>
      <c r="H57" t="str">
        <f>VLOOKUP($B57,'Raw RTF'!$B$8:$Q$1000,'Raw RTF'!H$5,FALSE)</f>
        <v>ResSHWX</v>
      </c>
      <c r="I57">
        <f>VLOOKUP($B57,'Raw RTF'!$B$8:$Q$1000,'Raw RTF'!I$5,FALSE)</f>
        <v>0</v>
      </c>
      <c r="J57">
        <f>VLOOKUP($B57,'Raw RTF'!$B$8:$Q$1000,'Raw RTF'!J$5,FALSE)</f>
        <v>0</v>
      </c>
      <c r="K57">
        <f>VLOOKUP($B57,'Raw RTF'!$B$8:$Q$1000,'Raw RTF'!K$5,FALSE)</f>
        <v>0</v>
      </c>
      <c r="L57">
        <f>VLOOKUP($B57,'Raw RTF'!$B$8:$Q$1000,'Raw RTF'!L$5,FALSE)</f>
        <v>0</v>
      </c>
      <c r="M57">
        <f>VLOOKUP($B57,'Raw RTF'!$B$8:$Q$1000,'Raw RTF'!M$5,FALSE)</f>
        <v>0</v>
      </c>
      <c r="N57">
        <f>VLOOKUP($B57,'Raw RTF'!$B$8:$Q$1000,'Raw RTF'!N$5,FALSE)</f>
        <v>0</v>
      </c>
      <c r="O57">
        <f>VLOOKUP($B57,'Raw RTF'!$B$8:$Q$1000,'Raw RTF'!O$5,FALSE)</f>
        <v>0</v>
      </c>
      <c r="P57">
        <f>VLOOKUP($B57,'Raw RTF'!$B$8:$Q$1000,'Raw RTF'!P$5,FALSE)</f>
        <v>0</v>
      </c>
      <c r="Q57">
        <f>VLOOKUP($B57,'Raw RTF'!$B$8:$Q$1000,'Raw RTF'!Q$5,FALSE)</f>
        <v>0</v>
      </c>
    </row>
    <row r="58" spans="1:17" ht="25.5">
      <c r="A58" t="str">
        <f t="shared" si="2"/>
        <v>Multi Family Weatherization - Insulate Floors - R-0 to R-19 - Heating Zone 2 (Electric FAF Heating System)FLOOR R0 - R19</v>
      </c>
      <c r="B58" s="99" t="str">
        <f>'Raw RTF'!B142</f>
        <v>Multi Family Weatherization - Insulate Floors - R-0 to R-19 - Heating Zone 2 (Electric FAF Heating System)</v>
      </c>
      <c r="C58" s="99" t="s">
        <v>70</v>
      </c>
      <c r="D58">
        <f>VLOOKUP($B58,'Raw RTF'!$B$8:$Q$1000,'Raw RTF'!D$5,FALSE)</f>
        <v>0.75266534716617617</v>
      </c>
      <c r="E58">
        <f>VLOOKUP($B58,'Raw RTF'!$B$8:$Q$1000,'Raw RTF'!E$5,FALSE)</f>
        <v>45</v>
      </c>
      <c r="F58">
        <f>VLOOKUP($B58,'Raw RTF'!$B$8:$Q$1000,'Raw RTF'!F$5,FALSE)</f>
        <v>0.91799940108959477</v>
      </c>
      <c r="G58">
        <f>VLOOKUP($B58,'Raw RTF'!$B$8:$Q$1000,'Raw RTF'!G$5,FALSE)</f>
        <v>0</v>
      </c>
      <c r="H58" t="str">
        <f>VLOOKUP($B58,'Raw RTF'!$B$8:$Q$1000,'Raw RTF'!H$5,FALSE)</f>
        <v>ResSHWX</v>
      </c>
      <c r="I58">
        <f>VLOOKUP($B58,'Raw RTF'!$B$8:$Q$1000,'Raw RTF'!I$5,FALSE)</f>
        <v>0</v>
      </c>
      <c r="J58">
        <f>VLOOKUP($B58,'Raw RTF'!$B$8:$Q$1000,'Raw RTF'!J$5,FALSE)</f>
        <v>0</v>
      </c>
      <c r="K58">
        <f>VLOOKUP($B58,'Raw RTF'!$B$8:$Q$1000,'Raw RTF'!K$5,FALSE)</f>
        <v>0</v>
      </c>
      <c r="L58">
        <f>VLOOKUP($B58,'Raw RTF'!$B$8:$Q$1000,'Raw RTF'!L$5,FALSE)</f>
        <v>0</v>
      </c>
      <c r="M58">
        <f>VLOOKUP($B58,'Raw RTF'!$B$8:$Q$1000,'Raw RTF'!M$5,FALSE)</f>
        <v>0</v>
      </c>
      <c r="N58">
        <f>VLOOKUP($B58,'Raw RTF'!$B$8:$Q$1000,'Raw RTF'!N$5,FALSE)</f>
        <v>0</v>
      </c>
      <c r="O58">
        <f>VLOOKUP($B58,'Raw RTF'!$B$8:$Q$1000,'Raw RTF'!O$5,FALSE)</f>
        <v>0</v>
      </c>
      <c r="P58">
        <f>VLOOKUP($B58,'Raw RTF'!$B$8:$Q$1000,'Raw RTF'!P$5,FALSE)</f>
        <v>0</v>
      </c>
      <c r="Q58">
        <f>VLOOKUP($B58,'Raw RTF'!$B$8:$Q$1000,'Raw RTF'!Q$5,FALSE)</f>
        <v>0</v>
      </c>
    </row>
    <row r="59" spans="1:17" ht="25.5">
      <c r="A59" t="str">
        <f t="shared" si="2"/>
        <v>Multi Family Weatherization - Insulate Floors - R-0 to R-30 - Heating Zone 2 (Electric FAF Heating System)FLOOR R0 - R30</v>
      </c>
      <c r="B59" s="99" t="str">
        <f>'Raw RTF'!B143</f>
        <v>Multi Family Weatherization - Insulate Floors - R-0 to R-30 - Heating Zone 2 (Electric FAF Heating System)</v>
      </c>
      <c r="C59" s="99" t="s">
        <v>71</v>
      </c>
      <c r="D59">
        <f>VLOOKUP($B59,'Raw RTF'!$B$8:$Q$1000,'Raw RTF'!D$5,FALSE)</f>
        <v>0.98288373653569483</v>
      </c>
      <c r="E59">
        <f>VLOOKUP($B59,'Raw RTF'!$B$8:$Q$1000,'Raw RTF'!E$5,FALSE)</f>
        <v>45</v>
      </c>
      <c r="F59">
        <f>VLOOKUP($B59,'Raw RTF'!$B$8:$Q$1000,'Raw RTF'!F$5,FALSE)</f>
        <v>0.98244865861375763</v>
      </c>
      <c r="G59">
        <f>VLOOKUP($B59,'Raw RTF'!$B$8:$Q$1000,'Raw RTF'!G$5,FALSE)</f>
        <v>0</v>
      </c>
      <c r="H59" t="str">
        <f>VLOOKUP($B59,'Raw RTF'!$B$8:$Q$1000,'Raw RTF'!H$5,FALSE)</f>
        <v>ResSHWX</v>
      </c>
      <c r="I59">
        <f>VLOOKUP($B59,'Raw RTF'!$B$8:$Q$1000,'Raw RTF'!I$5,FALSE)</f>
        <v>0</v>
      </c>
      <c r="J59">
        <f>VLOOKUP($B59,'Raw RTF'!$B$8:$Q$1000,'Raw RTF'!J$5,FALSE)</f>
        <v>0</v>
      </c>
      <c r="K59">
        <f>VLOOKUP($B59,'Raw RTF'!$B$8:$Q$1000,'Raw RTF'!K$5,FALSE)</f>
        <v>0</v>
      </c>
      <c r="L59">
        <f>VLOOKUP($B59,'Raw RTF'!$B$8:$Q$1000,'Raw RTF'!L$5,FALSE)</f>
        <v>0</v>
      </c>
      <c r="M59">
        <f>VLOOKUP($B59,'Raw RTF'!$B$8:$Q$1000,'Raw RTF'!M$5,FALSE)</f>
        <v>0</v>
      </c>
      <c r="N59">
        <f>VLOOKUP($B59,'Raw RTF'!$B$8:$Q$1000,'Raw RTF'!N$5,FALSE)</f>
        <v>0</v>
      </c>
      <c r="O59">
        <f>VLOOKUP($B59,'Raw RTF'!$B$8:$Q$1000,'Raw RTF'!O$5,FALSE)</f>
        <v>0</v>
      </c>
      <c r="P59">
        <f>VLOOKUP($B59,'Raw RTF'!$B$8:$Q$1000,'Raw RTF'!P$5,FALSE)</f>
        <v>0</v>
      </c>
      <c r="Q59">
        <f>VLOOKUP($B59,'Raw RTF'!$B$8:$Q$1000,'Raw RTF'!Q$5,FALSE)</f>
        <v>0</v>
      </c>
    </row>
    <row r="60" spans="1:17" ht="25.5">
      <c r="A60" t="str">
        <f t="shared" si="2"/>
        <v>Multi Family Weatherization - Insulate Attic - R-0 to R-19 - Heating Zone 2 (Electric FAF Heating System)ATTIC R0 - R19</v>
      </c>
      <c r="B60" s="99" t="str">
        <f>'Raw RTF'!B145</f>
        <v>Multi Family Weatherization - Insulate Attic - R-0 to R-19 - Heating Zone 2 (Electric FAF Heating System)</v>
      </c>
      <c r="C60" s="99" t="s">
        <v>1080</v>
      </c>
      <c r="D60">
        <f>VLOOKUP($B60,'Raw RTF'!$B$8:$Q$1000,'Raw RTF'!D$5,FALSE)</f>
        <v>0.49483889284306926</v>
      </c>
      <c r="E60">
        <f>VLOOKUP($B60,'Raw RTF'!$B$8:$Q$1000,'Raw RTF'!E$5,FALSE)</f>
        <v>45</v>
      </c>
      <c r="F60">
        <f>VLOOKUP($B60,'Raw RTF'!$B$8:$Q$1000,'Raw RTF'!F$5,FALSE)</f>
        <v>0.54914779043329487</v>
      </c>
      <c r="G60">
        <f>VLOOKUP($B60,'Raw RTF'!$B$8:$Q$1000,'Raw RTF'!G$5,FALSE)</f>
        <v>0</v>
      </c>
      <c r="H60" t="str">
        <f>VLOOKUP($B60,'Raw RTF'!$B$8:$Q$1000,'Raw RTF'!H$5,FALSE)</f>
        <v>ResSHWX</v>
      </c>
      <c r="I60">
        <f>VLOOKUP($B60,'Raw RTF'!$B$8:$Q$1000,'Raw RTF'!I$5,FALSE)</f>
        <v>0</v>
      </c>
      <c r="J60">
        <f>VLOOKUP($B60,'Raw RTF'!$B$8:$Q$1000,'Raw RTF'!J$5,FALSE)</f>
        <v>0</v>
      </c>
      <c r="K60">
        <f>VLOOKUP($B60,'Raw RTF'!$B$8:$Q$1000,'Raw RTF'!K$5,FALSE)</f>
        <v>0</v>
      </c>
      <c r="L60">
        <f>VLOOKUP($B60,'Raw RTF'!$B$8:$Q$1000,'Raw RTF'!L$5,FALSE)</f>
        <v>0</v>
      </c>
      <c r="M60">
        <f>VLOOKUP($B60,'Raw RTF'!$B$8:$Q$1000,'Raw RTF'!M$5,FALSE)</f>
        <v>0</v>
      </c>
      <c r="N60">
        <f>VLOOKUP($B60,'Raw RTF'!$B$8:$Q$1000,'Raw RTF'!N$5,FALSE)</f>
        <v>0</v>
      </c>
      <c r="O60">
        <f>VLOOKUP($B60,'Raw RTF'!$B$8:$Q$1000,'Raw RTF'!O$5,FALSE)</f>
        <v>0</v>
      </c>
      <c r="P60">
        <f>VLOOKUP($B60,'Raw RTF'!$B$8:$Q$1000,'Raw RTF'!P$5,FALSE)</f>
        <v>0</v>
      </c>
      <c r="Q60">
        <f>VLOOKUP($B60,'Raw RTF'!$B$8:$Q$1000,'Raw RTF'!Q$5,FALSE)</f>
        <v>0</v>
      </c>
    </row>
    <row r="61" spans="1:17" ht="25.5">
      <c r="A61" t="str">
        <f t="shared" si="2"/>
        <v>Multi Family Weatherization - Insulate Attic - R-0 to R-38 - Heating Zone 2 (Electric FAF Heating System)ATTIC R0 - R38</v>
      </c>
      <c r="B61" s="99" t="str">
        <f>'Raw RTF'!B146</f>
        <v>Multi Family Weatherization - Insulate Attic - R-0 to R-38 - Heating Zone 2 (Electric FAF Heating System)</v>
      </c>
      <c r="C61" s="99" t="s">
        <v>65</v>
      </c>
      <c r="D61">
        <f>VLOOKUP($B61,'Raw RTF'!$B$8:$Q$1000,'Raw RTF'!D$5,FALSE)</f>
        <v>0.67533067136511449</v>
      </c>
      <c r="E61">
        <f>VLOOKUP($B61,'Raw RTF'!$B$8:$Q$1000,'Raw RTF'!E$5,FALSE)</f>
        <v>45</v>
      </c>
      <c r="F61">
        <f>VLOOKUP($B61,'Raw RTF'!$B$8:$Q$1000,'Raw RTF'!F$5,FALSE)</f>
        <v>0.73246728560336305</v>
      </c>
      <c r="G61">
        <f>VLOOKUP($B61,'Raw RTF'!$B$8:$Q$1000,'Raw RTF'!G$5,FALSE)</f>
        <v>0</v>
      </c>
      <c r="H61" t="str">
        <f>VLOOKUP($B61,'Raw RTF'!$B$8:$Q$1000,'Raw RTF'!H$5,FALSE)</f>
        <v>ResSHWX</v>
      </c>
      <c r="I61">
        <f>VLOOKUP($B61,'Raw RTF'!$B$8:$Q$1000,'Raw RTF'!I$5,FALSE)</f>
        <v>0</v>
      </c>
      <c r="J61">
        <f>VLOOKUP($B61,'Raw RTF'!$B$8:$Q$1000,'Raw RTF'!J$5,FALSE)</f>
        <v>0</v>
      </c>
      <c r="K61">
        <f>VLOOKUP($B61,'Raw RTF'!$B$8:$Q$1000,'Raw RTF'!K$5,FALSE)</f>
        <v>0</v>
      </c>
      <c r="L61">
        <f>VLOOKUP($B61,'Raw RTF'!$B$8:$Q$1000,'Raw RTF'!L$5,FALSE)</f>
        <v>0</v>
      </c>
      <c r="M61">
        <f>VLOOKUP($B61,'Raw RTF'!$B$8:$Q$1000,'Raw RTF'!M$5,FALSE)</f>
        <v>0</v>
      </c>
      <c r="N61">
        <f>VLOOKUP($B61,'Raw RTF'!$B$8:$Q$1000,'Raw RTF'!N$5,FALSE)</f>
        <v>0</v>
      </c>
      <c r="O61">
        <f>VLOOKUP($B61,'Raw RTF'!$B$8:$Q$1000,'Raw RTF'!O$5,FALSE)</f>
        <v>0</v>
      </c>
      <c r="P61">
        <f>VLOOKUP($B61,'Raw RTF'!$B$8:$Q$1000,'Raw RTF'!P$5,FALSE)</f>
        <v>0</v>
      </c>
      <c r="Q61">
        <f>VLOOKUP($B61,'Raw RTF'!$B$8:$Q$1000,'Raw RTF'!Q$5,FALSE)</f>
        <v>0</v>
      </c>
    </row>
    <row r="62" spans="1:17" ht="25.5">
      <c r="A62" t="str">
        <f t="shared" si="2"/>
        <v>Multi Family Weatherization - Insulate Attic - R-0 to R-49 - Heating Zone 2 (Electric FAF Heating System)ATTIC R0 - R49</v>
      </c>
      <c r="B62" s="99" t="str">
        <f>'Raw RTF'!B147</f>
        <v>Multi Family Weatherization - Insulate Attic - R-0 to R-49 - Heating Zone 2 (Electric FAF Heating System)</v>
      </c>
      <c r="C62" s="99" t="s">
        <v>66</v>
      </c>
      <c r="D62">
        <f>VLOOKUP($B62,'Raw RTF'!$B$8:$Q$1000,'Raw RTF'!D$5,FALSE)</f>
        <v>0.71725835006113703</v>
      </c>
      <c r="E62">
        <f>VLOOKUP($B62,'Raw RTF'!$B$8:$Q$1000,'Raw RTF'!E$5,FALSE)</f>
        <v>45</v>
      </c>
      <c r="F62">
        <f>VLOOKUP($B62,'Raw RTF'!$B$8:$Q$1000,'Raw RTF'!F$5,FALSE)</f>
        <v>0.83087905114745864</v>
      </c>
      <c r="G62">
        <f>VLOOKUP($B62,'Raw RTF'!$B$8:$Q$1000,'Raw RTF'!G$5,FALSE)</f>
        <v>0</v>
      </c>
      <c r="H62" t="str">
        <f>VLOOKUP($B62,'Raw RTF'!$B$8:$Q$1000,'Raw RTF'!H$5,FALSE)</f>
        <v>ResSHWX</v>
      </c>
      <c r="I62">
        <f>VLOOKUP($B62,'Raw RTF'!$B$8:$Q$1000,'Raw RTF'!I$5,FALSE)</f>
        <v>0</v>
      </c>
      <c r="J62">
        <f>VLOOKUP($B62,'Raw RTF'!$B$8:$Q$1000,'Raw RTF'!J$5,FALSE)</f>
        <v>0</v>
      </c>
      <c r="K62">
        <f>VLOOKUP($B62,'Raw RTF'!$B$8:$Q$1000,'Raw RTF'!K$5,FALSE)</f>
        <v>0</v>
      </c>
      <c r="L62">
        <f>VLOOKUP($B62,'Raw RTF'!$B$8:$Q$1000,'Raw RTF'!L$5,FALSE)</f>
        <v>0</v>
      </c>
      <c r="M62">
        <f>VLOOKUP($B62,'Raw RTF'!$B$8:$Q$1000,'Raw RTF'!M$5,FALSE)</f>
        <v>0</v>
      </c>
      <c r="N62">
        <f>VLOOKUP($B62,'Raw RTF'!$B$8:$Q$1000,'Raw RTF'!N$5,FALSE)</f>
        <v>0</v>
      </c>
      <c r="O62">
        <f>VLOOKUP($B62,'Raw RTF'!$B$8:$Q$1000,'Raw RTF'!O$5,FALSE)</f>
        <v>0</v>
      </c>
      <c r="P62">
        <f>VLOOKUP($B62,'Raw RTF'!$B$8:$Q$1000,'Raw RTF'!P$5,FALSE)</f>
        <v>0</v>
      </c>
      <c r="Q62">
        <f>VLOOKUP($B62,'Raw RTF'!$B$8:$Q$1000,'Raw RTF'!Q$5,FALSE)</f>
        <v>0</v>
      </c>
    </row>
    <row r="63" spans="1:17" ht="25.5">
      <c r="A63" t="str">
        <f t="shared" si="2"/>
        <v>Multi Family Weatherization - Insulate Attic - R-19 to R-30 - Heating Zone 2 (Electric FAF Heating System)ATTIC R19 - R30</v>
      </c>
      <c r="B63" s="99" t="str">
        <f>'Raw RTF'!B151</f>
        <v>Multi Family Weatherization - Insulate Attic - R-19 to R-30 - Heating Zone 2 (Electric FAF Heating System)</v>
      </c>
      <c r="C63" s="99" t="s">
        <v>1081</v>
      </c>
      <c r="D63">
        <f>VLOOKUP($B63,'Raw RTF'!$B$8:$Q$1000,'Raw RTF'!D$5,FALSE)</f>
        <v>0.13074880901215871</v>
      </c>
      <c r="E63">
        <f>VLOOKUP($B63,'Raw RTF'!$B$8:$Q$1000,'Raw RTF'!E$5,FALSE)</f>
        <v>45</v>
      </c>
      <c r="F63">
        <f>VLOOKUP($B63,'Raw RTF'!$B$8:$Q$1000,'Raw RTF'!F$5,FALSE)</f>
        <v>0.47401945424285125</v>
      </c>
      <c r="G63">
        <f>VLOOKUP($B63,'Raw RTF'!$B$8:$Q$1000,'Raw RTF'!G$5,FALSE)</f>
        <v>0</v>
      </c>
      <c r="H63" t="str">
        <f>VLOOKUP($B63,'Raw RTF'!$B$8:$Q$1000,'Raw RTF'!H$5,FALSE)</f>
        <v>ResSHWX</v>
      </c>
      <c r="I63">
        <f>VLOOKUP($B63,'Raw RTF'!$B$8:$Q$1000,'Raw RTF'!I$5,FALSE)</f>
        <v>0</v>
      </c>
      <c r="J63">
        <f>VLOOKUP($B63,'Raw RTF'!$B$8:$Q$1000,'Raw RTF'!J$5,FALSE)</f>
        <v>0</v>
      </c>
      <c r="K63">
        <f>VLOOKUP($B63,'Raw RTF'!$B$8:$Q$1000,'Raw RTF'!K$5,FALSE)</f>
        <v>0</v>
      </c>
      <c r="L63">
        <f>VLOOKUP($B63,'Raw RTF'!$B$8:$Q$1000,'Raw RTF'!L$5,FALSE)</f>
        <v>0</v>
      </c>
      <c r="M63">
        <f>VLOOKUP($B63,'Raw RTF'!$B$8:$Q$1000,'Raw RTF'!M$5,FALSE)</f>
        <v>0</v>
      </c>
      <c r="N63">
        <f>VLOOKUP($B63,'Raw RTF'!$B$8:$Q$1000,'Raw RTF'!N$5,FALSE)</f>
        <v>0</v>
      </c>
      <c r="O63">
        <f>VLOOKUP($B63,'Raw RTF'!$B$8:$Q$1000,'Raw RTF'!O$5,FALSE)</f>
        <v>0</v>
      </c>
      <c r="P63">
        <f>VLOOKUP($B63,'Raw RTF'!$B$8:$Q$1000,'Raw RTF'!P$5,FALSE)</f>
        <v>0</v>
      </c>
      <c r="Q63">
        <f>VLOOKUP($B63,'Raw RTF'!$B$8:$Q$1000,'Raw RTF'!Q$5,FALSE)</f>
        <v>0</v>
      </c>
    </row>
    <row r="64" spans="1:17" ht="25.5">
      <c r="A64" t="str">
        <f t="shared" si="2"/>
        <v>Multi Family Weatherization - Insulate Attic - R-19 to R-38 - Heating Zone 2 (Electric FAF Heating System)ATTIC R19 - R38</v>
      </c>
      <c r="B64" s="99" t="str">
        <f>'Raw RTF'!B152</f>
        <v>Multi Family Weatherization - Insulate Attic - R-19 to R-38 - Heating Zone 2 (Electric FAF Heating System)</v>
      </c>
      <c r="C64" s="99" t="s">
        <v>67</v>
      </c>
      <c r="D64">
        <f>VLOOKUP($B64,'Raw RTF'!$B$8:$Q$1000,'Raw RTF'!D$5,FALSE)</f>
        <v>0.18049177852204529</v>
      </c>
      <c r="E64">
        <f>VLOOKUP($B64,'Raw RTF'!$B$8:$Q$1000,'Raw RTF'!E$5,FALSE)</f>
        <v>45</v>
      </c>
      <c r="F64">
        <f>VLOOKUP($B64,'Raw RTF'!$B$8:$Q$1000,'Raw RTF'!F$5,FALSE)</f>
        <v>0.55283834686255773</v>
      </c>
      <c r="G64">
        <f>VLOOKUP($B64,'Raw RTF'!$B$8:$Q$1000,'Raw RTF'!G$5,FALSE)</f>
        <v>0</v>
      </c>
      <c r="H64" t="str">
        <f>VLOOKUP($B64,'Raw RTF'!$B$8:$Q$1000,'Raw RTF'!H$5,FALSE)</f>
        <v>ResSHWX</v>
      </c>
      <c r="I64">
        <f>VLOOKUP($B64,'Raw RTF'!$B$8:$Q$1000,'Raw RTF'!I$5,FALSE)</f>
        <v>0</v>
      </c>
      <c r="J64">
        <f>VLOOKUP($B64,'Raw RTF'!$B$8:$Q$1000,'Raw RTF'!J$5,FALSE)</f>
        <v>0</v>
      </c>
      <c r="K64">
        <f>VLOOKUP($B64,'Raw RTF'!$B$8:$Q$1000,'Raw RTF'!K$5,FALSE)</f>
        <v>0</v>
      </c>
      <c r="L64">
        <f>VLOOKUP($B64,'Raw RTF'!$B$8:$Q$1000,'Raw RTF'!L$5,FALSE)</f>
        <v>0</v>
      </c>
      <c r="M64">
        <f>VLOOKUP($B64,'Raw RTF'!$B$8:$Q$1000,'Raw RTF'!M$5,FALSE)</f>
        <v>0</v>
      </c>
      <c r="N64">
        <f>VLOOKUP($B64,'Raw RTF'!$B$8:$Q$1000,'Raw RTF'!N$5,FALSE)</f>
        <v>0</v>
      </c>
      <c r="O64">
        <f>VLOOKUP($B64,'Raw RTF'!$B$8:$Q$1000,'Raw RTF'!O$5,FALSE)</f>
        <v>0</v>
      </c>
      <c r="P64">
        <f>VLOOKUP($B64,'Raw RTF'!$B$8:$Q$1000,'Raw RTF'!P$5,FALSE)</f>
        <v>0</v>
      </c>
      <c r="Q64">
        <f>VLOOKUP($B64,'Raw RTF'!$B$8:$Q$1000,'Raw RTF'!Q$5,FALSE)</f>
        <v>0</v>
      </c>
    </row>
    <row r="65" spans="1:17" ht="25.5">
      <c r="A65" t="str">
        <f t="shared" si="2"/>
        <v>Multi Family Weatherization - Insulate Attic - R-19 to R-49 - Heating Zone 2 (Electric FAF Heating System)ATTIC R19 - R49</v>
      </c>
      <c r="B65" s="99" t="str">
        <f>'Raw RTF'!B153</f>
        <v>Multi Family Weatherization - Insulate Attic - R-19 to R-49 - Heating Zone 2 (Electric FAF Heating System)</v>
      </c>
      <c r="C65" s="99" t="s">
        <v>68</v>
      </c>
      <c r="D65">
        <f>VLOOKUP($B65,'Raw RTF'!$B$8:$Q$1000,'Raw RTF'!D$5,FALSE)</f>
        <v>0.22241945721806783</v>
      </c>
      <c r="E65">
        <f>VLOOKUP($B65,'Raw RTF'!$B$8:$Q$1000,'Raw RTF'!E$5,FALSE)</f>
        <v>45</v>
      </c>
      <c r="F65">
        <f>VLOOKUP($B65,'Raw RTF'!$B$8:$Q$1000,'Raw RTF'!F$5,FALSE)</f>
        <v>0.65683404823881342</v>
      </c>
      <c r="G65">
        <f>VLOOKUP($B65,'Raw RTF'!$B$8:$Q$1000,'Raw RTF'!G$5,FALSE)</f>
        <v>0</v>
      </c>
      <c r="H65" t="str">
        <f>VLOOKUP($B65,'Raw RTF'!$B$8:$Q$1000,'Raw RTF'!H$5,FALSE)</f>
        <v>ResSHWX</v>
      </c>
      <c r="I65">
        <f>VLOOKUP($B65,'Raw RTF'!$B$8:$Q$1000,'Raw RTF'!I$5,FALSE)</f>
        <v>0</v>
      </c>
      <c r="J65">
        <f>VLOOKUP($B65,'Raw RTF'!$B$8:$Q$1000,'Raw RTF'!J$5,FALSE)</f>
        <v>0</v>
      </c>
      <c r="K65">
        <f>VLOOKUP($B65,'Raw RTF'!$B$8:$Q$1000,'Raw RTF'!K$5,FALSE)</f>
        <v>0</v>
      </c>
      <c r="L65">
        <f>VLOOKUP($B65,'Raw RTF'!$B$8:$Q$1000,'Raw RTF'!L$5,FALSE)</f>
        <v>0</v>
      </c>
      <c r="M65">
        <f>VLOOKUP($B65,'Raw RTF'!$B$8:$Q$1000,'Raw RTF'!M$5,FALSE)</f>
        <v>0</v>
      </c>
      <c r="N65">
        <f>VLOOKUP($B65,'Raw RTF'!$B$8:$Q$1000,'Raw RTF'!N$5,FALSE)</f>
        <v>0</v>
      </c>
      <c r="O65">
        <f>VLOOKUP($B65,'Raw RTF'!$B$8:$Q$1000,'Raw RTF'!O$5,FALSE)</f>
        <v>0</v>
      </c>
      <c r="P65">
        <f>VLOOKUP($B65,'Raw RTF'!$B$8:$Q$1000,'Raw RTF'!P$5,FALSE)</f>
        <v>0</v>
      </c>
      <c r="Q65">
        <f>VLOOKUP($B65,'Raw RTF'!$B$8:$Q$1000,'Raw RTF'!Q$5,FALSE)</f>
        <v>0</v>
      </c>
    </row>
    <row r="66" spans="1:17" ht="38.25">
      <c r="A66" t="str">
        <f t="shared" si="2"/>
        <v>Windows - Single Pane to Class 22 - Heating Zone 2 (Electric FAF Heating System)WINDOW CL22 Prime Window Replacement of Single Pane Base</v>
      </c>
      <c r="B66" s="99" t="str">
        <f>'Raw RTF'!B154</f>
        <v>Windows - Single Pane to Class 22 - Heating Zone 2 (Electric FAF Heating System)</v>
      </c>
      <c r="C66" s="99" t="s">
        <v>74</v>
      </c>
      <c r="D66">
        <f>VLOOKUP($B66,'Raw RTF'!$B$8:$Q$1000,'Raw RTF'!D$5,FALSE)</f>
        <v>34.4470601259288</v>
      </c>
      <c r="E66">
        <f>VLOOKUP($B66,'Raw RTF'!$B$8:$Q$1000,'Raw RTF'!E$5,FALSE)</f>
        <v>45</v>
      </c>
      <c r="F66">
        <f>VLOOKUP($B66,'Raw RTF'!$B$8:$Q$1000,'Raw RTF'!F$5,FALSE)</f>
        <v>23.269535952606116</v>
      </c>
      <c r="G66">
        <f>VLOOKUP($B66,'Raw RTF'!$B$8:$Q$1000,'Raw RTF'!G$5,FALSE)</f>
        <v>0</v>
      </c>
      <c r="H66" t="str">
        <f>VLOOKUP($B66,'Raw RTF'!$B$8:$Q$1000,'Raw RTF'!H$5,FALSE)</f>
        <v>ResSHWX</v>
      </c>
      <c r="I66">
        <f>VLOOKUP($B66,'Raw RTF'!$B$8:$Q$1000,'Raw RTF'!I$5,FALSE)</f>
        <v>0</v>
      </c>
      <c r="J66">
        <f>VLOOKUP($B66,'Raw RTF'!$B$8:$Q$1000,'Raw RTF'!J$5,FALSE)</f>
        <v>0</v>
      </c>
      <c r="K66">
        <f>VLOOKUP($B66,'Raw RTF'!$B$8:$Q$1000,'Raw RTF'!K$5,FALSE)</f>
        <v>0</v>
      </c>
      <c r="L66">
        <f>VLOOKUP($B66,'Raw RTF'!$B$8:$Q$1000,'Raw RTF'!L$5,FALSE)</f>
        <v>0</v>
      </c>
      <c r="M66">
        <f>VLOOKUP($B66,'Raw RTF'!$B$8:$Q$1000,'Raw RTF'!M$5,FALSE)</f>
        <v>0</v>
      </c>
      <c r="N66">
        <f>VLOOKUP($B66,'Raw RTF'!$B$8:$Q$1000,'Raw RTF'!N$5,FALSE)</f>
        <v>0</v>
      </c>
      <c r="O66">
        <f>VLOOKUP($B66,'Raw RTF'!$B$8:$Q$1000,'Raw RTF'!O$5,FALSE)</f>
        <v>0</v>
      </c>
      <c r="P66">
        <f>VLOOKUP($B66,'Raw RTF'!$B$8:$Q$1000,'Raw RTF'!P$5,FALSE)</f>
        <v>0</v>
      </c>
      <c r="Q66">
        <f>VLOOKUP($B66,'Raw RTF'!$B$8:$Q$1000,'Raw RTF'!Q$5,FALSE)</f>
        <v>0</v>
      </c>
    </row>
    <row r="67" spans="1:17" ht="38.25">
      <c r="A67" t="str">
        <f t="shared" si="2"/>
        <v>Windows - Double Pane to Class 22 - Heating Zone 2 (Electric FAF Heating System)WINDOW CL22 Prime Window Replacement of Double Pane Base</v>
      </c>
      <c r="B67" s="99" t="str">
        <f>'Raw RTF'!B155</f>
        <v>Windows - Double Pane to Class 22 - Heating Zone 2 (Electric FAF Heating System)</v>
      </c>
      <c r="C67" s="99" t="s">
        <v>75</v>
      </c>
      <c r="D67">
        <f>VLOOKUP($B67,'Raw RTF'!$B$8:$Q$1000,'Raw RTF'!D$5,FALSE)</f>
        <v>20.538703350494654</v>
      </c>
      <c r="E67">
        <f>VLOOKUP($B67,'Raw RTF'!$B$8:$Q$1000,'Raw RTF'!E$5,FALSE)</f>
        <v>45</v>
      </c>
      <c r="F67">
        <f>VLOOKUP($B67,'Raw RTF'!$B$8:$Q$1000,'Raw RTF'!F$5,FALSE)</f>
        <v>23.269535952606116</v>
      </c>
      <c r="G67">
        <f>VLOOKUP($B67,'Raw RTF'!$B$8:$Q$1000,'Raw RTF'!G$5,FALSE)</f>
        <v>0</v>
      </c>
      <c r="H67" t="str">
        <f>VLOOKUP($B67,'Raw RTF'!$B$8:$Q$1000,'Raw RTF'!H$5,FALSE)</f>
        <v>ResSHWX</v>
      </c>
      <c r="I67">
        <f>VLOOKUP($B67,'Raw RTF'!$B$8:$Q$1000,'Raw RTF'!I$5,FALSE)</f>
        <v>0</v>
      </c>
      <c r="J67">
        <f>VLOOKUP($B67,'Raw RTF'!$B$8:$Q$1000,'Raw RTF'!J$5,FALSE)</f>
        <v>0</v>
      </c>
      <c r="K67">
        <f>VLOOKUP($B67,'Raw RTF'!$B$8:$Q$1000,'Raw RTF'!K$5,FALSE)</f>
        <v>0</v>
      </c>
      <c r="L67">
        <f>VLOOKUP($B67,'Raw RTF'!$B$8:$Q$1000,'Raw RTF'!L$5,FALSE)</f>
        <v>0</v>
      </c>
      <c r="M67">
        <f>VLOOKUP($B67,'Raw RTF'!$B$8:$Q$1000,'Raw RTF'!M$5,FALSE)</f>
        <v>0</v>
      </c>
      <c r="N67">
        <f>VLOOKUP($B67,'Raw RTF'!$B$8:$Q$1000,'Raw RTF'!N$5,FALSE)</f>
        <v>0</v>
      </c>
      <c r="O67">
        <f>VLOOKUP($B67,'Raw RTF'!$B$8:$Q$1000,'Raw RTF'!O$5,FALSE)</f>
        <v>0</v>
      </c>
      <c r="P67">
        <f>VLOOKUP($B67,'Raw RTF'!$B$8:$Q$1000,'Raw RTF'!P$5,FALSE)</f>
        <v>0</v>
      </c>
      <c r="Q67">
        <f>VLOOKUP($B67,'Raw RTF'!$B$8:$Q$1000,'Raw RTF'!Q$5,FALSE)</f>
        <v>0</v>
      </c>
    </row>
    <row r="68" spans="1:17" ht="38.25">
      <c r="A68" t="str">
        <f t="shared" si="2"/>
        <v>Windows - Single Pane to Class 30 - Heating Zone 2 (Electric FAF Heating System)WINDOW CL30 Prime Window Replacement of Single Pane Base</v>
      </c>
      <c r="B68" s="99" t="str">
        <f>'Raw RTF'!B156</f>
        <v>Windows - Single Pane to Class 30 - Heating Zone 2 (Electric FAF Heating System)</v>
      </c>
      <c r="C68" s="99" t="s">
        <v>72</v>
      </c>
      <c r="D68">
        <f>VLOOKUP($B68,'Raw RTF'!$B$8:$Q$1000,'Raw RTF'!D$5,FALSE)</f>
        <v>31.598259034534191</v>
      </c>
      <c r="E68">
        <f>VLOOKUP($B68,'Raw RTF'!$B$8:$Q$1000,'Raw RTF'!E$5,FALSE)</f>
        <v>45</v>
      </c>
      <c r="F68">
        <f>VLOOKUP($B68,'Raw RTF'!$B$8:$Q$1000,'Raw RTF'!F$5,FALSE)</f>
        <v>17.810142881355933</v>
      </c>
      <c r="G68">
        <f>VLOOKUP($B68,'Raw RTF'!$B$8:$Q$1000,'Raw RTF'!G$5,FALSE)</f>
        <v>0</v>
      </c>
      <c r="H68" t="str">
        <f>VLOOKUP($B68,'Raw RTF'!$B$8:$Q$1000,'Raw RTF'!H$5,FALSE)</f>
        <v>ResSHWX</v>
      </c>
      <c r="I68">
        <f>VLOOKUP($B68,'Raw RTF'!$B$8:$Q$1000,'Raw RTF'!I$5,FALSE)</f>
        <v>0</v>
      </c>
      <c r="J68">
        <f>VLOOKUP($B68,'Raw RTF'!$B$8:$Q$1000,'Raw RTF'!J$5,FALSE)</f>
        <v>0</v>
      </c>
      <c r="K68">
        <f>VLOOKUP($B68,'Raw RTF'!$B$8:$Q$1000,'Raw RTF'!K$5,FALSE)</f>
        <v>0</v>
      </c>
      <c r="L68">
        <f>VLOOKUP($B68,'Raw RTF'!$B$8:$Q$1000,'Raw RTF'!L$5,FALSE)</f>
        <v>0</v>
      </c>
      <c r="M68">
        <f>VLOOKUP($B68,'Raw RTF'!$B$8:$Q$1000,'Raw RTF'!M$5,FALSE)</f>
        <v>0</v>
      </c>
      <c r="N68">
        <f>VLOOKUP($B68,'Raw RTF'!$B$8:$Q$1000,'Raw RTF'!N$5,FALSE)</f>
        <v>0</v>
      </c>
      <c r="O68">
        <f>VLOOKUP($B68,'Raw RTF'!$B$8:$Q$1000,'Raw RTF'!O$5,FALSE)</f>
        <v>0</v>
      </c>
      <c r="P68">
        <f>VLOOKUP($B68,'Raw RTF'!$B$8:$Q$1000,'Raw RTF'!P$5,FALSE)</f>
        <v>0</v>
      </c>
      <c r="Q68">
        <f>VLOOKUP($B68,'Raw RTF'!$B$8:$Q$1000,'Raw RTF'!Q$5,FALSE)</f>
        <v>0</v>
      </c>
    </row>
    <row r="69" spans="1:17" ht="38.25">
      <c r="A69" t="str">
        <f t="shared" si="2"/>
        <v>Windows - Double Pane to Class 30 - Heating Zone 2 (Electric FAF Heating System)WINDOW CL30 Prime Window Replacement of Double Pane Base</v>
      </c>
      <c r="B69" s="99" t="str">
        <f>'Raw RTF'!B157</f>
        <v>Windows - Double Pane to Class 30 - Heating Zone 2 (Electric FAF Heating System)</v>
      </c>
      <c r="C69" s="99" t="s">
        <v>73</v>
      </c>
      <c r="D69">
        <f>VLOOKUP($B69,'Raw RTF'!$B$8:$Q$1000,'Raw RTF'!D$5,FALSE)</f>
        <v>17.689902259100037</v>
      </c>
      <c r="E69">
        <f>VLOOKUP($B69,'Raw RTF'!$B$8:$Q$1000,'Raw RTF'!E$5,FALSE)</f>
        <v>45</v>
      </c>
      <c r="F69">
        <f>VLOOKUP($B69,'Raw RTF'!$B$8:$Q$1000,'Raw RTF'!F$5,FALSE)</f>
        <v>17.810142881355933</v>
      </c>
      <c r="G69">
        <f>VLOOKUP($B69,'Raw RTF'!$B$8:$Q$1000,'Raw RTF'!G$5,FALSE)</f>
        <v>0</v>
      </c>
      <c r="H69" t="str">
        <f>VLOOKUP($B69,'Raw RTF'!$B$8:$Q$1000,'Raw RTF'!H$5,FALSE)</f>
        <v>ResSHWX</v>
      </c>
      <c r="I69">
        <f>VLOOKUP($B69,'Raw RTF'!$B$8:$Q$1000,'Raw RTF'!I$5,FALSE)</f>
        <v>0</v>
      </c>
      <c r="J69">
        <f>VLOOKUP($B69,'Raw RTF'!$B$8:$Q$1000,'Raw RTF'!J$5,FALSE)</f>
        <v>0</v>
      </c>
      <c r="K69">
        <f>VLOOKUP($B69,'Raw RTF'!$B$8:$Q$1000,'Raw RTF'!K$5,FALSE)</f>
        <v>0</v>
      </c>
      <c r="L69">
        <f>VLOOKUP($B69,'Raw RTF'!$B$8:$Q$1000,'Raw RTF'!L$5,FALSE)</f>
        <v>0</v>
      </c>
      <c r="M69">
        <f>VLOOKUP($B69,'Raw RTF'!$B$8:$Q$1000,'Raw RTF'!M$5,FALSE)</f>
        <v>0</v>
      </c>
      <c r="N69">
        <f>VLOOKUP($B69,'Raw RTF'!$B$8:$Q$1000,'Raw RTF'!N$5,FALSE)</f>
        <v>0</v>
      </c>
      <c r="O69">
        <f>VLOOKUP($B69,'Raw RTF'!$B$8:$Q$1000,'Raw RTF'!O$5,FALSE)</f>
        <v>0</v>
      </c>
      <c r="P69">
        <f>VLOOKUP($B69,'Raw RTF'!$B$8:$Q$1000,'Raw RTF'!P$5,FALSE)</f>
        <v>0</v>
      </c>
      <c r="Q69">
        <f>VLOOKUP($B69,'Raw RTF'!$B$8:$Q$1000,'Raw RTF'!Q$5,FALSE)</f>
        <v>0</v>
      </c>
    </row>
    <row r="70" spans="1:17" ht="25.5">
      <c r="A70" t="str">
        <f t="shared" si="2"/>
        <v>Multi Family Weatherization - Insulate Walls - R-0 to R-11 - Heating Zone 3 (Electric FAF Heating System)WALL R0 - R11</v>
      </c>
      <c r="B70" s="99" t="str">
        <f>'Raw RTF'!B160</f>
        <v>Multi Family Weatherization - Insulate Walls - R-0 to R-11 - Heating Zone 3 (Electric FAF Heating System)</v>
      </c>
      <c r="C70" s="99" t="s">
        <v>69</v>
      </c>
      <c r="D70">
        <f>VLOOKUP($B70,'Raw RTF'!$B$8:$Q$1000,'Raw RTF'!D$5,FALSE)</f>
        <v>2.2760980852113253</v>
      </c>
      <c r="E70">
        <f>VLOOKUP($B70,'Raw RTF'!$B$8:$Q$1000,'Raw RTF'!E$5,FALSE)</f>
        <v>45</v>
      </c>
      <c r="F70">
        <f>VLOOKUP($B70,'Raw RTF'!$B$8:$Q$1000,'Raw RTF'!F$5,FALSE)</f>
        <v>1.0354836592527603</v>
      </c>
      <c r="G70">
        <f>VLOOKUP($B70,'Raw RTF'!$B$8:$Q$1000,'Raw RTF'!G$5,FALSE)</f>
        <v>0</v>
      </c>
      <c r="H70" t="str">
        <f>VLOOKUP($B70,'Raw RTF'!$B$8:$Q$1000,'Raw RTF'!H$5,FALSE)</f>
        <v>ResSHWX</v>
      </c>
      <c r="I70">
        <f>VLOOKUP($B70,'Raw RTF'!$B$8:$Q$1000,'Raw RTF'!I$5,FALSE)</f>
        <v>0</v>
      </c>
      <c r="J70">
        <f>VLOOKUP($B70,'Raw RTF'!$B$8:$Q$1000,'Raw RTF'!J$5,FALSE)</f>
        <v>0</v>
      </c>
      <c r="K70">
        <f>VLOOKUP($B70,'Raw RTF'!$B$8:$Q$1000,'Raw RTF'!K$5,FALSE)</f>
        <v>0</v>
      </c>
      <c r="L70">
        <f>VLOOKUP($B70,'Raw RTF'!$B$8:$Q$1000,'Raw RTF'!L$5,FALSE)</f>
        <v>0</v>
      </c>
      <c r="M70">
        <f>VLOOKUP($B70,'Raw RTF'!$B$8:$Q$1000,'Raw RTF'!M$5,FALSE)</f>
        <v>0</v>
      </c>
      <c r="N70">
        <f>VLOOKUP($B70,'Raw RTF'!$B$8:$Q$1000,'Raw RTF'!N$5,FALSE)</f>
        <v>0</v>
      </c>
      <c r="O70">
        <f>VLOOKUP($B70,'Raw RTF'!$B$8:$Q$1000,'Raw RTF'!O$5,FALSE)</f>
        <v>0</v>
      </c>
      <c r="P70">
        <f>VLOOKUP($B70,'Raw RTF'!$B$8:$Q$1000,'Raw RTF'!P$5,FALSE)</f>
        <v>0</v>
      </c>
      <c r="Q70">
        <f>VLOOKUP($B70,'Raw RTF'!$B$8:$Q$1000,'Raw RTF'!Q$5,FALSE)</f>
        <v>0</v>
      </c>
    </row>
    <row r="71" spans="1:17" ht="25.5">
      <c r="A71" t="str">
        <f t="shared" si="2"/>
        <v>Multi Family Weatherization - Insulate Floors - R-0 to R-19 - Heating Zone 3 (Electric FAF Heating System)FLOOR R0 - R19</v>
      </c>
      <c r="B71" s="99" t="str">
        <f>'Raw RTF'!B161</f>
        <v>Multi Family Weatherization - Insulate Floors - R-0 to R-19 - Heating Zone 3 (Electric FAF Heating System)</v>
      </c>
      <c r="C71" s="99" t="s">
        <v>70</v>
      </c>
      <c r="D71">
        <f>VLOOKUP($B71,'Raw RTF'!$B$8:$Q$1000,'Raw RTF'!D$5,FALSE)</f>
        <v>0.87019508074599128</v>
      </c>
      <c r="E71">
        <f>VLOOKUP($B71,'Raw RTF'!$B$8:$Q$1000,'Raw RTF'!E$5,FALSE)</f>
        <v>45</v>
      </c>
      <c r="F71">
        <f>VLOOKUP($B71,'Raw RTF'!$B$8:$Q$1000,'Raw RTF'!F$5,FALSE)</f>
        <v>0.91799940108959477</v>
      </c>
      <c r="G71">
        <f>VLOOKUP($B71,'Raw RTF'!$B$8:$Q$1000,'Raw RTF'!G$5,FALSE)</f>
        <v>0</v>
      </c>
      <c r="H71" t="str">
        <f>VLOOKUP($B71,'Raw RTF'!$B$8:$Q$1000,'Raw RTF'!H$5,FALSE)</f>
        <v>ResSHWX</v>
      </c>
      <c r="I71">
        <f>VLOOKUP($B71,'Raw RTF'!$B$8:$Q$1000,'Raw RTF'!I$5,FALSE)</f>
        <v>0</v>
      </c>
      <c r="J71">
        <f>VLOOKUP($B71,'Raw RTF'!$B$8:$Q$1000,'Raw RTF'!J$5,FALSE)</f>
        <v>0</v>
      </c>
      <c r="K71">
        <f>VLOOKUP($B71,'Raw RTF'!$B$8:$Q$1000,'Raw RTF'!K$5,FALSE)</f>
        <v>0</v>
      </c>
      <c r="L71">
        <f>VLOOKUP($B71,'Raw RTF'!$B$8:$Q$1000,'Raw RTF'!L$5,FALSE)</f>
        <v>0</v>
      </c>
      <c r="M71">
        <f>VLOOKUP($B71,'Raw RTF'!$B$8:$Q$1000,'Raw RTF'!M$5,FALSE)</f>
        <v>0</v>
      </c>
      <c r="N71">
        <f>VLOOKUP($B71,'Raw RTF'!$B$8:$Q$1000,'Raw RTF'!N$5,FALSE)</f>
        <v>0</v>
      </c>
      <c r="O71">
        <f>VLOOKUP($B71,'Raw RTF'!$B$8:$Q$1000,'Raw RTF'!O$5,FALSE)</f>
        <v>0</v>
      </c>
      <c r="P71">
        <f>VLOOKUP($B71,'Raw RTF'!$B$8:$Q$1000,'Raw RTF'!P$5,FALSE)</f>
        <v>0</v>
      </c>
      <c r="Q71">
        <f>VLOOKUP($B71,'Raw RTF'!$B$8:$Q$1000,'Raw RTF'!Q$5,FALSE)</f>
        <v>0</v>
      </c>
    </row>
    <row r="72" spans="1:17" ht="25.5">
      <c r="A72" t="str">
        <f t="shared" si="2"/>
        <v>Multi Family Weatherization - Insulate Floors - R-0 to R-30 - Heating Zone 3 (Electric FAF Heating System)FLOOR R0 - R30</v>
      </c>
      <c r="B72" s="99" t="str">
        <f>'Raw RTF'!B162</f>
        <v>Multi Family Weatherization - Insulate Floors - R-0 to R-30 - Heating Zone 3 (Electric FAF Heating System)</v>
      </c>
      <c r="C72" s="99" t="s">
        <v>71</v>
      </c>
      <c r="D72">
        <f>VLOOKUP($B72,'Raw RTF'!$B$8:$Q$1000,'Raw RTF'!D$5,FALSE)</f>
        <v>1.1361631078181835</v>
      </c>
      <c r="E72">
        <f>VLOOKUP($B72,'Raw RTF'!$B$8:$Q$1000,'Raw RTF'!E$5,FALSE)</f>
        <v>45</v>
      </c>
      <c r="F72">
        <f>VLOOKUP($B72,'Raw RTF'!$B$8:$Q$1000,'Raw RTF'!F$5,FALSE)</f>
        <v>0.98244865861375763</v>
      </c>
      <c r="G72">
        <f>VLOOKUP($B72,'Raw RTF'!$B$8:$Q$1000,'Raw RTF'!G$5,FALSE)</f>
        <v>0</v>
      </c>
      <c r="H72" t="str">
        <f>VLOOKUP($B72,'Raw RTF'!$B$8:$Q$1000,'Raw RTF'!H$5,FALSE)</f>
        <v>ResSHWX</v>
      </c>
      <c r="I72">
        <f>VLOOKUP($B72,'Raw RTF'!$B$8:$Q$1000,'Raw RTF'!I$5,FALSE)</f>
        <v>0</v>
      </c>
      <c r="J72">
        <f>VLOOKUP($B72,'Raw RTF'!$B$8:$Q$1000,'Raw RTF'!J$5,FALSE)</f>
        <v>0</v>
      </c>
      <c r="K72">
        <f>VLOOKUP($B72,'Raw RTF'!$B$8:$Q$1000,'Raw RTF'!K$5,FALSE)</f>
        <v>0</v>
      </c>
      <c r="L72">
        <f>VLOOKUP($B72,'Raw RTF'!$B$8:$Q$1000,'Raw RTF'!L$5,FALSE)</f>
        <v>0</v>
      </c>
      <c r="M72">
        <f>VLOOKUP($B72,'Raw RTF'!$B$8:$Q$1000,'Raw RTF'!M$5,FALSE)</f>
        <v>0</v>
      </c>
      <c r="N72">
        <f>VLOOKUP($B72,'Raw RTF'!$B$8:$Q$1000,'Raw RTF'!N$5,FALSE)</f>
        <v>0</v>
      </c>
      <c r="O72">
        <f>VLOOKUP($B72,'Raw RTF'!$B$8:$Q$1000,'Raw RTF'!O$5,FALSE)</f>
        <v>0</v>
      </c>
      <c r="P72">
        <f>VLOOKUP($B72,'Raw RTF'!$B$8:$Q$1000,'Raw RTF'!P$5,FALSE)</f>
        <v>0</v>
      </c>
      <c r="Q72">
        <f>VLOOKUP($B72,'Raw RTF'!$B$8:$Q$1000,'Raw RTF'!Q$5,FALSE)</f>
        <v>0</v>
      </c>
    </row>
    <row r="73" spans="1:17" ht="25.5">
      <c r="A73" t="str">
        <f t="shared" si="2"/>
        <v>Multi Family Weatherization - Insulate Attic - R-0 to R-19 - Heating Zone 3 (Electric FAF Heating System)ATTIC R0 - R19</v>
      </c>
      <c r="B73" s="99" t="str">
        <f>'Raw RTF'!B164</f>
        <v>Multi Family Weatherization - Insulate Attic - R-0 to R-19 - Heating Zone 3 (Electric FAF Heating System)</v>
      </c>
      <c r="C73" s="99" t="s">
        <v>1080</v>
      </c>
      <c r="D73">
        <f>VLOOKUP($B73,'Raw RTF'!$B$8:$Q$1000,'Raw RTF'!D$5,FALSE)</f>
        <v>0.44255362667272646</v>
      </c>
      <c r="E73">
        <f>VLOOKUP($B73,'Raw RTF'!$B$8:$Q$1000,'Raw RTF'!E$5,FALSE)</f>
        <v>45</v>
      </c>
      <c r="F73">
        <f>VLOOKUP($B73,'Raw RTF'!$B$8:$Q$1000,'Raw RTF'!F$5,FALSE)</f>
        <v>0.54914779043329487</v>
      </c>
      <c r="G73">
        <f>VLOOKUP($B73,'Raw RTF'!$B$8:$Q$1000,'Raw RTF'!G$5,FALSE)</f>
        <v>0</v>
      </c>
      <c r="H73" t="str">
        <f>VLOOKUP($B73,'Raw RTF'!$B$8:$Q$1000,'Raw RTF'!H$5,FALSE)</f>
        <v>ResSHWX</v>
      </c>
      <c r="I73">
        <f>VLOOKUP($B73,'Raw RTF'!$B$8:$Q$1000,'Raw RTF'!I$5,FALSE)</f>
        <v>0</v>
      </c>
      <c r="J73">
        <f>VLOOKUP($B73,'Raw RTF'!$B$8:$Q$1000,'Raw RTF'!J$5,FALSE)</f>
        <v>0</v>
      </c>
      <c r="K73">
        <f>VLOOKUP($B73,'Raw RTF'!$B$8:$Q$1000,'Raw RTF'!K$5,FALSE)</f>
        <v>0</v>
      </c>
      <c r="L73">
        <f>VLOOKUP($B73,'Raw RTF'!$B$8:$Q$1000,'Raw RTF'!L$5,FALSE)</f>
        <v>0</v>
      </c>
      <c r="M73">
        <f>VLOOKUP($B73,'Raw RTF'!$B$8:$Q$1000,'Raw RTF'!M$5,FALSE)</f>
        <v>0</v>
      </c>
      <c r="N73">
        <f>VLOOKUP($B73,'Raw RTF'!$B$8:$Q$1000,'Raw RTF'!N$5,FALSE)</f>
        <v>0</v>
      </c>
      <c r="O73">
        <f>VLOOKUP($B73,'Raw RTF'!$B$8:$Q$1000,'Raw RTF'!O$5,FALSE)</f>
        <v>0</v>
      </c>
      <c r="P73">
        <f>VLOOKUP($B73,'Raw RTF'!$B$8:$Q$1000,'Raw RTF'!P$5,FALSE)</f>
        <v>0</v>
      </c>
      <c r="Q73">
        <f>VLOOKUP($B73,'Raw RTF'!$B$8:$Q$1000,'Raw RTF'!Q$5,FALSE)</f>
        <v>0</v>
      </c>
    </row>
    <row r="74" spans="1:17" ht="25.5">
      <c r="A74" t="str">
        <f t="shared" si="2"/>
        <v>Multi Family Weatherization - Insulate Attic - R-0 to R-38 - Heating Zone 3 (Electric FAF Heating System)ATTIC R0 - R38</v>
      </c>
      <c r="B74" s="99" t="str">
        <f>'Raw RTF'!B165</f>
        <v>Multi Family Weatherization - Insulate Attic - R-0 to R-38 - Heating Zone 3 (Electric FAF Heating System)</v>
      </c>
      <c r="C74" s="99" t="s">
        <v>65</v>
      </c>
      <c r="D74">
        <f>VLOOKUP($B74,'Raw RTF'!$B$8:$Q$1000,'Raw RTF'!D$5,FALSE)</f>
        <v>0.60409956898409101</v>
      </c>
      <c r="E74">
        <f>VLOOKUP($B74,'Raw RTF'!$B$8:$Q$1000,'Raw RTF'!E$5,FALSE)</f>
        <v>45</v>
      </c>
      <c r="F74">
        <f>VLOOKUP($B74,'Raw RTF'!$B$8:$Q$1000,'Raw RTF'!F$5,FALSE)</f>
        <v>0.73246728560336305</v>
      </c>
      <c r="G74">
        <f>VLOOKUP($B74,'Raw RTF'!$B$8:$Q$1000,'Raw RTF'!G$5,FALSE)</f>
        <v>0</v>
      </c>
      <c r="H74" t="str">
        <f>VLOOKUP($B74,'Raw RTF'!$B$8:$Q$1000,'Raw RTF'!H$5,FALSE)</f>
        <v>ResSHWX</v>
      </c>
      <c r="I74">
        <f>VLOOKUP($B74,'Raw RTF'!$B$8:$Q$1000,'Raw RTF'!I$5,FALSE)</f>
        <v>0</v>
      </c>
      <c r="J74">
        <f>VLOOKUP($B74,'Raw RTF'!$B$8:$Q$1000,'Raw RTF'!J$5,FALSE)</f>
        <v>0</v>
      </c>
      <c r="K74">
        <f>VLOOKUP($B74,'Raw RTF'!$B$8:$Q$1000,'Raw RTF'!K$5,FALSE)</f>
        <v>0</v>
      </c>
      <c r="L74">
        <f>VLOOKUP($B74,'Raw RTF'!$B$8:$Q$1000,'Raw RTF'!L$5,FALSE)</f>
        <v>0</v>
      </c>
      <c r="M74">
        <f>VLOOKUP($B74,'Raw RTF'!$B$8:$Q$1000,'Raw RTF'!M$5,FALSE)</f>
        <v>0</v>
      </c>
      <c r="N74">
        <f>VLOOKUP($B74,'Raw RTF'!$B$8:$Q$1000,'Raw RTF'!N$5,FALSE)</f>
        <v>0</v>
      </c>
      <c r="O74">
        <f>VLOOKUP($B74,'Raw RTF'!$B$8:$Q$1000,'Raw RTF'!O$5,FALSE)</f>
        <v>0</v>
      </c>
      <c r="P74">
        <f>VLOOKUP($B74,'Raw RTF'!$B$8:$Q$1000,'Raw RTF'!P$5,FALSE)</f>
        <v>0</v>
      </c>
      <c r="Q74">
        <f>VLOOKUP($B74,'Raw RTF'!$B$8:$Q$1000,'Raw RTF'!Q$5,FALSE)</f>
        <v>0</v>
      </c>
    </row>
    <row r="75" spans="1:17" ht="25.5">
      <c r="A75" t="str">
        <f t="shared" si="2"/>
        <v>Multi Family Weatherization - Insulate Attic - R-0 to R-49 - Heating Zone 3 (Electric FAF Heating System)ATTIC R0 - R49</v>
      </c>
      <c r="B75" s="99" t="str">
        <f>'Raw RTF'!B166</f>
        <v>Multi Family Weatherization - Insulate Attic - R-0 to R-49 - Heating Zone 3 (Electric FAF Heating System)</v>
      </c>
      <c r="C75" s="99" t="s">
        <v>66</v>
      </c>
      <c r="D75">
        <f>VLOOKUP($B75,'Raw RTF'!$B$8:$Q$1000,'Raw RTF'!D$5,FALSE)</f>
        <v>0.64168771721818163</v>
      </c>
      <c r="E75">
        <f>VLOOKUP($B75,'Raw RTF'!$B$8:$Q$1000,'Raw RTF'!E$5,FALSE)</f>
        <v>45</v>
      </c>
      <c r="F75">
        <f>VLOOKUP($B75,'Raw RTF'!$B$8:$Q$1000,'Raw RTF'!F$5,FALSE)</f>
        <v>0.83087905114745864</v>
      </c>
      <c r="G75">
        <f>VLOOKUP($B75,'Raw RTF'!$B$8:$Q$1000,'Raw RTF'!G$5,FALSE)</f>
        <v>0</v>
      </c>
      <c r="H75" t="str">
        <f>VLOOKUP($B75,'Raw RTF'!$B$8:$Q$1000,'Raw RTF'!H$5,FALSE)</f>
        <v>ResSHWX</v>
      </c>
      <c r="I75">
        <f>VLOOKUP($B75,'Raw RTF'!$B$8:$Q$1000,'Raw RTF'!I$5,FALSE)</f>
        <v>0</v>
      </c>
      <c r="J75">
        <f>VLOOKUP($B75,'Raw RTF'!$B$8:$Q$1000,'Raw RTF'!J$5,FALSE)</f>
        <v>0</v>
      </c>
      <c r="K75">
        <f>VLOOKUP($B75,'Raw RTF'!$B$8:$Q$1000,'Raw RTF'!K$5,FALSE)</f>
        <v>0</v>
      </c>
      <c r="L75">
        <f>VLOOKUP($B75,'Raw RTF'!$B$8:$Q$1000,'Raw RTF'!L$5,FALSE)</f>
        <v>0</v>
      </c>
      <c r="M75">
        <f>VLOOKUP($B75,'Raw RTF'!$B$8:$Q$1000,'Raw RTF'!M$5,FALSE)</f>
        <v>0</v>
      </c>
      <c r="N75">
        <f>VLOOKUP($B75,'Raw RTF'!$B$8:$Q$1000,'Raw RTF'!N$5,FALSE)</f>
        <v>0</v>
      </c>
      <c r="O75">
        <f>VLOOKUP($B75,'Raw RTF'!$B$8:$Q$1000,'Raw RTF'!O$5,FALSE)</f>
        <v>0</v>
      </c>
      <c r="P75">
        <f>VLOOKUP($B75,'Raw RTF'!$B$8:$Q$1000,'Raw RTF'!P$5,FALSE)</f>
        <v>0</v>
      </c>
      <c r="Q75">
        <f>VLOOKUP($B75,'Raw RTF'!$B$8:$Q$1000,'Raw RTF'!Q$5,FALSE)</f>
        <v>0</v>
      </c>
    </row>
    <row r="76" spans="1:17" ht="25.5">
      <c r="A76" t="str">
        <f t="shared" si="2"/>
        <v>Multi Family Weatherization - Insulate Attic - R-19 to R-30 - Heating Zone 3 (Electric FAF Heating System)ATTIC R19 - R30</v>
      </c>
      <c r="B76" s="99" t="str">
        <f>'Raw RTF'!B170</f>
        <v>Multi Family Weatherization - Insulate Attic - R-19 to R-30 - Heating Zone 3 (Electric FAF Heating System)</v>
      </c>
      <c r="C76" s="99" t="s">
        <v>1081</v>
      </c>
      <c r="D76">
        <f>VLOOKUP($B76,'Raw RTF'!$B$8:$Q$1000,'Raw RTF'!D$5,FALSE)</f>
        <v>0.11697022401818194</v>
      </c>
      <c r="E76">
        <f>VLOOKUP($B76,'Raw RTF'!$B$8:$Q$1000,'Raw RTF'!E$5,FALSE)</f>
        <v>45</v>
      </c>
      <c r="F76">
        <f>VLOOKUP($B76,'Raw RTF'!$B$8:$Q$1000,'Raw RTF'!F$5,FALSE)</f>
        <v>0.47401945424285125</v>
      </c>
      <c r="G76">
        <f>VLOOKUP($B76,'Raw RTF'!$B$8:$Q$1000,'Raw RTF'!G$5,FALSE)</f>
        <v>0</v>
      </c>
      <c r="H76" t="str">
        <f>VLOOKUP($B76,'Raw RTF'!$B$8:$Q$1000,'Raw RTF'!H$5,FALSE)</f>
        <v>ResSHWX</v>
      </c>
      <c r="I76">
        <f>VLOOKUP($B76,'Raw RTF'!$B$8:$Q$1000,'Raw RTF'!I$5,FALSE)</f>
        <v>0</v>
      </c>
      <c r="J76">
        <f>VLOOKUP($B76,'Raw RTF'!$B$8:$Q$1000,'Raw RTF'!J$5,FALSE)</f>
        <v>0</v>
      </c>
      <c r="K76">
        <f>VLOOKUP($B76,'Raw RTF'!$B$8:$Q$1000,'Raw RTF'!K$5,FALSE)</f>
        <v>0</v>
      </c>
      <c r="L76">
        <f>VLOOKUP($B76,'Raw RTF'!$B$8:$Q$1000,'Raw RTF'!L$5,FALSE)</f>
        <v>0</v>
      </c>
      <c r="M76">
        <f>VLOOKUP($B76,'Raw RTF'!$B$8:$Q$1000,'Raw RTF'!M$5,FALSE)</f>
        <v>0</v>
      </c>
      <c r="N76">
        <f>VLOOKUP($B76,'Raw RTF'!$B$8:$Q$1000,'Raw RTF'!N$5,FALSE)</f>
        <v>0</v>
      </c>
      <c r="O76">
        <f>VLOOKUP($B76,'Raw RTF'!$B$8:$Q$1000,'Raw RTF'!O$5,FALSE)</f>
        <v>0</v>
      </c>
      <c r="P76">
        <f>VLOOKUP($B76,'Raw RTF'!$B$8:$Q$1000,'Raw RTF'!P$5,FALSE)</f>
        <v>0</v>
      </c>
      <c r="Q76">
        <f>VLOOKUP($B76,'Raw RTF'!$B$8:$Q$1000,'Raw RTF'!Q$5,FALSE)</f>
        <v>0</v>
      </c>
    </row>
    <row r="77" spans="1:17" ht="25.5">
      <c r="A77" t="str">
        <f t="shared" si="2"/>
        <v>Multi Family Weatherization - Insulate Attic - R-19 to R-38 - Heating Zone 3 (Electric FAF Heating System)ATTIC R19 - R38</v>
      </c>
      <c r="B77" s="99" t="str">
        <f>'Raw RTF'!B171</f>
        <v>Multi Family Weatherization - Insulate Attic - R-19 to R-38 - Heating Zone 3 (Electric FAF Heating System)</v>
      </c>
      <c r="C77" s="99" t="s">
        <v>67</v>
      </c>
      <c r="D77">
        <f>VLOOKUP($B77,'Raw RTF'!$B$8:$Q$1000,'Raw RTF'!D$5,FALSE)</f>
        <v>0.16154594231136454</v>
      </c>
      <c r="E77">
        <f>VLOOKUP($B77,'Raw RTF'!$B$8:$Q$1000,'Raw RTF'!E$5,FALSE)</f>
        <v>45</v>
      </c>
      <c r="F77">
        <f>VLOOKUP($B77,'Raw RTF'!$B$8:$Q$1000,'Raw RTF'!F$5,FALSE)</f>
        <v>0.55283834686255773</v>
      </c>
      <c r="G77">
        <f>VLOOKUP($B77,'Raw RTF'!$B$8:$Q$1000,'Raw RTF'!G$5,FALSE)</f>
        <v>0</v>
      </c>
      <c r="H77" t="str">
        <f>VLOOKUP($B77,'Raw RTF'!$B$8:$Q$1000,'Raw RTF'!H$5,FALSE)</f>
        <v>ResSHWX</v>
      </c>
      <c r="I77">
        <f>VLOOKUP($B77,'Raw RTF'!$B$8:$Q$1000,'Raw RTF'!I$5,FALSE)</f>
        <v>0</v>
      </c>
      <c r="J77">
        <f>VLOOKUP($B77,'Raw RTF'!$B$8:$Q$1000,'Raw RTF'!J$5,FALSE)</f>
        <v>0</v>
      </c>
      <c r="K77">
        <f>VLOOKUP($B77,'Raw RTF'!$B$8:$Q$1000,'Raw RTF'!K$5,FALSE)</f>
        <v>0</v>
      </c>
      <c r="L77">
        <f>VLOOKUP($B77,'Raw RTF'!$B$8:$Q$1000,'Raw RTF'!L$5,FALSE)</f>
        <v>0</v>
      </c>
      <c r="M77">
        <f>VLOOKUP($B77,'Raw RTF'!$B$8:$Q$1000,'Raw RTF'!M$5,FALSE)</f>
        <v>0</v>
      </c>
      <c r="N77">
        <f>VLOOKUP($B77,'Raw RTF'!$B$8:$Q$1000,'Raw RTF'!N$5,FALSE)</f>
        <v>0</v>
      </c>
      <c r="O77">
        <f>VLOOKUP($B77,'Raw RTF'!$B$8:$Q$1000,'Raw RTF'!O$5,FALSE)</f>
        <v>0</v>
      </c>
      <c r="P77">
        <f>VLOOKUP($B77,'Raw RTF'!$B$8:$Q$1000,'Raw RTF'!P$5,FALSE)</f>
        <v>0</v>
      </c>
      <c r="Q77">
        <f>VLOOKUP($B77,'Raw RTF'!$B$8:$Q$1000,'Raw RTF'!Q$5,FALSE)</f>
        <v>0</v>
      </c>
    </row>
    <row r="78" spans="1:17" ht="25.5">
      <c r="A78" t="str">
        <f t="shared" si="2"/>
        <v>Multi Family Weatherization - Insulate Attic - R-19 to R-49 - Heating Zone 3 (Electric FAF Heating System)ATTIC R19 - R49</v>
      </c>
      <c r="B78" s="99" t="str">
        <f>'Raw RTF'!B172</f>
        <v>Multi Family Weatherization - Insulate Attic - R-19 to R-49 - Heating Zone 3 (Electric FAF Heating System)</v>
      </c>
      <c r="C78" s="99" t="s">
        <v>68</v>
      </c>
      <c r="D78">
        <f>VLOOKUP($B78,'Raw RTF'!$B$8:$Q$1000,'Raw RTF'!D$5,FALSE)</f>
        <v>0.19913409054545519</v>
      </c>
      <c r="E78">
        <f>VLOOKUP($B78,'Raw RTF'!$B$8:$Q$1000,'Raw RTF'!E$5,FALSE)</f>
        <v>45</v>
      </c>
      <c r="F78">
        <f>VLOOKUP($B78,'Raw RTF'!$B$8:$Q$1000,'Raw RTF'!F$5,FALSE)</f>
        <v>0.65683404823881342</v>
      </c>
      <c r="G78">
        <f>VLOOKUP($B78,'Raw RTF'!$B$8:$Q$1000,'Raw RTF'!G$5,FALSE)</f>
        <v>0</v>
      </c>
      <c r="H78" t="str">
        <f>VLOOKUP($B78,'Raw RTF'!$B$8:$Q$1000,'Raw RTF'!H$5,FALSE)</f>
        <v>ResSHWX</v>
      </c>
      <c r="I78">
        <f>VLOOKUP($B78,'Raw RTF'!$B$8:$Q$1000,'Raw RTF'!I$5,FALSE)</f>
        <v>0</v>
      </c>
      <c r="J78">
        <f>VLOOKUP($B78,'Raw RTF'!$B$8:$Q$1000,'Raw RTF'!J$5,FALSE)</f>
        <v>0</v>
      </c>
      <c r="K78">
        <f>VLOOKUP($B78,'Raw RTF'!$B$8:$Q$1000,'Raw RTF'!K$5,FALSE)</f>
        <v>0</v>
      </c>
      <c r="L78">
        <f>VLOOKUP($B78,'Raw RTF'!$B$8:$Q$1000,'Raw RTF'!L$5,FALSE)</f>
        <v>0</v>
      </c>
      <c r="M78">
        <f>VLOOKUP($B78,'Raw RTF'!$B$8:$Q$1000,'Raw RTF'!M$5,FALSE)</f>
        <v>0</v>
      </c>
      <c r="N78">
        <f>VLOOKUP($B78,'Raw RTF'!$B$8:$Q$1000,'Raw RTF'!N$5,FALSE)</f>
        <v>0</v>
      </c>
      <c r="O78">
        <f>VLOOKUP($B78,'Raw RTF'!$B$8:$Q$1000,'Raw RTF'!O$5,FALSE)</f>
        <v>0</v>
      </c>
      <c r="P78">
        <f>VLOOKUP($B78,'Raw RTF'!$B$8:$Q$1000,'Raw RTF'!P$5,FALSE)</f>
        <v>0</v>
      </c>
      <c r="Q78">
        <f>VLOOKUP($B78,'Raw RTF'!$B$8:$Q$1000,'Raw RTF'!Q$5,FALSE)</f>
        <v>0</v>
      </c>
    </row>
    <row r="79" spans="1:17" ht="38.25">
      <c r="A79" t="str">
        <f t="shared" si="2"/>
        <v>Windows - Single Pane to Class 22 - Heating Zone 3 (Electric FAF Heating System)WINDOW CL22 Prime Window Replacement of Single Pane Base</v>
      </c>
      <c r="B79" s="99" t="str">
        <f>'Raw RTF'!B173</f>
        <v>Windows - Single Pane to Class 22 - Heating Zone 3 (Electric FAF Heating System)</v>
      </c>
      <c r="C79" s="99" t="s">
        <v>74</v>
      </c>
      <c r="D79">
        <f>VLOOKUP($B79,'Raw RTF'!$B$8:$Q$1000,'Raw RTF'!D$5,FALSE)</f>
        <v>41.634558119607604</v>
      </c>
      <c r="E79">
        <f>VLOOKUP($B79,'Raw RTF'!$B$8:$Q$1000,'Raw RTF'!E$5,FALSE)</f>
        <v>45</v>
      </c>
      <c r="F79">
        <f>VLOOKUP($B79,'Raw RTF'!$B$8:$Q$1000,'Raw RTF'!F$5,FALSE)</f>
        <v>23.269535952606116</v>
      </c>
      <c r="G79">
        <f>VLOOKUP($B79,'Raw RTF'!$B$8:$Q$1000,'Raw RTF'!G$5,FALSE)</f>
        <v>0</v>
      </c>
      <c r="H79" t="str">
        <f>VLOOKUP($B79,'Raw RTF'!$B$8:$Q$1000,'Raw RTF'!H$5,FALSE)</f>
        <v>ResSHWX</v>
      </c>
      <c r="I79">
        <f>VLOOKUP($B79,'Raw RTF'!$B$8:$Q$1000,'Raw RTF'!I$5,FALSE)</f>
        <v>0</v>
      </c>
      <c r="J79">
        <f>VLOOKUP($B79,'Raw RTF'!$B$8:$Q$1000,'Raw RTF'!J$5,FALSE)</f>
        <v>0</v>
      </c>
      <c r="K79">
        <f>VLOOKUP($B79,'Raw RTF'!$B$8:$Q$1000,'Raw RTF'!K$5,FALSE)</f>
        <v>0</v>
      </c>
      <c r="L79">
        <f>VLOOKUP($B79,'Raw RTF'!$B$8:$Q$1000,'Raw RTF'!L$5,FALSE)</f>
        <v>0</v>
      </c>
      <c r="M79">
        <f>VLOOKUP($B79,'Raw RTF'!$B$8:$Q$1000,'Raw RTF'!M$5,FALSE)</f>
        <v>0</v>
      </c>
      <c r="N79">
        <f>VLOOKUP($B79,'Raw RTF'!$B$8:$Q$1000,'Raw RTF'!N$5,FALSE)</f>
        <v>0</v>
      </c>
      <c r="O79">
        <f>VLOOKUP($B79,'Raw RTF'!$B$8:$Q$1000,'Raw RTF'!O$5,FALSE)</f>
        <v>0</v>
      </c>
      <c r="P79">
        <f>VLOOKUP($B79,'Raw RTF'!$B$8:$Q$1000,'Raw RTF'!P$5,FALSE)</f>
        <v>0</v>
      </c>
      <c r="Q79">
        <f>VLOOKUP($B79,'Raw RTF'!$B$8:$Q$1000,'Raw RTF'!Q$5,FALSE)</f>
        <v>0</v>
      </c>
    </row>
    <row r="80" spans="1:17" ht="38.25">
      <c r="A80" t="str">
        <f t="shared" si="2"/>
        <v>Windows - Double Pane to Class 22 - Heating Zone 3 (Electric FAF Heating System)WINDOW CL22 Prime Window Replacement of Double Pane Base</v>
      </c>
      <c r="B80" s="99" t="str">
        <f>'Raw RTF'!B174</f>
        <v>Windows - Double Pane to Class 22 - Heating Zone 3 (Electric FAF Heating System)</v>
      </c>
      <c r="C80" s="99" t="s">
        <v>75</v>
      </c>
      <c r="D80">
        <f>VLOOKUP($B80,'Raw RTF'!$B$8:$Q$1000,'Raw RTF'!D$5,FALSE)</f>
        <v>25.151612846231544</v>
      </c>
      <c r="E80">
        <f>VLOOKUP($B80,'Raw RTF'!$B$8:$Q$1000,'Raw RTF'!E$5,FALSE)</f>
        <v>45</v>
      </c>
      <c r="F80">
        <f>VLOOKUP($B80,'Raw RTF'!$B$8:$Q$1000,'Raw RTF'!F$5,FALSE)</f>
        <v>23.269535952606116</v>
      </c>
      <c r="G80">
        <f>VLOOKUP($B80,'Raw RTF'!$B$8:$Q$1000,'Raw RTF'!G$5,FALSE)</f>
        <v>0</v>
      </c>
      <c r="H80" t="str">
        <f>VLOOKUP($B80,'Raw RTF'!$B$8:$Q$1000,'Raw RTF'!H$5,FALSE)</f>
        <v>ResSHWX</v>
      </c>
      <c r="I80">
        <f>VLOOKUP($B80,'Raw RTF'!$B$8:$Q$1000,'Raw RTF'!I$5,FALSE)</f>
        <v>0</v>
      </c>
      <c r="J80">
        <f>VLOOKUP($B80,'Raw RTF'!$B$8:$Q$1000,'Raw RTF'!J$5,FALSE)</f>
        <v>0</v>
      </c>
      <c r="K80">
        <f>VLOOKUP($B80,'Raw RTF'!$B$8:$Q$1000,'Raw RTF'!K$5,FALSE)</f>
        <v>0</v>
      </c>
      <c r="L80">
        <f>VLOOKUP($B80,'Raw RTF'!$B$8:$Q$1000,'Raw RTF'!L$5,FALSE)</f>
        <v>0</v>
      </c>
      <c r="M80">
        <f>VLOOKUP($B80,'Raw RTF'!$B$8:$Q$1000,'Raw RTF'!M$5,FALSE)</f>
        <v>0</v>
      </c>
      <c r="N80">
        <f>VLOOKUP($B80,'Raw RTF'!$B$8:$Q$1000,'Raw RTF'!N$5,FALSE)</f>
        <v>0</v>
      </c>
      <c r="O80">
        <f>VLOOKUP($B80,'Raw RTF'!$B$8:$Q$1000,'Raw RTF'!O$5,FALSE)</f>
        <v>0</v>
      </c>
      <c r="P80">
        <f>VLOOKUP($B80,'Raw RTF'!$B$8:$Q$1000,'Raw RTF'!P$5,FALSE)</f>
        <v>0</v>
      </c>
      <c r="Q80">
        <f>VLOOKUP($B80,'Raw RTF'!$B$8:$Q$1000,'Raw RTF'!Q$5,FALSE)</f>
        <v>0</v>
      </c>
    </row>
    <row r="81" spans="1:17" ht="38.25">
      <c r="A81" t="str">
        <f t="shared" si="2"/>
        <v>Windows - Single Pane to Class 30 - Heating Zone 3 (Electric FAF Heating System)WINDOW CL30 Prime Window Replacement of Single Pane Base</v>
      </c>
      <c r="B81" s="99" t="str">
        <f>'Raw RTF'!B175</f>
        <v>Windows - Single Pane to Class 30 - Heating Zone 3 (Electric FAF Heating System)</v>
      </c>
      <c r="C81" s="99" t="s">
        <v>72</v>
      </c>
      <c r="D81">
        <f>VLOOKUP($B81,'Raw RTF'!$B$8:$Q$1000,'Raw RTF'!D$5,FALSE)</f>
        <v>38.169948171736593</v>
      </c>
      <c r="E81">
        <f>VLOOKUP($B81,'Raw RTF'!$B$8:$Q$1000,'Raw RTF'!E$5,FALSE)</f>
        <v>45</v>
      </c>
      <c r="F81">
        <f>VLOOKUP($B81,'Raw RTF'!$B$8:$Q$1000,'Raw RTF'!F$5,FALSE)</f>
        <v>17.810142881355933</v>
      </c>
      <c r="G81">
        <f>VLOOKUP($B81,'Raw RTF'!$B$8:$Q$1000,'Raw RTF'!G$5,FALSE)</f>
        <v>0</v>
      </c>
      <c r="H81" t="str">
        <f>VLOOKUP($B81,'Raw RTF'!$B$8:$Q$1000,'Raw RTF'!H$5,FALSE)</f>
        <v>ResSHWX</v>
      </c>
      <c r="I81">
        <f>VLOOKUP($B81,'Raw RTF'!$B$8:$Q$1000,'Raw RTF'!I$5,FALSE)</f>
        <v>0</v>
      </c>
      <c r="J81">
        <f>VLOOKUP($B81,'Raw RTF'!$B$8:$Q$1000,'Raw RTF'!J$5,FALSE)</f>
        <v>0</v>
      </c>
      <c r="K81">
        <f>VLOOKUP($B81,'Raw RTF'!$B$8:$Q$1000,'Raw RTF'!K$5,FALSE)</f>
        <v>0</v>
      </c>
      <c r="L81">
        <f>VLOOKUP($B81,'Raw RTF'!$B$8:$Q$1000,'Raw RTF'!L$5,FALSE)</f>
        <v>0</v>
      </c>
      <c r="M81">
        <f>VLOOKUP($B81,'Raw RTF'!$B$8:$Q$1000,'Raw RTF'!M$5,FALSE)</f>
        <v>0</v>
      </c>
      <c r="N81">
        <f>VLOOKUP($B81,'Raw RTF'!$B$8:$Q$1000,'Raw RTF'!N$5,FALSE)</f>
        <v>0</v>
      </c>
      <c r="O81">
        <f>VLOOKUP($B81,'Raw RTF'!$B$8:$Q$1000,'Raw RTF'!O$5,FALSE)</f>
        <v>0</v>
      </c>
      <c r="P81">
        <f>VLOOKUP($B81,'Raw RTF'!$B$8:$Q$1000,'Raw RTF'!P$5,FALSE)</f>
        <v>0</v>
      </c>
      <c r="Q81">
        <f>VLOOKUP($B81,'Raw RTF'!$B$8:$Q$1000,'Raw RTF'!Q$5,FALSE)</f>
        <v>0</v>
      </c>
    </row>
    <row r="82" spans="1:17" ht="38.25">
      <c r="A82" t="str">
        <f t="shared" si="2"/>
        <v>Windows - Double Pane to Class 30 - Heating Zone 3 (Electric FAF Heating System)WINDOW CL30 Prime Window Replacement of Double Pane Base</v>
      </c>
      <c r="B82" s="99" t="str">
        <f>'Raw RTF'!B176</f>
        <v>Windows - Double Pane to Class 30 - Heating Zone 3 (Electric FAF Heating System)</v>
      </c>
      <c r="C82" s="99" t="s">
        <v>73</v>
      </c>
      <c r="D82">
        <f>VLOOKUP($B82,'Raw RTF'!$B$8:$Q$1000,'Raw RTF'!D$5,FALSE)</f>
        <v>21.687002898360529</v>
      </c>
      <c r="E82">
        <f>VLOOKUP($B82,'Raw RTF'!$B$8:$Q$1000,'Raw RTF'!E$5,FALSE)</f>
        <v>45</v>
      </c>
      <c r="F82">
        <f>VLOOKUP($B82,'Raw RTF'!$B$8:$Q$1000,'Raw RTF'!F$5,FALSE)</f>
        <v>17.810142881355933</v>
      </c>
      <c r="G82">
        <f>VLOOKUP($B82,'Raw RTF'!$B$8:$Q$1000,'Raw RTF'!G$5,FALSE)</f>
        <v>0</v>
      </c>
      <c r="H82" t="str">
        <f>VLOOKUP($B82,'Raw RTF'!$B$8:$Q$1000,'Raw RTF'!H$5,FALSE)</f>
        <v>ResSHWX</v>
      </c>
      <c r="I82">
        <f>VLOOKUP($B82,'Raw RTF'!$B$8:$Q$1000,'Raw RTF'!I$5,FALSE)</f>
        <v>0</v>
      </c>
      <c r="J82">
        <f>VLOOKUP($B82,'Raw RTF'!$B$8:$Q$1000,'Raw RTF'!J$5,FALSE)</f>
        <v>0</v>
      </c>
      <c r="K82">
        <f>VLOOKUP($B82,'Raw RTF'!$B$8:$Q$1000,'Raw RTF'!K$5,FALSE)</f>
        <v>0</v>
      </c>
      <c r="L82">
        <f>VLOOKUP($B82,'Raw RTF'!$B$8:$Q$1000,'Raw RTF'!L$5,FALSE)</f>
        <v>0</v>
      </c>
      <c r="M82">
        <f>VLOOKUP($B82,'Raw RTF'!$B$8:$Q$1000,'Raw RTF'!M$5,FALSE)</f>
        <v>0</v>
      </c>
      <c r="N82">
        <f>VLOOKUP($B82,'Raw RTF'!$B$8:$Q$1000,'Raw RTF'!N$5,FALSE)</f>
        <v>0</v>
      </c>
      <c r="O82">
        <f>VLOOKUP($B82,'Raw RTF'!$B$8:$Q$1000,'Raw RTF'!O$5,FALSE)</f>
        <v>0</v>
      </c>
      <c r="P82">
        <f>VLOOKUP($B82,'Raw RTF'!$B$8:$Q$1000,'Raw RTF'!P$5,FALSE)</f>
        <v>0</v>
      </c>
      <c r="Q82">
        <f>VLOOKUP($B82,'Raw RTF'!$B$8:$Q$1000,'Raw RTF'!Q$5,FALSE)</f>
        <v>0</v>
      </c>
    </row>
    <row r="83" spans="1:17" ht="25.5">
      <c r="A83" t="str">
        <f t="shared" si="2"/>
        <v>Multi Family Weatherization - Insulate Walls - R-0 to R-11 - Heating Zone 1 (Heat Pump Heating System)WALL R0 - R11</v>
      </c>
      <c r="B83" s="99" t="str">
        <f>'Raw RTF'!B179</f>
        <v>Multi Family Weatherization - Insulate Walls - R-0 to R-11 - Heating Zone 1 (Heat Pump Heating System)</v>
      </c>
      <c r="C83" s="99" t="s">
        <v>69</v>
      </c>
      <c r="D83">
        <f>VLOOKUP($B83,'Raw RTF'!$B$8:$Q$1000,'Raw RTF'!D$5,FALSE)</f>
        <v>0.49442785946280737</v>
      </c>
      <c r="E83">
        <f>VLOOKUP($B83,'Raw RTF'!$B$8:$Q$1000,'Raw RTF'!E$5,FALSE)</f>
        <v>45</v>
      </c>
      <c r="F83">
        <f>VLOOKUP($B83,'Raw RTF'!$B$8:$Q$1000,'Raw RTF'!F$5,FALSE)</f>
        <v>1.0354836592527603</v>
      </c>
      <c r="G83">
        <f>VLOOKUP($B83,'Raw RTF'!$B$8:$Q$1000,'Raw RTF'!G$5,FALSE)</f>
        <v>0</v>
      </c>
      <c r="H83" t="str">
        <f>VLOOKUP($B83,'Raw RTF'!$B$8:$Q$1000,'Raw RTF'!H$5,FALSE)</f>
        <v>ResSHWX</v>
      </c>
      <c r="I83">
        <f>VLOOKUP($B83,'Raw RTF'!$B$8:$Q$1000,'Raw RTF'!I$5,FALSE)</f>
        <v>0</v>
      </c>
      <c r="J83">
        <f>VLOOKUP($B83,'Raw RTF'!$B$8:$Q$1000,'Raw RTF'!J$5,FALSE)</f>
        <v>0</v>
      </c>
      <c r="K83">
        <f>VLOOKUP($B83,'Raw RTF'!$B$8:$Q$1000,'Raw RTF'!K$5,FALSE)</f>
        <v>0</v>
      </c>
      <c r="L83">
        <f>VLOOKUP($B83,'Raw RTF'!$B$8:$Q$1000,'Raw RTF'!L$5,FALSE)</f>
        <v>0</v>
      </c>
      <c r="M83">
        <f>VLOOKUP($B83,'Raw RTF'!$B$8:$Q$1000,'Raw RTF'!M$5,FALSE)</f>
        <v>0</v>
      </c>
      <c r="N83">
        <f>VLOOKUP($B83,'Raw RTF'!$B$8:$Q$1000,'Raw RTF'!N$5,FALSE)</f>
        <v>0</v>
      </c>
      <c r="O83">
        <f>VLOOKUP($B83,'Raw RTF'!$B$8:$Q$1000,'Raw RTF'!O$5,FALSE)</f>
        <v>0</v>
      </c>
      <c r="P83">
        <f>VLOOKUP($B83,'Raw RTF'!$B$8:$Q$1000,'Raw RTF'!P$5,FALSE)</f>
        <v>0</v>
      </c>
      <c r="Q83">
        <f>VLOOKUP($B83,'Raw RTF'!$B$8:$Q$1000,'Raw RTF'!Q$5,FALSE)</f>
        <v>0</v>
      </c>
    </row>
    <row r="84" spans="1:17" ht="25.5">
      <c r="A84" t="str">
        <f t="shared" si="2"/>
        <v>Multi Family Weatherization - Insulate Floors - R-0 to R-19 - Heating Zone 1 (Heat Pump Heating System)FLOOR R0 - R19</v>
      </c>
      <c r="B84" s="99" t="str">
        <f>'Raw RTF'!B180</f>
        <v>Multi Family Weatherization - Insulate Floors - R-0 to R-19 - Heating Zone 1 (Heat Pump Heating System)</v>
      </c>
      <c r="C84" s="99" t="s">
        <v>70</v>
      </c>
      <c r="D84">
        <f>VLOOKUP($B84,'Raw RTF'!$B$8:$Q$1000,'Raw RTF'!D$5,FALSE)</f>
        <v>0.13296836878248638</v>
      </c>
      <c r="E84">
        <f>VLOOKUP($B84,'Raw RTF'!$B$8:$Q$1000,'Raw RTF'!E$5,FALSE)</f>
        <v>45</v>
      </c>
      <c r="F84">
        <f>VLOOKUP($B84,'Raw RTF'!$B$8:$Q$1000,'Raw RTF'!F$5,FALSE)</f>
        <v>0.91799940108959477</v>
      </c>
      <c r="G84">
        <f>VLOOKUP($B84,'Raw RTF'!$B$8:$Q$1000,'Raw RTF'!G$5,FALSE)</f>
        <v>0</v>
      </c>
      <c r="H84" t="str">
        <f>VLOOKUP($B84,'Raw RTF'!$B$8:$Q$1000,'Raw RTF'!H$5,FALSE)</f>
        <v>ResSHWX</v>
      </c>
      <c r="I84">
        <f>VLOOKUP($B84,'Raw RTF'!$B$8:$Q$1000,'Raw RTF'!I$5,FALSE)</f>
        <v>0</v>
      </c>
      <c r="J84">
        <f>VLOOKUP($B84,'Raw RTF'!$B$8:$Q$1000,'Raw RTF'!J$5,FALSE)</f>
        <v>0</v>
      </c>
      <c r="K84">
        <f>VLOOKUP($B84,'Raw RTF'!$B$8:$Q$1000,'Raw RTF'!K$5,FALSE)</f>
        <v>0</v>
      </c>
      <c r="L84">
        <f>VLOOKUP($B84,'Raw RTF'!$B$8:$Q$1000,'Raw RTF'!L$5,FALSE)</f>
        <v>0</v>
      </c>
      <c r="M84">
        <f>VLOOKUP($B84,'Raw RTF'!$B$8:$Q$1000,'Raw RTF'!M$5,FALSE)</f>
        <v>0</v>
      </c>
      <c r="N84">
        <f>VLOOKUP($B84,'Raw RTF'!$B$8:$Q$1000,'Raw RTF'!N$5,FALSE)</f>
        <v>0</v>
      </c>
      <c r="O84">
        <f>VLOOKUP($B84,'Raw RTF'!$B$8:$Q$1000,'Raw RTF'!O$5,FALSE)</f>
        <v>0</v>
      </c>
      <c r="P84">
        <f>VLOOKUP($B84,'Raw RTF'!$B$8:$Q$1000,'Raw RTF'!P$5,FALSE)</f>
        <v>0</v>
      </c>
      <c r="Q84">
        <f>VLOOKUP($B84,'Raw RTF'!$B$8:$Q$1000,'Raw RTF'!Q$5,FALSE)</f>
        <v>0</v>
      </c>
    </row>
    <row r="85" spans="1:17" ht="25.5">
      <c r="A85" t="str">
        <f t="shared" si="2"/>
        <v>Multi Family Weatherization - Insulate Floors - R-0 to R-30 - Heating Zone 1 (Heat Pump Heating System)FLOOR R0 - R30</v>
      </c>
      <c r="B85" s="99" t="str">
        <f>'Raw RTF'!B181</f>
        <v>Multi Family Weatherization - Insulate Floors - R-0 to R-30 - Heating Zone 1 (Heat Pump Heating System)</v>
      </c>
      <c r="C85" s="99" t="s">
        <v>71</v>
      </c>
      <c r="D85">
        <f>VLOOKUP($B85,'Raw RTF'!$B$8:$Q$1000,'Raw RTF'!D$5,FALSE)</f>
        <v>0.1712248517944166</v>
      </c>
      <c r="E85">
        <f>VLOOKUP($B85,'Raw RTF'!$B$8:$Q$1000,'Raw RTF'!E$5,FALSE)</f>
        <v>45</v>
      </c>
      <c r="F85">
        <f>VLOOKUP($B85,'Raw RTF'!$B$8:$Q$1000,'Raw RTF'!F$5,FALSE)</f>
        <v>0.98244865861375763</v>
      </c>
      <c r="G85">
        <f>VLOOKUP($B85,'Raw RTF'!$B$8:$Q$1000,'Raw RTF'!G$5,FALSE)</f>
        <v>0</v>
      </c>
      <c r="H85" t="str">
        <f>VLOOKUP($B85,'Raw RTF'!$B$8:$Q$1000,'Raw RTF'!H$5,FALSE)</f>
        <v>ResSHWX</v>
      </c>
      <c r="I85">
        <f>VLOOKUP($B85,'Raw RTF'!$B$8:$Q$1000,'Raw RTF'!I$5,FALSE)</f>
        <v>0</v>
      </c>
      <c r="J85">
        <f>VLOOKUP($B85,'Raw RTF'!$B$8:$Q$1000,'Raw RTF'!J$5,FALSE)</f>
        <v>0</v>
      </c>
      <c r="K85">
        <f>VLOOKUP($B85,'Raw RTF'!$B$8:$Q$1000,'Raw RTF'!K$5,FALSE)</f>
        <v>0</v>
      </c>
      <c r="L85">
        <f>VLOOKUP($B85,'Raw RTF'!$B$8:$Q$1000,'Raw RTF'!L$5,FALSE)</f>
        <v>0</v>
      </c>
      <c r="M85">
        <f>VLOOKUP($B85,'Raw RTF'!$B$8:$Q$1000,'Raw RTF'!M$5,FALSE)</f>
        <v>0</v>
      </c>
      <c r="N85">
        <f>VLOOKUP($B85,'Raw RTF'!$B$8:$Q$1000,'Raw RTF'!N$5,FALSE)</f>
        <v>0</v>
      </c>
      <c r="O85">
        <f>VLOOKUP($B85,'Raw RTF'!$B$8:$Q$1000,'Raw RTF'!O$5,FALSE)</f>
        <v>0</v>
      </c>
      <c r="P85">
        <f>VLOOKUP($B85,'Raw RTF'!$B$8:$Q$1000,'Raw RTF'!P$5,FALSE)</f>
        <v>0</v>
      </c>
      <c r="Q85">
        <f>VLOOKUP($B85,'Raw RTF'!$B$8:$Q$1000,'Raw RTF'!Q$5,FALSE)</f>
        <v>0</v>
      </c>
    </row>
    <row r="86" spans="1:17">
      <c r="A86" t="str">
        <f t="shared" si="2"/>
        <v>Multi Family Weatherization - Insulate Attic - R-0 to R-19 - Heating Zone 1 (Heat Pump Heating System)ATTIC R0 - R19</v>
      </c>
      <c r="B86" s="99" t="str">
        <f>'Raw RTF'!B183</f>
        <v>Multi Family Weatherization - Insulate Attic - R-0 to R-19 - Heating Zone 1 (Heat Pump Heating System)</v>
      </c>
      <c r="C86" s="99" t="s">
        <v>1080</v>
      </c>
      <c r="D86">
        <f>VLOOKUP($B86,'Raw RTF'!$B$8:$Q$1000,'Raw RTF'!D$5,FALSE)</f>
        <v>0.22296163886132359</v>
      </c>
      <c r="E86">
        <f>VLOOKUP($B86,'Raw RTF'!$B$8:$Q$1000,'Raw RTF'!E$5,FALSE)</f>
        <v>45</v>
      </c>
      <c r="F86">
        <f>VLOOKUP($B86,'Raw RTF'!$B$8:$Q$1000,'Raw RTF'!F$5,FALSE)</f>
        <v>0.54914779043329487</v>
      </c>
      <c r="G86">
        <f>VLOOKUP($B86,'Raw RTF'!$B$8:$Q$1000,'Raw RTF'!G$5,FALSE)</f>
        <v>0</v>
      </c>
      <c r="H86" t="str">
        <f>VLOOKUP($B86,'Raw RTF'!$B$8:$Q$1000,'Raw RTF'!H$5,FALSE)</f>
        <v>ResSHWX</v>
      </c>
      <c r="I86">
        <f>VLOOKUP($B86,'Raw RTF'!$B$8:$Q$1000,'Raw RTF'!I$5,FALSE)</f>
        <v>0</v>
      </c>
      <c r="J86">
        <f>VLOOKUP($B86,'Raw RTF'!$B$8:$Q$1000,'Raw RTF'!J$5,FALSE)</f>
        <v>0</v>
      </c>
      <c r="K86">
        <f>VLOOKUP($B86,'Raw RTF'!$B$8:$Q$1000,'Raw RTF'!K$5,FALSE)</f>
        <v>0</v>
      </c>
      <c r="L86">
        <f>VLOOKUP($B86,'Raw RTF'!$B$8:$Q$1000,'Raw RTF'!L$5,FALSE)</f>
        <v>0</v>
      </c>
      <c r="M86">
        <f>VLOOKUP($B86,'Raw RTF'!$B$8:$Q$1000,'Raw RTF'!M$5,FALSE)</f>
        <v>0</v>
      </c>
      <c r="N86">
        <f>VLOOKUP($B86,'Raw RTF'!$B$8:$Q$1000,'Raw RTF'!N$5,FALSE)</f>
        <v>0</v>
      </c>
      <c r="O86">
        <f>VLOOKUP($B86,'Raw RTF'!$B$8:$Q$1000,'Raw RTF'!O$5,FALSE)</f>
        <v>0</v>
      </c>
      <c r="P86">
        <f>VLOOKUP($B86,'Raw RTF'!$B$8:$Q$1000,'Raw RTF'!P$5,FALSE)</f>
        <v>0</v>
      </c>
      <c r="Q86">
        <f>VLOOKUP($B86,'Raw RTF'!$B$8:$Q$1000,'Raw RTF'!Q$5,FALSE)</f>
        <v>0</v>
      </c>
    </row>
    <row r="87" spans="1:17">
      <c r="A87" t="str">
        <f t="shared" si="2"/>
        <v>Multi Family Weatherization - Insulate Attic - R-0 to R-38 - Heating Zone 1 (Heat Pump Heating System)ATTIC R0 - R38</v>
      </c>
      <c r="B87" s="99" t="str">
        <f>'Raw RTF'!B184</f>
        <v>Multi Family Weatherization - Insulate Attic - R-0 to R-38 - Heating Zone 1 (Heat Pump Heating System)</v>
      </c>
      <c r="C87" s="99" t="s">
        <v>65</v>
      </c>
      <c r="D87">
        <f>VLOOKUP($B87,'Raw RTF'!$B$8:$Q$1000,'Raw RTF'!D$5,FALSE)</f>
        <v>0.3040765512879412</v>
      </c>
      <c r="E87">
        <f>VLOOKUP($B87,'Raw RTF'!$B$8:$Q$1000,'Raw RTF'!E$5,FALSE)</f>
        <v>45</v>
      </c>
      <c r="F87">
        <f>VLOOKUP($B87,'Raw RTF'!$B$8:$Q$1000,'Raw RTF'!F$5,FALSE)</f>
        <v>0.73246728560336305</v>
      </c>
      <c r="G87">
        <f>VLOOKUP($B87,'Raw RTF'!$B$8:$Q$1000,'Raw RTF'!G$5,FALSE)</f>
        <v>0</v>
      </c>
      <c r="H87" t="str">
        <f>VLOOKUP($B87,'Raw RTF'!$B$8:$Q$1000,'Raw RTF'!H$5,FALSE)</f>
        <v>ResSHWX</v>
      </c>
      <c r="I87">
        <f>VLOOKUP($B87,'Raw RTF'!$B$8:$Q$1000,'Raw RTF'!I$5,FALSE)</f>
        <v>0</v>
      </c>
      <c r="J87">
        <f>VLOOKUP($B87,'Raw RTF'!$B$8:$Q$1000,'Raw RTF'!J$5,FALSE)</f>
        <v>0</v>
      </c>
      <c r="K87">
        <f>VLOOKUP($B87,'Raw RTF'!$B$8:$Q$1000,'Raw RTF'!K$5,FALSE)</f>
        <v>0</v>
      </c>
      <c r="L87">
        <f>VLOOKUP($B87,'Raw RTF'!$B$8:$Q$1000,'Raw RTF'!L$5,FALSE)</f>
        <v>0</v>
      </c>
      <c r="M87">
        <f>VLOOKUP($B87,'Raw RTF'!$B$8:$Q$1000,'Raw RTF'!M$5,FALSE)</f>
        <v>0</v>
      </c>
      <c r="N87">
        <f>VLOOKUP($B87,'Raw RTF'!$B$8:$Q$1000,'Raw RTF'!N$5,FALSE)</f>
        <v>0</v>
      </c>
      <c r="O87">
        <f>VLOOKUP($B87,'Raw RTF'!$B$8:$Q$1000,'Raw RTF'!O$5,FALSE)</f>
        <v>0</v>
      </c>
      <c r="P87">
        <f>VLOOKUP($B87,'Raw RTF'!$B$8:$Q$1000,'Raw RTF'!P$5,FALSE)</f>
        <v>0</v>
      </c>
      <c r="Q87">
        <f>VLOOKUP($B87,'Raw RTF'!$B$8:$Q$1000,'Raw RTF'!Q$5,FALSE)</f>
        <v>0</v>
      </c>
    </row>
    <row r="88" spans="1:17">
      <c r="A88" t="str">
        <f t="shared" si="2"/>
        <v>Multi Family Weatherization - Insulate Attic - R-0 to R-49 - Heating Zone 1 (Heat Pump Heating System)ATTIC R0 - R49</v>
      </c>
      <c r="B88" s="99" t="str">
        <f>'Raw RTF'!B185</f>
        <v>Multi Family Weatherization - Insulate Attic - R-0 to R-49 - Heating Zone 1 (Heat Pump Heating System)</v>
      </c>
      <c r="C88" s="99" t="s">
        <v>66</v>
      </c>
      <c r="D88">
        <f>VLOOKUP($B88,'Raw RTF'!$B$8:$Q$1000,'Raw RTF'!D$5,FALSE)</f>
        <v>0.32282417921891032</v>
      </c>
      <c r="E88">
        <f>VLOOKUP($B88,'Raw RTF'!$B$8:$Q$1000,'Raw RTF'!E$5,FALSE)</f>
        <v>45</v>
      </c>
      <c r="F88">
        <f>VLOOKUP($B88,'Raw RTF'!$B$8:$Q$1000,'Raw RTF'!F$5,FALSE)</f>
        <v>0.83087905114745864</v>
      </c>
      <c r="G88">
        <f>VLOOKUP($B88,'Raw RTF'!$B$8:$Q$1000,'Raw RTF'!G$5,FALSE)</f>
        <v>0</v>
      </c>
      <c r="H88" t="str">
        <f>VLOOKUP($B88,'Raw RTF'!$B$8:$Q$1000,'Raw RTF'!H$5,FALSE)</f>
        <v>ResSHWX</v>
      </c>
      <c r="I88">
        <f>VLOOKUP($B88,'Raw RTF'!$B$8:$Q$1000,'Raw RTF'!I$5,FALSE)</f>
        <v>0</v>
      </c>
      <c r="J88">
        <f>VLOOKUP($B88,'Raw RTF'!$B$8:$Q$1000,'Raw RTF'!J$5,FALSE)</f>
        <v>0</v>
      </c>
      <c r="K88">
        <f>VLOOKUP($B88,'Raw RTF'!$B$8:$Q$1000,'Raw RTF'!K$5,FALSE)</f>
        <v>0</v>
      </c>
      <c r="L88">
        <f>VLOOKUP($B88,'Raw RTF'!$B$8:$Q$1000,'Raw RTF'!L$5,FALSE)</f>
        <v>0</v>
      </c>
      <c r="M88">
        <f>VLOOKUP($B88,'Raw RTF'!$B$8:$Q$1000,'Raw RTF'!M$5,FALSE)</f>
        <v>0</v>
      </c>
      <c r="N88">
        <f>VLOOKUP($B88,'Raw RTF'!$B$8:$Q$1000,'Raw RTF'!N$5,FALSE)</f>
        <v>0</v>
      </c>
      <c r="O88">
        <f>VLOOKUP($B88,'Raw RTF'!$B$8:$Q$1000,'Raw RTF'!O$5,FALSE)</f>
        <v>0</v>
      </c>
      <c r="P88">
        <f>VLOOKUP($B88,'Raw RTF'!$B$8:$Q$1000,'Raw RTF'!P$5,FALSE)</f>
        <v>0</v>
      </c>
      <c r="Q88">
        <f>VLOOKUP($B88,'Raw RTF'!$B$8:$Q$1000,'Raw RTF'!Q$5,FALSE)</f>
        <v>0</v>
      </c>
    </row>
    <row r="89" spans="1:17" ht="25.5">
      <c r="A89" t="str">
        <f t="shared" si="2"/>
        <v>Multi Family Weatherization - Insulate Attic - R-19 to R-30 - Heating Zone 1 (Heat Pump Heating System)ATTIC R19 - R30</v>
      </c>
      <c r="B89" s="99" t="str">
        <f>'Raw RTF'!B189</f>
        <v>Multi Family Weatherization - Insulate Attic - R-19 to R-30 - Heating Zone 1 (Heat Pump Heating System)</v>
      </c>
      <c r="C89" s="99" t="s">
        <v>1081</v>
      </c>
      <c r="D89">
        <f>VLOOKUP($B89,'Raw RTF'!$B$8:$Q$1000,'Raw RTF'!D$5,FALSE)</f>
        <v>5.8931109367299353E-2</v>
      </c>
      <c r="E89">
        <f>VLOOKUP($B89,'Raw RTF'!$B$8:$Q$1000,'Raw RTF'!E$5,FALSE)</f>
        <v>45</v>
      </c>
      <c r="F89">
        <f>VLOOKUP($B89,'Raw RTF'!$B$8:$Q$1000,'Raw RTF'!F$5,FALSE)</f>
        <v>0.47401945424285125</v>
      </c>
      <c r="G89">
        <f>VLOOKUP($B89,'Raw RTF'!$B$8:$Q$1000,'Raw RTF'!G$5,FALSE)</f>
        <v>0</v>
      </c>
      <c r="H89" t="str">
        <f>VLOOKUP($B89,'Raw RTF'!$B$8:$Q$1000,'Raw RTF'!H$5,FALSE)</f>
        <v>ResSHWX</v>
      </c>
      <c r="I89">
        <f>VLOOKUP($B89,'Raw RTF'!$B$8:$Q$1000,'Raw RTF'!I$5,FALSE)</f>
        <v>0</v>
      </c>
      <c r="J89">
        <f>VLOOKUP($B89,'Raw RTF'!$B$8:$Q$1000,'Raw RTF'!J$5,FALSE)</f>
        <v>0</v>
      </c>
      <c r="K89">
        <f>VLOOKUP($B89,'Raw RTF'!$B$8:$Q$1000,'Raw RTF'!K$5,FALSE)</f>
        <v>0</v>
      </c>
      <c r="L89">
        <f>VLOOKUP($B89,'Raw RTF'!$B$8:$Q$1000,'Raw RTF'!L$5,FALSE)</f>
        <v>0</v>
      </c>
      <c r="M89">
        <f>VLOOKUP($B89,'Raw RTF'!$B$8:$Q$1000,'Raw RTF'!M$5,FALSE)</f>
        <v>0</v>
      </c>
      <c r="N89">
        <f>VLOOKUP($B89,'Raw RTF'!$B$8:$Q$1000,'Raw RTF'!N$5,FALSE)</f>
        <v>0</v>
      </c>
      <c r="O89">
        <f>VLOOKUP($B89,'Raw RTF'!$B$8:$Q$1000,'Raw RTF'!O$5,FALSE)</f>
        <v>0</v>
      </c>
      <c r="P89">
        <f>VLOOKUP($B89,'Raw RTF'!$B$8:$Q$1000,'Raw RTF'!P$5,FALSE)</f>
        <v>0</v>
      </c>
      <c r="Q89">
        <f>VLOOKUP($B89,'Raw RTF'!$B$8:$Q$1000,'Raw RTF'!Q$5,FALSE)</f>
        <v>0</v>
      </c>
    </row>
    <row r="90" spans="1:17" ht="25.5">
      <c r="A90" t="str">
        <f t="shared" si="2"/>
        <v>Multi Family Weatherization - Insulate Attic - R-19 to R-38 - Heating Zone 1 (Heat Pump Heating System)ATTIC R19 - R38</v>
      </c>
      <c r="B90" s="99" t="str">
        <f>'Raw RTF'!B190</f>
        <v>Multi Family Weatherization - Insulate Attic - R-19 to R-38 - Heating Zone 1 (Heat Pump Heating System)</v>
      </c>
      <c r="C90" s="99" t="s">
        <v>67</v>
      </c>
      <c r="D90">
        <f>VLOOKUP($B90,'Raw RTF'!$B$8:$Q$1000,'Raw RTF'!D$5,FALSE)</f>
        <v>8.11149124266176E-2</v>
      </c>
      <c r="E90">
        <f>VLOOKUP($B90,'Raw RTF'!$B$8:$Q$1000,'Raw RTF'!E$5,FALSE)</f>
        <v>45</v>
      </c>
      <c r="F90">
        <f>VLOOKUP($B90,'Raw RTF'!$B$8:$Q$1000,'Raw RTF'!F$5,FALSE)</f>
        <v>0.55283834686255773</v>
      </c>
      <c r="G90">
        <f>VLOOKUP($B90,'Raw RTF'!$B$8:$Q$1000,'Raw RTF'!G$5,FALSE)</f>
        <v>0</v>
      </c>
      <c r="H90" t="str">
        <f>VLOOKUP($B90,'Raw RTF'!$B$8:$Q$1000,'Raw RTF'!H$5,FALSE)</f>
        <v>ResSHWX</v>
      </c>
      <c r="I90">
        <f>VLOOKUP($B90,'Raw RTF'!$B$8:$Q$1000,'Raw RTF'!I$5,FALSE)</f>
        <v>0</v>
      </c>
      <c r="J90">
        <f>VLOOKUP($B90,'Raw RTF'!$B$8:$Q$1000,'Raw RTF'!J$5,FALSE)</f>
        <v>0</v>
      </c>
      <c r="K90">
        <f>VLOOKUP($B90,'Raw RTF'!$B$8:$Q$1000,'Raw RTF'!K$5,FALSE)</f>
        <v>0</v>
      </c>
      <c r="L90">
        <f>VLOOKUP($B90,'Raw RTF'!$B$8:$Q$1000,'Raw RTF'!L$5,FALSE)</f>
        <v>0</v>
      </c>
      <c r="M90">
        <f>VLOOKUP($B90,'Raw RTF'!$B$8:$Q$1000,'Raw RTF'!M$5,FALSE)</f>
        <v>0</v>
      </c>
      <c r="N90">
        <f>VLOOKUP($B90,'Raw RTF'!$B$8:$Q$1000,'Raw RTF'!N$5,FALSE)</f>
        <v>0</v>
      </c>
      <c r="O90">
        <f>VLOOKUP($B90,'Raw RTF'!$B$8:$Q$1000,'Raw RTF'!O$5,FALSE)</f>
        <v>0</v>
      </c>
      <c r="P90">
        <f>VLOOKUP($B90,'Raw RTF'!$B$8:$Q$1000,'Raw RTF'!P$5,FALSE)</f>
        <v>0</v>
      </c>
      <c r="Q90">
        <f>VLOOKUP($B90,'Raw RTF'!$B$8:$Q$1000,'Raw RTF'!Q$5,FALSE)</f>
        <v>0</v>
      </c>
    </row>
    <row r="91" spans="1:17" ht="25.5">
      <c r="A91" t="str">
        <f t="shared" si="2"/>
        <v>Multi Family Weatherization - Insulate Attic - R-19 to R-49 - Heating Zone 1 (Heat Pump Heating System)ATTIC R19 - R49</v>
      </c>
      <c r="B91" s="99" t="str">
        <f>'Raw RTF'!B191</f>
        <v>Multi Family Weatherization - Insulate Attic - R-19 to R-49 - Heating Zone 1 (Heat Pump Heating System)</v>
      </c>
      <c r="C91" s="99" t="s">
        <v>68</v>
      </c>
      <c r="D91">
        <f>VLOOKUP($B91,'Raw RTF'!$B$8:$Q$1000,'Raw RTF'!D$5,FALSE)</f>
        <v>9.9862540357586765E-2</v>
      </c>
      <c r="E91">
        <f>VLOOKUP($B91,'Raw RTF'!$B$8:$Q$1000,'Raw RTF'!E$5,FALSE)</f>
        <v>45</v>
      </c>
      <c r="F91">
        <f>VLOOKUP($B91,'Raw RTF'!$B$8:$Q$1000,'Raw RTF'!F$5,FALSE)</f>
        <v>0.65683404823881342</v>
      </c>
      <c r="G91">
        <f>VLOOKUP($B91,'Raw RTF'!$B$8:$Q$1000,'Raw RTF'!G$5,FALSE)</f>
        <v>0</v>
      </c>
      <c r="H91" t="str">
        <f>VLOOKUP($B91,'Raw RTF'!$B$8:$Q$1000,'Raw RTF'!H$5,FALSE)</f>
        <v>ResSHWX</v>
      </c>
      <c r="I91">
        <f>VLOOKUP($B91,'Raw RTF'!$B$8:$Q$1000,'Raw RTF'!I$5,FALSE)</f>
        <v>0</v>
      </c>
      <c r="J91">
        <f>VLOOKUP($B91,'Raw RTF'!$B$8:$Q$1000,'Raw RTF'!J$5,FALSE)</f>
        <v>0</v>
      </c>
      <c r="K91">
        <f>VLOOKUP($B91,'Raw RTF'!$B$8:$Q$1000,'Raw RTF'!K$5,FALSE)</f>
        <v>0</v>
      </c>
      <c r="L91">
        <f>VLOOKUP($B91,'Raw RTF'!$B$8:$Q$1000,'Raw RTF'!L$5,FALSE)</f>
        <v>0</v>
      </c>
      <c r="M91">
        <f>VLOOKUP($B91,'Raw RTF'!$B$8:$Q$1000,'Raw RTF'!M$5,FALSE)</f>
        <v>0</v>
      </c>
      <c r="N91">
        <f>VLOOKUP($B91,'Raw RTF'!$B$8:$Q$1000,'Raw RTF'!N$5,FALSE)</f>
        <v>0</v>
      </c>
      <c r="O91">
        <f>VLOOKUP($B91,'Raw RTF'!$B$8:$Q$1000,'Raw RTF'!O$5,FALSE)</f>
        <v>0</v>
      </c>
      <c r="P91">
        <f>VLOOKUP($B91,'Raw RTF'!$B$8:$Q$1000,'Raw RTF'!P$5,FALSE)</f>
        <v>0</v>
      </c>
      <c r="Q91">
        <f>VLOOKUP($B91,'Raw RTF'!$B$8:$Q$1000,'Raw RTF'!Q$5,FALSE)</f>
        <v>0</v>
      </c>
    </row>
    <row r="92" spans="1:17" ht="38.25">
      <c r="A92" t="str">
        <f t="shared" si="2"/>
        <v>Windows - Single Pane to Class 22 - Heating Zone 1 (Heat Pump Heating System)WINDOW CL22 Prime Window Replacement of Single Pane Base</v>
      </c>
      <c r="B92" s="99" t="str">
        <f>'Raw RTF'!B192</f>
        <v>Windows - Single Pane to Class 22 - Heating Zone 1 (Heat Pump Heating System)</v>
      </c>
      <c r="C92" s="99" t="s">
        <v>74</v>
      </c>
      <c r="D92">
        <f>VLOOKUP($B92,'Raw RTF'!$B$8:$Q$1000,'Raw RTF'!D$5,FALSE)</f>
        <v>10.785708249928474</v>
      </c>
      <c r="E92">
        <f>VLOOKUP($B92,'Raw RTF'!$B$8:$Q$1000,'Raw RTF'!E$5,FALSE)</f>
        <v>45</v>
      </c>
      <c r="F92">
        <f>VLOOKUP($B92,'Raw RTF'!$B$8:$Q$1000,'Raw RTF'!F$5,FALSE)</f>
        <v>23.269535952606116</v>
      </c>
      <c r="G92">
        <f>VLOOKUP($B92,'Raw RTF'!$B$8:$Q$1000,'Raw RTF'!G$5,FALSE)</f>
        <v>0</v>
      </c>
      <c r="H92" t="str">
        <f>VLOOKUP($B92,'Raw RTF'!$B$8:$Q$1000,'Raw RTF'!H$5,FALSE)</f>
        <v>ResSHWX</v>
      </c>
      <c r="I92">
        <f>VLOOKUP($B92,'Raw RTF'!$B$8:$Q$1000,'Raw RTF'!I$5,FALSE)</f>
        <v>0</v>
      </c>
      <c r="J92">
        <f>VLOOKUP($B92,'Raw RTF'!$B$8:$Q$1000,'Raw RTF'!J$5,FALSE)</f>
        <v>0</v>
      </c>
      <c r="K92">
        <f>VLOOKUP($B92,'Raw RTF'!$B$8:$Q$1000,'Raw RTF'!K$5,FALSE)</f>
        <v>0</v>
      </c>
      <c r="L92">
        <f>VLOOKUP($B92,'Raw RTF'!$B$8:$Q$1000,'Raw RTF'!L$5,FALSE)</f>
        <v>0</v>
      </c>
      <c r="M92">
        <f>VLOOKUP($B92,'Raw RTF'!$B$8:$Q$1000,'Raw RTF'!M$5,FALSE)</f>
        <v>0</v>
      </c>
      <c r="N92">
        <f>VLOOKUP($B92,'Raw RTF'!$B$8:$Q$1000,'Raw RTF'!N$5,FALSE)</f>
        <v>0</v>
      </c>
      <c r="O92">
        <f>VLOOKUP($B92,'Raw RTF'!$B$8:$Q$1000,'Raw RTF'!O$5,FALSE)</f>
        <v>0</v>
      </c>
      <c r="P92">
        <f>VLOOKUP($B92,'Raw RTF'!$B$8:$Q$1000,'Raw RTF'!P$5,FALSE)</f>
        <v>0</v>
      </c>
      <c r="Q92">
        <f>VLOOKUP($B92,'Raw RTF'!$B$8:$Q$1000,'Raw RTF'!Q$5,FALSE)</f>
        <v>0</v>
      </c>
    </row>
    <row r="93" spans="1:17" ht="38.25">
      <c r="A93" t="str">
        <f t="shared" si="2"/>
        <v>Windows - Double Pane to Class 22 - Heating Zone 1 (Heat Pump Heating System)WINDOW CL22 Prime Window Replacement of Double Pane Base</v>
      </c>
      <c r="B93" s="99" t="str">
        <f>'Raw RTF'!B193</f>
        <v>Windows - Double Pane to Class 22 - Heating Zone 1 (Heat Pump Heating System)</v>
      </c>
      <c r="C93" s="99" t="s">
        <v>75</v>
      </c>
      <c r="D93">
        <f>VLOOKUP($B93,'Raw RTF'!$B$8:$Q$1000,'Raw RTF'!D$5,FALSE)</f>
        <v>7.0973929181203426</v>
      </c>
      <c r="E93">
        <f>VLOOKUP($B93,'Raw RTF'!$B$8:$Q$1000,'Raw RTF'!E$5,FALSE)</f>
        <v>45</v>
      </c>
      <c r="F93">
        <f>VLOOKUP($B93,'Raw RTF'!$B$8:$Q$1000,'Raw RTF'!F$5,FALSE)</f>
        <v>23.269535952606116</v>
      </c>
      <c r="G93">
        <f>VLOOKUP($B93,'Raw RTF'!$B$8:$Q$1000,'Raw RTF'!G$5,FALSE)</f>
        <v>0</v>
      </c>
      <c r="H93" t="str">
        <f>VLOOKUP($B93,'Raw RTF'!$B$8:$Q$1000,'Raw RTF'!H$5,FALSE)</f>
        <v>ResSHWX</v>
      </c>
      <c r="I93">
        <f>VLOOKUP($B93,'Raw RTF'!$B$8:$Q$1000,'Raw RTF'!I$5,FALSE)</f>
        <v>0</v>
      </c>
      <c r="J93">
        <f>VLOOKUP($B93,'Raw RTF'!$B$8:$Q$1000,'Raw RTF'!J$5,FALSE)</f>
        <v>0</v>
      </c>
      <c r="K93">
        <f>VLOOKUP($B93,'Raw RTF'!$B$8:$Q$1000,'Raw RTF'!K$5,FALSE)</f>
        <v>0</v>
      </c>
      <c r="L93">
        <f>VLOOKUP($B93,'Raw RTF'!$B$8:$Q$1000,'Raw RTF'!L$5,FALSE)</f>
        <v>0</v>
      </c>
      <c r="M93">
        <f>VLOOKUP($B93,'Raw RTF'!$B$8:$Q$1000,'Raw RTF'!M$5,FALSE)</f>
        <v>0</v>
      </c>
      <c r="N93">
        <f>VLOOKUP($B93,'Raw RTF'!$B$8:$Q$1000,'Raw RTF'!N$5,FALSE)</f>
        <v>0</v>
      </c>
      <c r="O93">
        <f>VLOOKUP($B93,'Raw RTF'!$B$8:$Q$1000,'Raw RTF'!O$5,FALSE)</f>
        <v>0</v>
      </c>
      <c r="P93">
        <f>VLOOKUP($B93,'Raw RTF'!$B$8:$Q$1000,'Raw RTF'!P$5,FALSE)</f>
        <v>0</v>
      </c>
      <c r="Q93">
        <f>VLOOKUP($B93,'Raw RTF'!$B$8:$Q$1000,'Raw RTF'!Q$5,FALSE)</f>
        <v>0</v>
      </c>
    </row>
    <row r="94" spans="1:17" ht="38.25">
      <c r="A94" t="str">
        <f t="shared" si="2"/>
        <v>Windows - Single Pane to Class 30 - Heating Zone 1 (Heat Pump Heating System)WINDOW CL30 Prime Window Replacement of Single Pane Base</v>
      </c>
      <c r="B94" s="99" t="str">
        <f>'Raw RTF'!B194</f>
        <v>Windows - Single Pane to Class 30 - Heating Zone 1 (Heat Pump Heating System)</v>
      </c>
      <c r="C94" s="99" t="s">
        <v>72</v>
      </c>
      <c r="D94">
        <f>VLOOKUP($B94,'Raw RTF'!$B$8:$Q$1000,'Raw RTF'!D$5,FALSE)</f>
        <v>9.986986404153539</v>
      </c>
      <c r="E94">
        <f>VLOOKUP($B94,'Raw RTF'!$B$8:$Q$1000,'Raw RTF'!E$5,FALSE)</f>
        <v>45</v>
      </c>
      <c r="F94">
        <f>VLOOKUP($B94,'Raw RTF'!$B$8:$Q$1000,'Raw RTF'!F$5,FALSE)</f>
        <v>17.810142881355933</v>
      </c>
      <c r="G94">
        <f>VLOOKUP($B94,'Raw RTF'!$B$8:$Q$1000,'Raw RTF'!G$5,FALSE)</f>
        <v>0</v>
      </c>
      <c r="H94" t="str">
        <f>VLOOKUP($B94,'Raw RTF'!$B$8:$Q$1000,'Raw RTF'!H$5,FALSE)</f>
        <v>ResSHWX</v>
      </c>
      <c r="I94">
        <f>VLOOKUP($B94,'Raw RTF'!$B$8:$Q$1000,'Raw RTF'!I$5,FALSE)</f>
        <v>0</v>
      </c>
      <c r="J94">
        <f>VLOOKUP($B94,'Raw RTF'!$B$8:$Q$1000,'Raw RTF'!J$5,FALSE)</f>
        <v>0</v>
      </c>
      <c r="K94">
        <f>VLOOKUP($B94,'Raw RTF'!$B$8:$Q$1000,'Raw RTF'!K$5,FALSE)</f>
        <v>0</v>
      </c>
      <c r="L94">
        <f>VLOOKUP($B94,'Raw RTF'!$B$8:$Q$1000,'Raw RTF'!L$5,FALSE)</f>
        <v>0</v>
      </c>
      <c r="M94">
        <f>VLOOKUP($B94,'Raw RTF'!$B$8:$Q$1000,'Raw RTF'!M$5,FALSE)</f>
        <v>0</v>
      </c>
      <c r="N94">
        <f>VLOOKUP($B94,'Raw RTF'!$B$8:$Q$1000,'Raw RTF'!N$5,FALSE)</f>
        <v>0</v>
      </c>
      <c r="O94">
        <f>VLOOKUP($B94,'Raw RTF'!$B$8:$Q$1000,'Raw RTF'!O$5,FALSE)</f>
        <v>0</v>
      </c>
      <c r="P94">
        <f>VLOOKUP($B94,'Raw RTF'!$B$8:$Q$1000,'Raw RTF'!P$5,FALSE)</f>
        <v>0</v>
      </c>
      <c r="Q94">
        <f>VLOOKUP($B94,'Raw RTF'!$B$8:$Q$1000,'Raw RTF'!Q$5,FALSE)</f>
        <v>0</v>
      </c>
    </row>
    <row r="95" spans="1:17" ht="38.25">
      <c r="A95" t="str">
        <f t="shared" si="2"/>
        <v>Windows - Double Pane to Class 30 - Heating Zone 1 (Heat Pump Heating System)WINDOW CL30 Prime Window Replacement of Double Pane Base</v>
      </c>
      <c r="B95" s="99" t="str">
        <f>'Raw RTF'!B195</f>
        <v>Windows - Double Pane to Class 30 - Heating Zone 1 (Heat Pump Heating System)</v>
      </c>
      <c r="C95" s="99" t="s">
        <v>73</v>
      </c>
      <c r="D95">
        <f>VLOOKUP($B95,'Raw RTF'!$B$8:$Q$1000,'Raw RTF'!D$5,FALSE)</f>
        <v>6.298671072345404</v>
      </c>
      <c r="E95">
        <f>VLOOKUP($B95,'Raw RTF'!$B$8:$Q$1000,'Raw RTF'!E$5,FALSE)</f>
        <v>45</v>
      </c>
      <c r="F95">
        <f>VLOOKUP($B95,'Raw RTF'!$B$8:$Q$1000,'Raw RTF'!F$5,FALSE)</f>
        <v>17.810142881355933</v>
      </c>
      <c r="G95">
        <f>VLOOKUP($B95,'Raw RTF'!$B$8:$Q$1000,'Raw RTF'!G$5,FALSE)</f>
        <v>0</v>
      </c>
      <c r="H95" t="str">
        <f>VLOOKUP($B95,'Raw RTF'!$B$8:$Q$1000,'Raw RTF'!H$5,FALSE)</f>
        <v>ResSHWX</v>
      </c>
      <c r="I95">
        <f>VLOOKUP($B95,'Raw RTF'!$B$8:$Q$1000,'Raw RTF'!I$5,FALSE)</f>
        <v>0</v>
      </c>
      <c r="J95">
        <f>VLOOKUP($B95,'Raw RTF'!$B$8:$Q$1000,'Raw RTF'!J$5,FALSE)</f>
        <v>0</v>
      </c>
      <c r="K95">
        <f>VLOOKUP($B95,'Raw RTF'!$B$8:$Q$1000,'Raw RTF'!K$5,FALSE)</f>
        <v>0</v>
      </c>
      <c r="L95">
        <f>VLOOKUP($B95,'Raw RTF'!$B$8:$Q$1000,'Raw RTF'!L$5,FALSE)</f>
        <v>0</v>
      </c>
      <c r="M95">
        <f>VLOOKUP($B95,'Raw RTF'!$B$8:$Q$1000,'Raw RTF'!M$5,FALSE)</f>
        <v>0</v>
      </c>
      <c r="N95">
        <f>VLOOKUP($B95,'Raw RTF'!$B$8:$Q$1000,'Raw RTF'!N$5,FALSE)</f>
        <v>0</v>
      </c>
      <c r="O95">
        <f>VLOOKUP($B95,'Raw RTF'!$B$8:$Q$1000,'Raw RTF'!O$5,FALSE)</f>
        <v>0</v>
      </c>
      <c r="P95">
        <f>VLOOKUP($B95,'Raw RTF'!$B$8:$Q$1000,'Raw RTF'!P$5,FALSE)</f>
        <v>0</v>
      </c>
      <c r="Q95">
        <f>VLOOKUP($B95,'Raw RTF'!$B$8:$Q$1000,'Raw RTF'!Q$5,FALSE)</f>
        <v>0</v>
      </c>
    </row>
    <row r="96" spans="1:17" ht="25.5">
      <c r="A96" t="str">
        <f t="shared" si="2"/>
        <v>Multi Family Weatherization - Insulate Walls - R-0 to R-11 - Heating Zone 2 (Heat Pump Heating System)WALL R0 - R11</v>
      </c>
      <c r="B96" s="99" t="str">
        <f>'Raw RTF'!B198</f>
        <v>Multi Family Weatherization - Insulate Walls - R-0 to R-11 - Heating Zone 2 (Heat Pump Heating System)</v>
      </c>
      <c r="C96" s="99" t="s">
        <v>69</v>
      </c>
      <c r="D96">
        <f>VLOOKUP($B96,'Raw RTF'!$B$8:$Q$1000,'Raw RTF'!D$5,FALSE)</f>
        <v>0.83521808168071099</v>
      </c>
      <c r="E96">
        <f>VLOOKUP($B96,'Raw RTF'!$B$8:$Q$1000,'Raw RTF'!E$5,FALSE)</f>
        <v>45</v>
      </c>
      <c r="F96">
        <f>VLOOKUP($B96,'Raw RTF'!$B$8:$Q$1000,'Raw RTF'!F$5,FALSE)</f>
        <v>1.0354836592527603</v>
      </c>
      <c r="G96">
        <f>VLOOKUP($B96,'Raw RTF'!$B$8:$Q$1000,'Raw RTF'!G$5,FALSE)</f>
        <v>0</v>
      </c>
      <c r="H96" t="str">
        <f>VLOOKUP($B96,'Raw RTF'!$B$8:$Q$1000,'Raw RTF'!H$5,FALSE)</f>
        <v>ResSHWX</v>
      </c>
      <c r="I96">
        <f>VLOOKUP($B96,'Raw RTF'!$B$8:$Q$1000,'Raw RTF'!I$5,FALSE)</f>
        <v>0</v>
      </c>
      <c r="J96">
        <f>VLOOKUP($B96,'Raw RTF'!$B$8:$Q$1000,'Raw RTF'!J$5,FALSE)</f>
        <v>0</v>
      </c>
      <c r="K96">
        <f>VLOOKUP($B96,'Raw RTF'!$B$8:$Q$1000,'Raw RTF'!K$5,FALSE)</f>
        <v>0</v>
      </c>
      <c r="L96">
        <f>VLOOKUP($B96,'Raw RTF'!$B$8:$Q$1000,'Raw RTF'!L$5,FALSE)</f>
        <v>0</v>
      </c>
      <c r="M96">
        <f>VLOOKUP($B96,'Raw RTF'!$B$8:$Q$1000,'Raw RTF'!M$5,FALSE)</f>
        <v>0</v>
      </c>
      <c r="N96">
        <f>VLOOKUP($B96,'Raw RTF'!$B$8:$Q$1000,'Raw RTF'!N$5,FALSE)</f>
        <v>0</v>
      </c>
      <c r="O96">
        <f>VLOOKUP($B96,'Raw RTF'!$B$8:$Q$1000,'Raw RTF'!O$5,FALSE)</f>
        <v>0</v>
      </c>
      <c r="P96">
        <f>VLOOKUP($B96,'Raw RTF'!$B$8:$Q$1000,'Raw RTF'!P$5,FALSE)</f>
        <v>0</v>
      </c>
      <c r="Q96">
        <f>VLOOKUP($B96,'Raw RTF'!$B$8:$Q$1000,'Raw RTF'!Q$5,FALSE)</f>
        <v>0</v>
      </c>
    </row>
    <row r="97" spans="1:17" ht="25.5">
      <c r="A97" t="str">
        <f t="shared" si="2"/>
        <v>Multi Family Weatherization - Insulate Floors - R-0 to R-19 - Heating Zone 2 (Heat Pump Heating System)FLOOR R0 - R19</v>
      </c>
      <c r="B97" s="99" t="str">
        <f>'Raw RTF'!B199</f>
        <v>Multi Family Weatherization - Insulate Floors - R-0 to R-19 - Heating Zone 2 (Heat Pump Heating System)</v>
      </c>
      <c r="C97" s="99" t="s">
        <v>70</v>
      </c>
      <c r="D97">
        <f>VLOOKUP($B97,'Raw RTF'!$B$8:$Q$1000,'Raw RTF'!D$5,FALSE)</f>
        <v>0.21307247132106735</v>
      </c>
      <c r="E97">
        <f>VLOOKUP($B97,'Raw RTF'!$B$8:$Q$1000,'Raw RTF'!E$5,FALSE)</f>
        <v>45</v>
      </c>
      <c r="F97">
        <f>VLOOKUP($B97,'Raw RTF'!$B$8:$Q$1000,'Raw RTF'!F$5,FALSE)</f>
        <v>0.91799940108959477</v>
      </c>
      <c r="G97">
        <f>VLOOKUP($B97,'Raw RTF'!$B$8:$Q$1000,'Raw RTF'!G$5,FALSE)</f>
        <v>0</v>
      </c>
      <c r="H97" t="str">
        <f>VLOOKUP($B97,'Raw RTF'!$B$8:$Q$1000,'Raw RTF'!H$5,FALSE)</f>
        <v>ResSHWX</v>
      </c>
      <c r="I97">
        <f>VLOOKUP($B97,'Raw RTF'!$B$8:$Q$1000,'Raw RTF'!I$5,FALSE)</f>
        <v>0</v>
      </c>
      <c r="J97">
        <f>VLOOKUP($B97,'Raw RTF'!$B$8:$Q$1000,'Raw RTF'!J$5,FALSE)</f>
        <v>0</v>
      </c>
      <c r="K97">
        <f>VLOOKUP($B97,'Raw RTF'!$B$8:$Q$1000,'Raw RTF'!K$5,FALSE)</f>
        <v>0</v>
      </c>
      <c r="L97">
        <f>VLOOKUP($B97,'Raw RTF'!$B$8:$Q$1000,'Raw RTF'!L$5,FALSE)</f>
        <v>0</v>
      </c>
      <c r="M97">
        <f>VLOOKUP($B97,'Raw RTF'!$B$8:$Q$1000,'Raw RTF'!M$5,FALSE)</f>
        <v>0</v>
      </c>
      <c r="N97">
        <f>VLOOKUP($B97,'Raw RTF'!$B$8:$Q$1000,'Raw RTF'!N$5,FALSE)</f>
        <v>0</v>
      </c>
      <c r="O97">
        <f>VLOOKUP($B97,'Raw RTF'!$B$8:$Q$1000,'Raw RTF'!O$5,FALSE)</f>
        <v>0</v>
      </c>
      <c r="P97">
        <f>VLOOKUP($B97,'Raw RTF'!$B$8:$Q$1000,'Raw RTF'!P$5,FALSE)</f>
        <v>0</v>
      </c>
      <c r="Q97">
        <f>VLOOKUP($B97,'Raw RTF'!$B$8:$Q$1000,'Raw RTF'!Q$5,FALSE)</f>
        <v>0</v>
      </c>
    </row>
    <row r="98" spans="1:17" ht="25.5">
      <c r="A98" t="str">
        <f t="shared" si="2"/>
        <v>Multi Family Weatherization - Insulate Floors - R-0 to R-30 - Heating Zone 2 (Heat Pump Heating System)FLOOR R0 - R30</v>
      </c>
      <c r="B98" s="99" t="str">
        <f>'Raw RTF'!B200</f>
        <v>Multi Family Weatherization - Insulate Floors - R-0 to R-30 - Heating Zone 2 (Heat Pump Heating System)</v>
      </c>
      <c r="C98" s="99" t="s">
        <v>71</v>
      </c>
      <c r="D98">
        <f>VLOOKUP($B98,'Raw RTF'!$B$8:$Q$1000,'Raw RTF'!D$5,FALSE)</f>
        <v>0.2763739310354672</v>
      </c>
      <c r="E98">
        <f>VLOOKUP($B98,'Raw RTF'!$B$8:$Q$1000,'Raw RTF'!E$5,FALSE)</f>
        <v>45</v>
      </c>
      <c r="F98">
        <f>VLOOKUP($B98,'Raw RTF'!$B$8:$Q$1000,'Raw RTF'!F$5,FALSE)</f>
        <v>0.98244865861375763</v>
      </c>
      <c r="G98">
        <f>VLOOKUP($B98,'Raw RTF'!$B$8:$Q$1000,'Raw RTF'!G$5,FALSE)</f>
        <v>0</v>
      </c>
      <c r="H98" t="str">
        <f>VLOOKUP($B98,'Raw RTF'!$B$8:$Q$1000,'Raw RTF'!H$5,FALSE)</f>
        <v>ResSHWX</v>
      </c>
      <c r="I98">
        <f>VLOOKUP($B98,'Raw RTF'!$B$8:$Q$1000,'Raw RTF'!I$5,FALSE)</f>
        <v>0</v>
      </c>
      <c r="J98">
        <f>VLOOKUP($B98,'Raw RTF'!$B$8:$Q$1000,'Raw RTF'!J$5,FALSE)</f>
        <v>0</v>
      </c>
      <c r="K98">
        <f>VLOOKUP($B98,'Raw RTF'!$B$8:$Q$1000,'Raw RTF'!K$5,FALSE)</f>
        <v>0</v>
      </c>
      <c r="L98">
        <f>VLOOKUP($B98,'Raw RTF'!$B$8:$Q$1000,'Raw RTF'!L$5,FALSE)</f>
        <v>0</v>
      </c>
      <c r="M98">
        <f>VLOOKUP($B98,'Raw RTF'!$B$8:$Q$1000,'Raw RTF'!M$5,FALSE)</f>
        <v>0</v>
      </c>
      <c r="N98">
        <f>VLOOKUP($B98,'Raw RTF'!$B$8:$Q$1000,'Raw RTF'!N$5,FALSE)</f>
        <v>0</v>
      </c>
      <c r="O98">
        <f>VLOOKUP($B98,'Raw RTF'!$B$8:$Q$1000,'Raw RTF'!O$5,FALSE)</f>
        <v>0</v>
      </c>
      <c r="P98">
        <f>VLOOKUP($B98,'Raw RTF'!$B$8:$Q$1000,'Raw RTF'!P$5,FALSE)</f>
        <v>0</v>
      </c>
      <c r="Q98">
        <f>VLOOKUP($B98,'Raw RTF'!$B$8:$Q$1000,'Raw RTF'!Q$5,FALSE)</f>
        <v>0</v>
      </c>
    </row>
    <row r="99" spans="1:17">
      <c r="A99" t="str">
        <f t="shared" ref="A99:A121" si="3">CONCATENATE(B99,C99)</f>
        <v>Multi Family Weatherization - Insulate Attic - R-0 to R-19 - Heating Zone 2 (Heat Pump Heating System)ATTIC R0 - R19</v>
      </c>
      <c r="B99" s="99" t="str">
        <f>'Raw RTF'!B202</f>
        <v>Multi Family Weatherization - Insulate Attic - R-0 to R-19 - Heating Zone 2 (Heat Pump Heating System)</v>
      </c>
      <c r="C99" s="99" t="s">
        <v>1080</v>
      </c>
      <c r="D99">
        <f>VLOOKUP($B99,'Raw RTF'!$B$8:$Q$1000,'Raw RTF'!D$5,FALSE)</f>
        <v>0.27221183078558847</v>
      </c>
      <c r="E99">
        <f>VLOOKUP($B99,'Raw RTF'!$B$8:$Q$1000,'Raw RTF'!E$5,FALSE)</f>
        <v>45</v>
      </c>
      <c r="F99">
        <f>VLOOKUP($B99,'Raw RTF'!$B$8:$Q$1000,'Raw RTF'!F$5,FALSE)</f>
        <v>0.54914779043329487</v>
      </c>
      <c r="G99">
        <f>VLOOKUP($B99,'Raw RTF'!$B$8:$Q$1000,'Raw RTF'!G$5,FALSE)</f>
        <v>0</v>
      </c>
      <c r="H99" t="str">
        <f>VLOOKUP($B99,'Raw RTF'!$B$8:$Q$1000,'Raw RTF'!H$5,FALSE)</f>
        <v>ResSHWX</v>
      </c>
      <c r="I99">
        <f>VLOOKUP($B99,'Raw RTF'!$B$8:$Q$1000,'Raw RTF'!I$5,FALSE)</f>
        <v>0</v>
      </c>
      <c r="J99">
        <f>VLOOKUP($B99,'Raw RTF'!$B$8:$Q$1000,'Raw RTF'!J$5,FALSE)</f>
        <v>0</v>
      </c>
      <c r="K99">
        <f>VLOOKUP($B99,'Raw RTF'!$B$8:$Q$1000,'Raw RTF'!K$5,FALSE)</f>
        <v>0</v>
      </c>
      <c r="L99">
        <f>VLOOKUP($B99,'Raw RTF'!$B$8:$Q$1000,'Raw RTF'!L$5,FALSE)</f>
        <v>0</v>
      </c>
      <c r="M99">
        <f>VLOOKUP($B99,'Raw RTF'!$B$8:$Q$1000,'Raw RTF'!M$5,FALSE)</f>
        <v>0</v>
      </c>
      <c r="N99">
        <f>VLOOKUP($B99,'Raw RTF'!$B$8:$Q$1000,'Raw RTF'!N$5,FALSE)</f>
        <v>0</v>
      </c>
      <c r="O99">
        <f>VLOOKUP($B99,'Raw RTF'!$B$8:$Q$1000,'Raw RTF'!O$5,FALSE)</f>
        <v>0</v>
      </c>
      <c r="P99">
        <f>VLOOKUP($B99,'Raw RTF'!$B$8:$Q$1000,'Raw RTF'!P$5,FALSE)</f>
        <v>0</v>
      </c>
      <c r="Q99">
        <f>VLOOKUP($B99,'Raw RTF'!$B$8:$Q$1000,'Raw RTF'!Q$5,FALSE)</f>
        <v>0</v>
      </c>
    </row>
    <row r="100" spans="1:17">
      <c r="A100" t="str">
        <f t="shared" si="3"/>
        <v>Multi Family Weatherization - Insulate Attic - R-0 to R-38 - Heating Zone 2 (Heat Pump Heating System)ATTIC R0 - R38</v>
      </c>
      <c r="B100" s="99" t="str">
        <f>'Raw RTF'!B203</f>
        <v>Multi Family Weatherization - Insulate Attic - R-0 to R-38 - Heating Zone 2 (Heat Pump Heating System)</v>
      </c>
      <c r="C100" s="99" t="s">
        <v>65</v>
      </c>
      <c r="D100">
        <f>VLOOKUP($B100,'Raw RTF'!$B$8:$Q$1000,'Raw RTF'!D$5,FALSE)</f>
        <v>0.37222524255495981</v>
      </c>
      <c r="E100">
        <f>VLOOKUP($B100,'Raw RTF'!$B$8:$Q$1000,'Raw RTF'!E$5,FALSE)</f>
        <v>45</v>
      </c>
      <c r="F100">
        <f>VLOOKUP($B100,'Raw RTF'!$B$8:$Q$1000,'Raw RTF'!F$5,FALSE)</f>
        <v>0.73246728560336305</v>
      </c>
      <c r="G100">
        <f>VLOOKUP($B100,'Raw RTF'!$B$8:$Q$1000,'Raw RTF'!G$5,FALSE)</f>
        <v>0</v>
      </c>
      <c r="H100" t="str">
        <f>VLOOKUP($B100,'Raw RTF'!$B$8:$Q$1000,'Raw RTF'!H$5,FALSE)</f>
        <v>ResSHWX</v>
      </c>
      <c r="I100">
        <f>VLOOKUP($B100,'Raw RTF'!$B$8:$Q$1000,'Raw RTF'!I$5,FALSE)</f>
        <v>0</v>
      </c>
      <c r="J100">
        <f>VLOOKUP($B100,'Raw RTF'!$B$8:$Q$1000,'Raw RTF'!J$5,FALSE)</f>
        <v>0</v>
      </c>
      <c r="K100">
        <f>VLOOKUP($B100,'Raw RTF'!$B$8:$Q$1000,'Raw RTF'!K$5,FALSE)</f>
        <v>0</v>
      </c>
      <c r="L100">
        <f>VLOOKUP($B100,'Raw RTF'!$B$8:$Q$1000,'Raw RTF'!L$5,FALSE)</f>
        <v>0</v>
      </c>
      <c r="M100">
        <f>VLOOKUP($B100,'Raw RTF'!$B$8:$Q$1000,'Raw RTF'!M$5,FALSE)</f>
        <v>0</v>
      </c>
      <c r="N100">
        <f>VLOOKUP($B100,'Raw RTF'!$B$8:$Q$1000,'Raw RTF'!N$5,FALSE)</f>
        <v>0</v>
      </c>
      <c r="O100">
        <f>VLOOKUP($B100,'Raw RTF'!$B$8:$Q$1000,'Raw RTF'!O$5,FALSE)</f>
        <v>0</v>
      </c>
      <c r="P100">
        <f>VLOOKUP($B100,'Raw RTF'!$B$8:$Q$1000,'Raw RTF'!P$5,FALSE)</f>
        <v>0</v>
      </c>
      <c r="Q100">
        <f>VLOOKUP($B100,'Raw RTF'!$B$8:$Q$1000,'Raw RTF'!Q$5,FALSE)</f>
        <v>0</v>
      </c>
    </row>
    <row r="101" spans="1:17">
      <c r="A101" t="str">
        <f t="shared" si="3"/>
        <v>Multi Family Weatherization - Insulate Attic - R-0 to R-49 - Heating Zone 2 (Heat Pump Heating System)ATTIC R0 - R49</v>
      </c>
      <c r="B101" s="99" t="str">
        <f>'Raw RTF'!B204</f>
        <v>Multi Family Weatherization - Insulate Attic - R-0 to R-49 - Heating Zone 2 (Heat Pump Heating System)</v>
      </c>
      <c r="C101" s="99" t="s">
        <v>66</v>
      </c>
      <c r="D101">
        <f>VLOOKUP($B101,'Raw RTF'!$B$8:$Q$1000,'Raw RTF'!D$5,FALSE)</f>
        <v>0.39552755421759345</v>
      </c>
      <c r="E101">
        <f>VLOOKUP($B101,'Raw RTF'!$B$8:$Q$1000,'Raw RTF'!E$5,FALSE)</f>
        <v>45</v>
      </c>
      <c r="F101">
        <f>VLOOKUP($B101,'Raw RTF'!$B$8:$Q$1000,'Raw RTF'!F$5,FALSE)</f>
        <v>0.83087905114745864</v>
      </c>
      <c r="G101">
        <f>VLOOKUP($B101,'Raw RTF'!$B$8:$Q$1000,'Raw RTF'!G$5,FALSE)</f>
        <v>0</v>
      </c>
      <c r="H101" t="str">
        <f>VLOOKUP($B101,'Raw RTF'!$B$8:$Q$1000,'Raw RTF'!H$5,FALSE)</f>
        <v>ResSHWX</v>
      </c>
      <c r="I101">
        <f>VLOOKUP($B101,'Raw RTF'!$B$8:$Q$1000,'Raw RTF'!I$5,FALSE)</f>
        <v>0</v>
      </c>
      <c r="J101">
        <f>VLOOKUP($B101,'Raw RTF'!$B$8:$Q$1000,'Raw RTF'!J$5,FALSE)</f>
        <v>0</v>
      </c>
      <c r="K101">
        <f>VLOOKUP($B101,'Raw RTF'!$B$8:$Q$1000,'Raw RTF'!K$5,FALSE)</f>
        <v>0</v>
      </c>
      <c r="L101">
        <f>VLOOKUP($B101,'Raw RTF'!$B$8:$Q$1000,'Raw RTF'!L$5,FALSE)</f>
        <v>0</v>
      </c>
      <c r="M101">
        <f>VLOOKUP($B101,'Raw RTF'!$B$8:$Q$1000,'Raw RTF'!M$5,FALSE)</f>
        <v>0</v>
      </c>
      <c r="N101">
        <f>VLOOKUP($B101,'Raw RTF'!$B$8:$Q$1000,'Raw RTF'!N$5,FALSE)</f>
        <v>0</v>
      </c>
      <c r="O101">
        <f>VLOOKUP($B101,'Raw RTF'!$B$8:$Q$1000,'Raw RTF'!O$5,FALSE)</f>
        <v>0</v>
      </c>
      <c r="P101">
        <f>VLOOKUP($B101,'Raw RTF'!$B$8:$Q$1000,'Raw RTF'!P$5,FALSE)</f>
        <v>0</v>
      </c>
      <c r="Q101">
        <f>VLOOKUP($B101,'Raw RTF'!$B$8:$Q$1000,'Raw RTF'!Q$5,FALSE)</f>
        <v>0</v>
      </c>
    </row>
    <row r="102" spans="1:17" ht="25.5">
      <c r="A102" t="str">
        <f t="shared" si="3"/>
        <v>Multi Family Weatherization - Insulate Attic - R-19 to R-30 - Heating Zone 2 (Heat Pump Heating System)ATTIC R19 - R30</v>
      </c>
      <c r="B102" s="99" t="str">
        <f>'Raw RTF'!B208</f>
        <v>Multi Family Weatherization - Insulate Attic - R-19 to R-30 - Heating Zone 2 (Heat Pump Heating System)</v>
      </c>
      <c r="C102" s="99" t="s">
        <v>1081</v>
      </c>
      <c r="D102">
        <f>VLOOKUP($B102,'Raw RTF'!$B$8:$Q$1000,'Raw RTF'!D$5,FALSE)</f>
        <v>7.2461362408241914E-2</v>
      </c>
      <c r="E102">
        <f>VLOOKUP($B102,'Raw RTF'!$B$8:$Q$1000,'Raw RTF'!E$5,FALSE)</f>
        <v>45</v>
      </c>
      <c r="F102">
        <f>VLOOKUP($B102,'Raw RTF'!$B$8:$Q$1000,'Raw RTF'!F$5,FALSE)</f>
        <v>0.47401945424285125</v>
      </c>
      <c r="G102">
        <f>VLOOKUP($B102,'Raw RTF'!$B$8:$Q$1000,'Raw RTF'!G$5,FALSE)</f>
        <v>0</v>
      </c>
      <c r="H102" t="str">
        <f>VLOOKUP($B102,'Raw RTF'!$B$8:$Q$1000,'Raw RTF'!H$5,FALSE)</f>
        <v>ResSHWX</v>
      </c>
      <c r="I102">
        <f>VLOOKUP($B102,'Raw RTF'!$B$8:$Q$1000,'Raw RTF'!I$5,FALSE)</f>
        <v>0</v>
      </c>
      <c r="J102">
        <f>VLOOKUP($B102,'Raw RTF'!$B$8:$Q$1000,'Raw RTF'!J$5,FALSE)</f>
        <v>0</v>
      </c>
      <c r="K102">
        <f>VLOOKUP($B102,'Raw RTF'!$B$8:$Q$1000,'Raw RTF'!K$5,FALSE)</f>
        <v>0</v>
      </c>
      <c r="L102">
        <f>VLOOKUP($B102,'Raw RTF'!$B$8:$Q$1000,'Raw RTF'!L$5,FALSE)</f>
        <v>0</v>
      </c>
      <c r="M102">
        <f>VLOOKUP($B102,'Raw RTF'!$B$8:$Q$1000,'Raw RTF'!M$5,FALSE)</f>
        <v>0</v>
      </c>
      <c r="N102">
        <f>VLOOKUP($B102,'Raw RTF'!$B$8:$Q$1000,'Raw RTF'!N$5,FALSE)</f>
        <v>0</v>
      </c>
      <c r="O102">
        <f>VLOOKUP($B102,'Raw RTF'!$B$8:$Q$1000,'Raw RTF'!O$5,FALSE)</f>
        <v>0</v>
      </c>
      <c r="P102">
        <f>VLOOKUP($B102,'Raw RTF'!$B$8:$Q$1000,'Raw RTF'!P$5,FALSE)</f>
        <v>0</v>
      </c>
      <c r="Q102">
        <f>VLOOKUP($B102,'Raw RTF'!$B$8:$Q$1000,'Raw RTF'!Q$5,FALSE)</f>
        <v>0</v>
      </c>
    </row>
    <row r="103" spans="1:17" ht="25.5">
      <c r="A103" t="str">
        <f t="shared" si="3"/>
        <v>Multi Family Weatherization - Insulate Attic - R-19 to R-38 - Heating Zone 2 (Heat Pump Heating System)ATTIC R19 - R38</v>
      </c>
      <c r="B103" s="99" t="str">
        <f>'Raw RTF'!B209</f>
        <v>Multi Family Weatherization - Insulate Attic - R-19 to R-38 - Heating Zone 2 (Heat Pump Heating System)</v>
      </c>
      <c r="C103" s="99" t="s">
        <v>67</v>
      </c>
      <c r="D103">
        <f>VLOOKUP($B103,'Raw RTF'!$B$8:$Q$1000,'Raw RTF'!D$5,FALSE)</f>
        <v>0.10001341176937134</v>
      </c>
      <c r="E103">
        <f>VLOOKUP($B103,'Raw RTF'!$B$8:$Q$1000,'Raw RTF'!E$5,FALSE)</f>
        <v>45</v>
      </c>
      <c r="F103">
        <f>VLOOKUP($B103,'Raw RTF'!$B$8:$Q$1000,'Raw RTF'!F$5,FALSE)</f>
        <v>0.55283834686255773</v>
      </c>
      <c r="G103">
        <f>VLOOKUP($B103,'Raw RTF'!$B$8:$Q$1000,'Raw RTF'!G$5,FALSE)</f>
        <v>0</v>
      </c>
      <c r="H103" t="str">
        <f>VLOOKUP($B103,'Raw RTF'!$B$8:$Q$1000,'Raw RTF'!H$5,FALSE)</f>
        <v>ResSHWX</v>
      </c>
      <c r="I103">
        <f>VLOOKUP($B103,'Raw RTF'!$B$8:$Q$1000,'Raw RTF'!I$5,FALSE)</f>
        <v>0</v>
      </c>
      <c r="J103">
        <f>VLOOKUP($B103,'Raw RTF'!$B$8:$Q$1000,'Raw RTF'!J$5,FALSE)</f>
        <v>0</v>
      </c>
      <c r="K103">
        <f>VLOOKUP($B103,'Raw RTF'!$B$8:$Q$1000,'Raw RTF'!K$5,FALSE)</f>
        <v>0</v>
      </c>
      <c r="L103">
        <f>VLOOKUP($B103,'Raw RTF'!$B$8:$Q$1000,'Raw RTF'!L$5,FALSE)</f>
        <v>0</v>
      </c>
      <c r="M103">
        <f>VLOOKUP($B103,'Raw RTF'!$B$8:$Q$1000,'Raw RTF'!M$5,FALSE)</f>
        <v>0</v>
      </c>
      <c r="N103">
        <f>VLOOKUP($B103,'Raw RTF'!$B$8:$Q$1000,'Raw RTF'!N$5,FALSE)</f>
        <v>0</v>
      </c>
      <c r="O103">
        <f>VLOOKUP($B103,'Raw RTF'!$B$8:$Q$1000,'Raw RTF'!O$5,FALSE)</f>
        <v>0</v>
      </c>
      <c r="P103">
        <f>VLOOKUP($B103,'Raw RTF'!$B$8:$Q$1000,'Raw RTF'!P$5,FALSE)</f>
        <v>0</v>
      </c>
      <c r="Q103">
        <f>VLOOKUP($B103,'Raw RTF'!$B$8:$Q$1000,'Raw RTF'!Q$5,FALSE)</f>
        <v>0</v>
      </c>
    </row>
    <row r="104" spans="1:17" ht="25.5">
      <c r="A104" t="str">
        <f t="shared" si="3"/>
        <v>Multi Family Weatherization - Insulate Attic - R-19 to R-49 - Heating Zone 2 (Heat Pump Heating System)ATTIC R19 - R49</v>
      </c>
      <c r="B104" s="99" t="str">
        <f>'Raw RTF'!B210</f>
        <v>Multi Family Weatherization - Insulate Attic - R-19 to R-49 - Heating Zone 2 (Heat Pump Heating System)</v>
      </c>
      <c r="C104" s="99" t="s">
        <v>68</v>
      </c>
      <c r="D104">
        <f>VLOOKUP($B104,'Raw RTF'!$B$8:$Q$1000,'Raw RTF'!D$5,FALSE)</f>
        <v>0.12331572343200492</v>
      </c>
      <c r="E104">
        <f>VLOOKUP($B104,'Raw RTF'!$B$8:$Q$1000,'Raw RTF'!E$5,FALSE)</f>
        <v>45</v>
      </c>
      <c r="F104">
        <f>VLOOKUP($B104,'Raw RTF'!$B$8:$Q$1000,'Raw RTF'!F$5,FALSE)</f>
        <v>0.65683404823881342</v>
      </c>
      <c r="G104">
        <f>VLOOKUP($B104,'Raw RTF'!$B$8:$Q$1000,'Raw RTF'!G$5,FALSE)</f>
        <v>0</v>
      </c>
      <c r="H104" t="str">
        <f>VLOOKUP($B104,'Raw RTF'!$B$8:$Q$1000,'Raw RTF'!H$5,FALSE)</f>
        <v>ResSHWX</v>
      </c>
      <c r="I104">
        <f>VLOOKUP($B104,'Raw RTF'!$B$8:$Q$1000,'Raw RTF'!I$5,FALSE)</f>
        <v>0</v>
      </c>
      <c r="J104">
        <f>VLOOKUP($B104,'Raw RTF'!$B$8:$Q$1000,'Raw RTF'!J$5,FALSE)</f>
        <v>0</v>
      </c>
      <c r="K104">
        <f>VLOOKUP($B104,'Raw RTF'!$B$8:$Q$1000,'Raw RTF'!K$5,FALSE)</f>
        <v>0</v>
      </c>
      <c r="L104">
        <f>VLOOKUP($B104,'Raw RTF'!$B$8:$Q$1000,'Raw RTF'!L$5,FALSE)</f>
        <v>0</v>
      </c>
      <c r="M104">
        <f>VLOOKUP($B104,'Raw RTF'!$B$8:$Q$1000,'Raw RTF'!M$5,FALSE)</f>
        <v>0</v>
      </c>
      <c r="N104">
        <f>VLOOKUP($B104,'Raw RTF'!$B$8:$Q$1000,'Raw RTF'!N$5,FALSE)</f>
        <v>0</v>
      </c>
      <c r="O104">
        <f>VLOOKUP($B104,'Raw RTF'!$B$8:$Q$1000,'Raw RTF'!O$5,FALSE)</f>
        <v>0</v>
      </c>
      <c r="P104">
        <f>VLOOKUP($B104,'Raw RTF'!$B$8:$Q$1000,'Raw RTF'!P$5,FALSE)</f>
        <v>0</v>
      </c>
      <c r="Q104">
        <f>VLOOKUP($B104,'Raw RTF'!$B$8:$Q$1000,'Raw RTF'!Q$5,FALSE)</f>
        <v>0</v>
      </c>
    </row>
    <row r="105" spans="1:17" ht="38.25">
      <c r="A105" t="str">
        <f t="shared" si="3"/>
        <v>Windows - Single Pane to Class 22 - Heating Zone 2 (Heat Pump Heating System)WINDOW CL22 Prime Window Replacement of Single Pane Base</v>
      </c>
      <c r="B105" s="99" t="str">
        <f>'Raw RTF'!B211</f>
        <v>Windows - Single Pane to Class 22 - Heating Zone 2 (Heat Pump Heating System)</v>
      </c>
      <c r="C105" s="99" t="s">
        <v>74</v>
      </c>
      <c r="D105">
        <f>VLOOKUP($B105,'Raw RTF'!$B$8:$Q$1000,'Raw RTF'!D$5,FALSE)</f>
        <v>18.445123106398103</v>
      </c>
      <c r="E105">
        <f>VLOOKUP($B105,'Raw RTF'!$B$8:$Q$1000,'Raw RTF'!E$5,FALSE)</f>
        <v>45</v>
      </c>
      <c r="F105">
        <f>VLOOKUP($B105,'Raw RTF'!$B$8:$Q$1000,'Raw RTF'!F$5,FALSE)</f>
        <v>23.269535952606116</v>
      </c>
      <c r="G105">
        <f>VLOOKUP($B105,'Raw RTF'!$B$8:$Q$1000,'Raw RTF'!G$5,FALSE)</f>
        <v>0</v>
      </c>
      <c r="H105" t="str">
        <f>VLOOKUP($B105,'Raw RTF'!$B$8:$Q$1000,'Raw RTF'!H$5,FALSE)</f>
        <v>ResSHWX</v>
      </c>
      <c r="I105">
        <f>VLOOKUP($B105,'Raw RTF'!$B$8:$Q$1000,'Raw RTF'!I$5,FALSE)</f>
        <v>0</v>
      </c>
      <c r="J105">
        <f>VLOOKUP($B105,'Raw RTF'!$B$8:$Q$1000,'Raw RTF'!J$5,FALSE)</f>
        <v>0</v>
      </c>
      <c r="K105">
        <f>VLOOKUP($B105,'Raw RTF'!$B$8:$Q$1000,'Raw RTF'!K$5,FALSE)</f>
        <v>0</v>
      </c>
      <c r="L105">
        <f>VLOOKUP($B105,'Raw RTF'!$B$8:$Q$1000,'Raw RTF'!L$5,FALSE)</f>
        <v>0</v>
      </c>
      <c r="M105">
        <f>VLOOKUP($B105,'Raw RTF'!$B$8:$Q$1000,'Raw RTF'!M$5,FALSE)</f>
        <v>0</v>
      </c>
      <c r="N105">
        <f>VLOOKUP($B105,'Raw RTF'!$B$8:$Q$1000,'Raw RTF'!N$5,FALSE)</f>
        <v>0</v>
      </c>
      <c r="O105">
        <f>VLOOKUP($B105,'Raw RTF'!$B$8:$Q$1000,'Raw RTF'!O$5,FALSE)</f>
        <v>0</v>
      </c>
      <c r="P105">
        <f>VLOOKUP($B105,'Raw RTF'!$B$8:$Q$1000,'Raw RTF'!P$5,FALSE)</f>
        <v>0</v>
      </c>
      <c r="Q105">
        <f>VLOOKUP($B105,'Raw RTF'!$B$8:$Q$1000,'Raw RTF'!Q$5,FALSE)</f>
        <v>0</v>
      </c>
    </row>
    <row r="106" spans="1:17" ht="38.25">
      <c r="A106" t="str">
        <f t="shared" si="3"/>
        <v>Windows - Double Pane to Class 22 - Heating Zone 2 (Heat Pump Heating System)WINDOW CL22 Prime Window Replacement of Double Pane Base</v>
      </c>
      <c r="B106" s="99" t="str">
        <f>'Raw RTF'!B212</f>
        <v>Windows - Double Pane to Class 22 - Heating Zone 2 (Heat Pump Heating System)</v>
      </c>
      <c r="C106" s="99" t="s">
        <v>75</v>
      </c>
      <c r="D106">
        <f>VLOOKUP($B106,'Raw RTF'!$B$8:$Q$1000,'Raw RTF'!D$5,FALSE)</f>
        <v>11.603891493356469</v>
      </c>
      <c r="E106">
        <f>VLOOKUP($B106,'Raw RTF'!$B$8:$Q$1000,'Raw RTF'!E$5,FALSE)</f>
        <v>45</v>
      </c>
      <c r="F106">
        <f>VLOOKUP($B106,'Raw RTF'!$B$8:$Q$1000,'Raw RTF'!F$5,FALSE)</f>
        <v>23.269535952606116</v>
      </c>
      <c r="G106">
        <f>VLOOKUP($B106,'Raw RTF'!$B$8:$Q$1000,'Raw RTF'!G$5,FALSE)</f>
        <v>0</v>
      </c>
      <c r="H106" t="str">
        <f>VLOOKUP($B106,'Raw RTF'!$B$8:$Q$1000,'Raw RTF'!H$5,FALSE)</f>
        <v>ResSHWX</v>
      </c>
      <c r="I106">
        <f>VLOOKUP($B106,'Raw RTF'!$B$8:$Q$1000,'Raw RTF'!I$5,FALSE)</f>
        <v>0</v>
      </c>
      <c r="J106">
        <f>VLOOKUP($B106,'Raw RTF'!$B$8:$Q$1000,'Raw RTF'!J$5,FALSE)</f>
        <v>0</v>
      </c>
      <c r="K106">
        <f>VLOOKUP($B106,'Raw RTF'!$B$8:$Q$1000,'Raw RTF'!K$5,FALSE)</f>
        <v>0</v>
      </c>
      <c r="L106">
        <f>VLOOKUP($B106,'Raw RTF'!$B$8:$Q$1000,'Raw RTF'!L$5,FALSE)</f>
        <v>0</v>
      </c>
      <c r="M106">
        <f>VLOOKUP($B106,'Raw RTF'!$B$8:$Q$1000,'Raw RTF'!M$5,FALSE)</f>
        <v>0</v>
      </c>
      <c r="N106">
        <f>VLOOKUP($B106,'Raw RTF'!$B$8:$Q$1000,'Raw RTF'!N$5,FALSE)</f>
        <v>0</v>
      </c>
      <c r="O106">
        <f>VLOOKUP($B106,'Raw RTF'!$B$8:$Q$1000,'Raw RTF'!O$5,FALSE)</f>
        <v>0</v>
      </c>
      <c r="P106">
        <f>VLOOKUP($B106,'Raw RTF'!$B$8:$Q$1000,'Raw RTF'!P$5,FALSE)</f>
        <v>0</v>
      </c>
      <c r="Q106">
        <f>VLOOKUP($B106,'Raw RTF'!$B$8:$Q$1000,'Raw RTF'!Q$5,FALSE)</f>
        <v>0</v>
      </c>
    </row>
    <row r="107" spans="1:17" ht="38.25">
      <c r="A107" t="str">
        <f t="shared" si="3"/>
        <v>Windows - Single Pane to Class 30 - Heating Zone 2 (Heat Pump Heating System)WINDOW CL30 Prime Window Replacement of Single Pane Base</v>
      </c>
      <c r="B107" s="99" t="str">
        <f>'Raw RTF'!B213</f>
        <v>Windows - Single Pane to Class 30 - Heating Zone 2 (Heat Pump Heating System)</v>
      </c>
      <c r="C107" s="99" t="s">
        <v>72</v>
      </c>
      <c r="D107">
        <f>VLOOKUP($B107,'Raw RTF'!$B$8:$Q$1000,'Raw RTF'!D$5,FALSE)</f>
        <v>17.125348980129907</v>
      </c>
      <c r="E107">
        <f>VLOOKUP($B107,'Raw RTF'!$B$8:$Q$1000,'Raw RTF'!E$5,FALSE)</f>
        <v>45</v>
      </c>
      <c r="F107">
        <f>VLOOKUP($B107,'Raw RTF'!$B$8:$Q$1000,'Raw RTF'!F$5,FALSE)</f>
        <v>17.810142881355933</v>
      </c>
      <c r="G107">
        <f>VLOOKUP($B107,'Raw RTF'!$B$8:$Q$1000,'Raw RTF'!G$5,FALSE)</f>
        <v>0</v>
      </c>
      <c r="H107" t="str">
        <f>VLOOKUP($B107,'Raw RTF'!$B$8:$Q$1000,'Raw RTF'!H$5,FALSE)</f>
        <v>ResSHWX</v>
      </c>
      <c r="I107">
        <f>VLOOKUP($B107,'Raw RTF'!$B$8:$Q$1000,'Raw RTF'!I$5,FALSE)</f>
        <v>0</v>
      </c>
      <c r="J107">
        <f>VLOOKUP($B107,'Raw RTF'!$B$8:$Q$1000,'Raw RTF'!J$5,FALSE)</f>
        <v>0</v>
      </c>
      <c r="K107">
        <f>VLOOKUP($B107,'Raw RTF'!$B$8:$Q$1000,'Raw RTF'!K$5,FALSE)</f>
        <v>0</v>
      </c>
      <c r="L107">
        <f>VLOOKUP($B107,'Raw RTF'!$B$8:$Q$1000,'Raw RTF'!L$5,FALSE)</f>
        <v>0</v>
      </c>
      <c r="M107">
        <f>VLOOKUP($B107,'Raw RTF'!$B$8:$Q$1000,'Raw RTF'!M$5,FALSE)</f>
        <v>0</v>
      </c>
      <c r="N107">
        <f>VLOOKUP($B107,'Raw RTF'!$B$8:$Q$1000,'Raw RTF'!N$5,FALSE)</f>
        <v>0</v>
      </c>
      <c r="O107">
        <f>VLOOKUP($B107,'Raw RTF'!$B$8:$Q$1000,'Raw RTF'!O$5,FALSE)</f>
        <v>0</v>
      </c>
      <c r="P107">
        <f>VLOOKUP($B107,'Raw RTF'!$B$8:$Q$1000,'Raw RTF'!P$5,FALSE)</f>
        <v>0</v>
      </c>
      <c r="Q107">
        <f>VLOOKUP($B107,'Raw RTF'!$B$8:$Q$1000,'Raw RTF'!Q$5,FALSE)</f>
        <v>0</v>
      </c>
    </row>
    <row r="108" spans="1:17" ht="38.25">
      <c r="A108" t="str">
        <f t="shared" si="3"/>
        <v>Windows - Double Pane to Class 30 - Heating Zone 2 (Heat Pump Heating System)WINDOW CL30 Prime Window Replacement of Double Pane Base</v>
      </c>
      <c r="B108" s="99" t="str">
        <f>'Raw RTF'!B214</f>
        <v>Windows - Double Pane to Class 30 - Heating Zone 2 (Heat Pump Heating System)</v>
      </c>
      <c r="C108" s="99" t="s">
        <v>73</v>
      </c>
      <c r="D108">
        <f>VLOOKUP($B108,'Raw RTF'!$B$8:$Q$1000,'Raw RTF'!D$5,FALSE)</f>
        <v>10.284117367088273</v>
      </c>
      <c r="E108">
        <f>VLOOKUP($B108,'Raw RTF'!$B$8:$Q$1000,'Raw RTF'!E$5,FALSE)</f>
        <v>45</v>
      </c>
      <c r="F108">
        <f>VLOOKUP($B108,'Raw RTF'!$B$8:$Q$1000,'Raw RTF'!F$5,FALSE)</f>
        <v>17.810142881355933</v>
      </c>
      <c r="G108">
        <f>VLOOKUP($B108,'Raw RTF'!$B$8:$Q$1000,'Raw RTF'!G$5,FALSE)</f>
        <v>0</v>
      </c>
      <c r="H108" t="str">
        <f>VLOOKUP($B108,'Raw RTF'!$B$8:$Q$1000,'Raw RTF'!H$5,FALSE)</f>
        <v>ResSHWX</v>
      </c>
      <c r="I108">
        <f>VLOOKUP($B108,'Raw RTF'!$B$8:$Q$1000,'Raw RTF'!I$5,FALSE)</f>
        <v>0</v>
      </c>
      <c r="J108">
        <f>VLOOKUP($B108,'Raw RTF'!$B$8:$Q$1000,'Raw RTF'!J$5,FALSE)</f>
        <v>0</v>
      </c>
      <c r="K108">
        <f>VLOOKUP($B108,'Raw RTF'!$B$8:$Q$1000,'Raw RTF'!K$5,FALSE)</f>
        <v>0</v>
      </c>
      <c r="L108">
        <f>VLOOKUP($B108,'Raw RTF'!$B$8:$Q$1000,'Raw RTF'!L$5,FALSE)</f>
        <v>0</v>
      </c>
      <c r="M108">
        <f>VLOOKUP($B108,'Raw RTF'!$B$8:$Q$1000,'Raw RTF'!M$5,FALSE)</f>
        <v>0</v>
      </c>
      <c r="N108">
        <f>VLOOKUP($B108,'Raw RTF'!$B$8:$Q$1000,'Raw RTF'!N$5,FALSE)</f>
        <v>0</v>
      </c>
      <c r="O108">
        <f>VLOOKUP($B108,'Raw RTF'!$B$8:$Q$1000,'Raw RTF'!O$5,FALSE)</f>
        <v>0</v>
      </c>
      <c r="P108">
        <f>VLOOKUP($B108,'Raw RTF'!$B$8:$Q$1000,'Raw RTF'!P$5,FALSE)</f>
        <v>0</v>
      </c>
      <c r="Q108">
        <f>VLOOKUP($B108,'Raw RTF'!$B$8:$Q$1000,'Raw RTF'!Q$5,FALSE)</f>
        <v>0</v>
      </c>
    </row>
    <row r="109" spans="1:17" ht="25.5">
      <c r="A109" t="str">
        <f t="shared" si="3"/>
        <v>Multi Family Weatherization - Insulate Walls - R-0 to R-11 - Heating Zone 3 (Heat Pump Heating System)WALL R0 - R11</v>
      </c>
      <c r="B109" s="99" t="str">
        <f>'Raw RTF'!B217</f>
        <v>Multi Family Weatherization - Insulate Walls - R-0 to R-11 - Heating Zone 3 (Heat Pump Heating System)</v>
      </c>
      <c r="C109" s="99" t="s">
        <v>69</v>
      </c>
      <c r="D109">
        <f>VLOOKUP($B109,'Raw RTF'!$B$8:$Q$1000,'Raw RTF'!D$5,FALSE)</f>
        <v>1.1891444184965805</v>
      </c>
      <c r="E109">
        <f>VLOOKUP($B109,'Raw RTF'!$B$8:$Q$1000,'Raw RTF'!E$5,FALSE)</f>
        <v>45</v>
      </c>
      <c r="F109">
        <f>VLOOKUP($B109,'Raw RTF'!$B$8:$Q$1000,'Raw RTF'!F$5,FALSE)</f>
        <v>1.0354836592527603</v>
      </c>
      <c r="G109">
        <f>VLOOKUP($B109,'Raw RTF'!$B$8:$Q$1000,'Raw RTF'!G$5,FALSE)</f>
        <v>0</v>
      </c>
      <c r="H109" t="str">
        <f>VLOOKUP($B109,'Raw RTF'!$B$8:$Q$1000,'Raw RTF'!H$5,FALSE)</f>
        <v>ResSHWX</v>
      </c>
      <c r="I109">
        <f>VLOOKUP($B109,'Raw RTF'!$B$8:$Q$1000,'Raw RTF'!I$5,FALSE)</f>
        <v>0</v>
      </c>
      <c r="J109">
        <f>VLOOKUP($B109,'Raw RTF'!$B$8:$Q$1000,'Raw RTF'!J$5,FALSE)</f>
        <v>0</v>
      </c>
      <c r="K109">
        <f>VLOOKUP($B109,'Raw RTF'!$B$8:$Q$1000,'Raw RTF'!K$5,FALSE)</f>
        <v>0</v>
      </c>
      <c r="L109">
        <f>VLOOKUP($B109,'Raw RTF'!$B$8:$Q$1000,'Raw RTF'!L$5,FALSE)</f>
        <v>0</v>
      </c>
      <c r="M109">
        <f>VLOOKUP($B109,'Raw RTF'!$B$8:$Q$1000,'Raw RTF'!M$5,FALSE)</f>
        <v>0</v>
      </c>
      <c r="N109">
        <f>VLOOKUP($B109,'Raw RTF'!$B$8:$Q$1000,'Raw RTF'!N$5,FALSE)</f>
        <v>0</v>
      </c>
      <c r="O109">
        <f>VLOOKUP($B109,'Raw RTF'!$B$8:$Q$1000,'Raw RTF'!O$5,FALSE)</f>
        <v>0</v>
      </c>
      <c r="P109">
        <f>VLOOKUP($B109,'Raw RTF'!$B$8:$Q$1000,'Raw RTF'!P$5,FALSE)</f>
        <v>0</v>
      </c>
      <c r="Q109">
        <f>VLOOKUP($B109,'Raw RTF'!$B$8:$Q$1000,'Raw RTF'!Q$5,FALSE)</f>
        <v>0</v>
      </c>
    </row>
    <row r="110" spans="1:17" ht="25.5">
      <c r="A110" t="str">
        <f t="shared" si="3"/>
        <v>Multi Family Weatherization - Insulate Floors - R-0 to R-19 - Heating Zone 3 (Heat Pump Heating System)FLOOR R0 - R19</v>
      </c>
      <c r="B110" s="99" t="str">
        <f>'Raw RTF'!B218</f>
        <v>Multi Family Weatherization - Insulate Floors - R-0 to R-19 - Heating Zone 3 (Heat Pump Heating System)</v>
      </c>
      <c r="C110" s="99" t="s">
        <v>70</v>
      </c>
      <c r="D110">
        <f>VLOOKUP($B110,'Raw RTF'!$B$8:$Q$1000,'Raw RTF'!D$5,FALSE)</f>
        <v>0.28250276610270575</v>
      </c>
      <c r="E110">
        <f>VLOOKUP($B110,'Raw RTF'!$B$8:$Q$1000,'Raw RTF'!E$5,FALSE)</f>
        <v>45</v>
      </c>
      <c r="F110">
        <f>VLOOKUP($B110,'Raw RTF'!$B$8:$Q$1000,'Raw RTF'!F$5,FALSE)</f>
        <v>0.91799940108959477</v>
      </c>
      <c r="G110">
        <f>VLOOKUP($B110,'Raw RTF'!$B$8:$Q$1000,'Raw RTF'!G$5,FALSE)</f>
        <v>0</v>
      </c>
      <c r="H110" t="str">
        <f>VLOOKUP($B110,'Raw RTF'!$B$8:$Q$1000,'Raw RTF'!H$5,FALSE)</f>
        <v>ResSHWX</v>
      </c>
      <c r="I110">
        <f>VLOOKUP($B110,'Raw RTF'!$B$8:$Q$1000,'Raw RTF'!I$5,FALSE)</f>
        <v>0</v>
      </c>
      <c r="J110">
        <f>VLOOKUP($B110,'Raw RTF'!$B$8:$Q$1000,'Raw RTF'!J$5,FALSE)</f>
        <v>0</v>
      </c>
      <c r="K110">
        <f>VLOOKUP($B110,'Raw RTF'!$B$8:$Q$1000,'Raw RTF'!K$5,FALSE)</f>
        <v>0</v>
      </c>
      <c r="L110">
        <f>VLOOKUP($B110,'Raw RTF'!$B$8:$Q$1000,'Raw RTF'!L$5,FALSE)</f>
        <v>0</v>
      </c>
      <c r="M110">
        <f>VLOOKUP($B110,'Raw RTF'!$B$8:$Q$1000,'Raw RTF'!M$5,FALSE)</f>
        <v>0</v>
      </c>
      <c r="N110">
        <f>VLOOKUP($B110,'Raw RTF'!$B$8:$Q$1000,'Raw RTF'!N$5,FALSE)</f>
        <v>0</v>
      </c>
      <c r="O110">
        <f>VLOOKUP($B110,'Raw RTF'!$B$8:$Q$1000,'Raw RTF'!O$5,FALSE)</f>
        <v>0</v>
      </c>
      <c r="P110">
        <f>VLOOKUP($B110,'Raw RTF'!$B$8:$Q$1000,'Raw RTF'!P$5,FALSE)</f>
        <v>0</v>
      </c>
      <c r="Q110">
        <f>VLOOKUP($B110,'Raw RTF'!$B$8:$Q$1000,'Raw RTF'!Q$5,FALSE)</f>
        <v>0</v>
      </c>
    </row>
    <row r="111" spans="1:17" ht="25.5">
      <c r="A111" t="str">
        <f t="shared" si="3"/>
        <v>Multi Family Weatherization - Insulate Floors - R-0 to R-30 - Heating Zone 3 (Heat Pump Heating System)FLOOR R0 - R30</v>
      </c>
      <c r="B111" s="99" t="str">
        <f>'Raw RTF'!B219</f>
        <v>Multi Family Weatherization - Insulate Floors - R-0 to R-30 - Heating Zone 3 (Heat Pump Heating System)</v>
      </c>
      <c r="C111" s="99" t="s">
        <v>71</v>
      </c>
      <c r="D111">
        <f>VLOOKUP($B111,'Raw RTF'!$B$8:$Q$1000,'Raw RTF'!D$5,FALSE)</f>
        <v>0.36611259495045606</v>
      </c>
      <c r="E111">
        <f>VLOOKUP($B111,'Raw RTF'!$B$8:$Q$1000,'Raw RTF'!E$5,FALSE)</f>
        <v>45</v>
      </c>
      <c r="F111">
        <f>VLOOKUP($B111,'Raw RTF'!$B$8:$Q$1000,'Raw RTF'!F$5,FALSE)</f>
        <v>0.98244865861375763</v>
      </c>
      <c r="G111">
        <f>VLOOKUP($B111,'Raw RTF'!$B$8:$Q$1000,'Raw RTF'!G$5,FALSE)</f>
        <v>0</v>
      </c>
      <c r="H111" t="str">
        <f>VLOOKUP($B111,'Raw RTF'!$B$8:$Q$1000,'Raw RTF'!H$5,FALSE)</f>
        <v>ResSHWX</v>
      </c>
      <c r="I111">
        <f>VLOOKUP($B111,'Raw RTF'!$B$8:$Q$1000,'Raw RTF'!I$5,FALSE)</f>
        <v>0</v>
      </c>
      <c r="J111">
        <f>VLOOKUP($B111,'Raw RTF'!$B$8:$Q$1000,'Raw RTF'!J$5,FALSE)</f>
        <v>0</v>
      </c>
      <c r="K111">
        <f>VLOOKUP($B111,'Raw RTF'!$B$8:$Q$1000,'Raw RTF'!K$5,FALSE)</f>
        <v>0</v>
      </c>
      <c r="L111">
        <f>VLOOKUP($B111,'Raw RTF'!$B$8:$Q$1000,'Raw RTF'!L$5,FALSE)</f>
        <v>0</v>
      </c>
      <c r="M111">
        <f>VLOOKUP($B111,'Raw RTF'!$B$8:$Q$1000,'Raw RTF'!M$5,FALSE)</f>
        <v>0</v>
      </c>
      <c r="N111">
        <f>VLOOKUP($B111,'Raw RTF'!$B$8:$Q$1000,'Raw RTF'!N$5,FALSE)</f>
        <v>0</v>
      </c>
      <c r="O111">
        <f>VLOOKUP($B111,'Raw RTF'!$B$8:$Q$1000,'Raw RTF'!O$5,FALSE)</f>
        <v>0</v>
      </c>
      <c r="P111">
        <f>VLOOKUP($B111,'Raw RTF'!$B$8:$Q$1000,'Raw RTF'!P$5,FALSE)</f>
        <v>0</v>
      </c>
      <c r="Q111">
        <f>VLOOKUP($B111,'Raw RTF'!$B$8:$Q$1000,'Raw RTF'!Q$5,FALSE)</f>
        <v>0</v>
      </c>
    </row>
    <row r="112" spans="1:17">
      <c r="A112" t="str">
        <f t="shared" si="3"/>
        <v>Multi Family Weatherization - Insulate Attic - R-0 to R-19 - Heating Zone 3 (Heat Pump Heating System)ATTIC R0 - R19</v>
      </c>
      <c r="B112" s="99" t="str">
        <f>'Raw RTF'!B221</f>
        <v>Multi Family Weatherization - Insulate Attic - R-0 to R-19 - Heating Zone 3 (Heat Pump Heating System)</v>
      </c>
      <c r="C112" s="99" t="s">
        <v>1080</v>
      </c>
      <c r="D112">
        <f>VLOOKUP($B112,'Raw RTF'!$B$8:$Q$1000,'Raw RTF'!D$5,FALSE)</f>
        <v>0.30589474254679139</v>
      </c>
      <c r="E112">
        <f>VLOOKUP($B112,'Raw RTF'!$B$8:$Q$1000,'Raw RTF'!E$5,FALSE)</f>
        <v>45</v>
      </c>
      <c r="F112">
        <f>VLOOKUP($B112,'Raw RTF'!$B$8:$Q$1000,'Raw RTF'!F$5,FALSE)</f>
        <v>0.54914779043329487</v>
      </c>
      <c r="G112">
        <f>VLOOKUP($B112,'Raw RTF'!$B$8:$Q$1000,'Raw RTF'!G$5,FALSE)</f>
        <v>0</v>
      </c>
      <c r="H112" t="str">
        <f>VLOOKUP($B112,'Raw RTF'!$B$8:$Q$1000,'Raw RTF'!H$5,FALSE)</f>
        <v>ResSHWX</v>
      </c>
      <c r="I112">
        <f>VLOOKUP($B112,'Raw RTF'!$B$8:$Q$1000,'Raw RTF'!I$5,FALSE)</f>
        <v>0</v>
      </c>
      <c r="J112">
        <f>VLOOKUP($B112,'Raw RTF'!$B$8:$Q$1000,'Raw RTF'!J$5,FALSE)</f>
        <v>0</v>
      </c>
      <c r="K112">
        <f>VLOOKUP($B112,'Raw RTF'!$B$8:$Q$1000,'Raw RTF'!K$5,FALSE)</f>
        <v>0</v>
      </c>
      <c r="L112">
        <f>VLOOKUP($B112,'Raw RTF'!$B$8:$Q$1000,'Raw RTF'!L$5,FALSE)</f>
        <v>0</v>
      </c>
      <c r="M112">
        <f>VLOOKUP($B112,'Raw RTF'!$B$8:$Q$1000,'Raw RTF'!M$5,FALSE)</f>
        <v>0</v>
      </c>
      <c r="N112">
        <f>VLOOKUP($B112,'Raw RTF'!$B$8:$Q$1000,'Raw RTF'!N$5,FALSE)</f>
        <v>0</v>
      </c>
      <c r="O112">
        <f>VLOOKUP($B112,'Raw RTF'!$B$8:$Q$1000,'Raw RTF'!O$5,FALSE)</f>
        <v>0</v>
      </c>
      <c r="P112">
        <f>VLOOKUP($B112,'Raw RTF'!$B$8:$Q$1000,'Raw RTF'!P$5,FALSE)</f>
        <v>0</v>
      </c>
      <c r="Q112">
        <f>VLOOKUP($B112,'Raw RTF'!$B$8:$Q$1000,'Raw RTF'!Q$5,FALSE)</f>
        <v>0</v>
      </c>
    </row>
    <row r="113" spans="1:17">
      <c r="A113" t="str">
        <f t="shared" si="3"/>
        <v>Multi Family Weatherization - Insulate Attic - R-0 to R-38 - Heating Zone 3 (Heat Pump Heating System)ATTIC R0 - R38</v>
      </c>
      <c r="B113" s="99" t="str">
        <f>'Raw RTF'!B222</f>
        <v>Multi Family Weatherization - Insulate Attic - R-0 to R-38 - Heating Zone 3 (Heat Pump Heating System)</v>
      </c>
      <c r="C113" s="99" t="s">
        <v>65</v>
      </c>
      <c r="D113">
        <f>VLOOKUP($B113,'Raw RTF'!$B$8:$Q$1000,'Raw RTF'!D$5,FALSE)</f>
        <v>0.41965586362807494</v>
      </c>
      <c r="E113">
        <f>VLOOKUP($B113,'Raw RTF'!$B$8:$Q$1000,'Raw RTF'!E$5,FALSE)</f>
        <v>45</v>
      </c>
      <c r="F113">
        <f>VLOOKUP($B113,'Raw RTF'!$B$8:$Q$1000,'Raw RTF'!F$5,FALSE)</f>
        <v>0.73246728560336305</v>
      </c>
      <c r="G113">
        <f>VLOOKUP($B113,'Raw RTF'!$B$8:$Q$1000,'Raw RTF'!G$5,FALSE)</f>
        <v>0</v>
      </c>
      <c r="H113" t="str">
        <f>VLOOKUP($B113,'Raw RTF'!$B$8:$Q$1000,'Raw RTF'!H$5,FALSE)</f>
        <v>ResSHWX</v>
      </c>
      <c r="I113">
        <f>VLOOKUP($B113,'Raw RTF'!$B$8:$Q$1000,'Raw RTF'!I$5,FALSE)</f>
        <v>0</v>
      </c>
      <c r="J113">
        <f>VLOOKUP($B113,'Raw RTF'!$B$8:$Q$1000,'Raw RTF'!J$5,FALSE)</f>
        <v>0</v>
      </c>
      <c r="K113">
        <f>VLOOKUP($B113,'Raw RTF'!$B$8:$Q$1000,'Raw RTF'!K$5,FALSE)</f>
        <v>0</v>
      </c>
      <c r="L113">
        <f>VLOOKUP($B113,'Raw RTF'!$B$8:$Q$1000,'Raw RTF'!L$5,FALSE)</f>
        <v>0</v>
      </c>
      <c r="M113">
        <f>VLOOKUP($B113,'Raw RTF'!$B$8:$Q$1000,'Raw RTF'!M$5,FALSE)</f>
        <v>0</v>
      </c>
      <c r="N113">
        <f>VLOOKUP($B113,'Raw RTF'!$B$8:$Q$1000,'Raw RTF'!N$5,FALSE)</f>
        <v>0</v>
      </c>
      <c r="O113">
        <f>VLOOKUP($B113,'Raw RTF'!$B$8:$Q$1000,'Raw RTF'!O$5,FALSE)</f>
        <v>0</v>
      </c>
      <c r="P113">
        <f>VLOOKUP($B113,'Raw RTF'!$B$8:$Q$1000,'Raw RTF'!P$5,FALSE)</f>
        <v>0</v>
      </c>
      <c r="Q113">
        <f>VLOOKUP($B113,'Raw RTF'!$B$8:$Q$1000,'Raw RTF'!Q$5,FALSE)</f>
        <v>0</v>
      </c>
    </row>
    <row r="114" spans="1:17">
      <c r="A114" t="str">
        <f t="shared" si="3"/>
        <v>Multi Family Weatherization - Insulate Attic - R-0 to R-49 - Heating Zone 3 (Heat Pump Heating System)ATTIC R0 - R49</v>
      </c>
      <c r="B114" s="99" t="str">
        <f>'Raw RTF'!B223</f>
        <v>Multi Family Weatherization - Insulate Attic - R-0 to R-49 - Heating Zone 3 (Heat Pump Heating System)</v>
      </c>
      <c r="C114" s="99" t="s">
        <v>66</v>
      </c>
      <c r="D114">
        <f>VLOOKUP($B114,'Raw RTF'!$B$8:$Q$1000,'Raw RTF'!D$5,FALSE)</f>
        <v>0.44603147646911767</v>
      </c>
      <c r="E114">
        <f>VLOOKUP($B114,'Raw RTF'!$B$8:$Q$1000,'Raw RTF'!E$5,FALSE)</f>
        <v>45</v>
      </c>
      <c r="F114">
        <f>VLOOKUP($B114,'Raw RTF'!$B$8:$Q$1000,'Raw RTF'!F$5,FALSE)</f>
        <v>0.83087905114745864</v>
      </c>
      <c r="G114">
        <f>VLOOKUP($B114,'Raw RTF'!$B$8:$Q$1000,'Raw RTF'!G$5,FALSE)</f>
        <v>0</v>
      </c>
      <c r="H114" t="str">
        <f>VLOOKUP($B114,'Raw RTF'!$B$8:$Q$1000,'Raw RTF'!H$5,FALSE)</f>
        <v>ResSHWX</v>
      </c>
      <c r="I114">
        <f>VLOOKUP($B114,'Raw RTF'!$B$8:$Q$1000,'Raw RTF'!I$5,FALSE)</f>
        <v>0</v>
      </c>
      <c r="J114">
        <f>VLOOKUP($B114,'Raw RTF'!$B$8:$Q$1000,'Raw RTF'!J$5,FALSE)</f>
        <v>0</v>
      </c>
      <c r="K114">
        <f>VLOOKUP($B114,'Raw RTF'!$B$8:$Q$1000,'Raw RTF'!K$5,FALSE)</f>
        <v>0</v>
      </c>
      <c r="L114">
        <f>VLOOKUP($B114,'Raw RTF'!$B$8:$Q$1000,'Raw RTF'!L$5,FALSE)</f>
        <v>0</v>
      </c>
      <c r="M114">
        <f>VLOOKUP($B114,'Raw RTF'!$B$8:$Q$1000,'Raw RTF'!M$5,FALSE)</f>
        <v>0</v>
      </c>
      <c r="N114">
        <f>VLOOKUP($B114,'Raw RTF'!$B$8:$Q$1000,'Raw RTF'!N$5,FALSE)</f>
        <v>0</v>
      </c>
      <c r="O114">
        <f>VLOOKUP($B114,'Raw RTF'!$B$8:$Q$1000,'Raw RTF'!O$5,FALSE)</f>
        <v>0</v>
      </c>
      <c r="P114">
        <f>VLOOKUP($B114,'Raw RTF'!$B$8:$Q$1000,'Raw RTF'!P$5,FALSE)</f>
        <v>0</v>
      </c>
      <c r="Q114">
        <f>VLOOKUP($B114,'Raw RTF'!$B$8:$Q$1000,'Raw RTF'!Q$5,FALSE)</f>
        <v>0</v>
      </c>
    </row>
    <row r="115" spans="1:17" ht="25.5">
      <c r="A115" t="str">
        <f t="shared" si="3"/>
        <v>Multi Family Weatherization - Insulate Attic - R-19 to R-30 - Heating Zone 3 (Heat Pump Heating System)ATTIC R19 - R30</v>
      </c>
      <c r="B115" s="99" t="str">
        <f>'Raw RTF'!B227</f>
        <v>Multi Family Weatherization - Insulate Attic - R-19 to R-30 - Heating Zone 3 (Heat Pump Heating System)</v>
      </c>
      <c r="C115" s="99" t="s">
        <v>1081</v>
      </c>
      <c r="D115">
        <f>VLOOKUP($B115,'Raw RTF'!$B$8:$Q$1000,'Raw RTF'!D$5,FALSE)</f>
        <v>8.2382832549999563E-2</v>
      </c>
      <c r="E115">
        <f>VLOOKUP($B115,'Raw RTF'!$B$8:$Q$1000,'Raw RTF'!E$5,FALSE)</f>
        <v>45</v>
      </c>
      <c r="F115">
        <f>VLOOKUP($B115,'Raw RTF'!$B$8:$Q$1000,'Raw RTF'!F$5,FALSE)</f>
        <v>0.47401945424285125</v>
      </c>
      <c r="G115">
        <f>VLOOKUP($B115,'Raw RTF'!$B$8:$Q$1000,'Raw RTF'!G$5,FALSE)</f>
        <v>0</v>
      </c>
      <c r="H115" t="str">
        <f>VLOOKUP($B115,'Raw RTF'!$B$8:$Q$1000,'Raw RTF'!H$5,FALSE)</f>
        <v>ResSHWX</v>
      </c>
      <c r="I115">
        <f>VLOOKUP($B115,'Raw RTF'!$B$8:$Q$1000,'Raw RTF'!I$5,FALSE)</f>
        <v>0</v>
      </c>
      <c r="J115">
        <f>VLOOKUP($B115,'Raw RTF'!$B$8:$Q$1000,'Raw RTF'!J$5,FALSE)</f>
        <v>0</v>
      </c>
      <c r="K115">
        <f>VLOOKUP($B115,'Raw RTF'!$B$8:$Q$1000,'Raw RTF'!K$5,FALSE)</f>
        <v>0</v>
      </c>
      <c r="L115">
        <f>VLOOKUP($B115,'Raw RTF'!$B$8:$Q$1000,'Raw RTF'!L$5,FALSE)</f>
        <v>0</v>
      </c>
      <c r="M115">
        <f>VLOOKUP($B115,'Raw RTF'!$B$8:$Q$1000,'Raw RTF'!M$5,FALSE)</f>
        <v>0</v>
      </c>
      <c r="N115">
        <f>VLOOKUP($B115,'Raw RTF'!$B$8:$Q$1000,'Raw RTF'!N$5,FALSE)</f>
        <v>0</v>
      </c>
      <c r="O115">
        <f>VLOOKUP($B115,'Raw RTF'!$B$8:$Q$1000,'Raw RTF'!O$5,FALSE)</f>
        <v>0</v>
      </c>
      <c r="P115">
        <f>VLOOKUP($B115,'Raw RTF'!$B$8:$Q$1000,'Raw RTF'!P$5,FALSE)</f>
        <v>0</v>
      </c>
      <c r="Q115">
        <f>VLOOKUP($B115,'Raw RTF'!$B$8:$Q$1000,'Raw RTF'!Q$5,FALSE)</f>
        <v>0</v>
      </c>
    </row>
    <row r="116" spans="1:17" ht="25.5">
      <c r="A116" t="str">
        <f t="shared" si="3"/>
        <v>Multi Family Weatherization - Insulate Attic - R-19 to R-38 - Heating Zone 3 (Heat Pump Heating System)ATTIC R19 - R38</v>
      </c>
      <c r="B116" s="99" t="str">
        <f>'Raw RTF'!B228</f>
        <v>Multi Family Weatherization - Insulate Attic - R-19 to R-38 - Heating Zone 3 (Heat Pump Heating System)</v>
      </c>
      <c r="C116" s="99" t="s">
        <v>67</v>
      </c>
      <c r="D116">
        <f>VLOOKUP($B116,'Raw RTF'!$B$8:$Q$1000,'Raw RTF'!D$5,FALSE)</f>
        <v>0.11376112108128361</v>
      </c>
      <c r="E116">
        <f>VLOOKUP($B116,'Raw RTF'!$B$8:$Q$1000,'Raw RTF'!E$5,FALSE)</f>
        <v>45</v>
      </c>
      <c r="F116">
        <f>VLOOKUP($B116,'Raw RTF'!$B$8:$Q$1000,'Raw RTF'!F$5,FALSE)</f>
        <v>0.55283834686255773</v>
      </c>
      <c r="G116">
        <f>VLOOKUP($B116,'Raw RTF'!$B$8:$Q$1000,'Raw RTF'!G$5,FALSE)</f>
        <v>0</v>
      </c>
      <c r="H116" t="str">
        <f>VLOOKUP($B116,'Raw RTF'!$B$8:$Q$1000,'Raw RTF'!H$5,FALSE)</f>
        <v>ResSHWX</v>
      </c>
      <c r="I116">
        <f>VLOOKUP($B116,'Raw RTF'!$B$8:$Q$1000,'Raw RTF'!I$5,FALSE)</f>
        <v>0</v>
      </c>
      <c r="J116">
        <f>VLOOKUP($B116,'Raw RTF'!$B$8:$Q$1000,'Raw RTF'!J$5,FALSE)</f>
        <v>0</v>
      </c>
      <c r="K116">
        <f>VLOOKUP($B116,'Raw RTF'!$B$8:$Q$1000,'Raw RTF'!K$5,FALSE)</f>
        <v>0</v>
      </c>
      <c r="L116">
        <f>VLOOKUP($B116,'Raw RTF'!$B$8:$Q$1000,'Raw RTF'!L$5,FALSE)</f>
        <v>0</v>
      </c>
      <c r="M116">
        <f>VLOOKUP($B116,'Raw RTF'!$B$8:$Q$1000,'Raw RTF'!M$5,FALSE)</f>
        <v>0</v>
      </c>
      <c r="N116">
        <f>VLOOKUP($B116,'Raw RTF'!$B$8:$Q$1000,'Raw RTF'!N$5,FALSE)</f>
        <v>0</v>
      </c>
      <c r="O116">
        <f>VLOOKUP($B116,'Raw RTF'!$B$8:$Q$1000,'Raw RTF'!O$5,FALSE)</f>
        <v>0</v>
      </c>
      <c r="P116">
        <f>VLOOKUP($B116,'Raw RTF'!$B$8:$Q$1000,'Raw RTF'!P$5,FALSE)</f>
        <v>0</v>
      </c>
      <c r="Q116">
        <f>VLOOKUP($B116,'Raw RTF'!$B$8:$Q$1000,'Raw RTF'!Q$5,FALSE)</f>
        <v>0</v>
      </c>
    </row>
    <row r="117" spans="1:17" ht="25.5">
      <c r="A117" t="str">
        <f t="shared" si="3"/>
        <v>Multi Family Weatherization - Insulate Attic - R-19 to R-49 - Heating Zone 3 (Heat Pump Heating System)ATTIC R19 - R49</v>
      </c>
      <c r="B117" s="99" t="str">
        <f>'Raw RTF'!B229</f>
        <v>Multi Family Weatherization - Insulate Attic - R-19 to R-49 - Heating Zone 3 (Heat Pump Heating System)</v>
      </c>
      <c r="C117" s="99" t="s">
        <v>68</v>
      </c>
      <c r="D117">
        <f>VLOOKUP($B117,'Raw RTF'!$B$8:$Q$1000,'Raw RTF'!D$5,FALSE)</f>
        <v>0.14013673392232634</v>
      </c>
      <c r="E117">
        <f>VLOOKUP($B117,'Raw RTF'!$B$8:$Q$1000,'Raw RTF'!E$5,FALSE)</f>
        <v>45</v>
      </c>
      <c r="F117">
        <f>VLOOKUP($B117,'Raw RTF'!$B$8:$Q$1000,'Raw RTF'!F$5,FALSE)</f>
        <v>0.65683404823881342</v>
      </c>
      <c r="G117">
        <f>VLOOKUP($B117,'Raw RTF'!$B$8:$Q$1000,'Raw RTF'!G$5,FALSE)</f>
        <v>0</v>
      </c>
      <c r="H117" t="str">
        <f>VLOOKUP($B117,'Raw RTF'!$B$8:$Q$1000,'Raw RTF'!H$5,FALSE)</f>
        <v>ResSHWX</v>
      </c>
      <c r="I117">
        <f>VLOOKUP($B117,'Raw RTF'!$B$8:$Q$1000,'Raw RTF'!I$5,FALSE)</f>
        <v>0</v>
      </c>
      <c r="J117">
        <f>VLOOKUP($B117,'Raw RTF'!$B$8:$Q$1000,'Raw RTF'!J$5,FALSE)</f>
        <v>0</v>
      </c>
      <c r="K117">
        <f>VLOOKUP($B117,'Raw RTF'!$B$8:$Q$1000,'Raw RTF'!K$5,FALSE)</f>
        <v>0</v>
      </c>
      <c r="L117">
        <f>VLOOKUP($B117,'Raw RTF'!$B$8:$Q$1000,'Raw RTF'!L$5,FALSE)</f>
        <v>0</v>
      </c>
      <c r="M117">
        <f>VLOOKUP($B117,'Raw RTF'!$B$8:$Q$1000,'Raw RTF'!M$5,FALSE)</f>
        <v>0</v>
      </c>
      <c r="N117">
        <f>VLOOKUP($B117,'Raw RTF'!$B$8:$Q$1000,'Raw RTF'!N$5,FALSE)</f>
        <v>0</v>
      </c>
      <c r="O117">
        <f>VLOOKUP($B117,'Raw RTF'!$B$8:$Q$1000,'Raw RTF'!O$5,FALSE)</f>
        <v>0</v>
      </c>
      <c r="P117">
        <f>VLOOKUP($B117,'Raw RTF'!$B$8:$Q$1000,'Raw RTF'!P$5,FALSE)</f>
        <v>0</v>
      </c>
      <c r="Q117">
        <f>VLOOKUP($B117,'Raw RTF'!$B$8:$Q$1000,'Raw RTF'!Q$5,FALSE)</f>
        <v>0</v>
      </c>
    </row>
    <row r="118" spans="1:17" ht="38.25">
      <c r="A118" t="str">
        <f t="shared" si="3"/>
        <v>Windows - Single Pane to Class 22 - Heating Zone 3 (Heat Pump Heating System)WINDOW CL22 Prime Window Replacement of Single Pane Base</v>
      </c>
      <c r="B118" s="99" t="str">
        <f>'Raw RTF'!B230</f>
        <v>Windows - Single Pane to Class 22 - Heating Zone 3 (Heat Pump Heating System)</v>
      </c>
      <c r="C118" s="99" t="s">
        <v>74</v>
      </c>
      <c r="D118">
        <f>VLOOKUP($B118,'Raw RTF'!$B$8:$Q$1000,'Raw RTF'!D$5,FALSE)</f>
        <v>26.668887143623454</v>
      </c>
      <c r="E118">
        <f>VLOOKUP($B118,'Raw RTF'!$B$8:$Q$1000,'Raw RTF'!E$5,FALSE)</f>
        <v>45</v>
      </c>
      <c r="F118">
        <f>VLOOKUP($B118,'Raw RTF'!$B$8:$Q$1000,'Raw RTF'!F$5,FALSE)</f>
        <v>23.269535952606116</v>
      </c>
      <c r="G118">
        <f>VLOOKUP($B118,'Raw RTF'!$B$8:$Q$1000,'Raw RTF'!G$5,FALSE)</f>
        <v>0</v>
      </c>
      <c r="H118" t="str">
        <f>VLOOKUP($B118,'Raw RTF'!$B$8:$Q$1000,'Raw RTF'!H$5,FALSE)</f>
        <v>ResSHWX</v>
      </c>
      <c r="I118">
        <f>VLOOKUP($B118,'Raw RTF'!$B$8:$Q$1000,'Raw RTF'!I$5,FALSE)</f>
        <v>0</v>
      </c>
      <c r="J118">
        <f>VLOOKUP($B118,'Raw RTF'!$B$8:$Q$1000,'Raw RTF'!J$5,FALSE)</f>
        <v>0</v>
      </c>
      <c r="K118">
        <f>VLOOKUP($B118,'Raw RTF'!$B$8:$Q$1000,'Raw RTF'!K$5,FALSE)</f>
        <v>0</v>
      </c>
      <c r="L118">
        <f>VLOOKUP($B118,'Raw RTF'!$B$8:$Q$1000,'Raw RTF'!L$5,FALSE)</f>
        <v>0</v>
      </c>
      <c r="M118">
        <f>VLOOKUP($B118,'Raw RTF'!$B$8:$Q$1000,'Raw RTF'!M$5,FALSE)</f>
        <v>0</v>
      </c>
      <c r="N118">
        <f>VLOOKUP($B118,'Raw RTF'!$B$8:$Q$1000,'Raw RTF'!N$5,FALSE)</f>
        <v>0</v>
      </c>
      <c r="O118">
        <f>VLOOKUP($B118,'Raw RTF'!$B$8:$Q$1000,'Raw RTF'!O$5,FALSE)</f>
        <v>0</v>
      </c>
      <c r="P118">
        <f>VLOOKUP($B118,'Raw RTF'!$B$8:$Q$1000,'Raw RTF'!P$5,FALSE)</f>
        <v>0</v>
      </c>
      <c r="Q118">
        <f>VLOOKUP($B118,'Raw RTF'!$B$8:$Q$1000,'Raw RTF'!Q$5,FALSE)</f>
        <v>0</v>
      </c>
    </row>
    <row r="119" spans="1:17" ht="38.25">
      <c r="A119" t="str">
        <f t="shared" si="3"/>
        <v>Windows - Double Pane to Class 22 - Heating Zone 3 (Heat Pump Heating System)WINDOW CL22 Prime Window Replacement of Double Pane Base</v>
      </c>
      <c r="B119" s="99" t="str">
        <f>'Raw RTF'!B231</f>
        <v>Windows - Double Pane to Class 22 - Heating Zone 3 (Heat Pump Heating System)</v>
      </c>
      <c r="C119" s="99" t="s">
        <v>75</v>
      </c>
      <c r="D119">
        <f>VLOOKUP($B119,'Raw RTF'!$B$8:$Q$1000,'Raw RTF'!D$5,FALSE)</f>
        <v>16.895816986013187</v>
      </c>
      <c r="E119">
        <f>VLOOKUP($B119,'Raw RTF'!$B$8:$Q$1000,'Raw RTF'!E$5,FALSE)</f>
        <v>45</v>
      </c>
      <c r="F119">
        <f>VLOOKUP($B119,'Raw RTF'!$B$8:$Q$1000,'Raw RTF'!F$5,FALSE)</f>
        <v>23.269535952606116</v>
      </c>
      <c r="G119">
        <f>VLOOKUP($B119,'Raw RTF'!$B$8:$Q$1000,'Raw RTF'!G$5,FALSE)</f>
        <v>0</v>
      </c>
      <c r="H119" t="str">
        <f>VLOOKUP($B119,'Raw RTF'!$B$8:$Q$1000,'Raw RTF'!H$5,FALSE)</f>
        <v>ResSHWX</v>
      </c>
      <c r="I119">
        <f>VLOOKUP($B119,'Raw RTF'!$B$8:$Q$1000,'Raw RTF'!I$5,FALSE)</f>
        <v>0</v>
      </c>
      <c r="J119">
        <f>VLOOKUP($B119,'Raw RTF'!$B$8:$Q$1000,'Raw RTF'!J$5,FALSE)</f>
        <v>0</v>
      </c>
      <c r="K119">
        <f>VLOOKUP($B119,'Raw RTF'!$B$8:$Q$1000,'Raw RTF'!K$5,FALSE)</f>
        <v>0</v>
      </c>
      <c r="L119">
        <f>VLOOKUP($B119,'Raw RTF'!$B$8:$Q$1000,'Raw RTF'!L$5,FALSE)</f>
        <v>0</v>
      </c>
      <c r="M119">
        <f>VLOOKUP($B119,'Raw RTF'!$B$8:$Q$1000,'Raw RTF'!M$5,FALSE)</f>
        <v>0</v>
      </c>
      <c r="N119">
        <f>VLOOKUP($B119,'Raw RTF'!$B$8:$Q$1000,'Raw RTF'!N$5,FALSE)</f>
        <v>0</v>
      </c>
      <c r="O119">
        <f>VLOOKUP($B119,'Raw RTF'!$B$8:$Q$1000,'Raw RTF'!O$5,FALSE)</f>
        <v>0</v>
      </c>
      <c r="P119">
        <f>VLOOKUP($B119,'Raw RTF'!$B$8:$Q$1000,'Raw RTF'!P$5,FALSE)</f>
        <v>0</v>
      </c>
      <c r="Q119">
        <f>VLOOKUP($B119,'Raw RTF'!$B$8:$Q$1000,'Raw RTF'!Q$5,FALSE)</f>
        <v>0</v>
      </c>
    </row>
    <row r="120" spans="1:17" ht="38.25">
      <c r="A120" t="str">
        <f t="shared" si="3"/>
        <v>Windows - Single Pane to Class 30 - Heating Zone 3 (Heat Pump Heating System)WINDOW CL30 Prime Window Replacement of Single Pane Base</v>
      </c>
      <c r="B120" s="99" t="str">
        <f>'Raw RTF'!B232</f>
        <v>Windows - Single Pane to Class 30 - Heating Zone 3 (Heat Pump Heating System)</v>
      </c>
      <c r="C120" s="99" t="s">
        <v>72</v>
      </c>
      <c r="D120">
        <f>VLOOKUP($B120,'Raw RTF'!$B$8:$Q$1000,'Raw RTF'!D$5,FALSE)</f>
        <v>24.803870674490149</v>
      </c>
      <c r="E120">
        <f>VLOOKUP($B120,'Raw RTF'!$B$8:$Q$1000,'Raw RTF'!E$5,FALSE)</f>
        <v>45</v>
      </c>
      <c r="F120">
        <f>VLOOKUP($B120,'Raw RTF'!$B$8:$Q$1000,'Raw RTF'!F$5,FALSE)</f>
        <v>17.810142881355933</v>
      </c>
      <c r="G120">
        <f>VLOOKUP($B120,'Raw RTF'!$B$8:$Q$1000,'Raw RTF'!G$5,FALSE)</f>
        <v>0</v>
      </c>
      <c r="H120" t="str">
        <f>VLOOKUP($B120,'Raw RTF'!$B$8:$Q$1000,'Raw RTF'!H$5,FALSE)</f>
        <v>ResSHWX</v>
      </c>
      <c r="I120">
        <f>VLOOKUP($B120,'Raw RTF'!$B$8:$Q$1000,'Raw RTF'!I$5,FALSE)</f>
        <v>0</v>
      </c>
      <c r="J120">
        <f>VLOOKUP($B120,'Raw RTF'!$B$8:$Q$1000,'Raw RTF'!J$5,FALSE)</f>
        <v>0</v>
      </c>
      <c r="K120">
        <f>VLOOKUP($B120,'Raw RTF'!$B$8:$Q$1000,'Raw RTF'!K$5,FALSE)</f>
        <v>0</v>
      </c>
      <c r="L120">
        <f>VLOOKUP($B120,'Raw RTF'!$B$8:$Q$1000,'Raw RTF'!L$5,FALSE)</f>
        <v>0</v>
      </c>
      <c r="M120">
        <f>VLOOKUP($B120,'Raw RTF'!$B$8:$Q$1000,'Raw RTF'!M$5,FALSE)</f>
        <v>0</v>
      </c>
      <c r="N120">
        <f>VLOOKUP($B120,'Raw RTF'!$B$8:$Q$1000,'Raw RTF'!N$5,FALSE)</f>
        <v>0</v>
      </c>
      <c r="O120">
        <f>VLOOKUP($B120,'Raw RTF'!$B$8:$Q$1000,'Raw RTF'!O$5,FALSE)</f>
        <v>0</v>
      </c>
      <c r="P120">
        <f>VLOOKUP($B120,'Raw RTF'!$B$8:$Q$1000,'Raw RTF'!P$5,FALSE)</f>
        <v>0</v>
      </c>
      <c r="Q120">
        <f>VLOOKUP($B120,'Raw RTF'!$B$8:$Q$1000,'Raw RTF'!Q$5,FALSE)</f>
        <v>0</v>
      </c>
    </row>
    <row r="121" spans="1:17" ht="38.25">
      <c r="A121" t="str">
        <f t="shared" si="3"/>
        <v>Windows - Double Pane to Class 30 - Heating Zone 3 (Heat Pump Heating System)WINDOW CL30 Prime Window Replacement of Double Pane Base</v>
      </c>
      <c r="B121" s="99" t="str">
        <f>'Raw RTF'!B233</f>
        <v>Windows - Double Pane to Class 30 - Heating Zone 3 (Heat Pump Heating System)</v>
      </c>
      <c r="C121" s="99" t="s">
        <v>73</v>
      </c>
      <c r="D121">
        <f>VLOOKUP($B121,'Raw RTF'!$B$8:$Q$1000,'Raw RTF'!D$5,FALSE)</f>
        <v>15.030800516879884</v>
      </c>
      <c r="E121">
        <f>VLOOKUP($B121,'Raw RTF'!$B$8:$Q$1000,'Raw RTF'!E$5,FALSE)</f>
        <v>45</v>
      </c>
      <c r="F121">
        <f>VLOOKUP($B121,'Raw RTF'!$B$8:$Q$1000,'Raw RTF'!F$5,FALSE)</f>
        <v>17.810142881355933</v>
      </c>
      <c r="G121">
        <f>VLOOKUP($B121,'Raw RTF'!$B$8:$Q$1000,'Raw RTF'!G$5,FALSE)</f>
        <v>0</v>
      </c>
      <c r="H121" t="str">
        <f>VLOOKUP($B121,'Raw RTF'!$B$8:$Q$1000,'Raw RTF'!H$5,FALSE)</f>
        <v>ResSHWX</v>
      </c>
      <c r="I121">
        <f>VLOOKUP($B121,'Raw RTF'!$B$8:$Q$1000,'Raw RTF'!I$5,FALSE)</f>
        <v>0</v>
      </c>
      <c r="J121">
        <f>VLOOKUP($B121,'Raw RTF'!$B$8:$Q$1000,'Raw RTF'!J$5,FALSE)</f>
        <v>0</v>
      </c>
      <c r="K121">
        <f>VLOOKUP($B121,'Raw RTF'!$B$8:$Q$1000,'Raw RTF'!K$5,FALSE)</f>
        <v>0</v>
      </c>
      <c r="L121">
        <f>VLOOKUP($B121,'Raw RTF'!$B$8:$Q$1000,'Raw RTF'!L$5,FALSE)</f>
        <v>0</v>
      </c>
      <c r="M121">
        <f>VLOOKUP($B121,'Raw RTF'!$B$8:$Q$1000,'Raw RTF'!M$5,FALSE)</f>
        <v>0</v>
      </c>
      <c r="N121">
        <f>VLOOKUP($B121,'Raw RTF'!$B$8:$Q$1000,'Raw RTF'!N$5,FALSE)</f>
        <v>0</v>
      </c>
      <c r="O121">
        <f>VLOOKUP($B121,'Raw RTF'!$B$8:$Q$1000,'Raw RTF'!O$5,FALSE)</f>
        <v>0</v>
      </c>
      <c r="P121">
        <f>VLOOKUP($B121,'Raw RTF'!$B$8:$Q$1000,'Raw RTF'!P$5,FALSE)</f>
        <v>0</v>
      </c>
      <c r="Q121">
        <f>VLOOKUP($B121,'Raw RTF'!$B$8:$Q$1000,'Raw RTF'!Q$5,FALSE)</f>
        <v>0</v>
      </c>
    </row>
    <row r="302" spans="2:2">
      <c r="B302" s="54"/>
    </row>
  </sheetData>
  <autoFilter ref="A4:DB301"/>
  <mergeCells count="2">
    <mergeCell ref="J3:O3"/>
    <mergeCell ref="P3:Q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DB235"/>
  <sheetViews>
    <sheetView topLeftCell="C1" workbookViewId="0">
      <selection activeCell="C8" sqref="C8:C20"/>
    </sheetView>
  </sheetViews>
  <sheetFormatPr defaultRowHeight="12.75"/>
  <cols>
    <col min="2" max="2" width="86.140625" customWidth="1"/>
    <col min="3" max="3" width="94.28515625" bestFit="1" customWidth="1"/>
    <col min="4" max="4" width="12" customWidth="1"/>
  </cols>
  <sheetData>
    <row r="1" spans="1:106" s="7" customFormat="1">
      <c r="B1" s="1" t="s">
        <v>0</v>
      </c>
      <c r="C1" s="2" t="s">
        <v>1078</v>
      </c>
      <c r="D1" s="2"/>
      <c r="E1" s="2"/>
      <c r="F1" s="2"/>
      <c r="G1" s="2"/>
      <c r="H1" s="2"/>
      <c r="I1" s="2"/>
      <c r="J1" s="3"/>
      <c r="K1" s="3"/>
      <c r="L1" s="3"/>
      <c r="M1" s="3"/>
      <c r="N1" s="3"/>
      <c r="O1" s="4"/>
      <c r="P1" s="4"/>
      <c r="Q1" s="4"/>
      <c r="R1" s="4"/>
      <c r="S1" s="4"/>
      <c r="T1" s="2"/>
      <c r="U1" s="2"/>
      <c r="V1" s="2"/>
      <c r="W1" s="4"/>
      <c r="X1" s="2"/>
      <c r="Y1" s="2"/>
      <c r="Z1" s="2"/>
      <c r="AA1" s="2"/>
      <c r="AB1" s="2"/>
      <c r="AC1" s="2"/>
      <c r="AD1" s="2"/>
      <c r="AE1" s="2"/>
      <c r="AF1" s="2"/>
      <c r="AG1" s="2"/>
      <c r="AH1" s="2"/>
      <c r="AI1" s="2"/>
      <c r="AJ1" s="2"/>
      <c r="AK1" s="2"/>
      <c r="AL1" s="2"/>
      <c r="AM1" s="2"/>
      <c r="AN1" s="2"/>
      <c r="AO1" s="2"/>
      <c r="AP1" s="2"/>
      <c r="AQ1" s="5"/>
      <c r="AR1" s="2"/>
      <c r="AS1" s="2"/>
      <c r="AT1" s="2"/>
      <c r="AU1" s="2"/>
      <c r="AV1" s="2"/>
      <c r="AW1" s="5"/>
      <c r="AX1" s="2"/>
      <c r="AY1" s="2"/>
      <c r="AZ1" s="2"/>
      <c r="BA1" s="2"/>
      <c r="BB1" s="2"/>
      <c r="BC1" s="2"/>
      <c r="BD1" s="2"/>
      <c r="BE1" s="2"/>
      <c r="BF1" s="2"/>
      <c r="BG1" s="2"/>
      <c r="BH1" s="2"/>
      <c r="BI1" s="2"/>
      <c r="BJ1" s="2"/>
      <c r="BK1" s="2"/>
      <c r="BL1" s="2"/>
      <c r="BM1" s="2"/>
      <c r="BN1" s="6"/>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5"/>
      <c r="CR1" s="2"/>
      <c r="CS1" s="2"/>
      <c r="CT1" s="2"/>
      <c r="CU1" s="2"/>
      <c r="CV1" s="2"/>
      <c r="CW1" s="2"/>
      <c r="CX1" s="2"/>
      <c r="CY1" s="2"/>
      <c r="CZ1" s="2"/>
      <c r="DA1" s="2"/>
      <c r="DB1" s="2"/>
    </row>
    <row r="2" spans="1:106" s="7" customFormat="1">
      <c r="B2" s="8" t="s">
        <v>1079</v>
      </c>
      <c r="C2" s="2"/>
      <c r="D2" s="2"/>
      <c r="E2" s="2"/>
      <c r="F2" s="2"/>
      <c r="G2" s="2"/>
      <c r="H2" s="2"/>
      <c r="I2" s="2"/>
      <c r="J2" s="3"/>
      <c r="K2" s="3"/>
      <c r="L2" s="3"/>
      <c r="M2" s="3"/>
      <c r="N2" s="3"/>
      <c r="O2" s="4"/>
      <c r="P2" s="4"/>
      <c r="Q2" s="4"/>
      <c r="R2" s="4"/>
      <c r="S2" s="4"/>
      <c r="T2" s="2"/>
      <c r="U2" s="2"/>
      <c r="V2" s="2"/>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5"/>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s="7" customFormat="1">
      <c r="B3" s="8" t="s">
        <v>1</v>
      </c>
      <c r="D3" s="8">
        <v>2012</v>
      </c>
      <c r="K3" s="9"/>
      <c r="L3" s="10"/>
      <c r="CP3" s="10"/>
      <c r="CQ3" s="10"/>
    </row>
    <row r="4" spans="1:106" s="7" customFormat="1"/>
    <row r="5" spans="1:106" s="7" customFormat="1">
      <c r="A5" s="7">
        <v>0</v>
      </c>
      <c r="B5" s="11">
        <v>1</v>
      </c>
      <c r="C5" s="11">
        <v>2</v>
      </c>
      <c r="D5" s="11">
        <v>3</v>
      </c>
      <c r="E5" s="11">
        <v>4</v>
      </c>
      <c r="F5" s="7">
        <v>5</v>
      </c>
      <c r="G5" s="11">
        <v>6</v>
      </c>
      <c r="H5" s="11">
        <v>7</v>
      </c>
      <c r="I5" s="11">
        <v>8</v>
      </c>
      <c r="J5" s="11">
        <v>9</v>
      </c>
      <c r="K5" s="11">
        <v>10</v>
      </c>
      <c r="L5" s="7">
        <v>11</v>
      </c>
      <c r="M5" s="11">
        <v>12</v>
      </c>
      <c r="N5" s="11">
        <v>13</v>
      </c>
      <c r="O5" s="11">
        <v>14</v>
      </c>
      <c r="P5" s="11">
        <v>15</v>
      </c>
      <c r="Q5" s="11">
        <v>16</v>
      </c>
      <c r="R5" s="11"/>
      <c r="S5" s="11"/>
      <c r="T5" s="11"/>
      <c r="V5" s="11"/>
      <c r="W5" s="11"/>
      <c r="X5" s="11"/>
      <c r="Y5" s="11"/>
      <c r="AA5" s="11"/>
      <c r="AB5" s="11"/>
      <c r="AC5" s="11"/>
      <c r="AD5" s="11"/>
      <c r="AF5" s="11"/>
      <c r="AG5" s="11"/>
      <c r="AH5" s="11"/>
      <c r="AI5" s="11"/>
      <c r="AK5" s="11"/>
      <c r="AL5" s="11"/>
      <c r="AM5" s="11"/>
      <c r="AN5" s="11"/>
      <c r="AP5" s="11"/>
      <c r="AQ5" s="11"/>
      <c r="AR5" s="11"/>
      <c r="AS5" s="11"/>
      <c r="AU5" s="11"/>
      <c r="AV5" s="11"/>
      <c r="AW5" s="11"/>
      <c r="AX5" s="11"/>
      <c r="AZ5" s="11"/>
      <c r="BA5" s="11"/>
      <c r="BB5" s="11"/>
      <c r="BC5" s="11"/>
      <c r="BE5" s="11"/>
      <c r="BF5" s="11"/>
      <c r="BG5" s="11"/>
      <c r="BH5" s="11"/>
      <c r="BJ5" s="11"/>
      <c r="BK5" s="11"/>
      <c r="BL5" s="11"/>
      <c r="BM5" s="11"/>
      <c r="BO5" s="11"/>
      <c r="BP5" s="11"/>
      <c r="BQ5" s="11"/>
      <c r="BR5" s="11"/>
      <c r="BT5" s="11"/>
      <c r="BU5" s="11"/>
      <c r="BV5" s="11"/>
      <c r="BW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row>
    <row r="6" spans="1:106" s="7" customFormat="1">
      <c r="B6" s="12" t="s">
        <v>2</v>
      </c>
      <c r="C6" s="13"/>
      <c r="D6" s="13"/>
      <c r="E6" s="13"/>
      <c r="F6" s="13"/>
      <c r="G6" s="13"/>
      <c r="H6" s="14"/>
      <c r="I6" s="15"/>
      <c r="J6" s="637" t="s">
        <v>3</v>
      </c>
      <c r="K6" s="638"/>
      <c r="L6" s="638"/>
      <c r="M6" s="638"/>
      <c r="N6" s="638"/>
      <c r="O6" s="639"/>
      <c r="P6" s="640" t="s">
        <v>4</v>
      </c>
      <c r="Q6" s="641"/>
      <c r="R6" s="16"/>
      <c r="S6" s="17"/>
      <c r="T6" s="17"/>
      <c r="U6" s="17"/>
      <c r="V6" s="17"/>
      <c r="W6" s="17"/>
      <c r="X6" s="17"/>
      <c r="Y6" s="18"/>
      <c r="Z6" s="19"/>
      <c r="AA6" s="17"/>
      <c r="AB6" s="17"/>
      <c r="AC6" s="17"/>
      <c r="AD6" s="17"/>
      <c r="AE6" s="17"/>
      <c r="AF6" s="20"/>
      <c r="AG6" s="20"/>
      <c r="AH6" s="20"/>
      <c r="AI6" s="20"/>
      <c r="AJ6" s="20"/>
      <c r="AK6" s="20"/>
      <c r="AL6" s="20"/>
      <c r="AM6" s="20"/>
      <c r="AN6" s="20"/>
      <c r="AO6" s="20"/>
      <c r="AP6" s="20"/>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38.25">
      <c r="B7" s="21" t="s">
        <v>5</v>
      </c>
      <c r="C7" s="21" t="s">
        <v>6</v>
      </c>
      <c r="D7" s="21" t="s">
        <v>1737</v>
      </c>
      <c r="E7" s="21" t="s">
        <v>8</v>
      </c>
      <c r="F7" s="21" t="s">
        <v>9</v>
      </c>
      <c r="G7" s="21" t="s">
        <v>10</v>
      </c>
      <c r="H7" s="22" t="s">
        <v>11</v>
      </c>
      <c r="I7" s="23" t="s">
        <v>12</v>
      </c>
      <c r="J7" s="23" t="s">
        <v>13</v>
      </c>
      <c r="K7" s="23" t="s">
        <v>14</v>
      </c>
      <c r="L7" s="23" t="s">
        <v>15</v>
      </c>
      <c r="M7" s="23" t="s">
        <v>16</v>
      </c>
      <c r="N7" s="23" t="s">
        <v>17</v>
      </c>
      <c r="O7" s="23" t="s">
        <v>18</v>
      </c>
      <c r="P7" s="24" t="s">
        <v>19</v>
      </c>
      <c r="Q7" s="23" t="s">
        <v>11</v>
      </c>
      <c r="R7" s="25"/>
      <c r="S7" s="25"/>
      <c r="T7" s="25"/>
      <c r="U7" s="25"/>
      <c r="V7" s="25"/>
      <c r="W7" s="25"/>
      <c r="X7" s="25"/>
      <c r="Y7" s="25"/>
      <c r="Z7" s="25"/>
      <c r="AA7" s="25"/>
      <c r="AB7" s="25"/>
      <c r="AC7" s="25"/>
      <c r="AD7" s="25"/>
      <c r="AE7" s="25"/>
      <c r="AF7" s="20"/>
      <c r="AG7" s="20"/>
      <c r="AH7" s="20"/>
      <c r="AI7" s="20"/>
      <c r="AJ7" s="20"/>
      <c r="AK7" s="20"/>
      <c r="AL7" s="20"/>
      <c r="AM7" s="20"/>
      <c r="AN7" s="20"/>
      <c r="AO7" s="20"/>
      <c r="AP7" s="20"/>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ht="25.5">
      <c r="A8" t="str">
        <f>CONCATENATE(B8,C8)</f>
        <v>Multi Family Weatherization - Insulate Walls - R-0 to R-11 - Heating Zone 1 (Average Heating System)Multi Family Weatherization - Insulate Walls - R-0 to R-11 - Heating Zone 1 (Average Heating System)</v>
      </c>
      <c r="B8" s="99" t="str">
        <f>Costs!$A2&amp;" - Heating Zone 1 (Average Heating System)"</f>
        <v>Multi Family Weatherization - Insulate Walls - R-0 to R-11 - Heating Zone 1 (Average Heating System)</v>
      </c>
      <c r="C8" s="99" t="str">
        <f>Costs!$A2&amp;" - Heating Zone 1 (Average Heating System)"</f>
        <v>Multi Family Weatherization - Insulate Walls - R-0 to R-11 - Heating Zone 1 (Average Heating System)</v>
      </c>
      <c r="D8" s="100">
        <f>VLOOKUP(C8,SEEMsavings!$A$5:$L$556,11,FALSE)+VLOOKUP(C8,SEEMsavings!$A$5:$L$556,12,FALSE)</f>
        <v>1.3502130355106403</v>
      </c>
      <c r="E8" s="96">
        <v>45</v>
      </c>
      <c r="F8" s="98">
        <f>Costs!B2</f>
        <v>1.0354836592527603</v>
      </c>
      <c r="G8" s="96">
        <v>0</v>
      </c>
      <c r="H8" s="95" t="s">
        <v>1077</v>
      </c>
      <c r="I8" s="98"/>
      <c r="J8" s="94"/>
      <c r="K8" s="94"/>
      <c r="L8" s="94"/>
      <c r="M8" s="94"/>
      <c r="N8" s="94"/>
      <c r="O8" s="94"/>
      <c r="P8" s="94"/>
      <c r="Q8" s="97"/>
    </row>
    <row r="9" spans="1:106" ht="25.5">
      <c r="A9" t="str">
        <f t="shared" ref="A9:A72" si="0">CONCATENATE(B9,C9)</f>
        <v>Multi Family Weatherization - Insulate Floors - R-0 to R-19 - Heating Zone 1 (Average Heating System)Multi Family Weatherization - Insulate Floors - R-0 to R-19 - Heating Zone 1 (Average Heating System)</v>
      </c>
      <c r="B9" s="99" t="str">
        <f>Costs!$A3&amp;" - Heating Zone 1 (Average Heating System)"</f>
        <v>Multi Family Weatherization - Insulate Floors - R-0 to R-19 - Heating Zone 1 (Average Heating System)</v>
      </c>
      <c r="C9" s="99" t="str">
        <f>Costs!$A3&amp;" - Heating Zone 1 (Average Heating System)"</f>
        <v>Multi Family Weatherization - Insulate Floors - R-0 to R-19 - Heating Zone 1 (Average Heating System)</v>
      </c>
      <c r="D9" s="100">
        <f>VLOOKUP(C9,SEEMsavings!$A$5:$L$556,11,FALSE)+VLOOKUP(C9,SEEMsavings!$A$5:$L$556,12,FALSE)</f>
        <v>0.60354578046560403</v>
      </c>
      <c r="E9" s="96">
        <v>45</v>
      </c>
      <c r="F9" s="98">
        <f>Costs!B3</f>
        <v>0.91799940108959477</v>
      </c>
      <c r="G9" s="96">
        <v>0</v>
      </c>
      <c r="H9" s="95" t="s">
        <v>1077</v>
      </c>
      <c r="I9" s="98"/>
      <c r="J9" s="94"/>
      <c r="K9" s="94"/>
      <c r="L9" s="94"/>
      <c r="M9" s="94"/>
      <c r="N9" s="94"/>
      <c r="O9" s="94"/>
      <c r="P9" s="94"/>
      <c r="Q9" s="97"/>
    </row>
    <row r="10" spans="1:106" ht="25.5">
      <c r="A10" t="str">
        <f t="shared" si="0"/>
        <v>Multi Family Weatherization - Insulate Floors - R-0 to R-30 - Heating Zone 1 (Average Heating System)Multi Family Weatherization - Insulate Floors - R-0 to R-30 - Heating Zone 1 (Average Heating System)</v>
      </c>
      <c r="B10" s="99" t="str">
        <f>Costs!$A4&amp;" - Heating Zone 1 (Average Heating System)"</f>
        <v>Multi Family Weatherization - Insulate Floors - R-0 to R-30 - Heating Zone 1 (Average Heating System)</v>
      </c>
      <c r="C10" s="99" t="str">
        <f>Costs!$A4&amp;" - Heating Zone 1 (Average Heating System)"</f>
        <v>Multi Family Weatherization - Insulate Floors - R-0 to R-30 - Heating Zone 1 (Average Heating System)</v>
      </c>
      <c r="D10" s="100">
        <f>VLOOKUP(C10,SEEMsavings!$A$5:$L$556,11,FALSE)+VLOOKUP(C10,SEEMsavings!$A$5:$L$556,12,FALSE)</f>
        <v>0.78538460166701718</v>
      </c>
      <c r="E10" s="96">
        <v>45</v>
      </c>
      <c r="F10" s="98">
        <f>Costs!B4</f>
        <v>0.98244865861375763</v>
      </c>
      <c r="G10" s="96">
        <v>0</v>
      </c>
      <c r="H10" s="95" t="s">
        <v>1077</v>
      </c>
      <c r="I10" s="98"/>
      <c r="J10" s="94"/>
      <c r="K10" s="94"/>
      <c r="L10" s="94"/>
      <c r="M10" s="94"/>
      <c r="N10" s="94"/>
      <c r="O10" s="94"/>
      <c r="P10" s="94"/>
      <c r="Q10" s="97"/>
    </row>
    <row r="11" spans="1:106" ht="25.5">
      <c r="A11" t="str">
        <f t="shared" si="0"/>
        <v>Multi Family Weatherization - Insulate Floors - R-19 to R-30 - Heating Zone 1 (Average Heating System)Multi Family Weatherization - Insulate Floors - R-19 to R-30 - Heating Zone 1 (Average Heating System)</v>
      </c>
      <c r="B11" s="99" t="str">
        <f>Costs!$A5&amp;" - Heating Zone 1 (Average Heating System)"</f>
        <v>Multi Family Weatherization - Insulate Floors - R-19 to R-30 - Heating Zone 1 (Average Heating System)</v>
      </c>
      <c r="C11" s="99" t="str">
        <f>Costs!$A5&amp;" - Heating Zone 1 (Average Heating System)"</f>
        <v>Multi Family Weatherization - Insulate Floors - R-19 to R-30 - Heating Zone 1 (Average Heating System)</v>
      </c>
      <c r="D11" s="100">
        <f>VLOOKUP(C11,SEEMsavings!$A$5:$L$556,11,FALSE)+VLOOKUP(C11,SEEMsavings!$A$5:$L$556,12,FALSE)</f>
        <v>0.1818388212014129</v>
      </c>
      <c r="E11" s="96">
        <v>45</v>
      </c>
      <c r="F11" s="98">
        <f>Costs!B5</f>
        <v>0.64785245801359526</v>
      </c>
      <c r="G11" s="96">
        <v>0</v>
      </c>
      <c r="H11" s="95" t="s">
        <v>1077</v>
      </c>
      <c r="I11" s="98"/>
      <c r="J11" s="94"/>
      <c r="K11" s="94"/>
      <c r="L11" s="94"/>
      <c r="M11" s="94"/>
      <c r="N11" s="94"/>
      <c r="O11" s="94"/>
      <c r="P11" s="94"/>
      <c r="Q11" s="94"/>
    </row>
    <row r="12" spans="1:106" ht="25.5">
      <c r="A12" t="str">
        <f t="shared" si="0"/>
        <v>Multi Family Weatherization - Insulate Attic - R-0 to R-19 - Heating Zone 1 (Average Heating System)Multi Family Weatherization - Insulate Attic - R-0 to R-19 - Heating Zone 1 (Average Heating System)</v>
      </c>
      <c r="B12" s="99" t="str">
        <f>Costs!$A6&amp;" - Heating Zone 1 (Average Heating System)"</f>
        <v>Multi Family Weatherization - Insulate Attic - R-0 to R-19 - Heating Zone 1 (Average Heating System)</v>
      </c>
      <c r="C12" s="99" t="str">
        <f>Costs!$A6&amp;" - Heating Zone 1 (Average Heating System)"</f>
        <v>Multi Family Weatherization - Insulate Attic - R-0 to R-19 - Heating Zone 1 (Average Heating System)</v>
      </c>
      <c r="D12" s="100">
        <f>VLOOKUP(C12,SEEMsavings!$A$5:$L$556,11,FALSE)+VLOOKUP(C12,SEEMsavings!$A$5:$L$556,12,FALSE)</f>
        <v>0.48927445555159571</v>
      </c>
      <c r="E12" s="96">
        <v>45</v>
      </c>
      <c r="F12" s="98">
        <f>Costs!B6</f>
        <v>0.54914779043329487</v>
      </c>
      <c r="G12" s="96">
        <v>0</v>
      </c>
      <c r="H12" s="95" t="s">
        <v>1077</v>
      </c>
      <c r="I12" s="98"/>
      <c r="J12" s="94"/>
      <c r="K12" s="94"/>
      <c r="L12" s="94"/>
      <c r="M12" s="94"/>
      <c r="N12" s="94"/>
      <c r="O12" s="94"/>
      <c r="P12" s="94"/>
      <c r="Q12" s="94"/>
    </row>
    <row r="13" spans="1:106" ht="25.5">
      <c r="A13" t="str">
        <f t="shared" si="0"/>
        <v>Multi Family Weatherization - Insulate Attic - R-0 to R-38 - Heating Zone 1 (Average Heating System)Multi Family Weatherization - Insulate Attic - R-0 to R-38 - Heating Zone 1 (Average Heating System)</v>
      </c>
      <c r="B13" s="99" t="str">
        <f>Costs!$A7&amp;" - Heating Zone 1 (Average Heating System)"</f>
        <v>Multi Family Weatherization - Insulate Attic - R-0 to R-38 - Heating Zone 1 (Average Heating System)</v>
      </c>
      <c r="C13" s="99" t="str">
        <f>Costs!$A7&amp;" - Heating Zone 1 (Average Heating System)"</f>
        <v>Multi Family Weatherization - Insulate Attic - R-0 to R-38 - Heating Zone 1 (Average Heating System)</v>
      </c>
      <c r="D13" s="100">
        <f>VLOOKUP(C13,SEEMsavings!$A$5:$L$556,11,FALSE)+VLOOKUP(C13,SEEMsavings!$A$5:$L$556,12,FALSE)</f>
        <v>0.66636964463936232</v>
      </c>
      <c r="E13" s="96">
        <v>45</v>
      </c>
      <c r="F13" s="98">
        <f>Costs!B7</f>
        <v>0.73246728560336305</v>
      </c>
      <c r="G13" s="96">
        <v>0</v>
      </c>
      <c r="H13" s="95" t="s">
        <v>1077</v>
      </c>
      <c r="I13" s="98"/>
      <c r="J13" s="94"/>
      <c r="K13" s="94"/>
      <c r="L13" s="94"/>
      <c r="M13" s="94"/>
      <c r="N13" s="94"/>
      <c r="O13" s="94"/>
      <c r="P13" s="94"/>
      <c r="Q13" s="94"/>
    </row>
    <row r="14" spans="1:106" ht="25.5">
      <c r="A14" t="str">
        <f t="shared" si="0"/>
        <v>Multi Family Weatherization - Insulate Attic - R-0 to R-49 - Heating Zone 1 (Average Heating System)Multi Family Weatherization - Insulate Attic - R-0 to R-49 - Heating Zone 1 (Average Heating System)</v>
      </c>
      <c r="B14" s="99" t="str">
        <f>Costs!$A8&amp;" - Heating Zone 1 (Average Heating System)"</f>
        <v>Multi Family Weatherization - Insulate Attic - R-0 to R-49 - Heating Zone 1 (Average Heating System)</v>
      </c>
      <c r="C14" s="99" t="str">
        <f>Costs!$A8&amp;" - Heating Zone 1 (Average Heating System)"</f>
        <v>Multi Family Weatherization - Insulate Attic - R-0 to R-49 - Heating Zone 1 (Average Heating System)</v>
      </c>
      <c r="D14" s="100">
        <f>VLOOKUP(C14,SEEMsavings!$A$5:$L$556,11,FALSE)+VLOOKUP(C14,SEEMsavings!$A$5:$L$556,12,FALSE)</f>
        <v>0.70743377480786263</v>
      </c>
      <c r="E14" s="96">
        <v>45</v>
      </c>
      <c r="F14" s="98">
        <f>Costs!B8</f>
        <v>0.83087905114745864</v>
      </c>
      <c r="G14" s="96">
        <v>0</v>
      </c>
      <c r="H14" s="95" t="s">
        <v>1077</v>
      </c>
      <c r="I14" s="98"/>
      <c r="J14" s="94"/>
      <c r="K14" s="94"/>
      <c r="L14" s="94"/>
      <c r="M14" s="94"/>
      <c r="N14" s="94"/>
      <c r="O14" s="94"/>
      <c r="P14" s="94"/>
      <c r="Q14" s="94"/>
    </row>
    <row r="15" spans="1:106" ht="25.5">
      <c r="A15" t="str">
        <f t="shared" si="0"/>
        <v>Multi Family Weatherization - Insulate Attic - R-30 to R-38 - Heating Zone 1 (Average Heating System)Multi Family Weatherization - Insulate Attic - R-30 to R-38 - Heating Zone 1 (Average Heating System)</v>
      </c>
      <c r="B15" s="99" t="str">
        <f>Costs!$A9&amp;" - Heating Zone 1 (Average Heating System)"</f>
        <v>Multi Family Weatherization - Insulate Attic - R-30 to R-38 - Heating Zone 1 (Average Heating System)</v>
      </c>
      <c r="C15" s="99" t="str">
        <f>Costs!$A9&amp;" - Heating Zone 1 (Average Heating System)"</f>
        <v>Multi Family Weatherization - Insulate Attic - R-30 to R-38 - Heating Zone 1 (Average Heating System)</v>
      </c>
      <c r="D15" s="100">
        <f>VLOOKUP(C15,SEEMsavings!$A$5:$L$556,11,FALSE)+VLOOKUP(C15,SEEMsavings!$A$5:$L$556,12,FALSE)</f>
        <v>4.8748425349607091E-2</v>
      </c>
      <c r="E15" s="96">
        <v>45</v>
      </c>
      <c r="F15" s="98">
        <f>Costs!B9</f>
        <v>0.2473644911578245</v>
      </c>
      <c r="G15" s="96">
        <v>0</v>
      </c>
      <c r="H15" s="95" t="s">
        <v>1077</v>
      </c>
      <c r="I15" s="98"/>
      <c r="J15" s="94"/>
      <c r="K15" s="94"/>
      <c r="L15" s="94"/>
      <c r="M15" s="94"/>
      <c r="N15" s="94"/>
      <c r="O15" s="94"/>
      <c r="P15" s="94"/>
      <c r="Q15" s="94"/>
    </row>
    <row r="16" spans="1:106" ht="25.5">
      <c r="A16" t="str">
        <f t="shared" si="0"/>
        <v>Multi Family Weatherization - Insulate Attic - R-30 to R-49 - Heating Zone 1 (Average Heating System)Multi Family Weatherization - Insulate Attic - R-30 to R-49 - Heating Zone 1 (Average Heating System)</v>
      </c>
      <c r="B16" s="99" t="str">
        <f>Costs!$A10&amp;" - Heating Zone 1 (Average Heating System)"</f>
        <v>Multi Family Weatherization - Insulate Attic - R-30 to R-49 - Heating Zone 1 (Average Heating System)</v>
      </c>
      <c r="C16" s="99" t="str">
        <f>Costs!$A10&amp;" - Heating Zone 1 (Average Heating System)"</f>
        <v>Multi Family Weatherization - Insulate Attic - R-30 to R-49 - Heating Zone 1 (Average Heating System)</v>
      </c>
      <c r="D16" s="100">
        <f>VLOOKUP(C16,SEEMsavings!$A$5:$L$556,11,FALSE)+VLOOKUP(C16,SEEMsavings!$A$5:$L$556,12,FALSE)</f>
        <v>8.9812555518107198E-2</v>
      </c>
      <c r="E16" s="96">
        <v>45</v>
      </c>
      <c r="F16" s="98">
        <f>Costs!B10</f>
        <v>0.58749066649983317</v>
      </c>
      <c r="G16" s="96">
        <v>0</v>
      </c>
      <c r="H16" s="95" t="s">
        <v>1077</v>
      </c>
      <c r="I16" s="98"/>
      <c r="J16" s="94"/>
      <c r="K16" s="94"/>
      <c r="L16" s="94"/>
      <c r="M16" s="94"/>
      <c r="N16" s="94"/>
      <c r="O16" s="94"/>
      <c r="P16" s="94"/>
      <c r="Q16" s="94"/>
    </row>
    <row r="17" spans="1:17" ht="25.5">
      <c r="A17" t="str">
        <f t="shared" si="0"/>
        <v>Multi Family Weatherization - Insulate Attic - R-38 to R-49 - Heating Zone 1 (Average Heating System)Multi Family Weatherization - Insulate Attic - R-38 to R-49 - Heating Zone 1 (Average Heating System)</v>
      </c>
      <c r="B17" s="99" t="str">
        <f>Costs!$A11&amp;" - Heating Zone 1 (Average Heating System)"</f>
        <v>Multi Family Weatherization - Insulate Attic - R-38 to R-49 - Heating Zone 1 (Average Heating System)</v>
      </c>
      <c r="C17" s="99" t="str">
        <f>Costs!$A11&amp;" - Heating Zone 1 (Average Heating System)"</f>
        <v>Multi Family Weatherization - Insulate Attic - R-38 to R-49 - Heating Zone 1 (Average Heating System)</v>
      </c>
      <c r="D17" s="100">
        <f>VLOOKUP(C17,SEEMsavings!$A$5:$L$556,11,FALSE)+VLOOKUP(C17,SEEMsavings!$A$5:$L$556,12,FALSE)</f>
        <v>4.1064130168500086E-2</v>
      </c>
      <c r="E17" s="96">
        <v>45</v>
      </c>
      <c r="F17" s="98">
        <f>Costs!B11</f>
        <v>0.34012617534200867</v>
      </c>
      <c r="G17" s="96">
        <v>0</v>
      </c>
      <c r="H17" s="95" t="s">
        <v>1077</v>
      </c>
      <c r="I17" s="98"/>
      <c r="J17" s="27"/>
      <c r="K17" s="27"/>
      <c r="L17" s="27"/>
      <c r="M17" s="27"/>
      <c r="N17" s="27"/>
      <c r="O17" s="27"/>
      <c r="P17" s="27"/>
      <c r="Q17" s="27"/>
    </row>
    <row r="18" spans="1:17" ht="25.5">
      <c r="A18" t="str">
        <f t="shared" si="0"/>
        <v>Multi Family Weatherization - Insulate Attic - R-19 to R-30 - Heating Zone 1 (Average Heating System)Multi Family Weatherization - Insulate Attic - R-19 to R-30 - Heating Zone 1 (Average Heating System)</v>
      </c>
      <c r="B18" s="99" t="str">
        <f>Costs!$A12&amp;" - Heating Zone 1 (Average Heating System)"</f>
        <v>Multi Family Weatherization - Insulate Attic - R-19 to R-30 - Heating Zone 1 (Average Heating System)</v>
      </c>
      <c r="C18" s="99" t="str">
        <f>Costs!$A12&amp;" - Heating Zone 1 (Average Heating System)"</f>
        <v>Multi Family Weatherization - Insulate Attic - R-19 to R-30 - Heating Zone 1 (Average Heating System)</v>
      </c>
      <c r="D18" s="100">
        <f>VLOOKUP(C18,SEEMsavings!$A$5:$L$556,11,FALSE)+VLOOKUP(C18,SEEMsavings!$A$5:$L$556,12,FALSE)</f>
        <v>0.12834676373815965</v>
      </c>
      <c r="E18" s="96">
        <v>45</v>
      </c>
      <c r="F18" s="98">
        <f>Costs!B12</f>
        <v>0.47401945424285125</v>
      </c>
      <c r="G18" s="96">
        <v>0</v>
      </c>
      <c r="H18" s="95" t="s">
        <v>1077</v>
      </c>
      <c r="I18" s="98"/>
      <c r="J18" s="27"/>
      <c r="K18" s="27"/>
      <c r="L18" s="27"/>
      <c r="M18" s="27"/>
      <c r="N18" s="27"/>
      <c r="O18" s="27"/>
      <c r="P18" s="27"/>
      <c r="Q18" s="27"/>
    </row>
    <row r="19" spans="1:17" ht="25.5">
      <c r="A19" t="str">
        <f t="shared" si="0"/>
        <v>Multi Family Weatherization - Insulate Attic - R-19 to R-38 - Heating Zone 1 (Average Heating System)Multi Family Weatherization - Insulate Attic - R-19 to R-38 - Heating Zone 1 (Average Heating System)</v>
      </c>
      <c r="B19" s="99" t="str">
        <f>Costs!$A13&amp;" - Heating Zone 1 (Average Heating System)"</f>
        <v>Multi Family Weatherization - Insulate Attic - R-19 to R-38 - Heating Zone 1 (Average Heating System)</v>
      </c>
      <c r="C19" s="99" t="str">
        <f>Costs!$A13&amp;" - Heating Zone 1 (Average Heating System)"</f>
        <v>Multi Family Weatherization - Insulate Attic - R-19 to R-38 - Heating Zone 1 (Average Heating System)</v>
      </c>
      <c r="D19" s="100">
        <f>VLOOKUP(C19,SEEMsavings!$A$5:$L$556,11,FALSE)+VLOOKUP(C19,SEEMsavings!$A$5:$L$556,12,FALSE)</f>
        <v>0.17709518908776672</v>
      </c>
      <c r="E19" s="96">
        <v>45</v>
      </c>
      <c r="F19" s="98">
        <f>Costs!B13</f>
        <v>0.55283834686255773</v>
      </c>
      <c r="G19" s="96">
        <v>0</v>
      </c>
      <c r="H19" s="95" t="s">
        <v>1077</v>
      </c>
      <c r="I19" s="98"/>
      <c r="J19" s="27"/>
      <c r="K19" s="27"/>
      <c r="L19" s="27"/>
      <c r="M19" s="27"/>
      <c r="N19" s="27"/>
      <c r="O19" s="27"/>
      <c r="P19" s="27"/>
      <c r="Q19" s="27"/>
    </row>
    <row r="20" spans="1:17" ht="25.5">
      <c r="A20" t="str">
        <f t="shared" si="0"/>
        <v>Multi Family Weatherization - Insulate Attic - R-19 to R-49 - Heating Zone 1 (Average Heating System)Multi Family Weatherization - Insulate Attic - R-19 to R-49 - Heating Zone 1 (Average Heating System)</v>
      </c>
      <c r="B20" s="99" t="str">
        <f>Costs!$A14&amp;" - Heating Zone 1 (Average Heating System)"</f>
        <v>Multi Family Weatherization - Insulate Attic - R-19 to R-49 - Heating Zone 1 (Average Heating System)</v>
      </c>
      <c r="C20" s="99" t="str">
        <f>Costs!$A14&amp;" - Heating Zone 1 (Average Heating System)"</f>
        <v>Multi Family Weatherization - Insulate Attic - R-19 to R-49 - Heating Zone 1 (Average Heating System)</v>
      </c>
      <c r="D20" s="100">
        <f>VLOOKUP(C20,SEEMsavings!$A$5:$L$556,11,FALSE)+VLOOKUP(C20,SEEMsavings!$A$5:$L$556,12,FALSE)</f>
        <v>0.21815931925626683</v>
      </c>
      <c r="E20" s="96">
        <v>45</v>
      </c>
      <c r="F20" s="98">
        <f>Costs!B14</f>
        <v>0.65683404823881342</v>
      </c>
      <c r="G20" s="96">
        <v>0</v>
      </c>
      <c r="H20" s="95" t="s">
        <v>1077</v>
      </c>
      <c r="I20" s="98"/>
      <c r="J20" s="27"/>
      <c r="K20" s="27"/>
      <c r="L20" s="27"/>
      <c r="M20" s="27"/>
      <c r="N20" s="27"/>
      <c r="O20" s="27"/>
      <c r="P20" s="27"/>
      <c r="Q20" s="27"/>
    </row>
    <row r="21" spans="1:17">
      <c r="A21" t="str">
        <f t="shared" si="0"/>
        <v>Windows - Single Pane to Class 22 - Heating Zone 1 (Average Heating System)Windows - Single Pane to Class 22 - Heating Zone 1 (Average Heating System)</v>
      </c>
      <c r="B21" s="99" t="str">
        <f>Costs!$A15&amp;" - Heating Zone 1 (Average Heating System)"</f>
        <v>Windows - Single Pane to Class 22 - Heating Zone 1 (Average Heating System)</v>
      </c>
      <c r="C21" s="99" t="str">
        <f>Costs!$A15&amp;" - Heating Zone 1 (Average Heating System)"</f>
        <v>Windows - Single Pane to Class 22 - Heating Zone 1 (Average Heating System)</v>
      </c>
      <c r="D21" s="100">
        <f>VLOOKUP(C21,SEEMsavings!$A$5:$L$556,11,FALSE)+VLOOKUP(C21,SEEMsavings!$A$5:$L$556,12,FALSE)</f>
        <v>24.989951808482907</v>
      </c>
      <c r="E21" s="96">
        <v>45</v>
      </c>
      <c r="F21" s="98">
        <f>Costs!B15</f>
        <v>23.269535952606116</v>
      </c>
      <c r="G21" s="96">
        <v>0</v>
      </c>
      <c r="H21" s="95" t="s">
        <v>1077</v>
      </c>
      <c r="I21" s="98"/>
      <c r="J21" s="27"/>
      <c r="K21" s="27"/>
      <c r="L21" s="27"/>
      <c r="M21" s="27"/>
      <c r="N21" s="27"/>
      <c r="O21" s="27"/>
      <c r="P21" s="27"/>
      <c r="Q21" s="27"/>
    </row>
    <row r="22" spans="1:17">
      <c r="A22" t="str">
        <f t="shared" si="0"/>
        <v>Windows - Double Pane to Class 22 - Heating Zone 1 (Average Heating System)Windows - Double Pane to Class 22 - Heating Zone 1 (Average Heating System)</v>
      </c>
      <c r="B22" s="99" t="str">
        <f>Costs!$A16&amp;" - Heating Zone 1 (Average Heating System)"</f>
        <v>Windows - Double Pane to Class 22 - Heating Zone 1 (Average Heating System)</v>
      </c>
      <c r="C22" s="99" t="str">
        <f>Costs!$A16&amp;" - Heating Zone 1 (Average Heating System)"</f>
        <v>Windows - Double Pane to Class 22 - Heating Zone 1 (Average Heating System)</v>
      </c>
      <c r="D22" s="100">
        <f>VLOOKUP(C22,SEEMsavings!$A$5:$L$556,11,FALSE)+VLOOKUP(C22,SEEMsavings!$A$5:$L$556,12,FALSE)</f>
        <v>14.766641307569163</v>
      </c>
      <c r="E22" s="96">
        <v>45</v>
      </c>
      <c r="F22" s="98">
        <f>Costs!B16</f>
        <v>23.269535952606116</v>
      </c>
      <c r="G22" s="96">
        <v>0</v>
      </c>
      <c r="H22" s="95" t="s">
        <v>1077</v>
      </c>
      <c r="I22" s="98"/>
      <c r="J22" s="27"/>
      <c r="K22" s="27"/>
      <c r="L22" s="27"/>
      <c r="M22" s="27"/>
      <c r="N22" s="27"/>
      <c r="O22" s="27"/>
      <c r="P22" s="27"/>
      <c r="Q22" s="27"/>
    </row>
    <row r="23" spans="1:17">
      <c r="A23" t="str">
        <f t="shared" si="0"/>
        <v>Windows - Single Pane to Class 30 - Heating Zone 1 (Average Heating System)Windows - Single Pane to Class 30 - Heating Zone 1 (Average Heating System)</v>
      </c>
      <c r="B23" s="99" t="str">
        <f>Costs!$A17&amp;" - Heating Zone 1 (Average Heating System)"</f>
        <v>Windows - Single Pane to Class 30 - Heating Zone 1 (Average Heating System)</v>
      </c>
      <c r="C23" s="99" t="str">
        <f>Costs!$A17&amp;" - Heating Zone 1 (Average Heating System)"</f>
        <v>Windows - Single Pane to Class 30 - Heating Zone 1 (Average Heating System)</v>
      </c>
      <c r="D23" s="100">
        <f>VLOOKUP(C23,SEEMsavings!$A$5:$L$556,11,FALSE)+VLOOKUP(C23,SEEMsavings!$A$5:$L$556,12,FALSE)</f>
        <v>22.986258555010899</v>
      </c>
      <c r="E23" s="96">
        <v>45</v>
      </c>
      <c r="F23" s="98">
        <f>Costs!B17</f>
        <v>17.810142881355933</v>
      </c>
      <c r="G23" s="96">
        <v>0</v>
      </c>
      <c r="H23" s="95" t="s">
        <v>1077</v>
      </c>
      <c r="I23" s="98"/>
      <c r="J23" s="27"/>
      <c r="K23" s="27"/>
      <c r="L23" s="27"/>
      <c r="M23" s="27"/>
      <c r="N23" s="27"/>
      <c r="O23" s="27"/>
      <c r="P23" s="27"/>
      <c r="Q23" s="27"/>
    </row>
    <row r="24" spans="1:17">
      <c r="A24" t="str">
        <f t="shared" si="0"/>
        <v>Windows - Double Pane to Class 30 - Heating Zone 1 (Average Heating System)Windows - Double Pane to Class 30 - Heating Zone 1 (Average Heating System)</v>
      </c>
      <c r="B24" s="99" t="str">
        <f>Costs!$A18&amp;" - Heating Zone 1 (Average Heating System)"</f>
        <v>Windows - Double Pane to Class 30 - Heating Zone 1 (Average Heating System)</v>
      </c>
      <c r="C24" s="99" t="str">
        <f>Costs!$A18&amp;" - Heating Zone 1 (Average Heating System)"</f>
        <v>Windows - Double Pane to Class 30 - Heating Zone 1 (Average Heating System)</v>
      </c>
      <c r="D24" s="100">
        <f>VLOOKUP(C24,SEEMsavings!$A$5:$L$556,11,FALSE)+VLOOKUP(C24,SEEMsavings!$A$5:$L$556,12,FALSE)</f>
        <v>12.762948054097151</v>
      </c>
      <c r="E24" s="96">
        <v>45</v>
      </c>
      <c r="F24" s="98">
        <f>Costs!B18</f>
        <v>17.810142881355933</v>
      </c>
      <c r="G24" s="96">
        <v>0</v>
      </c>
      <c r="H24" s="95" t="s">
        <v>1077</v>
      </c>
      <c r="I24" s="98"/>
      <c r="J24" s="27"/>
      <c r="K24" s="27"/>
      <c r="L24" s="27"/>
      <c r="M24" s="27"/>
      <c r="N24" s="27"/>
      <c r="O24" s="27"/>
      <c r="P24" s="27"/>
      <c r="Q24" s="27"/>
    </row>
    <row r="25" spans="1:17">
      <c r="A25" t="str">
        <f t="shared" si="0"/>
        <v>Windows - Class 35 to Class 30 - Heating Zone 1 (Average Heating System)Windows - Class 35 to Class 30 - Heating Zone 1 (Average Heating System)</v>
      </c>
      <c r="B25" s="99" t="str">
        <f>Costs!$A19&amp;" - Heating Zone 1 (Average Heating System)"</f>
        <v>Windows - Class 35 to Class 30 - Heating Zone 1 (Average Heating System)</v>
      </c>
      <c r="C25" s="99" t="str">
        <f>Costs!$A19&amp;" - Heating Zone 1 (Average Heating System)"</f>
        <v>Windows - Class 35 to Class 30 - Heating Zone 1 (Average Heating System)</v>
      </c>
      <c r="D25" s="100">
        <f>VLOOKUP(C25,SEEMsavings!$A$5:$L$556,11,FALSE)+VLOOKUP(C25,SEEMsavings!$A$5:$L$556,12,FALSE)</f>
        <v>1.3696519788573396</v>
      </c>
      <c r="E25" s="96">
        <v>45</v>
      </c>
      <c r="F25" s="98">
        <f>Costs!B19</f>
        <v>1.8290398716390079</v>
      </c>
      <c r="G25" s="96">
        <v>0</v>
      </c>
      <c r="H25" s="95" t="s">
        <v>1077</v>
      </c>
      <c r="I25" s="98"/>
      <c r="J25" s="27"/>
      <c r="K25" s="27"/>
      <c r="L25" s="27"/>
      <c r="M25" s="27"/>
      <c r="N25" s="27"/>
      <c r="O25" s="27"/>
      <c r="P25" s="27"/>
      <c r="Q25" s="27"/>
    </row>
    <row r="26" spans="1:17">
      <c r="A26" t="str">
        <f t="shared" si="0"/>
        <v>Windows - Class 35 to Class 22 - Heating Zone 1 (Average Heating System)Windows - Class 35 to Class 22 - Heating Zone 1 (Average Heating System)</v>
      </c>
      <c r="B26" s="99" t="str">
        <f>Costs!$A20&amp;" - Heating Zone 1 (Average Heating System)"</f>
        <v>Windows - Class 35 to Class 22 - Heating Zone 1 (Average Heating System)</v>
      </c>
      <c r="C26" s="99" t="str">
        <f>Costs!$A20&amp;" - Heating Zone 1 (Average Heating System)"</f>
        <v>Windows - Class 35 to Class 22 - Heating Zone 1 (Average Heating System)</v>
      </c>
      <c r="D26" s="100">
        <f>VLOOKUP(C26,SEEMsavings!$A$5:$L$556,11,FALSE)+VLOOKUP(C26,SEEMsavings!$A$5:$L$556,12,FALSE)</f>
        <v>3.3733452323293487</v>
      </c>
      <c r="E26" s="96">
        <v>45</v>
      </c>
      <c r="F26" s="98">
        <f>Costs!B20</f>
        <v>7.288432942889191</v>
      </c>
      <c r="G26" s="96">
        <v>0</v>
      </c>
      <c r="H26" s="95" t="s">
        <v>1077</v>
      </c>
      <c r="I26" s="98"/>
      <c r="J26" s="27"/>
      <c r="K26" s="27"/>
      <c r="L26" s="27"/>
      <c r="M26" s="27"/>
      <c r="N26" s="27"/>
      <c r="O26" s="27"/>
      <c r="P26" s="27"/>
      <c r="Q26" s="27"/>
    </row>
    <row r="27" spans="1:17" ht="25.5">
      <c r="A27" t="str">
        <f t="shared" si="0"/>
        <v>Multi Family Weatherization - Insulate Walls - R-0 to R-11 - Heating Zone 2 (Average Heating System)Multi Family Weatherization - Insulate Walls - R-0 to R-11 - Heating Zone 2 (Average Heating System)</v>
      </c>
      <c r="B27" s="99" t="str">
        <f>Costs!$A2&amp;" - Heating Zone 2 (Average Heating System)"</f>
        <v>Multi Family Weatherization - Insulate Walls - R-0 to R-11 - Heating Zone 2 (Average Heating System)</v>
      </c>
      <c r="C27" s="99" t="str">
        <f>Costs!$A2&amp;" - Heating Zone 2 (Average Heating System)"</f>
        <v>Multi Family Weatherization - Insulate Walls - R-0 to R-11 - Heating Zone 2 (Average Heating System)</v>
      </c>
      <c r="D27" s="100">
        <f>VLOOKUP(C27,SEEMsavings!$A$5:$L$556,11,FALSE)+VLOOKUP(C27,SEEMsavings!$A$5:$L$556,12,FALSE)</f>
        <v>1.8472057686000838</v>
      </c>
      <c r="E27" s="96">
        <v>45</v>
      </c>
      <c r="F27" s="98">
        <f t="shared" ref="F27:F90" si="1">F8</f>
        <v>1.0354836592527603</v>
      </c>
      <c r="G27" s="96">
        <v>0</v>
      </c>
      <c r="H27" s="95" t="s">
        <v>1077</v>
      </c>
      <c r="I27" s="98"/>
      <c r="J27" s="27"/>
      <c r="K27" s="27"/>
      <c r="L27" s="27"/>
      <c r="M27" s="27"/>
      <c r="N27" s="27"/>
      <c r="O27" s="27"/>
      <c r="P27" s="27"/>
      <c r="Q27" s="27"/>
    </row>
    <row r="28" spans="1:17" ht="25.5">
      <c r="A28" t="str">
        <f t="shared" si="0"/>
        <v>Multi Family Weatherization - Insulate Floors - R-0 to R-19 - Heating Zone 2 (Average Heating System)Multi Family Weatherization - Insulate Floors - R-0 to R-19 - Heating Zone 2 (Average Heating System)</v>
      </c>
      <c r="B28" s="99" t="str">
        <f>Costs!$A3&amp;" - Heating Zone 2 (Average Heating System)"</f>
        <v>Multi Family Weatherization - Insulate Floors - R-0 to R-19 - Heating Zone 2 (Average Heating System)</v>
      </c>
      <c r="C28" s="99" t="str">
        <f>Costs!$A3&amp;" - Heating Zone 2 (Average Heating System)"</f>
        <v>Multi Family Weatherization - Insulate Floors - R-0 to R-19 - Heating Zone 2 (Average Heating System)</v>
      </c>
      <c r="D28" s="100">
        <f>VLOOKUP(C28,SEEMsavings!$A$5:$L$556,11,FALSE)+VLOOKUP(C28,SEEMsavings!$A$5:$L$556,12,FALSE)</f>
        <v>0.74816888877482868</v>
      </c>
      <c r="E28" s="96">
        <v>45</v>
      </c>
      <c r="F28" s="98">
        <f t="shared" si="1"/>
        <v>0.91799940108959477</v>
      </c>
      <c r="G28" s="96">
        <v>0</v>
      </c>
      <c r="H28" s="95" t="s">
        <v>1077</v>
      </c>
      <c r="I28" s="98"/>
      <c r="J28" s="27"/>
      <c r="K28" s="27"/>
      <c r="L28" s="27"/>
      <c r="M28" s="27"/>
      <c r="N28" s="27"/>
      <c r="O28" s="27"/>
      <c r="P28" s="27"/>
      <c r="Q28" s="27"/>
    </row>
    <row r="29" spans="1:17" ht="25.5">
      <c r="A29" t="str">
        <f t="shared" si="0"/>
        <v>Multi Family Weatherization - Insulate Floors - R-0 to R-30 - Heating Zone 2 (Average Heating System)Multi Family Weatherization - Insulate Floors - R-0 to R-30 - Heating Zone 2 (Average Heating System)</v>
      </c>
      <c r="B29" s="99" t="str">
        <f>Costs!$A4&amp;" - Heating Zone 2 (Average Heating System)"</f>
        <v>Multi Family Weatherization - Insulate Floors - R-0 to R-30 - Heating Zone 2 (Average Heating System)</v>
      </c>
      <c r="C29" s="99" t="str">
        <f>Costs!$A4&amp;" - Heating Zone 2 (Average Heating System)"</f>
        <v>Multi Family Weatherization - Insulate Floors - R-0 to R-30 - Heating Zone 2 (Average Heating System)</v>
      </c>
      <c r="D29" s="100">
        <f>VLOOKUP(C29,SEEMsavings!$A$5:$L$556,11,FALSE)+VLOOKUP(C29,SEEMsavings!$A$5:$L$556,12,FALSE)</f>
        <v>0.97630474721927563</v>
      </c>
      <c r="E29" s="96">
        <v>45</v>
      </c>
      <c r="F29" s="98">
        <f t="shared" si="1"/>
        <v>0.98244865861375763</v>
      </c>
      <c r="G29" s="96">
        <v>0</v>
      </c>
      <c r="H29" s="95" t="s">
        <v>1077</v>
      </c>
      <c r="I29" s="98"/>
      <c r="J29" s="27"/>
      <c r="K29" s="27"/>
      <c r="L29" s="27"/>
      <c r="M29" s="27"/>
      <c r="N29" s="27"/>
      <c r="O29" s="27"/>
      <c r="P29" s="27"/>
      <c r="Q29" s="27"/>
    </row>
    <row r="30" spans="1:17" ht="25.5">
      <c r="A30" t="str">
        <f t="shared" si="0"/>
        <v>Multi Family Weatherization - Insulate Floors - R-19 to R-30 - Heating Zone 2 (Average Heating System)Multi Family Weatherization - Insulate Floors - R-19 to R-30 - Heating Zone 2 (Average Heating System)</v>
      </c>
      <c r="B30" s="99" t="str">
        <f>Costs!$A5&amp;" - Heating Zone 2 (Average Heating System)"</f>
        <v>Multi Family Weatherization - Insulate Floors - R-19 to R-30 - Heating Zone 2 (Average Heating System)</v>
      </c>
      <c r="C30" s="99" t="str">
        <f>Costs!$A5&amp;" - Heating Zone 2 (Average Heating System)"</f>
        <v>Multi Family Weatherization - Insulate Floors - R-19 to R-30 - Heating Zone 2 (Average Heating System)</v>
      </c>
      <c r="D30" s="100">
        <f>VLOOKUP(C30,SEEMsavings!$A$5:$L$556,11,FALSE)+VLOOKUP(C30,SEEMsavings!$A$5:$L$556,12,FALSE)</f>
        <v>0.22813585844444717</v>
      </c>
      <c r="E30" s="96">
        <v>45</v>
      </c>
      <c r="F30" s="98">
        <f t="shared" si="1"/>
        <v>0.64785245801359526</v>
      </c>
      <c r="G30" s="96">
        <v>0</v>
      </c>
      <c r="H30" s="95" t="s">
        <v>1077</v>
      </c>
      <c r="I30" s="98"/>
      <c r="J30" s="27"/>
      <c r="K30" s="27"/>
      <c r="L30" s="27"/>
      <c r="M30" s="27"/>
      <c r="N30" s="27"/>
      <c r="O30" s="27"/>
      <c r="P30" s="27"/>
      <c r="Q30" s="27"/>
    </row>
    <row r="31" spans="1:17" ht="25.5">
      <c r="A31" t="str">
        <f t="shared" si="0"/>
        <v>Multi Family Weatherization - Insulate Attic - R-0 to R-19 - Heating Zone 2 (Average Heating System)Multi Family Weatherization - Insulate Attic - R-0 to R-19 - Heating Zone 2 (Average Heating System)</v>
      </c>
      <c r="B31" s="99" t="str">
        <f>Costs!$A6&amp;" - Heating Zone 2 (Average Heating System)"</f>
        <v>Multi Family Weatherization - Insulate Attic - R-0 to R-19 - Heating Zone 2 (Average Heating System)</v>
      </c>
      <c r="C31" s="99" t="str">
        <f>Costs!$A6&amp;" - Heating Zone 2 (Average Heating System)"</f>
        <v>Multi Family Weatherization - Insulate Attic - R-0 to R-19 - Heating Zone 2 (Average Heating System)</v>
      </c>
      <c r="D31" s="100">
        <f>VLOOKUP(C31,SEEMsavings!$A$5:$L$556,11,FALSE)+VLOOKUP(C31,SEEMsavings!$A$5:$L$556,12,FALSE)</f>
        <v>0.4893305316930685</v>
      </c>
      <c r="E31" s="96">
        <v>45</v>
      </c>
      <c r="F31" s="98">
        <f t="shared" si="1"/>
        <v>0.54914779043329487</v>
      </c>
      <c r="G31" s="96">
        <v>0</v>
      </c>
      <c r="H31" s="95" t="s">
        <v>1077</v>
      </c>
      <c r="I31" s="98"/>
      <c r="J31" s="27"/>
      <c r="K31" s="27"/>
      <c r="L31" s="27"/>
      <c r="M31" s="27"/>
      <c r="N31" s="27"/>
      <c r="O31" s="27"/>
      <c r="P31" s="27"/>
      <c r="Q31" s="27"/>
    </row>
    <row r="32" spans="1:17" ht="25.5">
      <c r="A32" t="str">
        <f t="shared" si="0"/>
        <v>Multi Family Weatherization - Insulate Attic - R-0 to R-38 - Heating Zone 2 (Average Heating System)Multi Family Weatherization - Insulate Attic - R-0 to R-38 - Heating Zone 2 (Average Heating System)</v>
      </c>
      <c r="B32" s="99" t="str">
        <f>Costs!$A7&amp;" - Heating Zone 2 (Average Heating System)"</f>
        <v>Multi Family Weatherization - Insulate Attic - R-0 to R-38 - Heating Zone 2 (Average Heating System)</v>
      </c>
      <c r="C32" s="99" t="str">
        <f>Costs!$A7&amp;" - Heating Zone 2 (Average Heating System)"</f>
        <v>Multi Family Weatherization - Insulate Attic - R-0 to R-38 - Heating Zone 2 (Average Heating System)</v>
      </c>
      <c r="D32" s="100">
        <f>VLOOKUP(C32,SEEMsavings!$A$5:$L$556,11,FALSE)+VLOOKUP(C32,SEEMsavings!$A$5:$L$556,12,FALSE)</f>
        <v>0.66789776509170951</v>
      </c>
      <c r="E32" s="96">
        <v>45</v>
      </c>
      <c r="F32" s="98">
        <f t="shared" si="1"/>
        <v>0.73246728560336305</v>
      </c>
      <c r="G32" s="96">
        <v>0</v>
      </c>
      <c r="H32" s="95" t="s">
        <v>1077</v>
      </c>
      <c r="I32" s="98"/>
      <c r="J32" s="27"/>
      <c r="K32" s="27"/>
      <c r="L32" s="27"/>
      <c r="M32" s="27"/>
      <c r="N32" s="27"/>
      <c r="O32" s="27"/>
      <c r="P32" s="27"/>
      <c r="Q32" s="27"/>
    </row>
    <row r="33" spans="1:17" ht="25.5">
      <c r="A33" t="str">
        <f t="shared" si="0"/>
        <v>Multi Family Weatherization - Insulate Attic - R-0 to R-49 - Heating Zone 2 (Average Heating System)Multi Family Weatherization - Insulate Attic - R-0 to R-49 - Heating Zone 2 (Average Heating System)</v>
      </c>
      <c r="B33" s="99" t="str">
        <f>Costs!$A8&amp;" - Heating Zone 2 (Average Heating System)"</f>
        <v>Multi Family Weatherization - Insulate Attic - R-0 to R-49 - Heating Zone 2 (Average Heating System)</v>
      </c>
      <c r="C33" s="99" t="str">
        <f>Costs!$A8&amp;" - Heating Zone 2 (Average Heating System)"</f>
        <v>Multi Family Weatherization - Insulate Attic - R-0 to R-49 - Heating Zone 2 (Average Heating System)</v>
      </c>
      <c r="D33" s="100">
        <f>VLOOKUP(C33,SEEMsavings!$A$5:$L$556,11,FALSE)+VLOOKUP(C33,SEEMsavings!$A$5:$L$556,12,FALSE)</f>
        <v>0.70938675212073665</v>
      </c>
      <c r="E33" s="96">
        <v>45</v>
      </c>
      <c r="F33" s="98">
        <f t="shared" si="1"/>
        <v>0.83087905114745864</v>
      </c>
      <c r="G33" s="96">
        <v>0</v>
      </c>
      <c r="H33" s="95" t="s">
        <v>1077</v>
      </c>
      <c r="I33" s="98"/>
      <c r="J33" s="27"/>
      <c r="K33" s="27"/>
      <c r="L33" s="27"/>
      <c r="M33" s="27"/>
      <c r="N33" s="27"/>
      <c r="O33" s="27"/>
      <c r="P33" s="27"/>
      <c r="Q33" s="27"/>
    </row>
    <row r="34" spans="1:17" ht="25.5">
      <c r="A34" t="str">
        <f t="shared" si="0"/>
        <v>Multi Family Weatherization - Insulate Attic - R-30 to R-38 - Heating Zone 2 (Average Heating System)Multi Family Weatherization - Insulate Attic - R-30 to R-38 - Heating Zone 2 (Average Heating System)</v>
      </c>
      <c r="B34" s="99" t="str">
        <f>Costs!$A9&amp;" - Heating Zone 2 (Average Heating System)"</f>
        <v>Multi Family Weatherization - Insulate Attic - R-30 to R-38 - Heating Zone 2 (Average Heating System)</v>
      </c>
      <c r="C34" s="99" t="str">
        <f>Costs!$A9&amp;" - Heating Zone 2 (Average Heating System)"</f>
        <v>Multi Family Weatherization - Insulate Attic - R-30 to R-38 - Heating Zone 2 (Average Heating System)</v>
      </c>
      <c r="D34" s="100">
        <f>VLOOKUP(C34,SEEMsavings!$A$5:$L$556,11,FALSE)+VLOOKUP(C34,SEEMsavings!$A$5:$L$556,12,FALSE)</f>
        <v>4.9217244889505143E-2</v>
      </c>
      <c r="E34" s="96">
        <v>45</v>
      </c>
      <c r="F34" s="98">
        <f t="shared" si="1"/>
        <v>0.2473644911578245</v>
      </c>
      <c r="G34" s="96">
        <v>0</v>
      </c>
      <c r="H34" s="95" t="s">
        <v>1077</v>
      </c>
      <c r="I34" s="98"/>
      <c r="J34" s="27"/>
      <c r="K34" s="27"/>
      <c r="L34" s="27"/>
      <c r="M34" s="27"/>
      <c r="N34" s="27"/>
      <c r="O34" s="27"/>
      <c r="P34" s="27"/>
      <c r="Q34" s="27"/>
    </row>
    <row r="35" spans="1:17" ht="25.5">
      <c r="A35" t="str">
        <f t="shared" si="0"/>
        <v>Multi Family Weatherization - Insulate Attic - R-30 to R-49 - Heating Zone 2 (Average Heating System)Multi Family Weatherization - Insulate Attic - R-30 to R-49 - Heating Zone 2 (Average Heating System)</v>
      </c>
      <c r="B35" s="99" t="str">
        <f>Costs!$A10&amp;" - Heating Zone 2 (Average Heating System)"</f>
        <v>Multi Family Weatherization - Insulate Attic - R-30 to R-49 - Heating Zone 2 (Average Heating System)</v>
      </c>
      <c r="C35" s="99" t="str">
        <f>Costs!$A10&amp;" - Heating Zone 2 (Average Heating System)"</f>
        <v>Multi Family Weatherization - Insulate Attic - R-30 to R-49 - Heating Zone 2 (Average Heating System)</v>
      </c>
      <c r="D35" s="100">
        <f>VLOOKUP(C35,SEEMsavings!$A$5:$L$556,11,FALSE)+VLOOKUP(C35,SEEMsavings!$A$5:$L$556,12,FALSE)</f>
        <v>9.070623191853211E-2</v>
      </c>
      <c r="E35" s="96">
        <v>45</v>
      </c>
      <c r="F35" s="98">
        <f t="shared" si="1"/>
        <v>0.58749066649983317</v>
      </c>
      <c r="G35" s="96">
        <v>0</v>
      </c>
      <c r="H35" s="95" t="s">
        <v>1077</v>
      </c>
      <c r="I35" s="98"/>
      <c r="J35" s="27"/>
      <c r="K35" s="27"/>
      <c r="L35" s="27"/>
      <c r="M35" s="27"/>
      <c r="N35" s="27"/>
      <c r="O35" s="27"/>
      <c r="P35" s="27"/>
      <c r="Q35" s="27"/>
    </row>
    <row r="36" spans="1:17" ht="25.5">
      <c r="A36" t="str">
        <f t="shared" si="0"/>
        <v>Multi Family Weatherization - Insulate Attic - R-38 to R-49 - Heating Zone 2 (Average Heating System)Multi Family Weatherization - Insulate Attic - R-38 to R-49 - Heating Zone 2 (Average Heating System)</v>
      </c>
      <c r="B36" s="99" t="str">
        <f>Costs!$A11&amp;" - Heating Zone 2 (Average Heating System)"</f>
        <v>Multi Family Weatherization - Insulate Attic - R-38 to R-49 - Heating Zone 2 (Average Heating System)</v>
      </c>
      <c r="C36" s="99" t="str">
        <f>Costs!$A11&amp;" - Heating Zone 2 (Average Heating System)"</f>
        <v>Multi Family Weatherization - Insulate Attic - R-38 to R-49 - Heating Zone 2 (Average Heating System)</v>
      </c>
      <c r="D36" s="100">
        <f>VLOOKUP(C36,SEEMsavings!$A$5:$L$556,11,FALSE)+VLOOKUP(C36,SEEMsavings!$A$5:$L$556,12,FALSE)</f>
        <v>4.148898702902698E-2</v>
      </c>
      <c r="E36" s="96">
        <v>45</v>
      </c>
      <c r="F36" s="98">
        <f t="shared" si="1"/>
        <v>0.34012617534200867</v>
      </c>
      <c r="G36" s="96">
        <v>0</v>
      </c>
      <c r="H36" s="95" t="s">
        <v>1077</v>
      </c>
      <c r="I36" s="98"/>
      <c r="J36" s="27"/>
      <c r="K36" s="27"/>
      <c r="L36" s="27"/>
      <c r="M36" s="27"/>
      <c r="N36" s="27"/>
      <c r="O36" s="27"/>
      <c r="P36" s="27"/>
      <c r="Q36" s="27"/>
    </row>
    <row r="37" spans="1:17" ht="25.5">
      <c r="A37" t="str">
        <f t="shared" si="0"/>
        <v>Multi Family Weatherization - Insulate Attic - R-19 to R-30 - Heating Zone 2 (Average Heating System)Multi Family Weatherization - Insulate Attic - R-19 to R-30 - Heating Zone 2 (Average Heating System)</v>
      </c>
      <c r="B37" s="99" t="str">
        <f>Costs!$A12&amp;" - Heating Zone 2 (Average Heating System)"</f>
        <v>Multi Family Weatherization - Insulate Attic - R-19 to R-30 - Heating Zone 2 (Average Heating System)</v>
      </c>
      <c r="C37" s="99" t="str">
        <f>Costs!$A12&amp;" - Heating Zone 2 (Average Heating System)"</f>
        <v>Multi Family Weatherization - Insulate Attic - R-19 to R-30 - Heating Zone 2 (Average Heating System)</v>
      </c>
      <c r="D37" s="100">
        <f>VLOOKUP(C37,SEEMsavings!$A$5:$L$556,11,FALSE)+VLOOKUP(C37,SEEMsavings!$A$5:$L$556,12,FALSE)</f>
        <v>0.12934998850913593</v>
      </c>
      <c r="E37" s="96">
        <v>45</v>
      </c>
      <c r="F37" s="98">
        <f t="shared" si="1"/>
        <v>0.47401945424285125</v>
      </c>
      <c r="G37" s="96">
        <v>0</v>
      </c>
      <c r="H37" s="95" t="s">
        <v>1077</v>
      </c>
      <c r="I37" s="98"/>
      <c r="J37" s="27"/>
      <c r="K37" s="27"/>
      <c r="L37" s="27"/>
      <c r="M37" s="27"/>
      <c r="N37" s="27"/>
      <c r="O37" s="27"/>
      <c r="P37" s="27"/>
      <c r="Q37" s="27"/>
    </row>
    <row r="38" spans="1:17" ht="25.5">
      <c r="A38" t="str">
        <f t="shared" si="0"/>
        <v>Multi Family Weatherization - Insulate Attic - R-19 to R-38 - Heating Zone 2 (Average Heating System)Multi Family Weatherization - Insulate Attic - R-19 to R-38 - Heating Zone 2 (Average Heating System)</v>
      </c>
      <c r="B38" s="99" t="str">
        <f>Costs!$A13&amp;" - Heating Zone 2 (Average Heating System)"</f>
        <v>Multi Family Weatherization - Insulate Attic - R-19 to R-38 - Heating Zone 2 (Average Heating System)</v>
      </c>
      <c r="C38" s="99" t="str">
        <f>Costs!$A13&amp;" - Heating Zone 2 (Average Heating System)"</f>
        <v>Multi Family Weatherization - Insulate Attic - R-19 to R-38 - Heating Zone 2 (Average Heating System)</v>
      </c>
      <c r="D38" s="100">
        <f>VLOOKUP(C38,SEEMsavings!$A$5:$L$556,11,FALSE)+VLOOKUP(C38,SEEMsavings!$A$5:$L$556,12,FALSE)</f>
        <v>0.17856723339864108</v>
      </c>
      <c r="E38" s="96">
        <v>45</v>
      </c>
      <c r="F38" s="98">
        <f t="shared" si="1"/>
        <v>0.55283834686255773</v>
      </c>
      <c r="G38" s="96">
        <v>0</v>
      </c>
      <c r="H38" s="95" t="s">
        <v>1077</v>
      </c>
      <c r="I38" s="98"/>
      <c r="J38" s="27"/>
      <c r="K38" s="27"/>
      <c r="L38" s="27"/>
      <c r="M38" s="27"/>
      <c r="N38" s="27"/>
      <c r="O38" s="27"/>
      <c r="P38" s="27"/>
      <c r="Q38" s="27"/>
    </row>
    <row r="39" spans="1:17" ht="25.5">
      <c r="A39" t="str">
        <f t="shared" si="0"/>
        <v>Multi Family Weatherization - Insulate Attic - R-19 to R-49 - Heating Zone 2 (Average Heating System)Multi Family Weatherization - Insulate Attic - R-19 to R-49 - Heating Zone 2 (Average Heating System)</v>
      </c>
      <c r="B39" s="99" t="str">
        <f>Costs!$A14&amp;" - Heating Zone 2 (Average Heating System)"</f>
        <v>Multi Family Weatherization - Insulate Attic - R-19 to R-49 - Heating Zone 2 (Average Heating System)</v>
      </c>
      <c r="C39" s="99" t="str">
        <f>Costs!$A14&amp;" - Heating Zone 2 (Average Heating System)"</f>
        <v>Multi Family Weatherization - Insulate Attic - R-19 to R-49 - Heating Zone 2 (Average Heating System)</v>
      </c>
      <c r="D39" s="100">
        <f>VLOOKUP(C39,SEEMsavings!$A$5:$L$556,11,FALSE)+VLOOKUP(C39,SEEMsavings!$A$5:$L$556,12,FALSE)</f>
        <v>0.22005622042766806</v>
      </c>
      <c r="E39" s="96">
        <v>45</v>
      </c>
      <c r="F39" s="98">
        <f t="shared" si="1"/>
        <v>0.65683404823881342</v>
      </c>
      <c r="G39" s="96">
        <v>0</v>
      </c>
      <c r="H39" s="95" t="s">
        <v>1077</v>
      </c>
      <c r="I39" s="98"/>
      <c r="J39" s="27"/>
      <c r="K39" s="27"/>
      <c r="L39" s="27"/>
      <c r="M39" s="27"/>
      <c r="N39" s="27"/>
      <c r="O39" s="27"/>
      <c r="P39" s="27"/>
      <c r="Q39" s="27"/>
    </row>
    <row r="40" spans="1:17">
      <c r="A40" t="str">
        <f t="shared" si="0"/>
        <v>Windows - Single Pane to Class 22 - Heating Zone 2 (Average Heating System)Windows - Single Pane to Class 22 - Heating Zone 2 (Average Heating System)</v>
      </c>
      <c r="B40" s="99" t="str">
        <f>Costs!$A15&amp;" - Heating Zone 2 (Average Heating System)"</f>
        <v>Windows - Single Pane to Class 22 - Heating Zone 2 (Average Heating System)</v>
      </c>
      <c r="C40" s="99" t="str">
        <f>Costs!$A15&amp;" - Heating Zone 2 (Average Heating System)"</f>
        <v>Windows - Single Pane to Class 22 - Heating Zone 2 (Average Heating System)</v>
      </c>
      <c r="D40" s="100">
        <f>VLOOKUP(C40,SEEMsavings!$A$5:$L$556,11,FALSE)+VLOOKUP(C40,SEEMsavings!$A$5:$L$556,12,FALSE)</f>
        <v>33.829209808768127</v>
      </c>
      <c r="E40" s="96">
        <v>45</v>
      </c>
      <c r="F40" s="98">
        <f t="shared" si="1"/>
        <v>23.269535952606116</v>
      </c>
      <c r="G40" s="96">
        <v>0</v>
      </c>
      <c r="H40" s="95" t="s">
        <v>1077</v>
      </c>
      <c r="I40" s="98"/>
      <c r="J40" s="27"/>
      <c r="K40" s="27"/>
      <c r="L40" s="27"/>
      <c r="M40" s="27"/>
      <c r="N40" s="27"/>
      <c r="O40" s="27"/>
      <c r="P40" s="27"/>
      <c r="Q40" s="27"/>
    </row>
    <row r="41" spans="1:17">
      <c r="A41" t="str">
        <f t="shared" si="0"/>
        <v>Windows - Double Pane to Class 22 - Heating Zone 2 (Average Heating System)Windows - Double Pane to Class 22 - Heating Zone 2 (Average Heating System)</v>
      </c>
      <c r="B41" s="99" t="str">
        <f>Costs!$A16&amp;" - Heating Zone 2 (Average Heating System)"</f>
        <v>Windows - Double Pane to Class 22 - Heating Zone 2 (Average Heating System)</v>
      </c>
      <c r="C41" s="99" t="str">
        <f>Costs!$A16&amp;" - Heating Zone 2 (Average Heating System)"</f>
        <v>Windows - Double Pane to Class 22 - Heating Zone 2 (Average Heating System)</v>
      </c>
      <c r="D41" s="100">
        <f>VLOOKUP(C41,SEEMsavings!$A$5:$L$556,11,FALSE)+VLOOKUP(C41,SEEMsavings!$A$5:$L$556,12,FALSE)</f>
        <v>20.269753651796176</v>
      </c>
      <c r="E41" s="96">
        <v>45</v>
      </c>
      <c r="F41" s="98">
        <f t="shared" si="1"/>
        <v>23.269535952606116</v>
      </c>
      <c r="G41" s="96">
        <v>0</v>
      </c>
      <c r="H41" s="95" t="s">
        <v>1077</v>
      </c>
      <c r="I41" s="98"/>
      <c r="J41" s="27"/>
      <c r="K41" s="27"/>
      <c r="L41" s="27"/>
      <c r="M41" s="27"/>
      <c r="N41" s="27"/>
      <c r="O41" s="27"/>
      <c r="P41" s="27"/>
      <c r="Q41" s="27"/>
    </row>
    <row r="42" spans="1:17">
      <c r="A42" t="str">
        <f t="shared" si="0"/>
        <v>Windows - Single Pane to Class 30 - Heating Zone 2 (Average Heating System)Windows - Single Pane to Class 30 - Heating Zone 2 (Average Heating System)</v>
      </c>
      <c r="B42" s="99" t="str">
        <f>Costs!$A17&amp;" - Heating Zone 2 (Average Heating System)"</f>
        <v>Windows - Single Pane to Class 30 - Heating Zone 2 (Average Heating System)</v>
      </c>
      <c r="C42" s="99" t="str">
        <f>Costs!$A17&amp;" - Heating Zone 2 (Average Heating System)"</f>
        <v>Windows - Single Pane to Class 30 - Heating Zone 2 (Average Heating System)</v>
      </c>
      <c r="D42" s="100">
        <f>VLOOKUP(C42,SEEMsavings!$A$5:$L$556,11,FALSE)+VLOOKUP(C42,SEEMsavings!$A$5:$L$556,12,FALSE)</f>
        <v>31.039412737212285</v>
      </c>
      <c r="E42" s="96">
        <v>45</v>
      </c>
      <c r="F42" s="98">
        <f t="shared" si="1"/>
        <v>17.810142881355933</v>
      </c>
      <c r="G42" s="96">
        <v>0</v>
      </c>
      <c r="H42" s="95" t="s">
        <v>1077</v>
      </c>
      <c r="I42" s="98"/>
      <c r="J42" s="27"/>
      <c r="K42" s="27"/>
      <c r="L42" s="27"/>
      <c r="M42" s="27"/>
      <c r="N42" s="27"/>
      <c r="O42" s="27"/>
      <c r="P42" s="27"/>
      <c r="Q42" s="27"/>
    </row>
    <row r="43" spans="1:17">
      <c r="A43" t="str">
        <f t="shared" si="0"/>
        <v>Windows - Double Pane to Class 30 - Heating Zone 2 (Average Heating System)Windows - Double Pane to Class 30 - Heating Zone 2 (Average Heating System)</v>
      </c>
      <c r="B43" s="99" t="str">
        <f>Costs!$A18&amp;" - Heating Zone 2 (Average Heating System)"</f>
        <v>Windows - Double Pane to Class 30 - Heating Zone 2 (Average Heating System)</v>
      </c>
      <c r="C43" s="99" t="str">
        <f>Costs!$A18&amp;" - Heating Zone 2 (Average Heating System)"</f>
        <v>Windows - Double Pane to Class 30 - Heating Zone 2 (Average Heating System)</v>
      </c>
      <c r="D43" s="100">
        <f>VLOOKUP(C43,SEEMsavings!$A$5:$L$556,11,FALSE)+VLOOKUP(C43,SEEMsavings!$A$5:$L$556,12,FALSE)</f>
        <v>17.479956580240334</v>
      </c>
      <c r="E43" s="96">
        <v>45</v>
      </c>
      <c r="F43" s="98">
        <f t="shared" si="1"/>
        <v>17.810142881355933</v>
      </c>
      <c r="G43" s="96">
        <v>0</v>
      </c>
      <c r="H43" s="95" t="s">
        <v>1077</v>
      </c>
      <c r="I43" s="98"/>
      <c r="J43" s="27"/>
      <c r="K43" s="27"/>
      <c r="L43" s="27"/>
      <c r="M43" s="27"/>
      <c r="N43" s="27"/>
      <c r="O43" s="27"/>
      <c r="P43" s="27"/>
      <c r="Q43" s="27"/>
    </row>
    <row r="44" spans="1:17">
      <c r="A44" t="str">
        <f t="shared" si="0"/>
        <v>Windows - Class 35 to Class 30 - Heating Zone 2 (Average Heating System)Windows - Class 35 to Class 30 - Heating Zone 2 (Average Heating System)</v>
      </c>
      <c r="B44" s="99" t="str">
        <f>Costs!$A19&amp;" - Heating Zone 2 (Average Heating System)"</f>
        <v>Windows - Class 35 to Class 30 - Heating Zone 2 (Average Heating System)</v>
      </c>
      <c r="C44" s="99" t="str">
        <f>Costs!$A19&amp;" - Heating Zone 2 (Average Heating System)"</f>
        <v>Windows - Class 35 to Class 30 - Heating Zone 2 (Average Heating System)</v>
      </c>
      <c r="D44" s="100">
        <f>VLOOKUP(C44,SEEMsavings!$A$5:$L$556,11,FALSE)+VLOOKUP(C44,SEEMsavings!$A$5:$L$556,12,FALSE)</f>
        <v>1.8896425484374268</v>
      </c>
      <c r="E44" s="96">
        <v>45</v>
      </c>
      <c r="F44" s="98">
        <f t="shared" si="1"/>
        <v>1.8290398716390079</v>
      </c>
      <c r="G44" s="96">
        <v>0</v>
      </c>
      <c r="H44" s="95" t="s">
        <v>1077</v>
      </c>
      <c r="I44" s="98"/>
      <c r="J44" s="27"/>
      <c r="K44" s="27"/>
      <c r="L44" s="27"/>
      <c r="M44" s="27"/>
      <c r="N44" s="27"/>
      <c r="O44" s="27"/>
      <c r="P44" s="27"/>
      <c r="Q44" s="27"/>
    </row>
    <row r="45" spans="1:17">
      <c r="A45" t="str">
        <f t="shared" si="0"/>
        <v>Windows - Class 35 to Class 22 - Heating Zone 2 (Average Heating System)Windows - Class 35 to Class 22 - Heating Zone 2 (Average Heating System)</v>
      </c>
      <c r="B45" s="99" t="str">
        <f>Costs!$A20&amp;" - Heating Zone 2 (Average Heating System)"</f>
        <v>Windows - Class 35 to Class 22 - Heating Zone 2 (Average Heating System)</v>
      </c>
      <c r="C45" s="99" t="str">
        <f>Costs!$A20&amp;" - Heating Zone 2 (Average Heating System)"</f>
        <v>Windows - Class 35 to Class 22 - Heating Zone 2 (Average Heating System)</v>
      </c>
      <c r="D45" s="100">
        <f>VLOOKUP(C45,SEEMsavings!$A$5:$L$556,11,FALSE)+VLOOKUP(C45,SEEMsavings!$A$5:$L$556,12,FALSE)</f>
        <v>4.6794396199932669</v>
      </c>
      <c r="E45" s="96">
        <v>45</v>
      </c>
      <c r="F45" s="98">
        <f t="shared" si="1"/>
        <v>7.288432942889191</v>
      </c>
      <c r="G45" s="96">
        <v>0</v>
      </c>
      <c r="H45" s="95" t="s">
        <v>1077</v>
      </c>
      <c r="I45" s="98"/>
      <c r="J45" s="27"/>
      <c r="K45" s="27"/>
      <c r="L45" s="27"/>
      <c r="M45" s="27"/>
      <c r="N45" s="27"/>
      <c r="O45" s="27"/>
      <c r="P45" s="27"/>
      <c r="Q45" s="27"/>
    </row>
    <row r="46" spans="1:17" ht="25.5">
      <c r="A46" t="str">
        <f t="shared" si="0"/>
        <v>Multi Family Weatherization - Insulate Walls - R-0 to R-11 - Heating Zone 3 (Average Heating System)Multi Family Weatherization - Insulate Walls - R-0 to R-11 - Heating Zone 3 (Average Heating System)</v>
      </c>
      <c r="B46" s="99" t="str">
        <f>Costs!$A2&amp;" - Heating Zone 3 (Average Heating System)"</f>
        <v>Multi Family Weatherization - Insulate Walls - R-0 to R-11 - Heating Zone 3 (Average Heating System)</v>
      </c>
      <c r="C46" s="99" t="str">
        <f>Costs!$A2&amp;" - Heating Zone 3 (Average Heating System)"</f>
        <v>Multi Family Weatherization - Insulate Walls - R-0 to R-11 - Heating Zone 3 (Average Heating System)</v>
      </c>
      <c r="D46" s="100">
        <f>VLOOKUP(C46,SEEMsavings!$A$5:$L$556,11,FALSE)+VLOOKUP(C46,SEEMsavings!$A$5:$L$556,12,FALSE)</f>
        <v>2.2180208046732464</v>
      </c>
      <c r="E46" s="96">
        <v>45</v>
      </c>
      <c r="F46" s="98">
        <f t="shared" si="1"/>
        <v>1.0354836592527603</v>
      </c>
      <c r="G46" s="96">
        <v>0</v>
      </c>
      <c r="H46" s="95" t="s">
        <v>1077</v>
      </c>
      <c r="I46" s="98"/>
      <c r="J46" s="27"/>
      <c r="K46" s="27"/>
      <c r="L46" s="27"/>
      <c r="M46" s="27"/>
      <c r="N46" s="27"/>
      <c r="O46" s="27"/>
      <c r="P46" s="27"/>
      <c r="Q46" s="27"/>
    </row>
    <row r="47" spans="1:17" ht="25.5">
      <c r="A47" t="str">
        <f t="shared" si="0"/>
        <v>Multi Family Weatherization - Insulate Floors - R-0 to R-19 - Heating Zone 3 (Average Heating System)Multi Family Weatherization - Insulate Floors - R-0 to R-19 - Heating Zone 3 (Average Heating System)</v>
      </c>
      <c r="B47" s="99" t="str">
        <f>Costs!$A3&amp;" - Heating Zone 3 (Average Heating System)"</f>
        <v>Multi Family Weatherization - Insulate Floors - R-0 to R-19 - Heating Zone 3 (Average Heating System)</v>
      </c>
      <c r="C47" s="99" t="str">
        <f>Costs!$A3&amp;" - Heating Zone 3 (Average Heating System)"</f>
        <v>Multi Family Weatherization - Insulate Floors - R-0 to R-19 - Heating Zone 3 (Average Heating System)</v>
      </c>
      <c r="D47" s="100">
        <f>VLOOKUP(C47,SEEMsavings!$A$5:$L$556,11,FALSE)+VLOOKUP(C47,SEEMsavings!$A$5:$L$556,12,FALSE)</f>
        <v>0.86949883137856421</v>
      </c>
      <c r="E47" s="96">
        <v>45</v>
      </c>
      <c r="F47" s="98">
        <f t="shared" si="1"/>
        <v>0.91799940108959477</v>
      </c>
      <c r="G47" s="96">
        <v>0</v>
      </c>
      <c r="H47" s="95" t="s">
        <v>1077</v>
      </c>
      <c r="I47" s="98"/>
      <c r="J47" s="27"/>
      <c r="K47" s="27"/>
      <c r="L47" s="27"/>
      <c r="M47" s="27"/>
      <c r="N47" s="27"/>
      <c r="O47" s="27"/>
      <c r="P47" s="27"/>
      <c r="Q47" s="27"/>
    </row>
    <row r="48" spans="1:17" ht="25.5">
      <c r="A48" t="str">
        <f t="shared" si="0"/>
        <v>Multi Family Weatherization - Insulate Floors - R-0 to R-30 - Heating Zone 3 (Average Heating System)Multi Family Weatherization - Insulate Floors - R-0 to R-30 - Heating Zone 3 (Average Heating System)</v>
      </c>
      <c r="B48" s="99" t="str">
        <f>Costs!$A4&amp;" - Heating Zone 3 (Average Heating System)"</f>
        <v>Multi Family Weatherization - Insulate Floors - R-0 to R-30 - Heating Zone 3 (Average Heating System)</v>
      </c>
      <c r="C48" s="99" t="str">
        <f>Costs!$A4&amp;" - Heating Zone 3 (Average Heating System)"</f>
        <v>Multi Family Weatherization - Insulate Floors - R-0 to R-30 - Heating Zone 3 (Average Heating System)</v>
      </c>
      <c r="D48" s="100">
        <f>VLOOKUP(C48,SEEMsavings!$A$5:$L$556,11,FALSE)+VLOOKUP(C48,SEEMsavings!$A$5:$L$556,12,FALSE)</f>
        <v>1.1344306596200275</v>
      </c>
      <c r="E48" s="96">
        <v>45</v>
      </c>
      <c r="F48" s="98">
        <f t="shared" si="1"/>
        <v>0.98244865861375763</v>
      </c>
      <c r="G48" s="96">
        <v>0</v>
      </c>
      <c r="H48" s="95" t="s">
        <v>1077</v>
      </c>
      <c r="I48" s="98"/>
      <c r="J48" s="27"/>
      <c r="K48" s="27"/>
      <c r="L48" s="27"/>
      <c r="M48" s="27"/>
      <c r="N48" s="27"/>
      <c r="O48" s="27"/>
      <c r="P48" s="27"/>
      <c r="Q48" s="27"/>
    </row>
    <row r="49" spans="1:17" ht="25.5">
      <c r="A49" t="str">
        <f t="shared" si="0"/>
        <v>Multi Family Weatherization - Insulate Floors - R-19 to R-30 - Heating Zone 3 (Average Heating System)Multi Family Weatherization - Insulate Floors - R-19 to R-30 - Heating Zone 3 (Average Heating System)</v>
      </c>
      <c r="B49" s="99" t="str">
        <f>Costs!$A5&amp;" - Heating Zone 3 (Average Heating System)"</f>
        <v>Multi Family Weatherization - Insulate Floors - R-19 to R-30 - Heating Zone 3 (Average Heating System)</v>
      </c>
      <c r="C49" s="99" t="str">
        <f>Costs!$A5&amp;" - Heating Zone 3 (Average Heating System)"</f>
        <v>Multi Family Weatherization - Insulate Floors - R-19 to R-30 - Heating Zone 3 (Average Heating System)</v>
      </c>
      <c r="D49" s="100">
        <f>VLOOKUP(C49,SEEMsavings!$A$5:$L$556,11,FALSE)+VLOOKUP(C49,SEEMsavings!$A$5:$L$556,12,FALSE)</f>
        <v>0.2649318282414635</v>
      </c>
      <c r="E49" s="96">
        <v>45</v>
      </c>
      <c r="F49" s="98">
        <f t="shared" si="1"/>
        <v>0.64785245801359526</v>
      </c>
      <c r="G49" s="96">
        <v>0</v>
      </c>
      <c r="H49" s="95" t="s">
        <v>1077</v>
      </c>
      <c r="I49" s="98"/>
      <c r="J49" s="27"/>
      <c r="K49" s="27"/>
      <c r="L49" s="27"/>
      <c r="M49" s="27"/>
      <c r="N49" s="27"/>
      <c r="O49" s="27"/>
      <c r="P49" s="27"/>
      <c r="Q49" s="27"/>
    </row>
    <row r="50" spans="1:17" ht="25.5">
      <c r="A50" t="str">
        <f t="shared" si="0"/>
        <v>Multi Family Weatherization - Insulate Attic - R-0 to R-19 - Heating Zone 3 (Average Heating System)Multi Family Weatherization - Insulate Attic - R-0 to R-19 - Heating Zone 3 (Average Heating System)</v>
      </c>
      <c r="B50" s="99" t="str">
        <f>Costs!$A6&amp;" - Heating Zone 3 (Average Heating System)"</f>
        <v>Multi Family Weatherization - Insulate Attic - R-0 to R-19 - Heating Zone 3 (Average Heating System)</v>
      </c>
      <c r="C50" s="99" t="str">
        <f>Costs!$A6&amp;" - Heating Zone 3 (Average Heating System)"</f>
        <v>Multi Family Weatherization - Insulate Attic - R-0 to R-19 - Heating Zone 3 (Average Heating System)</v>
      </c>
      <c r="D50" s="100">
        <f>VLOOKUP(C50,SEEMsavings!$A$5:$L$556,11,FALSE)+VLOOKUP(C50,SEEMsavings!$A$5:$L$556,12,FALSE)</f>
        <v>0.43473484247305871</v>
      </c>
      <c r="E50" s="96">
        <v>45</v>
      </c>
      <c r="F50" s="98">
        <f t="shared" si="1"/>
        <v>0.54914779043329487</v>
      </c>
      <c r="G50" s="96">
        <v>0</v>
      </c>
      <c r="H50" s="95" t="s">
        <v>1077</v>
      </c>
      <c r="I50" s="98"/>
      <c r="J50" s="27"/>
      <c r="K50" s="27"/>
      <c r="L50" s="27"/>
      <c r="M50" s="27"/>
      <c r="N50" s="27"/>
      <c r="O50" s="27"/>
      <c r="P50" s="27"/>
      <c r="Q50" s="27"/>
    </row>
    <row r="51" spans="1:17" ht="25.5">
      <c r="A51" t="str">
        <f t="shared" si="0"/>
        <v>Multi Family Weatherization - Insulate Attic - R-0 to R-38 - Heating Zone 3 (Average Heating System)Multi Family Weatherization - Insulate Attic - R-0 to R-38 - Heating Zone 3 (Average Heating System)</v>
      </c>
      <c r="B51" s="99" t="str">
        <f>Costs!$A7&amp;" - Heating Zone 3 (Average Heating System)"</f>
        <v>Multi Family Weatherization - Insulate Attic - R-0 to R-38 - Heating Zone 3 (Average Heating System)</v>
      </c>
      <c r="C51" s="99" t="str">
        <f>Costs!$A7&amp;" - Heating Zone 3 (Average Heating System)"</f>
        <v>Multi Family Weatherization - Insulate Attic - R-0 to R-38 - Heating Zone 3 (Average Heating System)</v>
      </c>
      <c r="D51" s="100">
        <f>VLOOKUP(C51,SEEMsavings!$A$5:$L$556,11,FALSE)+VLOOKUP(C51,SEEMsavings!$A$5:$L$556,12,FALSE)</f>
        <v>0.59352306158763923</v>
      </c>
      <c r="E51" s="96">
        <v>45</v>
      </c>
      <c r="F51" s="98">
        <f t="shared" si="1"/>
        <v>0.73246728560336305</v>
      </c>
      <c r="G51" s="96">
        <v>0</v>
      </c>
      <c r="H51" s="95" t="s">
        <v>1077</v>
      </c>
      <c r="I51" s="98"/>
      <c r="J51" s="27"/>
      <c r="K51" s="27"/>
      <c r="L51" s="27"/>
      <c r="M51" s="27"/>
      <c r="N51" s="27"/>
      <c r="O51" s="27"/>
      <c r="P51" s="27"/>
      <c r="Q51" s="27"/>
    </row>
    <row r="52" spans="1:17" ht="25.5">
      <c r="A52" t="str">
        <f t="shared" si="0"/>
        <v>Multi Family Weatherization - Insulate Attic - R-0 to R-49 - Heating Zone 3 (Average Heating System)Multi Family Weatherization - Insulate Attic - R-0 to R-49 - Heating Zone 3 (Average Heating System)</v>
      </c>
      <c r="B52" s="99" t="str">
        <f>Costs!$A8&amp;" - Heating Zone 3 (Average Heating System)"</f>
        <v>Multi Family Weatherization - Insulate Attic - R-0 to R-49 - Heating Zone 3 (Average Heating System)</v>
      </c>
      <c r="C52" s="99" t="str">
        <f>Costs!$A8&amp;" - Heating Zone 3 (Average Heating System)"</f>
        <v>Multi Family Weatherization - Insulate Attic - R-0 to R-49 - Heating Zone 3 (Average Heating System)</v>
      </c>
      <c r="D52" s="100">
        <f>VLOOKUP(C52,SEEMsavings!$A$5:$L$556,11,FALSE)+VLOOKUP(C52,SEEMsavings!$A$5:$L$556,12,FALSE)</f>
        <v>0.63047570336176129</v>
      </c>
      <c r="E52" s="96">
        <v>45</v>
      </c>
      <c r="F52" s="98">
        <f t="shared" si="1"/>
        <v>0.83087905114745864</v>
      </c>
      <c r="G52" s="96">
        <v>0</v>
      </c>
      <c r="H52" s="95" t="s">
        <v>1077</v>
      </c>
      <c r="I52" s="98"/>
      <c r="J52" s="27"/>
      <c r="K52" s="27"/>
      <c r="L52" s="27"/>
      <c r="M52" s="27"/>
      <c r="N52" s="27"/>
      <c r="O52" s="27"/>
      <c r="P52" s="27"/>
      <c r="Q52" s="27"/>
    </row>
    <row r="53" spans="1:17" ht="25.5">
      <c r="A53" t="str">
        <f t="shared" si="0"/>
        <v>Multi Family Weatherization - Insulate Attic - R-30 to R-38 - Heating Zone 3 (Average Heating System)Multi Family Weatherization - Insulate Attic - R-30 to R-38 - Heating Zone 3 (Average Heating System)</v>
      </c>
      <c r="B53" s="99" t="str">
        <f>Costs!$A9&amp;" - Heating Zone 3 (Average Heating System)"</f>
        <v>Multi Family Weatherization - Insulate Attic - R-30 to R-38 - Heating Zone 3 (Average Heating System)</v>
      </c>
      <c r="C53" s="99" t="str">
        <f>Costs!$A9&amp;" - Heating Zone 3 (Average Heating System)"</f>
        <v>Multi Family Weatherization - Insulate Attic - R-30 to R-38 - Heating Zone 3 (Average Heating System)</v>
      </c>
      <c r="D53" s="100">
        <f>VLOOKUP(C53,SEEMsavings!$A$5:$L$556,11,FALSE)+VLOOKUP(C53,SEEMsavings!$A$5:$L$556,12,FALSE)</f>
        <v>4.3818782409361774E-2</v>
      </c>
      <c r="E53" s="96">
        <v>45</v>
      </c>
      <c r="F53" s="98">
        <f t="shared" si="1"/>
        <v>0.2473644911578245</v>
      </c>
      <c r="G53" s="96">
        <v>0</v>
      </c>
      <c r="H53" s="95" t="s">
        <v>1077</v>
      </c>
      <c r="I53" s="98"/>
      <c r="J53" s="27"/>
      <c r="K53" s="27"/>
      <c r="L53" s="27"/>
      <c r="M53" s="27"/>
      <c r="N53" s="27"/>
      <c r="O53" s="27"/>
      <c r="P53" s="27"/>
      <c r="Q53" s="27"/>
    </row>
    <row r="54" spans="1:17" ht="25.5">
      <c r="A54" t="str">
        <f t="shared" si="0"/>
        <v>Multi Family Weatherization - Insulate Attic - R-30 to R-49 - Heating Zone 3 (Average Heating System)Multi Family Weatherization - Insulate Attic - R-30 to R-49 - Heating Zone 3 (Average Heating System)</v>
      </c>
      <c r="B54" s="99" t="str">
        <f>Costs!$A10&amp;" - Heating Zone 3 (Average Heating System)"</f>
        <v>Multi Family Weatherization - Insulate Attic - R-30 to R-49 - Heating Zone 3 (Average Heating System)</v>
      </c>
      <c r="C54" s="99" t="str">
        <f>Costs!$A10&amp;" - Heating Zone 3 (Average Heating System)"</f>
        <v>Multi Family Weatherization - Insulate Attic - R-30 to R-49 - Heating Zone 3 (Average Heating System)</v>
      </c>
      <c r="D54" s="100">
        <f>VLOOKUP(C54,SEEMsavings!$A$5:$L$556,11,FALSE)+VLOOKUP(C54,SEEMsavings!$A$5:$L$556,12,FALSE)</f>
        <v>8.077142418348375E-2</v>
      </c>
      <c r="E54" s="96">
        <v>45</v>
      </c>
      <c r="F54" s="98">
        <f t="shared" si="1"/>
        <v>0.58749066649983317</v>
      </c>
      <c r="G54" s="96">
        <v>0</v>
      </c>
      <c r="H54" s="95" t="s">
        <v>1077</v>
      </c>
      <c r="I54" s="98"/>
      <c r="J54" s="27"/>
      <c r="K54" s="27"/>
      <c r="L54" s="27"/>
      <c r="M54" s="27"/>
      <c r="N54" s="27"/>
      <c r="O54" s="27"/>
      <c r="P54" s="27"/>
      <c r="Q54" s="27"/>
    </row>
    <row r="55" spans="1:17" ht="25.5">
      <c r="A55" t="str">
        <f t="shared" si="0"/>
        <v>Multi Family Weatherization - Insulate Attic - R-38 to R-49 - Heating Zone 3 (Average Heating System)Multi Family Weatherization - Insulate Attic - R-38 to R-49 - Heating Zone 3 (Average Heating System)</v>
      </c>
      <c r="B55" s="99" t="str">
        <f>Costs!$A11&amp;" - Heating Zone 3 (Average Heating System)"</f>
        <v>Multi Family Weatherization - Insulate Attic - R-38 to R-49 - Heating Zone 3 (Average Heating System)</v>
      </c>
      <c r="C55" s="99" t="str">
        <f>Costs!$A11&amp;" - Heating Zone 3 (Average Heating System)"</f>
        <v>Multi Family Weatherization - Insulate Attic - R-38 to R-49 - Heating Zone 3 (Average Heating System)</v>
      </c>
      <c r="D55" s="100">
        <f>VLOOKUP(C55,SEEMsavings!$A$5:$L$556,11,FALSE)+VLOOKUP(C55,SEEMsavings!$A$5:$L$556,12,FALSE)</f>
        <v>3.6952641774121969E-2</v>
      </c>
      <c r="E55" s="96">
        <v>45</v>
      </c>
      <c r="F55" s="98">
        <f t="shared" si="1"/>
        <v>0.34012617534200867</v>
      </c>
      <c r="G55" s="96">
        <v>0</v>
      </c>
      <c r="H55" s="95" t="s">
        <v>1077</v>
      </c>
      <c r="I55" s="98"/>
      <c r="J55" s="27"/>
      <c r="K55" s="27"/>
      <c r="L55" s="27"/>
      <c r="M55" s="27"/>
      <c r="N55" s="27"/>
      <c r="O55" s="27"/>
      <c r="P55" s="27"/>
      <c r="Q55" s="27"/>
    </row>
    <row r="56" spans="1:17" ht="25.5">
      <c r="A56" t="str">
        <f t="shared" si="0"/>
        <v>Multi Family Weatherization - Insulate Attic - R-19 to R-30 - Heating Zone 3 (Average Heating System)Multi Family Weatherization - Insulate Attic - R-19 to R-30 - Heating Zone 3 (Average Heating System)</v>
      </c>
      <c r="B56" s="99" t="str">
        <f>Costs!$A12&amp;" - Heating Zone 3 (Average Heating System)"</f>
        <v>Multi Family Weatherization - Insulate Attic - R-19 to R-30 - Heating Zone 3 (Average Heating System)</v>
      </c>
      <c r="C56" s="99" t="str">
        <f>Costs!$A12&amp;" - Heating Zone 3 (Average Heating System)"</f>
        <v>Multi Family Weatherization - Insulate Attic - R-19 to R-30 - Heating Zone 3 (Average Heating System)</v>
      </c>
      <c r="D56" s="100">
        <f>VLOOKUP(C56,SEEMsavings!$A$5:$L$556,11,FALSE)+VLOOKUP(C56,SEEMsavings!$A$5:$L$556,12,FALSE)</f>
        <v>0.11496943670521879</v>
      </c>
      <c r="E56" s="96">
        <v>45</v>
      </c>
      <c r="F56" s="98">
        <f t="shared" si="1"/>
        <v>0.47401945424285125</v>
      </c>
      <c r="G56" s="96">
        <v>0</v>
      </c>
      <c r="H56" s="95" t="s">
        <v>1077</v>
      </c>
      <c r="I56" s="98"/>
      <c r="J56" s="27"/>
      <c r="K56" s="27"/>
      <c r="L56" s="27"/>
      <c r="M56" s="27"/>
      <c r="N56" s="27"/>
      <c r="O56" s="27"/>
      <c r="P56" s="27"/>
      <c r="Q56" s="27"/>
    </row>
    <row r="57" spans="1:17" ht="25.5">
      <c r="A57" t="str">
        <f t="shared" si="0"/>
        <v>Multi Family Weatherization - Insulate Attic - R-19 to R-38 - Heating Zone 3 (Average Heating System)Multi Family Weatherization - Insulate Attic - R-19 to R-38 - Heating Zone 3 (Average Heating System)</v>
      </c>
      <c r="B57" s="99" t="str">
        <f>Costs!$A13&amp;" - Heating Zone 3 (Average Heating System)"</f>
        <v>Multi Family Weatherization - Insulate Attic - R-19 to R-38 - Heating Zone 3 (Average Heating System)</v>
      </c>
      <c r="C57" s="99" t="str">
        <f>Costs!$A13&amp;" - Heating Zone 3 (Average Heating System)"</f>
        <v>Multi Family Weatherization - Insulate Attic - R-19 to R-38 - Heating Zone 3 (Average Heating System)</v>
      </c>
      <c r="D57" s="100">
        <f>VLOOKUP(C57,SEEMsavings!$A$5:$L$556,11,FALSE)+VLOOKUP(C57,SEEMsavings!$A$5:$L$556,12,FALSE)</f>
        <v>0.15878821911458055</v>
      </c>
      <c r="E57" s="96">
        <v>45</v>
      </c>
      <c r="F57" s="98">
        <f t="shared" si="1"/>
        <v>0.55283834686255773</v>
      </c>
      <c r="G57" s="96">
        <v>0</v>
      </c>
      <c r="H57" s="95" t="s">
        <v>1077</v>
      </c>
      <c r="I57" s="98"/>
      <c r="J57" s="27"/>
      <c r="K57" s="27"/>
      <c r="L57" s="27"/>
      <c r="M57" s="27"/>
      <c r="N57" s="27"/>
      <c r="O57" s="27"/>
      <c r="P57" s="27"/>
      <c r="Q57" s="27"/>
    </row>
    <row r="58" spans="1:17" ht="25.5">
      <c r="A58" t="str">
        <f t="shared" si="0"/>
        <v>Multi Family Weatherization - Insulate Attic - R-19 to R-49 - Heating Zone 3 (Average Heating System)Multi Family Weatherization - Insulate Attic - R-19 to R-49 - Heating Zone 3 (Average Heating System)</v>
      </c>
      <c r="B58" s="99" t="str">
        <f>Costs!$A14&amp;" - Heating Zone 3 (Average Heating System)"</f>
        <v>Multi Family Weatherization - Insulate Attic - R-19 to R-49 - Heating Zone 3 (Average Heating System)</v>
      </c>
      <c r="C58" s="99" t="str">
        <f>Costs!$A14&amp;" - Heating Zone 3 (Average Heating System)"</f>
        <v>Multi Family Weatherization - Insulate Attic - R-19 to R-49 - Heating Zone 3 (Average Heating System)</v>
      </c>
      <c r="D58" s="100">
        <f>VLOOKUP(C58,SEEMsavings!$A$5:$L$556,11,FALSE)+VLOOKUP(C58,SEEMsavings!$A$5:$L$556,12,FALSE)</f>
        <v>0.19574086088870252</v>
      </c>
      <c r="E58" s="96">
        <v>45</v>
      </c>
      <c r="F58" s="98">
        <f t="shared" si="1"/>
        <v>0.65683404823881342</v>
      </c>
      <c r="G58" s="96">
        <v>0</v>
      </c>
      <c r="H58" s="95" t="s">
        <v>1077</v>
      </c>
      <c r="I58" s="98"/>
      <c r="J58" s="27"/>
      <c r="K58" s="27"/>
      <c r="L58" s="27"/>
      <c r="M58" s="27"/>
      <c r="N58" s="27"/>
      <c r="O58" s="27"/>
      <c r="P58" s="27"/>
      <c r="Q58" s="27"/>
    </row>
    <row r="59" spans="1:17">
      <c r="A59" t="str">
        <f t="shared" si="0"/>
        <v>Windows - Single Pane to Class 22 - Heating Zone 3 (Average Heating System)Windows - Single Pane to Class 22 - Heating Zone 3 (Average Heating System)</v>
      </c>
      <c r="B59" s="99" t="str">
        <f>Costs!$A15&amp;" - Heating Zone 3 (Average Heating System)"</f>
        <v>Windows - Single Pane to Class 22 - Heating Zone 3 (Average Heating System)</v>
      </c>
      <c r="C59" s="99" t="str">
        <f>Costs!$A15&amp;" - Heating Zone 3 (Average Heating System)"</f>
        <v>Windows - Single Pane to Class 22 - Heating Zone 3 (Average Heating System)</v>
      </c>
      <c r="D59" s="100">
        <f>VLOOKUP(C59,SEEMsavings!$A$5:$L$556,11,FALSE)+VLOOKUP(C59,SEEMsavings!$A$5:$L$556,12,FALSE)</f>
        <v>40.89959688945148</v>
      </c>
      <c r="E59" s="96">
        <v>45</v>
      </c>
      <c r="F59" s="98">
        <f t="shared" si="1"/>
        <v>23.269535952606116</v>
      </c>
      <c r="G59" s="96">
        <v>0</v>
      </c>
      <c r="H59" s="95" t="s">
        <v>1077</v>
      </c>
      <c r="I59" s="98"/>
      <c r="J59" s="27"/>
      <c r="K59" s="27"/>
      <c r="L59" s="27"/>
      <c r="M59" s="27"/>
      <c r="N59" s="27"/>
      <c r="O59" s="27"/>
      <c r="P59" s="27"/>
      <c r="Q59" s="27"/>
    </row>
    <row r="60" spans="1:17">
      <c r="A60" t="str">
        <f t="shared" si="0"/>
        <v>Windows - Double Pane to Class 22 - Heating Zone 3 (Average Heating System)Windows - Double Pane to Class 22 - Heating Zone 3 (Average Heating System)</v>
      </c>
      <c r="B60" s="99" t="str">
        <f>Costs!$A16&amp;" - Heating Zone 3 (Average Heating System)"</f>
        <v>Windows - Double Pane to Class 22 - Heating Zone 3 (Average Heating System)</v>
      </c>
      <c r="C60" s="99" t="str">
        <f>Costs!$A16&amp;" - Heating Zone 3 (Average Heating System)"</f>
        <v>Windows - Double Pane to Class 22 - Heating Zone 3 (Average Heating System)</v>
      </c>
      <c r="D60" s="100">
        <f>VLOOKUP(C60,SEEMsavings!$A$5:$L$556,11,FALSE)+VLOOKUP(C60,SEEMsavings!$A$5:$L$556,12,FALSE)</f>
        <v>24.788824171934557</v>
      </c>
      <c r="E60" s="96">
        <v>45</v>
      </c>
      <c r="F60" s="98">
        <f t="shared" si="1"/>
        <v>23.269535952606116</v>
      </c>
      <c r="G60" s="96">
        <v>0</v>
      </c>
      <c r="H60" s="95" t="s">
        <v>1077</v>
      </c>
      <c r="I60" s="98"/>
      <c r="J60" s="27"/>
      <c r="K60" s="27"/>
      <c r="L60" s="27"/>
      <c r="M60" s="27"/>
      <c r="N60" s="27"/>
      <c r="O60" s="27"/>
      <c r="P60" s="27"/>
      <c r="Q60" s="27"/>
    </row>
    <row r="61" spans="1:17">
      <c r="A61" t="str">
        <f t="shared" si="0"/>
        <v>Windows - Single Pane to Class 30 - Heating Zone 3 (Average Heating System)Windows - Single Pane to Class 30 - Heating Zone 3 (Average Heating System)</v>
      </c>
      <c r="B61" s="99" t="str">
        <f>Costs!$A17&amp;" - Heating Zone 3 (Average Heating System)"</f>
        <v>Windows - Single Pane to Class 30 - Heating Zone 3 (Average Heating System)</v>
      </c>
      <c r="C61" s="99" t="str">
        <f>Costs!$A17&amp;" - Heating Zone 3 (Average Heating System)"</f>
        <v>Windows - Single Pane to Class 30 - Heating Zone 3 (Average Heating System)</v>
      </c>
      <c r="D61" s="100">
        <f>VLOOKUP(C61,SEEMsavings!$A$5:$L$556,11,FALSE)+VLOOKUP(C61,SEEMsavings!$A$5:$L$556,12,FALSE)</f>
        <v>37.507006481845274</v>
      </c>
      <c r="E61" s="96">
        <v>45</v>
      </c>
      <c r="F61" s="98">
        <f t="shared" si="1"/>
        <v>17.810142881355933</v>
      </c>
      <c r="G61" s="96">
        <v>0</v>
      </c>
      <c r="H61" s="95" t="s">
        <v>1077</v>
      </c>
      <c r="I61" s="98"/>
      <c r="J61" s="27"/>
      <c r="K61" s="27"/>
      <c r="L61" s="27"/>
      <c r="M61" s="27"/>
      <c r="N61" s="27"/>
      <c r="O61" s="27"/>
      <c r="P61" s="27"/>
      <c r="Q61" s="27"/>
    </row>
    <row r="62" spans="1:17">
      <c r="A62" t="str">
        <f t="shared" si="0"/>
        <v>Windows - Double Pane to Class 30 - Heating Zone 3 (Average Heating System)Windows - Double Pane to Class 30 - Heating Zone 3 (Average Heating System)</v>
      </c>
      <c r="B62" s="99" t="str">
        <f>Costs!$A18&amp;" - Heating Zone 3 (Average Heating System)"</f>
        <v>Windows - Double Pane to Class 30 - Heating Zone 3 (Average Heating System)</v>
      </c>
      <c r="C62" s="99" t="str">
        <f>Costs!$A18&amp;" - Heating Zone 3 (Average Heating System)"</f>
        <v>Windows - Double Pane to Class 30 - Heating Zone 3 (Average Heating System)</v>
      </c>
      <c r="D62" s="100">
        <f>VLOOKUP(C62,SEEMsavings!$A$5:$L$556,11,FALSE)+VLOOKUP(C62,SEEMsavings!$A$5:$L$556,12,FALSE)</f>
        <v>21.39623376432835</v>
      </c>
      <c r="E62" s="96">
        <v>45</v>
      </c>
      <c r="F62" s="98">
        <f t="shared" si="1"/>
        <v>17.810142881355933</v>
      </c>
      <c r="G62" s="96">
        <v>0</v>
      </c>
      <c r="H62" s="95" t="s">
        <v>1077</v>
      </c>
      <c r="I62" s="98"/>
      <c r="J62" s="27"/>
      <c r="K62" s="27"/>
      <c r="L62" s="27"/>
      <c r="M62" s="27"/>
      <c r="N62" s="27"/>
      <c r="O62" s="27"/>
      <c r="P62" s="27"/>
      <c r="Q62" s="27"/>
    </row>
    <row r="63" spans="1:17">
      <c r="A63" t="str">
        <f t="shared" si="0"/>
        <v>Windows - Class 35 to Class 30 - Heating Zone 3 (Average Heating System)Windows - Class 35 to Class 30 - Heating Zone 3 (Average Heating System)</v>
      </c>
      <c r="B63" s="99" t="str">
        <f>Costs!$A19&amp;" - Heating Zone 3 (Average Heating System)"</f>
        <v>Windows - Class 35 to Class 30 - Heating Zone 3 (Average Heating System)</v>
      </c>
      <c r="C63" s="99" t="str">
        <f>Costs!$A19&amp;" - Heating Zone 3 (Average Heating System)"</f>
        <v>Windows - Class 35 to Class 30 - Heating Zone 3 (Average Heating System)</v>
      </c>
      <c r="D63" s="100">
        <f>VLOOKUP(C63,SEEMsavings!$A$5:$L$556,11,FALSE)+VLOOKUP(C63,SEEMsavings!$A$5:$L$556,12,FALSE)</f>
        <v>2.2776948424240722</v>
      </c>
      <c r="E63" s="96">
        <v>45</v>
      </c>
      <c r="F63" s="98">
        <f t="shared" si="1"/>
        <v>1.8290398716390079</v>
      </c>
      <c r="G63" s="96">
        <v>0</v>
      </c>
      <c r="H63" s="95" t="s">
        <v>1077</v>
      </c>
      <c r="I63" s="98"/>
      <c r="J63" s="27"/>
      <c r="K63" s="27"/>
      <c r="L63" s="27"/>
      <c r="M63" s="27"/>
      <c r="N63" s="27"/>
      <c r="O63" s="27"/>
      <c r="P63" s="27"/>
      <c r="Q63" s="27"/>
    </row>
    <row r="64" spans="1:17">
      <c r="A64" t="str">
        <f t="shared" si="0"/>
        <v>Windows - Class 35 to Class 22 - Heating Zone 3 (Average Heating System)Windows - Class 35 to Class 22 - Heating Zone 3 (Average Heating System)</v>
      </c>
      <c r="B64" s="99" t="str">
        <f>Costs!$A20&amp;" - Heating Zone 3 (Average Heating System)"</f>
        <v>Windows - Class 35 to Class 22 - Heating Zone 3 (Average Heating System)</v>
      </c>
      <c r="C64" s="99" t="str">
        <f>Costs!$A20&amp;" - Heating Zone 3 (Average Heating System)"</f>
        <v>Windows - Class 35 to Class 22 - Heating Zone 3 (Average Heating System)</v>
      </c>
      <c r="D64" s="100">
        <f>VLOOKUP(C64,SEEMsavings!$A$5:$L$556,11,FALSE)+VLOOKUP(C64,SEEMsavings!$A$5:$L$556,12,FALSE)</f>
        <v>5.6702852500302834</v>
      </c>
      <c r="E64" s="96">
        <v>45</v>
      </c>
      <c r="F64" s="98">
        <f t="shared" si="1"/>
        <v>7.288432942889191</v>
      </c>
      <c r="G64" s="96">
        <v>0</v>
      </c>
      <c r="H64" s="95" t="s">
        <v>1077</v>
      </c>
      <c r="I64" s="98"/>
      <c r="J64" s="27"/>
      <c r="K64" s="27"/>
      <c r="L64" s="27"/>
      <c r="M64" s="27"/>
      <c r="N64" s="27"/>
      <c r="O64" s="27"/>
      <c r="P64" s="27"/>
      <c r="Q64" s="27"/>
    </row>
    <row r="65" spans="1:17">
      <c r="A65" t="str">
        <f t="shared" si="0"/>
        <v>Multi Family Weatherization - Insulate Walls - R-0 to R-11 - Heating Zone 1 (Zonal Heating System)Multi Family Weatherization - Insulate Walls - R-0 to R-11 - Heating Zone 1 (Zonal Heating System)</v>
      </c>
      <c r="B65" s="99" t="str">
        <f>Costs!$A2&amp;" - Heating Zone 1 (Zonal Heating System)"</f>
        <v>Multi Family Weatherization - Insulate Walls - R-0 to R-11 - Heating Zone 1 (Zonal Heating System)</v>
      </c>
      <c r="C65" s="99" t="str">
        <f>Costs!$A2&amp;" - Heating Zone 1 (Zonal Heating System)"</f>
        <v>Multi Family Weatherization - Insulate Walls - R-0 to R-11 - Heating Zone 1 (Zonal Heating System)</v>
      </c>
      <c r="D65" s="100">
        <f>VLOOKUP(C65,SEEMsavings!$A$5:$L$556,11,FALSE)+VLOOKUP(C65,SEEMsavings!$A$5:$L$556,12,FALSE)</f>
        <v>1.3619811756822695</v>
      </c>
      <c r="E65" s="96">
        <v>45</v>
      </c>
      <c r="F65" s="98">
        <f t="shared" si="1"/>
        <v>1.0354836592527603</v>
      </c>
      <c r="G65" s="96">
        <v>0</v>
      </c>
      <c r="H65" s="95" t="s">
        <v>1077</v>
      </c>
      <c r="I65" s="98"/>
      <c r="J65" s="27"/>
      <c r="K65" s="27"/>
      <c r="L65" s="27"/>
      <c r="M65" s="27"/>
      <c r="N65" s="27"/>
      <c r="O65" s="27"/>
      <c r="P65" s="27"/>
      <c r="Q65" s="27"/>
    </row>
    <row r="66" spans="1:17">
      <c r="A66" t="str">
        <f t="shared" si="0"/>
        <v>Multi Family Weatherization - Insulate Floors - R-0 to R-19 - Heating Zone 1 (Zonal Heating System)Multi Family Weatherization - Insulate Floors - R-0 to R-19 - Heating Zone 1 (Zonal Heating System)</v>
      </c>
      <c r="B66" s="99" t="str">
        <f>Costs!$A3&amp;" - Heating Zone 1 (Zonal Heating System)"</f>
        <v>Multi Family Weatherization - Insulate Floors - R-0 to R-19 - Heating Zone 1 (Zonal Heating System)</v>
      </c>
      <c r="C66" s="99" t="str">
        <f>Costs!$A3&amp;" - Heating Zone 1 (Zonal Heating System)"</f>
        <v>Multi Family Weatherization - Insulate Floors - R-0 to R-19 - Heating Zone 1 (Zonal Heating System)</v>
      </c>
      <c r="D66" s="100">
        <f>VLOOKUP(C66,SEEMsavings!$A$5:$L$556,11,FALSE)+VLOOKUP(C66,SEEMsavings!$A$5:$L$556,12,FALSE)</f>
        <v>0.61745309474478649</v>
      </c>
      <c r="E66" s="96">
        <v>45</v>
      </c>
      <c r="F66" s="98">
        <f t="shared" si="1"/>
        <v>0.91799940108959477</v>
      </c>
      <c r="G66" s="96">
        <v>0</v>
      </c>
      <c r="H66" s="95" t="s">
        <v>1077</v>
      </c>
      <c r="I66" s="98"/>
      <c r="J66" s="27"/>
      <c r="K66" s="27"/>
      <c r="L66" s="27"/>
      <c r="M66" s="27"/>
      <c r="N66" s="27"/>
      <c r="O66" s="27"/>
      <c r="P66" s="27"/>
      <c r="Q66" s="27"/>
    </row>
    <row r="67" spans="1:17">
      <c r="A67" t="str">
        <f t="shared" si="0"/>
        <v>Multi Family Weatherization - Insulate Floors - R-0 to R-30 - Heating Zone 1 (Zonal Heating System)Multi Family Weatherization - Insulate Floors - R-0 to R-30 - Heating Zone 1 (Zonal Heating System)</v>
      </c>
      <c r="B67" s="99" t="str">
        <f>Costs!$A4&amp;" - Heating Zone 1 (Zonal Heating System)"</f>
        <v>Multi Family Weatherization - Insulate Floors - R-0 to R-30 - Heating Zone 1 (Zonal Heating System)</v>
      </c>
      <c r="C67" s="99" t="str">
        <f>Costs!$A4&amp;" - Heating Zone 1 (Zonal Heating System)"</f>
        <v>Multi Family Weatherization - Insulate Floors - R-0 to R-30 - Heating Zone 1 (Zonal Heating System)</v>
      </c>
      <c r="D67" s="100">
        <f>VLOOKUP(C67,SEEMsavings!$A$5:$L$556,11,FALSE)+VLOOKUP(C67,SEEMsavings!$A$5:$L$556,12,FALSE)</f>
        <v>0.80371456332005364</v>
      </c>
      <c r="E67" s="96">
        <v>45</v>
      </c>
      <c r="F67" s="98">
        <f t="shared" si="1"/>
        <v>0.98244865861375763</v>
      </c>
      <c r="G67" s="96">
        <v>0</v>
      </c>
      <c r="H67" s="95" t="s">
        <v>1077</v>
      </c>
      <c r="I67" s="98"/>
      <c r="J67" s="27"/>
      <c r="K67" s="27"/>
      <c r="L67" s="27"/>
      <c r="M67" s="27"/>
      <c r="N67" s="27"/>
      <c r="O67" s="27"/>
      <c r="P67" s="27"/>
      <c r="Q67" s="27"/>
    </row>
    <row r="68" spans="1:17" ht="25.5">
      <c r="A68" t="str">
        <f t="shared" si="0"/>
        <v>Multi Family Weatherization - Insulate Floors - R-19 to R-30 - Heating Zone 1 (Zonal Heating System)Multi Family Weatherization - Insulate Floors - R-19 to R-30 - Heating Zone 1 (Zonal Heating System)</v>
      </c>
      <c r="B68" s="99" t="str">
        <f>Costs!$A5&amp;" - Heating Zone 1 (Zonal Heating System)"</f>
        <v>Multi Family Weatherization - Insulate Floors - R-19 to R-30 - Heating Zone 1 (Zonal Heating System)</v>
      </c>
      <c r="C68" s="99" t="str">
        <f>Costs!$A5&amp;" - Heating Zone 1 (Zonal Heating System)"</f>
        <v>Multi Family Weatherization - Insulate Floors - R-19 to R-30 - Heating Zone 1 (Zonal Heating System)</v>
      </c>
      <c r="D68" s="100">
        <f>VLOOKUP(C68,SEEMsavings!$A$5:$L$556,11,FALSE)+VLOOKUP(C68,SEEMsavings!$A$5:$L$556,12,FALSE)</f>
        <v>0.18626146857526715</v>
      </c>
      <c r="E68" s="96">
        <v>45</v>
      </c>
      <c r="F68" s="98">
        <f t="shared" si="1"/>
        <v>0.64785245801359526</v>
      </c>
      <c r="G68" s="96">
        <v>0</v>
      </c>
      <c r="H68" s="95" t="s">
        <v>1077</v>
      </c>
      <c r="I68" s="98"/>
      <c r="J68" s="27"/>
      <c r="K68" s="27"/>
      <c r="L68" s="27"/>
      <c r="M68" s="27"/>
      <c r="N68" s="27"/>
      <c r="O68" s="27"/>
      <c r="P68" s="27"/>
      <c r="Q68" s="27"/>
    </row>
    <row r="69" spans="1:17">
      <c r="A69" t="str">
        <f t="shared" si="0"/>
        <v>Multi Family Weatherization - Insulate Attic - R-0 to R-19 - Heating Zone 1 (Zonal Heating System)Multi Family Weatherization - Insulate Attic - R-0 to R-19 - Heating Zone 1 (Zonal Heating System)</v>
      </c>
      <c r="B69" s="99" t="str">
        <f>Costs!$A6&amp;" - Heating Zone 1 (Zonal Heating System)"</f>
        <v>Multi Family Weatherization - Insulate Attic - R-0 to R-19 - Heating Zone 1 (Zonal Heating System)</v>
      </c>
      <c r="C69" s="99" t="str">
        <f>Costs!$A6&amp;" - Heating Zone 1 (Zonal Heating System)"</f>
        <v>Multi Family Weatherization - Insulate Attic - R-0 to R-19 - Heating Zone 1 (Zonal Heating System)</v>
      </c>
      <c r="D69" s="100">
        <f>VLOOKUP(C69,SEEMsavings!$A$5:$L$556,11,FALSE)+VLOOKUP(C69,SEEMsavings!$A$5:$L$556,12,FALSE)</f>
        <v>0.4856782402243181</v>
      </c>
      <c r="E69" s="96">
        <v>45</v>
      </c>
      <c r="F69" s="98">
        <f t="shared" si="1"/>
        <v>0.54914779043329487</v>
      </c>
      <c r="G69" s="96">
        <v>0</v>
      </c>
      <c r="H69" s="95" t="s">
        <v>1077</v>
      </c>
      <c r="I69" s="98"/>
      <c r="J69" s="27"/>
      <c r="K69" s="27"/>
      <c r="L69" s="27"/>
      <c r="M69" s="27"/>
      <c r="N69" s="27"/>
      <c r="O69" s="27"/>
      <c r="P69" s="27"/>
      <c r="Q69" s="27"/>
    </row>
    <row r="70" spans="1:17">
      <c r="A70" t="str">
        <f t="shared" si="0"/>
        <v>Multi Family Weatherization - Insulate Attic - R-0 to R-38 - Heating Zone 1 (Zonal Heating System)Multi Family Weatherization - Insulate Attic - R-0 to R-38 - Heating Zone 1 (Zonal Heating System)</v>
      </c>
      <c r="B70" s="99" t="str">
        <f>Costs!$A7&amp;" - Heating Zone 1 (Zonal Heating System)"</f>
        <v>Multi Family Weatherization - Insulate Attic - R-0 to R-38 - Heating Zone 1 (Zonal Heating System)</v>
      </c>
      <c r="C70" s="99" t="str">
        <f>Costs!$A7&amp;" - Heating Zone 1 (Zonal Heating System)"</f>
        <v>Multi Family Weatherization - Insulate Attic - R-0 to R-38 - Heating Zone 1 (Zonal Heating System)</v>
      </c>
      <c r="D70" s="100">
        <f>VLOOKUP(C70,SEEMsavings!$A$5:$L$556,11,FALSE)+VLOOKUP(C70,SEEMsavings!$A$5:$L$556,12,FALSE)</f>
        <v>0.66141462946318141</v>
      </c>
      <c r="E70" s="96">
        <v>45</v>
      </c>
      <c r="F70" s="98">
        <f t="shared" si="1"/>
        <v>0.73246728560336305</v>
      </c>
      <c r="G70" s="96">
        <v>0</v>
      </c>
      <c r="H70" s="95" t="s">
        <v>1077</v>
      </c>
      <c r="I70" s="98"/>
      <c r="J70" s="27"/>
      <c r="K70" s="27"/>
      <c r="L70" s="27"/>
      <c r="M70" s="27"/>
      <c r="N70" s="27"/>
      <c r="O70" s="27"/>
      <c r="P70" s="27"/>
      <c r="Q70" s="27"/>
    </row>
    <row r="71" spans="1:17">
      <c r="A71" t="str">
        <f t="shared" si="0"/>
        <v>Multi Family Weatherization - Insulate Attic - R-0 to R-49 - Heating Zone 1 (Zonal Heating System)Multi Family Weatherization - Insulate Attic - R-0 to R-49 - Heating Zone 1 (Zonal Heating System)</v>
      </c>
      <c r="B71" s="99" t="str">
        <f>Costs!$A8&amp;" - Heating Zone 1 (Zonal Heating System)"</f>
        <v>Multi Family Weatherization - Insulate Attic - R-0 to R-49 - Heating Zone 1 (Zonal Heating System)</v>
      </c>
      <c r="C71" s="99" t="str">
        <f>Costs!$A8&amp;" - Heating Zone 1 (Zonal Heating System)"</f>
        <v>Multi Family Weatherization - Insulate Attic - R-0 to R-49 - Heating Zone 1 (Zonal Heating System)</v>
      </c>
      <c r="D71" s="100">
        <f>VLOOKUP(C71,SEEMsavings!$A$5:$L$556,11,FALSE)+VLOOKUP(C71,SEEMsavings!$A$5:$L$556,12,FALSE)</f>
        <v>0.7021594817529544</v>
      </c>
      <c r="E71" s="96">
        <v>45</v>
      </c>
      <c r="F71" s="98">
        <f t="shared" si="1"/>
        <v>0.83087905114745864</v>
      </c>
      <c r="G71" s="96">
        <v>0</v>
      </c>
      <c r="H71" s="95" t="s">
        <v>1077</v>
      </c>
      <c r="I71" s="98"/>
      <c r="J71" s="27"/>
      <c r="K71" s="27"/>
      <c r="L71" s="27"/>
      <c r="M71" s="27"/>
      <c r="N71" s="27"/>
      <c r="O71" s="27"/>
      <c r="P71" s="27"/>
      <c r="Q71" s="27"/>
    </row>
    <row r="72" spans="1:17">
      <c r="A72" t="str">
        <f t="shared" si="0"/>
        <v>Multi Family Weatherization - Insulate Attic - R-30 to R-38 - Heating Zone 1 (Zonal Heating System)Multi Family Weatherization - Insulate Attic - R-30 to R-38 - Heating Zone 1 (Zonal Heating System)</v>
      </c>
      <c r="B72" s="99" t="str">
        <f>Costs!$A9&amp;" - Heating Zone 1 (Zonal Heating System)"</f>
        <v>Multi Family Weatherization - Insulate Attic - R-30 to R-38 - Heating Zone 1 (Zonal Heating System)</v>
      </c>
      <c r="C72" s="99" t="str">
        <f>Costs!$A9&amp;" - Heating Zone 1 (Zonal Heating System)"</f>
        <v>Multi Family Weatherization - Insulate Attic - R-30 to R-38 - Heating Zone 1 (Zonal Heating System)</v>
      </c>
      <c r="D72" s="100">
        <f>VLOOKUP(C72,SEEMsavings!$A$5:$L$556,11,FALSE)+VLOOKUP(C72,SEEMsavings!$A$5:$L$556,12,FALSE)</f>
        <v>4.8372927102272541E-2</v>
      </c>
      <c r="E72" s="96">
        <v>45</v>
      </c>
      <c r="F72" s="98">
        <f t="shared" si="1"/>
        <v>0.2473644911578245</v>
      </c>
      <c r="G72" s="96">
        <v>0</v>
      </c>
      <c r="H72" s="95" t="s">
        <v>1077</v>
      </c>
      <c r="I72" s="98"/>
      <c r="J72" s="27"/>
      <c r="K72" s="27"/>
      <c r="L72" s="27"/>
      <c r="M72" s="27"/>
      <c r="N72" s="27"/>
      <c r="O72" s="27"/>
      <c r="P72" s="27"/>
      <c r="Q72" s="27"/>
    </row>
    <row r="73" spans="1:17">
      <c r="A73" t="str">
        <f t="shared" ref="A73:A136" si="2">CONCATENATE(B73,C73)</f>
        <v>Multi Family Weatherization - Insulate Attic - R-30 to R-49 - Heating Zone 1 (Zonal Heating System)Multi Family Weatherization - Insulate Attic - R-30 to R-49 - Heating Zone 1 (Zonal Heating System)</v>
      </c>
      <c r="B73" s="99" t="str">
        <f>Costs!$A10&amp;" - Heating Zone 1 (Zonal Heating System)"</f>
        <v>Multi Family Weatherization - Insulate Attic - R-30 to R-49 - Heating Zone 1 (Zonal Heating System)</v>
      </c>
      <c r="C73" s="99" t="str">
        <f>Costs!$A10&amp;" - Heating Zone 1 (Zonal Heating System)"</f>
        <v>Multi Family Weatherization - Insulate Attic - R-30 to R-49 - Heating Zone 1 (Zonal Heating System)</v>
      </c>
      <c r="D73" s="100">
        <f>VLOOKUP(C73,SEEMsavings!$A$5:$L$556,11,FALSE)+VLOOKUP(C73,SEEMsavings!$A$5:$L$556,12,FALSE)</f>
        <v>8.9117779392045307E-2</v>
      </c>
      <c r="E73" s="96">
        <v>45</v>
      </c>
      <c r="F73" s="98">
        <f t="shared" si="1"/>
        <v>0.58749066649983317</v>
      </c>
      <c r="G73" s="96">
        <v>0</v>
      </c>
      <c r="H73" s="95" t="s">
        <v>1077</v>
      </c>
      <c r="I73" s="98"/>
      <c r="J73" s="27"/>
      <c r="K73" s="27"/>
      <c r="L73" s="27"/>
      <c r="M73" s="27"/>
      <c r="N73" s="27"/>
      <c r="O73" s="27"/>
      <c r="P73" s="27"/>
      <c r="Q73" s="27"/>
    </row>
    <row r="74" spans="1:17">
      <c r="A74" t="str">
        <f t="shared" si="2"/>
        <v>Multi Family Weatherization - Insulate Attic - R-38 to R-49 - Heating Zone 1 (Zonal Heating System)Multi Family Weatherization - Insulate Attic - R-38 to R-49 - Heating Zone 1 (Zonal Heating System)</v>
      </c>
      <c r="B74" s="99" t="str">
        <f>Costs!$A11&amp;" - Heating Zone 1 (Zonal Heating System)"</f>
        <v>Multi Family Weatherization - Insulate Attic - R-38 to R-49 - Heating Zone 1 (Zonal Heating System)</v>
      </c>
      <c r="C74" s="99" t="str">
        <f>Costs!$A11&amp;" - Heating Zone 1 (Zonal Heating System)"</f>
        <v>Multi Family Weatherization - Insulate Attic - R-38 to R-49 - Heating Zone 1 (Zonal Heating System)</v>
      </c>
      <c r="D74" s="100">
        <f>VLOOKUP(C74,SEEMsavings!$A$5:$L$556,11,FALSE)+VLOOKUP(C74,SEEMsavings!$A$5:$L$556,12,FALSE)</f>
        <v>4.0744852289772766E-2</v>
      </c>
      <c r="E74" s="96">
        <v>45</v>
      </c>
      <c r="F74" s="98">
        <f t="shared" si="1"/>
        <v>0.34012617534200867</v>
      </c>
      <c r="G74" s="96">
        <v>0</v>
      </c>
      <c r="H74" s="95" t="s">
        <v>1077</v>
      </c>
      <c r="I74" s="98"/>
      <c r="J74" s="27"/>
      <c r="K74" s="27"/>
      <c r="L74" s="27"/>
      <c r="M74" s="27"/>
      <c r="N74" s="27"/>
      <c r="O74" s="27"/>
      <c r="P74" s="27"/>
      <c r="Q74" s="27"/>
    </row>
    <row r="75" spans="1:17">
      <c r="A75" t="str">
        <f t="shared" si="2"/>
        <v>Multi Family Weatherization - Insulate Attic - R-19 to R-30 - Heating Zone 1 (Zonal Heating System)Multi Family Weatherization - Insulate Attic - R-19 to R-30 - Heating Zone 1 (Zonal Heating System)</v>
      </c>
      <c r="B75" s="99" t="str">
        <f>Costs!$A12&amp;" - Heating Zone 1 (Zonal Heating System)"</f>
        <v>Multi Family Weatherization - Insulate Attic - R-19 to R-30 - Heating Zone 1 (Zonal Heating System)</v>
      </c>
      <c r="C75" s="99" t="str">
        <f>Costs!$A12&amp;" - Heating Zone 1 (Zonal Heating System)"</f>
        <v>Multi Family Weatherization - Insulate Attic - R-19 to R-30 - Heating Zone 1 (Zonal Heating System)</v>
      </c>
      <c r="D75" s="100">
        <f>VLOOKUP(C75,SEEMsavings!$A$5:$L$556,11,FALSE)+VLOOKUP(C75,SEEMsavings!$A$5:$L$556,12,FALSE)</f>
        <v>0.12736346213659086</v>
      </c>
      <c r="E75" s="96">
        <v>45</v>
      </c>
      <c r="F75" s="98">
        <f t="shared" si="1"/>
        <v>0.47401945424285125</v>
      </c>
      <c r="G75" s="96">
        <v>0</v>
      </c>
      <c r="H75" s="95" t="s">
        <v>1077</v>
      </c>
      <c r="I75" s="98"/>
      <c r="J75" s="27"/>
      <c r="K75" s="27"/>
      <c r="L75" s="27"/>
      <c r="M75" s="27"/>
      <c r="N75" s="27"/>
      <c r="O75" s="27"/>
      <c r="P75" s="27"/>
      <c r="Q75" s="27"/>
    </row>
    <row r="76" spans="1:17">
      <c r="A76" t="str">
        <f t="shared" si="2"/>
        <v>Multi Family Weatherization - Insulate Attic - R-19 to R-38 - Heating Zone 1 (Zonal Heating System)Multi Family Weatherization - Insulate Attic - R-19 to R-38 - Heating Zone 1 (Zonal Heating System)</v>
      </c>
      <c r="B76" s="99" t="str">
        <f>Costs!$A13&amp;" - Heating Zone 1 (Zonal Heating System)"</f>
        <v>Multi Family Weatherization - Insulate Attic - R-19 to R-38 - Heating Zone 1 (Zonal Heating System)</v>
      </c>
      <c r="C76" s="99" t="str">
        <f>Costs!$A13&amp;" - Heating Zone 1 (Zonal Heating System)"</f>
        <v>Multi Family Weatherization - Insulate Attic - R-19 to R-38 - Heating Zone 1 (Zonal Heating System)</v>
      </c>
      <c r="D76" s="100">
        <f>VLOOKUP(C76,SEEMsavings!$A$5:$L$556,11,FALSE)+VLOOKUP(C76,SEEMsavings!$A$5:$L$556,12,FALSE)</f>
        <v>0.17573638923886342</v>
      </c>
      <c r="E76" s="96">
        <v>45</v>
      </c>
      <c r="F76" s="98">
        <f t="shared" si="1"/>
        <v>0.55283834686255773</v>
      </c>
      <c r="G76" s="96">
        <v>0</v>
      </c>
      <c r="H76" s="95" t="s">
        <v>1077</v>
      </c>
      <c r="I76" s="98"/>
      <c r="J76" s="27"/>
      <c r="K76" s="27"/>
      <c r="L76" s="27"/>
      <c r="M76" s="27"/>
      <c r="N76" s="27"/>
      <c r="O76" s="27"/>
      <c r="P76" s="27"/>
      <c r="Q76" s="27"/>
    </row>
    <row r="77" spans="1:17">
      <c r="A77" t="str">
        <f t="shared" si="2"/>
        <v>Multi Family Weatherization - Insulate Attic - R-19 to R-49 - Heating Zone 1 (Zonal Heating System)Multi Family Weatherization - Insulate Attic - R-19 to R-49 - Heating Zone 1 (Zonal Heating System)</v>
      </c>
      <c r="B77" s="99" t="str">
        <f>Costs!$A14&amp;" - Heating Zone 1 (Zonal Heating System)"</f>
        <v>Multi Family Weatherization - Insulate Attic - R-19 to R-49 - Heating Zone 1 (Zonal Heating System)</v>
      </c>
      <c r="C77" s="99" t="str">
        <f>Costs!$A14&amp;" - Heating Zone 1 (Zonal Heating System)"</f>
        <v>Multi Family Weatherization - Insulate Attic - R-19 to R-49 - Heating Zone 1 (Zonal Heating System)</v>
      </c>
      <c r="D77" s="100">
        <f>VLOOKUP(C77,SEEMsavings!$A$5:$L$556,11,FALSE)+VLOOKUP(C77,SEEMsavings!$A$5:$L$556,12,FALSE)</f>
        <v>0.21648124152863615</v>
      </c>
      <c r="E77" s="96">
        <v>45</v>
      </c>
      <c r="F77" s="98">
        <f t="shared" si="1"/>
        <v>0.65683404823881342</v>
      </c>
      <c r="G77" s="96">
        <v>0</v>
      </c>
      <c r="H77" s="95" t="s">
        <v>1077</v>
      </c>
      <c r="I77" s="98"/>
      <c r="J77" s="27"/>
      <c r="K77" s="27"/>
      <c r="L77" s="27"/>
      <c r="M77" s="27"/>
      <c r="N77" s="27"/>
      <c r="O77" s="27"/>
      <c r="P77" s="27"/>
      <c r="Q77" s="27"/>
    </row>
    <row r="78" spans="1:17">
      <c r="A78" t="str">
        <f t="shared" si="2"/>
        <v>Windows - Single Pane to Class 22 - Heating Zone 1 (Zonal Heating System)Windows - Single Pane to Class 22 - Heating Zone 1 (Zonal Heating System)</v>
      </c>
      <c r="B78" s="99" t="str">
        <f>Costs!$A15&amp;" - Heating Zone 1 (Zonal Heating System)"</f>
        <v>Windows - Single Pane to Class 22 - Heating Zone 1 (Zonal Heating System)</v>
      </c>
      <c r="C78" s="99" t="str">
        <f>Costs!$A15&amp;" - Heating Zone 1 (Zonal Heating System)"</f>
        <v>Windows - Single Pane to Class 22 - Heating Zone 1 (Zonal Heating System)</v>
      </c>
      <c r="D78" s="100">
        <f>VLOOKUP(C78,SEEMsavings!$A$5:$L$556,11,FALSE)+VLOOKUP(C78,SEEMsavings!$A$5:$L$556,12,FALSE)</f>
        <v>25.063764899824584</v>
      </c>
      <c r="E78" s="96">
        <v>45</v>
      </c>
      <c r="F78" s="98">
        <f t="shared" si="1"/>
        <v>23.269535952606116</v>
      </c>
      <c r="G78" s="96">
        <v>0</v>
      </c>
      <c r="H78" s="95" t="s">
        <v>1077</v>
      </c>
      <c r="I78" s="98"/>
      <c r="J78" s="27"/>
      <c r="K78" s="27"/>
      <c r="L78" s="27"/>
      <c r="M78" s="27"/>
      <c r="N78" s="27"/>
      <c r="O78" s="27"/>
      <c r="P78" s="27"/>
      <c r="Q78" s="27"/>
    </row>
    <row r="79" spans="1:17">
      <c r="A79" t="str">
        <f t="shared" si="2"/>
        <v>Windows - Double Pane to Class 22 - Heating Zone 1 (Zonal Heating System)Windows - Double Pane to Class 22 - Heating Zone 1 (Zonal Heating System)</v>
      </c>
      <c r="B79" s="99" t="str">
        <f>Costs!$A16&amp;" - Heating Zone 1 (Zonal Heating System)"</f>
        <v>Windows - Double Pane to Class 22 - Heating Zone 1 (Zonal Heating System)</v>
      </c>
      <c r="C79" s="99" t="str">
        <f>Costs!$A16&amp;" - Heating Zone 1 (Zonal Heating System)"</f>
        <v>Windows - Double Pane to Class 22 - Heating Zone 1 (Zonal Heating System)</v>
      </c>
      <c r="D79" s="100">
        <f>VLOOKUP(C79,SEEMsavings!$A$5:$L$556,11,FALSE)+VLOOKUP(C79,SEEMsavings!$A$5:$L$556,12,FALSE)</f>
        <v>14.717901643645687</v>
      </c>
      <c r="E79" s="96">
        <v>45</v>
      </c>
      <c r="F79" s="98">
        <f t="shared" si="1"/>
        <v>23.269535952606116</v>
      </c>
      <c r="G79" s="96">
        <v>0</v>
      </c>
      <c r="H79" s="95" t="s">
        <v>1077</v>
      </c>
      <c r="I79" s="98"/>
      <c r="J79" s="27"/>
      <c r="K79" s="27"/>
      <c r="L79" s="27"/>
      <c r="M79" s="27"/>
      <c r="N79" s="27"/>
      <c r="O79" s="27"/>
      <c r="P79" s="27"/>
      <c r="Q79" s="27"/>
    </row>
    <row r="80" spans="1:17">
      <c r="A80" t="str">
        <f t="shared" si="2"/>
        <v>Windows - Single Pane to Class 30 - Heating Zone 1 (Zonal Heating System)Windows - Single Pane to Class 30 - Heating Zone 1 (Zonal Heating System)</v>
      </c>
      <c r="B80" s="99" t="str">
        <f>Costs!$A17&amp;" - Heating Zone 1 (Zonal Heating System)"</f>
        <v>Windows - Single Pane to Class 30 - Heating Zone 1 (Zonal Heating System)</v>
      </c>
      <c r="C80" s="99" t="str">
        <f>Costs!$A17&amp;" - Heating Zone 1 (Zonal Heating System)"</f>
        <v>Windows - Single Pane to Class 30 - Heating Zone 1 (Zonal Heating System)</v>
      </c>
      <c r="D80" s="100">
        <f>VLOOKUP(C80,SEEMsavings!$A$5:$L$556,11,FALSE)+VLOOKUP(C80,SEEMsavings!$A$5:$L$556,12,FALSE)</f>
        <v>23.0506223914796</v>
      </c>
      <c r="E80" s="96">
        <v>45</v>
      </c>
      <c r="F80" s="98">
        <f t="shared" si="1"/>
        <v>17.810142881355933</v>
      </c>
      <c r="G80" s="96">
        <v>0</v>
      </c>
      <c r="H80" s="95" t="s">
        <v>1077</v>
      </c>
      <c r="I80" s="98"/>
      <c r="J80" s="27"/>
      <c r="K80" s="27"/>
      <c r="L80" s="27"/>
      <c r="M80" s="27"/>
      <c r="N80" s="27"/>
      <c r="O80" s="27"/>
      <c r="P80" s="27"/>
      <c r="Q80" s="27"/>
    </row>
    <row r="81" spans="1:17">
      <c r="A81" t="str">
        <f t="shared" si="2"/>
        <v>Windows - Double Pane to Class 30 - Heating Zone 1 (Zonal Heating System)Windows - Double Pane to Class 30 - Heating Zone 1 (Zonal Heating System)</v>
      </c>
      <c r="B81" s="99" t="str">
        <f>Costs!$A18&amp;" - Heating Zone 1 (Zonal Heating System)"</f>
        <v>Windows - Double Pane to Class 30 - Heating Zone 1 (Zonal Heating System)</v>
      </c>
      <c r="C81" s="99" t="str">
        <f>Costs!$A18&amp;" - Heating Zone 1 (Zonal Heating System)"</f>
        <v>Windows - Double Pane to Class 30 - Heating Zone 1 (Zonal Heating System)</v>
      </c>
      <c r="D81" s="100">
        <f>VLOOKUP(C81,SEEMsavings!$A$5:$L$556,11,FALSE)+VLOOKUP(C81,SEEMsavings!$A$5:$L$556,12,FALSE)</f>
        <v>12.704759135300696</v>
      </c>
      <c r="E81" s="96">
        <v>45</v>
      </c>
      <c r="F81" s="98">
        <f t="shared" si="1"/>
        <v>17.810142881355933</v>
      </c>
      <c r="G81" s="96">
        <v>0</v>
      </c>
      <c r="H81" s="95" t="s">
        <v>1077</v>
      </c>
      <c r="I81" s="98"/>
      <c r="J81" s="27"/>
      <c r="K81" s="27"/>
      <c r="L81" s="27"/>
      <c r="M81" s="27"/>
      <c r="N81" s="27"/>
      <c r="O81" s="27"/>
      <c r="P81" s="27"/>
      <c r="Q81" s="27"/>
    </row>
    <row r="82" spans="1:17">
      <c r="A82" t="str">
        <f t="shared" si="2"/>
        <v>Windows - Class 35 to Class 30 - Heating Zone 1 (Zonal Heating System)Windows - Class 35 to Class 30 - Heating Zone 1 (Zonal Heating System)</v>
      </c>
      <c r="B82" s="99" t="str">
        <f>Costs!$A19&amp;" - Heating Zone 1 (Zonal Heating System)"</f>
        <v>Windows - Class 35 to Class 30 - Heating Zone 1 (Zonal Heating System)</v>
      </c>
      <c r="C82" s="99" t="str">
        <f>Costs!$A19&amp;" - Heating Zone 1 (Zonal Heating System)"</f>
        <v>Windows - Class 35 to Class 30 - Heating Zone 1 (Zonal Heating System)</v>
      </c>
      <c r="D82" s="100">
        <f>VLOOKUP(C82,SEEMsavings!$A$5:$L$556,11,FALSE)+VLOOKUP(C82,SEEMsavings!$A$5:$L$556,12,FALSE)</f>
        <v>1.3792137015646844</v>
      </c>
      <c r="E82" s="96">
        <v>45</v>
      </c>
      <c r="F82" s="98">
        <f t="shared" si="1"/>
        <v>1.8290398716390079</v>
      </c>
      <c r="G82" s="96">
        <v>0</v>
      </c>
      <c r="H82" s="95" t="s">
        <v>1077</v>
      </c>
      <c r="I82" s="98"/>
      <c r="J82" s="27"/>
      <c r="K82" s="27"/>
      <c r="L82" s="27"/>
      <c r="M82" s="27"/>
      <c r="N82" s="27"/>
      <c r="O82" s="27"/>
      <c r="P82" s="27"/>
      <c r="Q82" s="27"/>
    </row>
    <row r="83" spans="1:17">
      <c r="A83" t="str">
        <f t="shared" si="2"/>
        <v>Windows - Class 35 to Class 22 - Heating Zone 1 (Zonal Heating System)Windows - Class 35 to Class 22 - Heating Zone 1 (Zonal Heating System)</v>
      </c>
      <c r="B83" s="99" t="str">
        <f>Costs!$A20&amp;" - Heating Zone 1 (Zonal Heating System)"</f>
        <v>Windows - Class 35 to Class 22 - Heating Zone 1 (Zonal Heating System)</v>
      </c>
      <c r="C83" s="99" t="str">
        <f>Costs!$A20&amp;" - Heating Zone 1 (Zonal Heating System)"</f>
        <v>Windows - Class 35 to Class 22 - Heating Zone 1 (Zonal Heating System)</v>
      </c>
      <c r="D83" s="100">
        <f>VLOOKUP(C83,SEEMsavings!$A$5:$L$556,11,FALSE)+VLOOKUP(C83,SEEMsavings!$A$5:$L$556,12,FALSE)</f>
        <v>3.3923562099096731</v>
      </c>
      <c r="E83" s="96">
        <v>45</v>
      </c>
      <c r="F83" s="98">
        <f t="shared" si="1"/>
        <v>7.288432942889191</v>
      </c>
      <c r="G83" s="96">
        <v>0</v>
      </c>
      <c r="H83" s="95" t="s">
        <v>1077</v>
      </c>
      <c r="I83" s="98"/>
      <c r="J83" s="27"/>
      <c r="K83" s="27"/>
      <c r="L83" s="27"/>
      <c r="M83" s="27"/>
      <c r="N83" s="27"/>
      <c r="O83" s="27"/>
      <c r="P83" s="27"/>
      <c r="Q83" s="27"/>
    </row>
    <row r="84" spans="1:17">
      <c r="A84" t="str">
        <f t="shared" si="2"/>
        <v>Multi Family Weatherization - Insulate Walls - R-0 to R-11 - Heating Zone 2 (Zonal Heating System)Multi Family Weatherization - Insulate Walls - R-0 to R-11 - Heating Zone 2 (Zonal Heating System)</v>
      </c>
      <c r="B84" s="99" t="str">
        <f>Costs!$A2&amp;" - Heating Zone 2 (Zonal Heating System)"</f>
        <v>Multi Family Weatherization - Insulate Walls - R-0 to R-11 - Heating Zone 2 (Zonal Heating System)</v>
      </c>
      <c r="C84" s="99" t="str">
        <f>Costs!$A2&amp;" - Heating Zone 2 (Zonal Heating System)"</f>
        <v>Multi Family Weatherization - Insulate Walls - R-0 to R-11 - Heating Zone 2 (Zonal Heating System)</v>
      </c>
      <c r="D84" s="100">
        <f>VLOOKUP(C84,SEEMsavings!$A$5:$L$556,11,FALSE)+VLOOKUP(C84,SEEMsavings!$A$5:$L$556,12,FALSE)</f>
        <v>1.859176348801709</v>
      </c>
      <c r="E84" s="96">
        <v>45</v>
      </c>
      <c r="F84" s="98">
        <f t="shared" si="1"/>
        <v>1.0354836592527603</v>
      </c>
      <c r="G84" s="96">
        <v>0</v>
      </c>
      <c r="H84" s="95" t="s">
        <v>1077</v>
      </c>
      <c r="I84" s="98"/>
      <c r="J84" s="27"/>
      <c r="K84" s="27"/>
      <c r="L84" s="27"/>
      <c r="M84" s="27"/>
      <c r="N84" s="27"/>
      <c r="O84" s="27"/>
      <c r="P84" s="27"/>
      <c r="Q84" s="27"/>
    </row>
    <row r="85" spans="1:17">
      <c r="A85" t="str">
        <f t="shared" si="2"/>
        <v>Multi Family Weatherization - Insulate Floors - R-0 to R-19 - Heating Zone 2 (Zonal Heating System)Multi Family Weatherization - Insulate Floors - R-0 to R-19 - Heating Zone 2 (Zonal Heating System)</v>
      </c>
      <c r="B85" s="99" t="str">
        <f>Costs!$A3&amp;" - Heating Zone 2 (Zonal Heating System)"</f>
        <v>Multi Family Weatherization - Insulate Floors - R-0 to R-19 - Heating Zone 2 (Zonal Heating System)</v>
      </c>
      <c r="C85" s="99" t="str">
        <f>Costs!$A3&amp;" - Heating Zone 2 (Zonal Heating System)"</f>
        <v>Multi Family Weatherization - Insulate Floors - R-0 to R-19 - Heating Zone 2 (Zonal Heating System)</v>
      </c>
      <c r="D85" s="100">
        <f>VLOOKUP(C85,SEEMsavings!$A$5:$L$556,11,FALSE)+VLOOKUP(C85,SEEMsavings!$A$5:$L$556,12,FALSE)</f>
        <v>0.76270627381911749</v>
      </c>
      <c r="E85" s="96">
        <v>45</v>
      </c>
      <c r="F85" s="98">
        <f t="shared" si="1"/>
        <v>0.91799940108959477</v>
      </c>
      <c r="G85" s="96">
        <v>0</v>
      </c>
      <c r="H85" s="95" t="s">
        <v>1077</v>
      </c>
      <c r="I85" s="98"/>
      <c r="J85" s="27"/>
      <c r="K85" s="27"/>
      <c r="L85" s="27"/>
      <c r="M85" s="27"/>
      <c r="N85" s="27"/>
      <c r="O85" s="27"/>
      <c r="P85" s="27"/>
      <c r="Q85" s="27"/>
    </row>
    <row r="86" spans="1:17">
      <c r="A86" t="str">
        <f t="shared" si="2"/>
        <v>Multi Family Weatherization - Insulate Floors - R-0 to R-30 - Heating Zone 2 (Zonal Heating System)Multi Family Weatherization - Insulate Floors - R-0 to R-30 - Heating Zone 2 (Zonal Heating System)</v>
      </c>
      <c r="B86" s="99" t="str">
        <f>Costs!$A4&amp;" - Heating Zone 2 (Zonal Heating System)"</f>
        <v>Multi Family Weatherization - Insulate Floors - R-0 to R-30 - Heating Zone 2 (Zonal Heating System)</v>
      </c>
      <c r="C86" s="99" t="str">
        <f>Costs!$A4&amp;" - Heating Zone 2 (Zonal Heating System)"</f>
        <v>Multi Family Weatherization - Insulate Floors - R-0 to R-30 - Heating Zone 2 (Zonal Heating System)</v>
      </c>
      <c r="D86" s="100">
        <f>VLOOKUP(C86,SEEMsavings!$A$5:$L$556,11,FALSE)+VLOOKUP(C86,SEEMsavings!$A$5:$L$556,12,FALSE)</f>
        <v>0.99549709654184426</v>
      </c>
      <c r="E86" s="96">
        <v>45</v>
      </c>
      <c r="F86" s="98">
        <f t="shared" si="1"/>
        <v>0.98244865861375763</v>
      </c>
      <c r="G86" s="96">
        <v>0</v>
      </c>
      <c r="H86" s="95" t="s">
        <v>1077</v>
      </c>
      <c r="I86" s="98"/>
      <c r="J86" s="27"/>
      <c r="K86" s="27"/>
      <c r="L86" s="27"/>
      <c r="M86" s="27"/>
      <c r="N86" s="27"/>
      <c r="O86" s="27"/>
      <c r="P86" s="27"/>
      <c r="Q86" s="27"/>
    </row>
    <row r="87" spans="1:17" ht="25.5">
      <c r="A87" t="str">
        <f t="shared" si="2"/>
        <v>Multi Family Weatherization - Insulate Floors - R-19 to R-30 - Heating Zone 2 (Zonal Heating System)Multi Family Weatherization - Insulate Floors - R-19 to R-30 - Heating Zone 2 (Zonal Heating System)</v>
      </c>
      <c r="B87" s="99" t="str">
        <f>Costs!$A5&amp;" - Heating Zone 2 (Zonal Heating System)"</f>
        <v>Multi Family Weatherization - Insulate Floors - R-19 to R-30 - Heating Zone 2 (Zonal Heating System)</v>
      </c>
      <c r="C87" s="99" t="str">
        <f>Costs!$A5&amp;" - Heating Zone 2 (Zonal Heating System)"</f>
        <v>Multi Family Weatherization - Insulate Floors - R-19 to R-30 - Heating Zone 2 (Zonal Heating System)</v>
      </c>
      <c r="D87" s="100">
        <f>VLOOKUP(C87,SEEMsavings!$A$5:$L$556,11,FALSE)+VLOOKUP(C87,SEEMsavings!$A$5:$L$556,12,FALSE)</f>
        <v>0.23279082272272686</v>
      </c>
      <c r="E87" s="96">
        <v>45</v>
      </c>
      <c r="F87" s="98">
        <f t="shared" si="1"/>
        <v>0.64785245801359526</v>
      </c>
      <c r="G87" s="96">
        <v>0</v>
      </c>
      <c r="H87" s="95" t="s">
        <v>1077</v>
      </c>
      <c r="I87" s="98"/>
      <c r="J87" s="27"/>
      <c r="K87" s="27"/>
      <c r="L87" s="27"/>
      <c r="M87" s="27"/>
      <c r="N87" s="27"/>
      <c r="O87" s="27"/>
      <c r="P87" s="27"/>
      <c r="Q87" s="27"/>
    </row>
    <row r="88" spans="1:17">
      <c r="A88" t="str">
        <f t="shared" si="2"/>
        <v>Multi Family Weatherization - Insulate Attic - R-0 to R-19 - Heating Zone 2 (Zonal Heating System)Multi Family Weatherization - Insulate Attic - R-0 to R-19 - Heating Zone 2 (Zonal Heating System)</v>
      </c>
      <c r="B88" s="99" t="str">
        <f>Costs!$A6&amp;" - Heating Zone 2 (Zonal Heating System)"</f>
        <v>Multi Family Weatherization - Insulate Attic - R-0 to R-19 - Heating Zone 2 (Zonal Heating System)</v>
      </c>
      <c r="C88" s="99" t="str">
        <f>Costs!$A6&amp;" - Heating Zone 2 (Zonal Heating System)"</f>
        <v>Multi Family Weatherization - Insulate Attic - R-0 to R-19 - Heating Zone 2 (Zonal Heating System)</v>
      </c>
      <c r="D88" s="100">
        <f>VLOOKUP(C88,SEEMsavings!$A$5:$L$556,11,FALSE)+VLOOKUP(C88,SEEMsavings!$A$5:$L$556,12,FALSE)</f>
        <v>0.48317606585602269</v>
      </c>
      <c r="E88" s="96">
        <v>45</v>
      </c>
      <c r="F88" s="98">
        <f t="shared" si="1"/>
        <v>0.54914779043329487</v>
      </c>
      <c r="G88" s="96">
        <v>0</v>
      </c>
      <c r="H88" s="95" t="s">
        <v>1077</v>
      </c>
      <c r="I88" s="98"/>
      <c r="J88" s="27"/>
      <c r="K88" s="27"/>
      <c r="L88" s="27"/>
      <c r="M88" s="27"/>
      <c r="N88" s="27"/>
      <c r="O88" s="27"/>
      <c r="P88" s="27"/>
      <c r="Q88" s="27"/>
    </row>
    <row r="89" spans="1:17">
      <c r="A89" t="str">
        <f t="shared" si="2"/>
        <v>Multi Family Weatherization - Insulate Attic - R-0 to R-38 - Heating Zone 2 (Zonal Heating System)Multi Family Weatherization - Insulate Attic - R-0 to R-38 - Heating Zone 2 (Zonal Heating System)</v>
      </c>
      <c r="B89" s="99" t="str">
        <f>Costs!$A7&amp;" - Heating Zone 2 (Zonal Heating System)"</f>
        <v>Multi Family Weatherization - Insulate Attic - R-0 to R-38 - Heating Zone 2 (Zonal Heating System)</v>
      </c>
      <c r="C89" s="99" t="str">
        <f>Costs!$A7&amp;" - Heating Zone 2 (Zonal Heating System)"</f>
        <v>Multi Family Weatherization - Insulate Attic - R-0 to R-38 - Heating Zone 2 (Zonal Heating System)</v>
      </c>
      <c r="D89" s="100">
        <f>VLOOKUP(C89,SEEMsavings!$A$5:$L$556,11,FALSE)+VLOOKUP(C89,SEEMsavings!$A$5:$L$556,12,FALSE)</f>
        <v>0.65943074865693219</v>
      </c>
      <c r="E89" s="96">
        <v>45</v>
      </c>
      <c r="F89" s="98">
        <f t="shared" si="1"/>
        <v>0.73246728560336305</v>
      </c>
      <c r="G89" s="96">
        <v>0</v>
      </c>
      <c r="H89" s="95" t="s">
        <v>1077</v>
      </c>
      <c r="I89" s="98"/>
      <c r="J89" s="27"/>
      <c r="K89" s="27"/>
      <c r="L89" s="27"/>
      <c r="M89" s="27"/>
      <c r="N89" s="27"/>
      <c r="O89" s="27"/>
      <c r="P89" s="27"/>
      <c r="Q89" s="27"/>
    </row>
    <row r="90" spans="1:17">
      <c r="A90" t="str">
        <f t="shared" si="2"/>
        <v>Multi Family Weatherization - Insulate Attic - R-0 to R-49 - Heating Zone 2 (Zonal Heating System)Multi Family Weatherization - Insulate Attic - R-0 to R-49 - Heating Zone 2 (Zonal Heating System)</v>
      </c>
      <c r="B90" s="99" t="str">
        <f>Costs!$A8&amp;" - Heating Zone 2 (Zonal Heating System)"</f>
        <v>Multi Family Weatherization - Insulate Attic - R-0 to R-49 - Heating Zone 2 (Zonal Heating System)</v>
      </c>
      <c r="C90" s="99" t="str">
        <f>Costs!$A8&amp;" - Heating Zone 2 (Zonal Heating System)"</f>
        <v>Multi Family Weatherization - Insulate Attic - R-0 to R-49 - Heating Zone 2 (Zonal Heating System)</v>
      </c>
      <c r="D90" s="100">
        <f>VLOOKUP(C90,SEEMsavings!$A$5:$L$556,11,FALSE)+VLOOKUP(C90,SEEMsavings!$A$5:$L$556,12,FALSE)</f>
        <v>0.70037432234965902</v>
      </c>
      <c r="E90" s="96">
        <v>45</v>
      </c>
      <c r="F90" s="98">
        <f t="shared" si="1"/>
        <v>0.83087905114745864</v>
      </c>
      <c r="G90" s="96">
        <v>0</v>
      </c>
      <c r="H90" s="95" t="s">
        <v>1077</v>
      </c>
      <c r="I90" s="98"/>
      <c r="J90" s="27"/>
      <c r="K90" s="27"/>
      <c r="L90" s="27"/>
      <c r="M90" s="27"/>
      <c r="N90" s="27"/>
      <c r="O90" s="27"/>
      <c r="P90" s="27"/>
      <c r="Q90" s="27"/>
    </row>
    <row r="91" spans="1:17">
      <c r="A91" t="str">
        <f t="shared" si="2"/>
        <v>Multi Family Weatherization - Insulate Attic - R-30 to R-38 - Heating Zone 2 (Zonal Heating System)Multi Family Weatherization - Insulate Attic - R-30 to R-38 - Heating Zone 2 (Zonal Heating System)</v>
      </c>
      <c r="B91" s="99" t="str">
        <f>Costs!$A9&amp;" - Heating Zone 2 (Zonal Heating System)"</f>
        <v>Multi Family Weatherization - Insulate Attic - R-30 to R-38 - Heating Zone 2 (Zonal Heating System)</v>
      </c>
      <c r="C91" s="99" t="str">
        <f>Costs!$A9&amp;" - Heating Zone 2 (Zonal Heating System)"</f>
        <v>Multi Family Weatherization - Insulate Attic - R-30 to R-38 - Heating Zone 2 (Zonal Heating System)</v>
      </c>
      <c r="D91" s="100">
        <f>VLOOKUP(C91,SEEMsavings!$A$5:$L$556,11,FALSE)+VLOOKUP(C91,SEEMsavings!$A$5:$L$556,12,FALSE)</f>
        <v>4.8575276758636633E-2</v>
      </c>
      <c r="E91" s="96">
        <v>45</v>
      </c>
      <c r="F91" s="98">
        <f t="shared" ref="F91:F154" si="3">F72</f>
        <v>0.2473644911578245</v>
      </c>
      <c r="G91" s="96">
        <v>0</v>
      </c>
      <c r="H91" s="95" t="s">
        <v>1077</v>
      </c>
      <c r="I91" s="98"/>
      <c r="J91" s="27"/>
      <c r="K91" s="27"/>
      <c r="L91" s="27"/>
      <c r="M91" s="27"/>
      <c r="N91" s="27"/>
      <c r="O91" s="27"/>
      <c r="P91" s="27"/>
      <c r="Q91" s="27"/>
    </row>
    <row r="92" spans="1:17">
      <c r="A92" t="str">
        <f t="shared" si="2"/>
        <v>Multi Family Weatherization - Insulate Attic - R-30 to R-49 - Heating Zone 2 (Zonal Heating System)Multi Family Weatherization - Insulate Attic - R-30 to R-49 - Heating Zone 2 (Zonal Heating System)</v>
      </c>
      <c r="B92" s="99" t="str">
        <f>Costs!$A10&amp;" - Heating Zone 2 (Zonal Heating System)"</f>
        <v>Multi Family Weatherization - Insulate Attic - R-30 to R-49 - Heating Zone 2 (Zonal Heating System)</v>
      </c>
      <c r="C92" s="99" t="str">
        <f>Costs!$A10&amp;" - Heating Zone 2 (Zonal Heating System)"</f>
        <v>Multi Family Weatherization - Insulate Attic - R-30 to R-49 - Heating Zone 2 (Zonal Heating System)</v>
      </c>
      <c r="D92" s="100">
        <f>VLOOKUP(C92,SEEMsavings!$A$5:$L$556,11,FALSE)+VLOOKUP(C92,SEEMsavings!$A$5:$L$556,12,FALSE)</f>
        <v>8.951885045136343E-2</v>
      </c>
      <c r="E92" s="96">
        <v>45</v>
      </c>
      <c r="F92" s="98">
        <f t="shared" si="3"/>
        <v>0.58749066649983317</v>
      </c>
      <c r="G92" s="96">
        <v>0</v>
      </c>
      <c r="H92" s="95" t="s">
        <v>1077</v>
      </c>
      <c r="I92" s="98"/>
      <c r="J92" s="27"/>
      <c r="K92" s="27"/>
      <c r="L92" s="27"/>
      <c r="M92" s="27"/>
      <c r="N92" s="27"/>
      <c r="O92" s="27"/>
      <c r="P92" s="27"/>
      <c r="Q92" s="27"/>
    </row>
    <row r="93" spans="1:17">
      <c r="A93" t="str">
        <f t="shared" si="2"/>
        <v>Multi Family Weatherization - Insulate Attic - R-38 to R-49 - Heating Zone 2 (Zonal Heating System)Multi Family Weatherization - Insulate Attic - R-38 to R-49 - Heating Zone 2 (Zonal Heating System)</v>
      </c>
      <c r="B93" s="99" t="str">
        <f>Costs!$A11&amp;" - Heating Zone 2 (Zonal Heating System)"</f>
        <v>Multi Family Weatherization - Insulate Attic - R-38 to R-49 - Heating Zone 2 (Zonal Heating System)</v>
      </c>
      <c r="C93" s="99" t="str">
        <f>Costs!$A11&amp;" - Heating Zone 2 (Zonal Heating System)"</f>
        <v>Multi Family Weatherization - Insulate Attic - R-38 to R-49 - Heating Zone 2 (Zonal Heating System)</v>
      </c>
      <c r="D93" s="100">
        <f>VLOOKUP(C93,SEEMsavings!$A$5:$L$556,11,FALSE)+VLOOKUP(C93,SEEMsavings!$A$5:$L$556,12,FALSE)</f>
        <v>4.094357369272679E-2</v>
      </c>
      <c r="E93" s="96">
        <v>45</v>
      </c>
      <c r="F93" s="98">
        <f t="shared" si="3"/>
        <v>0.34012617534200867</v>
      </c>
      <c r="G93" s="96">
        <v>0</v>
      </c>
      <c r="H93" s="95" t="s">
        <v>1077</v>
      </c>
      <c r="I93" s="98"/>
      <c r="J93" s="27"/>
      <c r="K93" s="27"/>
      <c r="L93" s="27"/>
      <c r="M93" s="27"/>
      <c r="N93" s="27"/>
      <c r="O93" s="27"/>
      <c r="P93" s="27"/>
      <c r="Q93" s="27"/>
    </row>
    <row r="94" spans="1:17">
      <c r="A94" t="str">
        <f t="shared" si="2"/>
        <v>Multi Family Weatherization - Insulate Attic - R-19 to R-30 - Heating Zone 2 (Zonal Heating System)Multi Family Weatherization - Insulate Attic - R-19 to R-30 - Heating Zone 2 (Zonal Heating System)</v>
      </c>
      <c r="B94" s="99" t="str">
        <f>Costs!$A12&amp;" - Heating Zone 2 (Zonal Heating System)"</f>
        <v>Multi Family Weatherization - Insulate Attic - R-19 to R-30 - Heating Zone 2 (Zonal Heating System)</v>
      </c>
      <c r="C94" s="99" t="str">
        <f>Costs!$A12&amp;" - Heating Zone 2 (Zonal Heating System)"</f>
        <v>Multi Family Weatherization - Insulate Attic - R-19 to R-30 - Heating Zone 2 (Zonal Heating System)</v>
      </c>
      <c r="D94" s="100">
        <f>VLOOKUP(C94,SEEMsavings!$A$5:$L$556,11,FALSE)+VLOOKUP(C94,SEEMsavings!$A$5:$L$556,12,FALSE)</f>
        <v>0.12767940604227285</v>
      </c>
      <c r="E94" s="96">
        <v>45</v>
      </c>
      <c r="F94" s="98">
        <f t="shared" si="3"/>
        <v>0.47401945424285125</v>
      </c>
      <c r="G94" s="96">
        <v>0</v>
      </c>
      <c r="H94" s="95" t="s">
        <v>1077</v>
      </c>
      <c r="I94" s="98"/>
      <c r="J94" s="27"/>
      <c r="K94" s="27"/>
      <c r="L94" s="27"/>
      <c r="M94" s="27"/>
      <c r="N94" s="27"/>
      <c r="O94" s="27"/>
      <c r="P94" s="27"/>
      <c r="Q94" s="27"/>
    </row>
    <row r="95" spans="1:17">
      <c r="A95" t="str">
        <f t="shared" si="2"/>
        <v>Multi Family Weatherization - Insulate Attic - R-19 to R-38 - Heating Zone 2 (Zonal Heating System)Multi Family Weatherization - Insulate Attic - R-19 to R-38 - Heating Zone 2 (Zonal Heating System)</v>
      </c>
      <c r="B95" s="99" t="str">
        <f>Costs!$A13&amp;" - Heating Zone 2 (Zonal Heating System)"</f>
        <v>Multi Family Weatherization - Insulate Attic - R-19 to R-38 - Heating Zone 2 (Zonal Heating System)</v>
      </c>
      <c r="C95" s="99" t="str">
        <f>Costs!$A13&amp;" - Heating Zone 2 (Zonal Heating System)"</f>
        <v>Multi Family Weatherization - Insulate Attic - R-19 to R-38 - Heating Zone 2 (Zonal Heating System)</v>
      </c>
      <c r="D95" s="100">
        <f>VLOOKUP(C95,SEEMsavings!$A$5:$L$556,11,FALSE)+VLOOKUP(C95,SEEMsavings!$A$5:$L$556,12,FALSE)</f>
        <v>0.17625468280090947</v>
      </c>
      <c r="E95" s="96">
        <v>45</v>
      </c>
      <c r="F95" s="98">
        <f t="shared" si="3"/>
        <v>0.55283834686255773</v>
      </c>
      <c r="G95" s="96">
        <v>0</v>
      </c>
      <c r="H95" s="95" t="s">
        <v>1077</v>
      </c>
      <c r="I95" s="98"/>
      <c r="J95" s="27"/>
      <c r="K95" s="27"/>
      <c r="L95" s="27"/>
      <c r="M95" s="27"/>
      <c r="N95" s="27"/>
      <c r="O95" s="27"/>
      <c r="P95" s="27"/>
      <c r="Q95" s="27"/>
    </row>
    <row r="96" spans="1:17">
      <c r="A96" t="str">
        <f t="shared" si="2"/>
        <v>Multi Family Weatherization - Insulate Attic - R-19 to R-49 - Heating Zone 2 (Zonal Heating System)Multi Family Weatherization - Insulate Attic - R-19 to R-49 - Heating Zone 2 (Zonal Heating System)</v>
      </c>
      <c r="B96" s="99" t="str">
        <f>Costs!$A14&amp;" - Heating Zone 2 (Zonal Heating System)"</f>
        <v>Multi Family Weatherization - Insulate Attic - R-19 to R-49 - Heating Zone 2 (Zonal Heating System)</v>
      </c>
      <c r="C96" s="99" t="str">
        <f>Costs!$A14&amp;" - Heating Zone 2 (Zonal Heating System)"</f>
        <v>Multi Family Weatherization - Insulate Attic - R-19 to R-49 - Heating Zone 2 (Zonal Heating System)</v>
      </c>
      <c r="D96" s="100">
        <f>VLOOKUP(C96,SEEMsavings!$A$5:$L$556,11,FALSE)+VLOOKUP(C96,SEEMsavings!$A$5:$L$556,12,FALSE)</f>
        <v>0.21719825649363625</v>
      </c>
      <c r="E96" s="96">
        <v>45</v>
      </c>
      <c r="F96" s="98">
        <f t="shared" si="3"/>
        <v>0.65683404823881342</v>
      </c>
      <c r="G96" s="96">
        <v>0</v>
      </c>
      <c r="H96" s="95" t="s">
        <v>1077</v>
      </c>
      <c r="I96" s="98"/>
      <c r="J96" s="27"/>
      <c r="K96" s="27"/>
      <c r="L96" s="27"/>
      <c r="M96" s="27"/>
      <c r="N96" s="27"/>
      <c r="O96" s="27"/>
      <c r="P96" s="27"/>
      <c r="Q96" s="27"/>
    </row>
    <row r="97" spans="1:17">
      <c r="A97" t="str">
        <f t="shared" si="2"/>
        <v>Windows - Single Pane to Class 22 - Heating Zone 2 (Zonal Heating System)Windows - Single Pane to Class 22 - Heating Zone 2 (Zonal Heating System)</v>
      </c>
      <c r="B97" s="99" t="str">
        <f>Costs!$A15&amp;" - Heating Zone 2 (Zonal Heating System)"</f>
        <v>Windows - Single Pane to Class 22 - Heating Zone 2 (Zonal Heating System)</v>
      </c>
      <c r="C97" s="99" t="str">
        <f>Costs!$A15&amp;" - Heating Zone 2 (Zonal Heating System)"</f>
        <v>Windows - Single Pane to Class 22 - Heating Zone 2 (Zonal Heating System)</v>
      </c>
      <c r="D97" s="100">
        <f>VLOOKUP(C97,SEEMsavings!$A$5:$L$556,11,FALSE)+VLOOKUP(C97,SEEMsavings!$A$5:$L$556,12,FALSE)</f>
        <v>33.880879731729017</v>
      </c>
      <c r="E97" s="96">
        <v>45</v>
      </c>
      <c r="F97" s="98">
        <f t="shared" si="3"/>
        <v>23.269535952606116</v>
      </c>
      <c r="G97" s="96">
        <v>0</v>
      </c>
      <c r="H97" s="95" t="s">
        <v>1077</v>
      </c>
      <c r="I97" s="98"/>
      <c r="J97" s="27"/>
      <c r="K97" s="27"/>
      <c r="L97" s="27"/>
      <c r="M97" s="27"/>
      <c r="N97" s="27"/>
      <c r="O97" s="27"/>
      <c r="P97" s="27"/>
      <c r="Q97" s="27"/>
    </row>
    <row r="98" spans="1:17">
      <c r="A98" t="str">
        <f t="shared" si="2"/>
        <v>Windows - Double Pane to Class 22 - Heating Zone 2 (Zonal Heating System)Windows - Double Pane to Class 22 - Heating Zone 2 (Zonal Heating System)</v>
      </c>
      <c r="B98" s="99" t="str">
        <f>Costs!$A16&amp;" - Heating Zone 2 (Zonal Heating System)"</f>
        <v>Windows - Double Pane to Class 22 - Heating Zone 2 (Zonal Heating System)</v>
      </c>
      <c r="C98" s="99" t="str">
        <f>Costs!$A16&amp;" - Heating Zone 2 (Zonal Heating System)"</f>
        <v>Windows - Double Pane to Class 22 - Heating Zone 2 (Zonal Heating System)</v>
      </c>
      <c r="D98" s="100">
        <f>VLOOKUP(C98,SEEMsavings!$A$5:$L$556,11,FALSE)+VLOOKUP(C98,SEEMsavings!$A$5:$L$556,12,FALSE)</f>
        <v>20.204047936502523</v>
      </c>
      <c r="E98" s="96">
        <v>45</v>
      </c>
      <c r="F98" s="98">
        <f t="shared" si="3"/>
        <v>23.269535952606116</v>
      </c>
      <c r="G98" s="96">
        <v>0</v>
      </c>
      <c r="H98" s="95" t="s">
        <v>1077</v>
      </c>
      <c r="I98" s="98"/>
      <c r="J98" s="27"/>
      <c r="K98" s="27"/>
      <c r="L98" s="27"/>
      <c r="M98" s="27"/>
      <c r="N98" s="27"/>
      <c r="O98" s="27"/>
      <c r="P98" s="27"/>
      <c r="Q98" s="27"/>
    </row>
    <row r="99" spans="1:17">
      <c r="A99" t="str">
        <f t="shared" si="2"/>
        <v>Windows - Single Pane to Class 30 - Heating Zone 2 (Zonal Heating System)Windows - Single Pane to Class 30 - Heating Zone 2 (Zonal Heating System)</v>
      </c>
      <c r="B99" s="99" t="str">
        <f>Costs!$A17&amp;" - Heating Zone 2 (Zonal Heating System)"</f>
        <v>Windows - Single Pane to Class 30 - Heating Zone 2 (Zonal Heating System)</v>
      </c>
      <c r="C99" s="99" t="str">
        <f>Costs!$A17&amp;" - Heating Zone 2 (Zonal Heating System)"</f>
        <v>Windows - Single Pane to Class 30 - Heating Zone 2 (Zonal Heating System)</v>
      </c>
      <c r="D99" s="100">
        <f>VLOOKUP(C99,SEEMsavings!$A$5:$L$556,11,FALSE)+VLOOKUP(C99,SEEMsavings!$A$5:$L$556,12,FALSE)</f>
        <v>31.081808636926379</v>
      </c>
      <c r="E99" s="96">
        <v>45</v>
      </c>
      <c r="F99" s="98">
        <f t="shared" si="3"/>
        <v>17.810142881355933</v>
      </c>
      <c r="G99" s="96">
        <v>0</v>
      </c>
      <c r="H99" s="95" t="s">
        <v>1077</v>
      </c>
      <c r="I99" s="98"/>
      <c r="J99" s="27"/>
      <c r="K99" s="27"/>
      <c r="L99" s="27"/>
      <c r="M99" s="27"/>
      <c r="N99" s="27"/>
      <c r="O99" s="27"/>
      <c r="P99" s="27"/>
      <c r="Q99" s="27"/>
    </row>
    <row r="100" spans="1:17">
      <c r="A100" t="str">
        <f t="shared" si="2"/>
        <v>Windows - Double Pane to Class 30 - Heating Zone 2 (Zonal Heating System)Windows - Double Pane to Class 30 - Heating Zone 2 (Zonal Heating System)</v>
      </c>
      <c r="B100" s="99" t="str">
        <f>Costs!$A18&amp;" - Heating Zone 2 (Zonal Heating System)"</f>
        <v>Windows - Double Pane to Class 30 - Heating Zone 2 (Zonal Heating System)</v>
      </c>
      <c r="C100" s="99" t="str">
        <f>Costs!$A18&amp;" - Heating Zone 2 (Zonal Heating System)"</f>
        <v>Windows - Double Pane to Class 30 - Heating Zone 2 (Zonal Heating System)</v>
      </c>
      <c r="D100" s="100">
        <f>VLOOKUP(C100,SEEMsavings!$A$5:$L$556,11,FALSE)+VLOOKUP(C100,SEEMsavings!$A$5:$L$556,12,FALSE)</f>
        <v>17.404976841699881</v>
      </c>
      <c r="E100" s="96">
        <v>45</v>
      </c>
      <c r="F100" s="98">
        <f t="shared" si="3"/>
        <v>17.810142881355933</v>
      </c>
      <c r="G100" s="96">
        <v>0</v>
      </c>
      <c r="H100" s="95" t="s">
        <v>1077</v>
      </c>
      <c r="I100" s="98"/>
      <c r="J100" s="27"/>
      <c r="K100" s="27"/>
      <c r="L100" s="27"/>
      <c r="M100" s="27"/>
      <c r="N100" s="27"/>
      <c r="O100" s="27"/>
      <c r="P100" s="27"/>
      <c r="Q100" s="27"/>
    </row>
    <row r="101" spans="1:17">
      <c r="A101" t="str">
        <f t="shared" si="2"/>
        <v>Windows - Class 35 to Class 30 - Heating Zone 2 (Zonal Heating System)Windows - Class 35 to Class 30 - Heating Zone 2 (Zonal Heating System)</v>
      </c>
      <c r="B101" s="99" t="str">
        <f>Costs!$A19&amp;" - Heating Zone 2 (Zonal Heating System)"</f>
        <v>Windows - Class 35 to Class 30 - Heating Zone 2 (Zonal Heating System)</v>
      </c>
      <c r="C101" s="99" t="str">
        <f>Costs!$A19&amp;" - Heating Zone 2 (Zonal Heating System)"</f>
        <v>Windows - Class 35 to Class 30 - Heating Zone 2 (Zonal Heating System)</v>
      </c>
      <c r="D101" s="100">
        <f>VLOOKUP(C101,SEEMsavings!$A$5:$L$556,11,FALSE)+VLOOKUP(C101,SEEMsavings!$A$5:$L$556,12,FALSE)</f>
        <v>1.8993407693525641</v>
      </c>
      <c r="E101" s="96">
        <v>45</v>
      </c>
      <c r="F101" s="98">
        <f t="shared" si="3"/>
        <v>1.8290398716390079</v>
      </c>
      <c r="G101" s="96">
        <v>0</v>
      </c>
      <c r="H101" s="95" t="s">
        <v>1077</v>
      </c>
      <c r="I101" s="98"/>
      <c r="J101" s="27"/>
      <c r="K101" s="27"/>
      <c r="L101" s="27"/>
      <c r="M101" s="27"/>
      <c r="N101" s="27"/>
      <c r="O101" s="27"/>
      <c r="P101" s="27"/>
      <c r="Q101" s="27"/>
    </row>
    <row r="102" spans="1:17">
      <c r="A102" t="str">
        <f t="shared" si="2"/>
        <v>Windows - Class 35 to Class 22 - Heating Zone 2 (Zonal Heating System)Windows - Class 35 to Class 22 - Heating Zone 2 (Zonal Heating System)</v>
      </c>
      <c r="B102" s="99" t="str">
        <f>Costs!$A20&amp;" - Heating Zone 2 (Zonal Heating System)"</f>
        <v>Windows - Class 35 to Class 22 - Heating Zone 2 (Zonal Heating System)</v>
      </c>
      <c r="C102" s="99" t="str">
        <f>Costs!$A20&amp;" - Heating Zone 2 (Zonal Heating System)"</f>
        <v>Windows - Class 35 to Class 22 - Heating Zone 2 (Zonal Heating System)</v>
      </c>
      <c r="D102" s="100">
        <f>VLOOKUP(C102,SEEMsavings!$A$5:$L$556,11,FALSE)+VLOOKUP(C102,SEEMsavings!$A$5:$L$556,12,FALSE)</f>
        <v>4.6984118641552062</v>
      </c>
      <c r="E102" s="96">
        <v>45</v>
      </c>
      <c r="F102" s="98">
        <f t="shared" si="3"/>
        <v>7.288432942889191</v>
      </c>
      <c r="G102" s="96">
        <v>0</v>
      </c>
      <c r="H102" s="95" t="s">
        <v>1077</v>
      </c>
      <c r="I102" s="98"/>
      <c r="J102" s="27"/>
      <c r="K102" s="27"/>
      <c r="L102" s="27"/>
      <c r="M102" s="27"/>
      <c r="N102" s="27"/>
      <c r="O102" s="27"/>
      <c r="P102" s="27"/>
      <c r="Q102" s="27"/>
    </row>
    <row r="103" spans="1:17">
      <c r="A103" t="str">
        <f t="shared" si="2"/>
        <v>Multi Family Weatherization - Insulate Walls - R-0 to R-11 - Heating Zone 3 (Zonal Heating System)Multi Family Weatherization - Insulate Walls - R-0 to R-11 - Heating Zone 3 (Zonal Heating System)</v>
      </c>
      <c r="B103" s="99" t="str">
        <f>Costs!$A2&amp;" - Heating Zone 3 (Zonal Heating System)"</f>
        <v>Multi Family Weatherization - Insulate Walls - R-0 to R-11 - Heating Zone 3 (Zonal Heating System)</v>
      </c>
      <c r="C103" s="99" t="str">
        <f>Costs!$A2&amp;" - Heating Zone 3 (Zonal Heating System)"</f>
        <v>Multi Family Weatherization - Insulate Walls - R-0 to R-11 - Heating Zone 3 (Zonal Heating System)</v>
      </c>
      <c r="D103" s="100">
        <f>VLOOKUP(C103,SEEMsavings!$A$5:$L$556,11,FALSE)+VLOOKUP(C103,SEEMsavings!$A$5:$L$556,12,FALSE)</f>
        <v>2.2317370823219416</v>
      </c>
      <c r="E103" s="96">
        <v>45</v>
      </c>
      <c r="F103" s="98">
        <f t="shared" si="3"/>
        <v>1.0354836592527603</v>
      </c>
      <c r="G103" s="96">
        <v>0</v>
      </c>
      <c r="H103" s="95" t="s">
        <v>1077</v>
      </c>
      <c r="I103" s="98"/>
      <c r="J103" s="27"/>
      <c r="K103" s="27"/>
      <c r="L103" s="27"/>
      <c r="M103" s="27"/>
      <c r="N103" s="27"/>
      <c r="O103" s="27"/>
      <c r="P103" s="27"/>
      <c r="Q103" s="27"/>
    </row>
    <row r="104" spans="1:17">
      <c r="A104" t="str">
        <f t="shared" si="2"/>
        <v>Multi Family Weatherization - Insulate Floors - R-0 to R-19 - Heating Zone 3 (Zonal Heating System)Multi Family Weatherization - Insulate Floors - R-0 to R-19 - Heating Zone 3 (Zonal Heating System)</v>
      </c>
      <c r="B104" s="99" t="str">
        <f>Costs!$A3&amp;" - Heating Zone 3 (Zonal Heating System)"</f>
        <v>Multi Family Weatherization - Insulate Floors - R-0 to R-19 - Heating Zone 3 (Zonal Heating System)</v>
      </c>
      <c r="C104" s="99" t="str">
        <f>Costs!$A3&amp;" - Heating Zone 3 (Zonal Heating System)"</f>
        <v>Multi Family Weatherization - Insulate Floors - R-0 to R-19 - Heating Zone 3 (Zonal Heating System)</v>
      </c>
      <c r="D104" s="100">
        <f>VLOOKUP(C104,SEEMsavings!$A$5:$L$556,11,FALSE)+VLOOKUP(C104,SEEMsavings!$A$5:$L$556,12,FALSE)</f>
        <v>0.88466842380214095</v>
      </c>
      <c r="E104" s="96">
        <v>45</v>
      </c>
      <c r="F104" s="98">
        <f t="shared" si="3"/>
        <v>0.91799940108959477</v>
      </c>
      <c r="G104" s="96">
        <v>0</v>
      </c>
      <c r="H104" s="95" t="s">
        <v>1077</v>
      </c>
      <c r="I104" s="98"/>
      <c r="J104" s="27"/>
      <c r="K104" s="27"/>
      <c r="L104" s="27"/>
      <c r="M104" s="27"/>
      <c r="N104" s="27"/>
      <c r="O104" s="27"/>
      <c r="P104" s="27"/>
      <c r="Q104" s="27"/>
    </row>
    <row r="105" spans="1:17">
      <c r="A105" t="str">
        <f t="shared" si="2"/>
        <v>Multi Family Weatherization - Insulate Floors - R-0 to R-30 - Heating Zone 3 (Zonal Heating System)Multi Family Weatherization - Insulate Floors - R-0 to R-30 - Heating Zone 3 (Zonal Heating System)</v>
      </c>
      <c r="B105" s="99" t="str">
        <f>Costs!$A4&amp;" - Heating Zone 3 (Zonal Heating System)"</f>
        <v>Multi Family Weatherization - Insulate Floors - R-0 to R-30 - Heating Zone 3 (Zonal Heating System)</v>
      </c>
      <c r="C105" s="99" t="str">
        <f>Costs!$A4&amp;" - Heating Zone 3 (Zonal Heating System)"</f>
        <v>Multi Family Weatherization - Insulate Floors - R-0 to R-30 - Heating Zone 3 (Zonal Heating System)</v>
      </c>
      <c r="D105" s="100">
        <f>VLOOKUP(C105,SEEMsavings!$A$5:$L$556,11,FALSE)+VLOOKUP(C105,SEEMsavings!$A$5:$L$556,12,FALSE)</f>
        <v>1.1544904382566858</v>
      </c>
      <c r="E105" s="96">
        <v>45</v>
      </c>
      <c r="F105" s="98">
        <f t="shared" si="3"/>
        <v>0.98244865861375763</v>
      </c>
      <c r="G105" s="96">
        <v>0</v>
      </c>
      <c r="H105" s="95" t="s">
        <v>1077</v>
      </c>
      <c r="I105" s="98"/>
      <c r="J105" s="27"/>
      <c r="K105" s="27"/>
      <c r="L105" s="27"/>
      <c r="M105" s="27"/>
      <c r="N105" s="27"/>
      <c r="O105" s="27"/>
      <c r="P105" s="27"/>
      <c r="Q105" s="27"/>
    </row>
    <row r="106" spans="1:17" ht="25.5">
      <c r="A106" t="str">
        <f t="shared" si="2"/>
        <v>Multi Family Weatherization - Insulate Floors - R-19 to R-30 - Heating Zone 3 (Zonal Heating System)Multi Family Weatherization - Insulate Floors - R-19 to R-30 - Heating Zone 3 (Zonal Heating System)</v>
      </c>
      <c r="B106" s="99" t="str">
        <f>Costs!$A5&amp;" - Heating Zone 3 (Zonal Heating System)"</f>
        <v>Multi Family Weatherization - Insulate Floors - R-19 to R-30 - Heating Zone 3 (Zonal Heating System)</v>
      </c>
      <c r="C106" s="99" t="str">
        <f>Costs!$A5&amp;" - Heating Zone 3 (Zonal Heating System)"</f>
        <v>Multi Family Weatherization - Insulate Floors - R-19 to R-30 - Heating Zone 3 (Zonal Heating System)</v>
      </c>
      <c r="D106" s="100">
        <f>VLOOKUP(C106,SEEMsavings!$A$5:$L$556,11,FALSE)+VLOOKUP(C106,SEEMsavings!$A$5:$L$556,12,FALSE)</f>
        <v>0.26982201445454501</v>
      </c>
      <c r="E106" s="96">
        <v>45</v>
      </c>
      <c r="F106" s="98">
        <f t="shared" si="3"/>
        <v>0.64785245801359526</v>
      </c>
      <c r="G106" s="96">
        <v>0</v>
      </c>
      <c r="H106" s="95" t="s">
        <v>1077</v>
      </c>
      <c r="I106" s="98"/>
      <c r="J106" s="27"/>
      <c r="K106" s="27"/>
      <c r="L106" s="27"/>
      <c r="M106" s="27"/>
      <c r="N106" s="27"/>
      <c r="O106" s="27"/>
      <c r="P106" s="27"/>
      <c r="Q106" s="27"/>
    </row>
    <row r="107" spans="1:17">
      <c r="A107" t="str">
        <f t="shared" si="2"/>
        <v>Multi Family Weatherization - Insulate Attic - R-0 to R-19 - Heating Zone 3 (Zonal Heating System)Multi Family Weatherization - Insulate Attic - R-0 to R-19 - Heating Zone 3 (Zonal Heating System)</v>
      </c>
      <c r="B107" s="99" t="str">
        <f>Costs!$A6&amp;" - Heating Zone 3 (Zonal Heating System)"</f>
        <v>Multi Family Weatherization - Insulate Attic - R-0 to R-19 - Heating Zone 3 (Zonal Heating System)</v>
      </c>
      <c r="C107" s="99" t="str">
        <f>Costs!$A6&amp;" - Heating Zone 3 (Zonal Heating System)"</f>
        <v>Multi Family Weatherization - Insulate Attic - R-0 to R-19 - Heating Zone 3 (Zonal Heating System)</v>
      </c>
      <c r="D107" s="100">
        <f>VLOOKUP(C107,SEEMsavings!$A$5:$L$556,11,FALSE)+VLOOKUP(C107,SEEMsavings!$A$5:$L$556,12,FALSE)</f>
        <v>0.42976654735909225</v>
      </c>
      <c r="E107" s="96">
        <v>45</v>
      </c>
      <c r="F107" s="98">
        <f t="shared" si="3"/>
        <v>0.54914779043329487</v>
      </c>
      <c r="G107" s="96">
        <v>0</v>
      </c>
      <c r="H107" s="95" t="s">
        <v>1077</v>
      </c>
      <c r="I107" s="98"/>
      <c r="J107" s="27"/>
      <c r="K107" s="27"/>
      <c r="L107" s="27"/>
      <c r="M107" s="27"/>
      <c r="N107" s="27"/>
      <c r="O107" s="27"/>
      <c r="P107" s="27"/>
      <c r="Q107" s="27"/>
    </row>
    <row r="108" spans="1:17">
      <c r="A108" t="str">
        <f t="shared" si="2"/>
        <v>Multi Family Weatherization - Insulate Attic - R-0 to R-38 - Heating Zone 3 (Zonal Heating System)Multi Family Weatherization - Insulate Attic - R-0 to R-38 - Heating Zone 3 (Zonal Heating System)</v>
      </c>
      <c r="B108" s="99" t="str">
        <f>Costs!$A7&amp;" - Heating Zone 3 (Zonal Heating System)"</f>
        <v>Multi Family Weatherization - Insulate Attic - R-0 to R-38 - Heating Zone 3 (Zonal Heating System)</v>
      </c>
      <c r="C108" s="99" t="str">
        <f>Costs!$A7&amp;" - Heating Zone 3 (Zonal Heating System)"</f>
        <v>Multi Family Weatherization - Insulate Attic - R-0 to R-38 - Heating Zone 3 (Zonal Heating System)</v>
      </c>
      <c r="D108" s="100">
        <f>VLOOKUP(C108,SEEMsavings!$A$5:$L$556,11,FALSE)+VLOOKUP(C108,SEEMsavings!$A$5:$L$556,12,FALSE)</f>
        <v>0.58669332392045492</v>
      </c>
      <c r="E108" s="96">
        <v>45</v>
      </c>
      <c r="F108" s="98">
        <f t="shared" si="3"/>
        <v>0.73246728560336305</v>
      </c>
      <c r="G108" s="96">
        <v>0</v>
      </c>
      <c r="H108" s="95" t="s">
        <v>1077</v>
      </c>
      <c r="I108" s="98"/>
      <c r="J108" s="27"/>
      <c r="K108" s="27"/>
      <c r="L108" s="27"/>
      <c r="M108" s="27"/>
      <c r="N108" s="27"/>
      <c r="O108" s="27"/>
      <c r="P108" s="27"/>
      <c r="Q108" s="27"/>
    </row>
    <row r="109" spans="1:17">
      <c r="A109" t="str">
        <f t="shared" si="2"/>
        <v>Multi Family Weatherization - Insulate Attic - R-0 to R-49 - Heating Zone 3 (Zonal Heating System)Multi Family Weatherization - Insulate Attic - R-0 to R-49 - Heating Zone 3 (Zonal Heating System)</v>
      </c>
      <c r="B109" s="99" t="str">
        <f>Costs!$A8&amp;" - Heating Zone 3 (Zonal Heating System)"</f>
        <v>Multi Family Weatherization - Insulate Attic - R-0 to R-49 - Heating Zone 3 (Zonal Heating System)</v>
      </c>
      <c r="C109" s="99" t="str">
        <f>Costs!$A8&amp;" - Heating Zone 3 (Zonal Heating System)"</f>
        <v>Multi Family Weatherization - Insulate Attic - R-0 to R-49 - Heating Zone 3 (Zonal Heating System)</v>
      </c>
      <c r="D109" s="100">
        <f>VLOOKUP(C109,SEEMsavings!$A$5:$L$556,11,FALSE)+VLOOKUP(C109,SEEMsavings!$A$5:$L$556,12,FALSE)</f>
        <v>0.6232113780090921</v>
      </c>
      <c r="E109" s="96">
        <v>45</v>
      </c>
      <c r="F109" s="98">
        <f t="shared" si="3"/>
        <v>0.83087905114745864</v>
      </c>
      <c r="G109" s="96">
        <v>0</v>
      </c>
      <c r="H109" s="95" t="s">
        <v>1077</v>
      </c>
      <c r="I109" s="98"/>
      <c r="J109" s="27"/>
      <c r="K109" s="27"/>
      <c r="L109" s="27"/>
      <c r="M109" s="27"/>
      <c r="N109" s="27"/>
      <c r="O109" s="27"/>
      <c r="P109" s="27"/>
      <c r="Q109" s="27"/>
    </row>
    <row r="110" spans="1:17">
      <c r="A110" t="str">
        <f t="shared" si="2"/>
        <v>Multi Family Weatherization - Insulate Attic - R-30 to R-38 - Heating Zone 3 (Zonal Heating System)Multi Family Weatherization - Insulate Attic - R-30 to R-38 - Heating Zone 3 (Zonal Heating System)</v>
      </c>
      <c r="B110" s="99" t="str">
        <f>Costs!$A9&amp;" - Heating Zone 3 (Zonal Heating System)"</f>
        <v>Multi Family Weatherization - Insulate Attic - R-30 to R-38 - Heating Zone 3 (Zonal Heating System)</v>
      </c>
      <c r="C110" s="99" t="str">
        <f>Costs!$A9&amp;" - Heating Zone 3 (Zonal Heating System)"</f>
        <v>Multi Family Weatherization - Insulate Attic - R-30 to R-38 - Heating Zone 3 (Zonal Heating System)</v>
      </c>
      <c r="D110" s="100">
        <f>VLOOKUP(C110,SEEMsavings!$A$5:$L$556,11,FALSE)+VLOOKUP(C110,SEEMsavings!$A$5:$L$556,12,FALSE)</f>
        <v>4.3304056838635613E-2</v>
      </c>
      <c r="E110" s="96">
        <v>45</v>
      </c>
      <c r="F110" s="98">
        <f t="shared" si="3"/>
        <v>0.2473644911578245</v>
      </c>
      <c r="G110" s="96">
        <v>0</v>
      </c>
      <c r="H110" s="95" t="s">
        <v>1077</v>
      </c>
      <c r="I110" s="98"/>
      <c r="J110" s="27"/>
      <c r="K110" s="27"/>
      <c r="L110" s="27"/>
      <c r="M110" s="27"/>
      <c r="N110" s="27"/>
      <c r="O110" s="27"/>
      <c r="P110" s="27"/>
      <c r="Q110" s="27"/>
    </row>
    <row r="111" spans="1:17">
      <c r="A111" t="str">
        <f t="shared" si="2"/>
        <v>Multi Family Weatherization - Insulate Attic - R-30 to R-49 - Heating Zone 3 (Zonal Heating System)Multi Family Weatherization - Insulate Attic - R-30 to R-49 - Heating Zone 3 (Zonal Heating System)</v>
      </c>
      <c r="B111" s="99" t="str">
        <f>Costs!$A10&amp;" - Heating Zone 3 (Zonal Heating System)"</f>
        <v>Multi Family Weatherization - Insulate Attic - R-30 to R-49 - Heating Zone 3 (Zonal Heating System)</v>
      </c>
      <c r="C111" s="99" t="str">
        <f>Costs!$A10&amp;" - Heating Zone 3 (Zonal Heating System)"</f>
        <v>Multi Family Weatherization - Insulate Attic - R-30 to R-49 - Heating Zone 3 (Zonal Heating System)</v>
      </c>
      <c r="D111" s="100">
        <f>VLOOKUP(C111,SEEMsavings!$A$5:$L$556,11,FALSE)+VLOOKUP(C111,SEEMsavings!$A$5:$L$556,12,FALSE)</f>
        <v>7.9822110927272844E-2</v>
      </c>
      <c r="E111" s="96">
        <v>45</v>
      </c>
      <c r="F111" s="98">
        <f t="shared" si="3"/>
        <v>0.58749066649983317</v>
      </c>
      <c r="G111" s="96">
        <v>0</v>
      </c>
      <c r="H111" s="95" t="s">
        <v>1077</v>
      </c>
      <c r="I111" s="98"/>
      <c r="J111" s="27"/>
      <c r="K111" s="27"/>
      <c r="L111" s="27"/>
      <c r="M111" s="27"/>
      <c r="N111" s="27"/>
      <c r="O111" s="27"/>
      <c r="P111" s="27"/>
      <c r="Q111" s="27"/>
    </row>
    <row r="112" spans="1:17">
      <c r="A112" t="str">
        <f t="shared" si="2"/>
        <v>Multi Family Weatherization - Insulate Attic - R-38 to R-49 - Heating Zone 3 (Zonal Heating System)Multi Family Weatherization - Insulate Attic - R-38 to R-49 - Heating Zone 3 (Zonal Heating System)</v>
      </c>
      <c r="B112" s="99" t="str">
        <f>Costs!$A11&amp;" - Heating Zone 3 (Zonal Heating System)"</f>
        <v>Multi Family Weatherization - Insulate Attic - R-38 to R-49 - Heating Zone 3 (Zonal Heating System)</v>
      </c>
      <c r="C112" s="99" t="str">
        <f>Costs!$A11&amp;" - Heating Zone 3 (Zonal Heating System)"</f>
        <v>Multi Family Weatherization - Insulate Attic - R-38 to R-49 - Heating Zone 3 (Zonal Heating System)</v>
      </c>
      <c r="D112" s="100">
        <f>VLOOKUP(C112,SEEMsavings!$A$5:$L$556,11,FALSE)+VLOOKUP(C112,SEEMsavings!$A$5:$L$556,12,FALSE)</f>
        <v>3.6518054088637224E-2</v>
      </c>
      <c r="E112" s="96">
        <v>45</v>
      </c>
      <c r="F112" s="98">
        <f t="shared" si="3"/>
        <v>0.34012617534200867</v>
      </c>
      <c r="G112" s="96">
        <v>0</v>
      </c>
      <c r="H112" s="95" t="s">
        <v>1077</v>
      </c>
      <c r="I112" s="98"/>
      <c r="J112" s="27"/>
      <c r="K112" s="27"/>
      <c r="L112" s="27"/>
      <c r="M112" s="27"/>
      <c r="N112" s="27"/>
      <c r="O112" s="27"/>
      <c r="P112" s="27"/>
      <c r="Q112" s="27"/>
    </row>
    <row r="113" spans="1:17">
      <c r="A113" t="str">
        <f t="shared" si="2"/>
        <v>Multi Family Weatherization - Insulate Attic - R-19 to R-30 - Heating Zone 3 (Zonal Heating System)Multi Family Weatherization - Insulate Attic - R-19 to R-30 - Heating Zone 3 (Zonal Heating System)</v>
      </c>
      <c r="B113" s="99" t="str">
        <f>Costs!$A12&amp;" - Heating Zone 3 (Zonal Heating System)"</f>
        <v>Multi Family Weatherization - Insulate Attic - R-19 to R-30 - Heating Zone 3 (Zonal Heating System)</v>
      </c>
      <c r="C113" s="99" t="str">
        <f>Costs!$A12&amp;" - Heating Zone 3 (Zonal Heating System)"</f>
        <v>Multi Family Weatherization - Insulate Attic - R-19 to R-30 - Heating Zone 3 (Zonal Heating System)</v>
      </c>
      <c r="D113" s="100">
        <f>VLOOKUP(C113,SEEMsavings!$A$5:$L$556,11,FALSE)+VLOOKUP(C113,SEEMsavings!$A$5:$L$556,12,FALSE)</f>
        <v>0.11362271972272704</v>
      </c>
      <c r="E113" s="96">
        <v>45</v>
      </c>
      <c r="F113" s="98">
        <f t="shared" si="3"/>
        <v>0.47401945424285125</v>
      </c>
      <c r="G113" s="96">
        <v>0</v>
      </c>
      <c r="H113" s="95" t="s">
        <v>1077</v>
      </c>
      <c r="I113" s="98"/>
      <c r="J113" s="27"/>
      <c r="K113" s="27"/>
      <c r="L113" s="27"/>
      <c r="M113" s="27"/>
      <c r="N113" s="27"/>
      <c r="O113" s="27"/>
      <c r="P113" s="27"/>
      <c r="Q113" s="27"/>
    </row>
    <row r="114" spans="1:17">
      <c r="A114" t="str">
        <f t="shared" si="2"/>
        <v>Multi Family Weatherization - Insulate Attic - R-19 to R-38 - Heating Zone 3 (Zonal Heating System)Multi Family Weatherization - Insulate Attic - R-19 to R-38 - Heating Zone 3 (Zonal Heating System)</v>
      </c>
      <c r="B114" s="99" t="str">
        <f>Costs!$A13&amp;" - Heating Zone 3 (Zonal Heating System)"</f>
        <v>Multi Family Weatherization - Insulate Attic - R-19 to R-38 - Heating Zone 3 (Zonal Heating System)</v>
      </c>
      <c r="C114" s="99" t="str">
        <f>Costs!$A13&amp;" - Heating Zone 3 (Zonal Heating System)"</f>
        <v>Multi Family Weatherization - Insulate Attic - R-19 to R-38 - Heating Zone 3 (Zonal Heating System)</v>
      </c>
      <c r="D114" s="100">
        <f>VLOOKUP(C114,SEEMsavings!$A$5:$L$556,11,FALSE)+VLOOKUP(C114,SEEMsavings!$A$5:$L$556,12,FALSE)</f>
        <v>0.15692677656136267</v>
      </c>
      <c r="E114" s="96">
        <v>45</v>
      </c>
      <c r="F114" s="98">
        <f t="shared" si="3"/>
        <v>0.55283834686255773</v>
      </c>
      <c r="G114" s="96">
        <v>0</v>
      </c>
      <c r="H114" s="95" t="s">
        <v>1077</v>
      </c>
      <c r="I114" s="98"/>
      <c r="J114" s="27"/>
      <c r="K114" s="27"/>
      <c r="L114" s="27"/>
      <c r="M114" s="27"/>
      <c r="N114" s="27"/>
      <c r="O114" s="27"/>
      <c r="P114" s="27"/>
      <c r="Q114" s="27"/>
    </row>
    <row r="115" spans="1:17">
      <c r="A115" t="str">
        <f t="shared" si="2"/>
        <v>Multi Family Weatherization - Insulate Attic - R-19 to R-49 - Heating Zone 3 (Zonal Heating System)Multi Family Weatherization - Insulate Attic - R-19 to R-49 - Heating Zone 3 (Zonal Heating System)</v>
      </c>
      <c r="B115" s="99" t="str">
        <f>Costs!$A14&amp;" - Heating Zone 3 (Zonal Heating System)"</f>
        <v>Multi Family Weatherization - Insulate Attic - R-19 to R-49 - Heating Zone 3 (Zonal Heating System)</v>
      </c>
      <c r="C115" s="99" t="str">
        <f>Costs!$A14&amp;" - Heating Zone 3 (Zonal Heating System)"</f>
        <v>Multi Family Weatherization - Insulate Attic - R-19 to R-49 - Heating Zone 3 (Zonal Heating System)</v>
      </c>
      <c r="D115" s="100">
        <f>VLOOKUP(C115,SEEMsavings!$A$5:$L$556,11,FALSE)+VLOOKUP(C115,SEEMsavings!$A$5:$L$556,12,FALSE)</f>
        <v>0.19344483064999987</v>
      </c>
      <c r="E115" s="96">
        <v>45</v>
      </c>
      <c r="F115" s="98">
        <f t="shared" si="3"/>
        <v>0.65683404823881342</v>
      </c>
      <c r="G115" s="96">
        <v>0</v>
      </c>
      <c r="H115" s="95" t="s">
        <v>1077</v>
      </c>
      <c r="I115" s="98"/>
      <c r="J115" s="27"/>
      <c r="K115" s="27"/>
      <c r="L115" s="27"/>
      <c r="M115" s="27"/>
      <c r="N115" s="27"/>
      <c r="O115" s="27"/>
      <c r="P115" s="27"/>
      <c r="Q115" s="27"/>
    </row>
    <row r="116" spans="1:17">
      <c r="A116" t="str">
        <f t="shared" si="2"/>
        <v>Windows - Single Pane to Class 22 - Heating Zone 3 (Zonal Heating System)Windows - Single Pane to Class 22 - Heating Zone 3 (Zonal Heating System)</v>
      </c>
      <c r="B116" s="99" t="str">
        <f>Costs!$A15&amp;" - Heating Zone 3 (Zonal Heating System)"</f>
        <v>Windows - Single Pane to Class 22 - Heating Zone 3 (Zonal Heating System)</v>
      </c>
      <c r="C116" s="99" t="str">
        <f>Costs!$A15&amp;" - Heating Zone 3 (Zonal Heating System)"</f>
        <v>Windows - Single Pane to Class 22 - Heating Zone 3 (Zonal Heating System)</v>
      </c>
      <c r="D116" s="100">
        <f>VLOOKUP(C116,SEEMsavings!$A$5:$L$556,11,FALSE)+VLOOKUP(C116,SEEMsavings!$A$5:$L$556,12,FALSE)</f>
        <v>40.981028357385391</v>
      </c>
      <c r="E116" s="96">
        <v>45</v>
      </c>
      <c r="F116" s="98">
        <f t="shared" si="3"/>
        <v>23.269535952606116</v>
      </c>
      <c r="G116" s="96">
        <v>0</v>
      </c>
      <c r="H116" s="95" t="s">
        <v>1077</v>
      </c>
      <c r="I116" s="98"/>
      <c r="J116" s="27"/>
      <c r="K116" s="27"/>
      <c r="L116" s="27"/>
      <c r="M116" s="27"/>
      <c r="N116" s="27"/>
      <c r="O116" s="27"/>
      <c r="P116" s="27"/>
      <c r="Q116" s="27"/>
    </row>
    <row r="117" spans="1:17">
      <c r="A117" t="str">
        <f t="shared" si="2"/>
        <v>Windows - Double Pane to Class 22 - Heating Zone 3 (Zonal Heating System)Windows - Double Pane to Class 22 - Heating Zone 3 (Zonal Heating System)</v>
      </c>
      <c r="B117" s="99" t="str">
        <f>Costs!$A16&amp;" - Heating Zone 3 (Zonal Heating System)"</f>
        <v>Windows - Double Pane to Class 22 - Heating Zone 3 (Zonal Heating System)</v>
      </c>
      <c r="C117" s="99" t="str">
        <f>Costs!$A16&amp;" - Heating Zone 3 (Zonal Heating System)"</f>
        <v>Windows - Double Pane to Class 22 - Heating Zone 3 (Zonal Heating System)</v>
      </c>
      <c r="D117" s="100">
        <f>VLOOKUP(C117,SEEMsavings!$A$5:$L$556,11,FALSE)+VLOOKUP(C117,SEEMsavings!$A$5:$L$556,12,FALSE)</f>
        <v>24.760995799935891</v>
      </c>
      <c r="E117" s="96">
        <v>45</v>
      </c>
      <c r="F117" s="98">
        <f t="shared" si="3"/>
        <v>23.269535952606116</v>
      </c>
      <c r="G117" s="96">
        <v>0</v>
      </c>
      <c r="H117" s="95" t="s">
        <v>1077</v>
      </c>
      <c r="I117" s="98"/>
      <c r="J117" s="27"/>
      <c r="K117" s="27"/>
      <c r="L117" s="27"/>
      <c r="M117" s="27"/>
      <c r="N117" s="27"/>
      <c r="O117" s="27"/>
      <c r="P117" s="27"/>
      <c r="Q117" s="27"/>
    </row>
    <row r="118" spans="1:17">
      <c r="A118" t="str">
        <f t="shared" si="2"/>
        <v>Windows - Single Pane to Class 30 - Heating Zone 3 (Zonal Heating System)Windows - Single Pane to Class 30 - Heating Zone 3 (Zonal Heating System)</v>
      </c>
      <c r="B118" s="99" t="str">
        <f>Costs!$A17&amp;" - Heating Zone 3 (Zonal Heating System)"</f>
        <v>Windows - Single Pane to Class 30 - Heating Zone 3 (Zonal Heating System)</v>
      </c>
      <c r="C118" s="99" t="str">
        <f>Costs!$A17&amp;" - Heating Zone 3 (Zonal Heating System)"</f>
        <v>Windows - Single Pane to Class 30 - Heating Zone 3 (Zonal Heating System)</v>
      </c>
      <c r="D118" s="100">
        <f>VLOOKUP(C118,SEEMsavings!$A$5:$L$556,11,FALSE)+VLOOKUP(C118,SEEMsavings!$A$5:$L$556,12,FALSE)</f>
        <v>37.57358426914918</v>
      </c>
      <c r="E118" s="96">
        <v>45</v>
      </c>
      <c r="F118" s="98">
        <f t="shared" si="3"/>
        <v>17.810142881355933</v>
      </c>
      <c r="G118" s="96">
        <v>0</v>
      </c>
      <c r="H118" s="95" t="s">
        <v>1077</v>
      </c>
      <c r="I118" s="98"/>
      <c r="J118" s="27"/>
      <c r="K118" s="27"/>
      <c r="L118" s="27"/>
      <c r="M118" s="27"/>
      <c r="N118" s="27"/>
      <c r="O118" s="27"/>
      <c r="P118" s="27"/>
      <c r="Q118" s="27"/>
    </row>
    <row r="119" spans="1:17">
      <c r="A119" t="str">
        <f t="shared" si="2"/>
        <v>Windows - Double Pane to Class 30 - Heating Zone 3 (Zonal Heating System)Windows - Double Pane to Class 30 - Heating Zone 3 (Zonal Heating System)</v>
      </c>
      <c r="B119" s="99" t="str">
        <f>Costs!$A18&amp;" - Heating Zone 3 (Zonal Heating System)"</f>
        <v>Windows - Double Pane to Class 30 - Heating Zone 3 (Zonal Heating System)</v>
      </c>
      <c r="C119" s="99" t="str">
        <f>Costs!$A18&amp;" - Heating Zone 3 (Zonal Heating System)"</f>
        <v>Windows - Double Pane to Class 30 - Heating Zone 3 (Zonal Heating System)</v>
      </c>
      <c r="D119" s="100">
        <f>VLOOKUP(C119,SEEMsavings!$A$5:$L$556,11,FALSE)+VLOOKUP(C119,SEEMsavings!$A$5:$L$556,12,FALSE)</f>
        <v>21.353551711699687</v>
      </c>
      <c r="E119" s="96">
        <v>45</v>
      </c>
      <c r="F119" s="98">
        <f t="shared" si="3"/>
        <v>17.810142881355933</v>
      </c>
      <c r="G119" s="96">
        <v>0</v>
      </c>
      <c r="H119" s="95" t="s">
        <v>1077</v>
      </c>
      <c r="I119" s="98"/>
      <c r="J119" s="27"/>
      <c r="K119" s="27"/>
      <c r="L119" s="27"/>
      <c r="M119" s="27"/>
      <c r="N119" s="27"/>
      <c r="O119" s="27"/>
      <c r="P119" s="27"/>
      <c r="Q119" s="27"/>
    </row>
    <row r="120" spans="1:17">
      <c r="A120" t="str">
        <f t="shared" si="2"/>
        <v>Windows - Class 35 to Class 30 - Heating Zone 3 (Zonal Heating System)Windows - Class 35 to Class 30 - Heating Zone 3 (Zonal Heating System)</v>
      </c>
      <c r="B120" s="99" t="str">
        <f>Costs!$A19&amp;" - Heating Zone 3 (Zonal Heating System)"</f>
        <v>Windows - Class 35 to Class 30 - Heating Zone 3 (Zonal Heating System)</v>
      </c>
      <c r="C120" s="99" t="str">
        <f>Costs!$A19&amp;" - Heating Zone 3 (Zonal Heating System)"</f>
        <v>Windows - Class 35 to Class 30 - Heating Zone 3 (Zonal Heating System)</v>
      </c>
      <c r="D120" s="100">
        <f>VLOOKUP(C120,SEEMsavings!$A$5:$L$556,11,FALSE)+VLOOKUP(C120,SEEMsavings!$A$5:$L$556,12,FALSE)</f>
        <v>2.2901679900135967</v>
      </c>
      <c r="E120" s="96">
        <v>45</v>
      </c>
      <c r="F120" s="98">
        <f t="shared" si="3"/>
        <v>1.8290398716390079</v>
      </c>
      <c r="G120" s="96">
        <v>0</v>
      </c>
      <c r="H120" s="95" t="s">
        <v>1077</v>
      </c>
      <c r="I120" s="98"/>
      <c r="J120" s="27"/>
      <c r="K120" s="27"/>
      <c r="L120" s="27"/>
      <c r="M120" s="27"/>
      <c r="N120" s="27"/>
      <c r="O120" s="27"/>
      <c r="P120" s="27"/>
      <c r="Q120" s="27"/>
    </row>
    <row r="121" spans="1:17">
      <c r="A121" t="str">
        <f t="shared" si="2"/>
        <v>Windows - Class 35 to Class 22 - Heating Zone 3 (Zonal Heating System)Windows - Class 35 to Class 22 - Heating Zone 3 (Zonal Heating System)</v>
      </c>
      <c r="B121" s="99" t="str">
        <f>Costs!$A20&amp;" - Heating Zone 3 (Zonal Heating System)"</f>
        <v>Windows - Class 35 to Class 22 - Heating Zone 3 (Zonal Heating System)</v>
      </c>
      <c r="C121" s="99" t="str">
        <f>Costs!$A20&amp;" - Heating Zone 3 (Zonal Heating System)"</f>
        <v>Windows - Class 35 to Class 22 - Heating Zone 3 (Zonal Heating System)</v>
      </c>
      <c r="D121" s="100">
        <f>VLOOKUP(C121,SEEMsavings!$A$5:$L$556,11,FALSE)+VLOOKUP(C121,SEEMsavings!$A$5:$L$556,12,FALSE)</f>
        <v>5.6976120782498043</v>
      </c>
      <c r="E121" s="96">
        <v>45</v>
      </c>
      <c r="F121" s="98">
        <f t="shared" si="3"/>
        <v>7.288432942889191</v>
      </c>
      <c r="G121" s="96">
        <v>0</v>
      </c>
      <c r="H121" s="95" t="s">
        <v>1077</v>
      </c>
      <c r="I121" s="98"/>
      <c r="J121" s="27"/>
      <c r="K121" s="27"/>
      <c r="L121" s="27"/>
      <c r="M121" s="27"/>
      <c r="N121" s="27"/>
      <c r="O121" s="27"/>
      <c r="P121" s="27"/>
      <c r="Q121" s="27"/>
    </row>
    <row r="122" spans="1:17" ht="25.5">
      <c r="A122" t="str">
        <f t="shared" si="2"/>
        <v>Multi Family Weatherization - Insulate Walls - R-0 to R-11 - Heating Zone 1 (Electric FAF Heating System)Multi Family Weatherization - Insulate Walls - R-0 to R-11 - Heating Zone 1 (Electric FAF Heating System)</v>
      </c>
      <c r="B122" s="99" t="str">
        <f>Costs!$A2&amp;" - Heating Zone 1 (Electric FAF Heating System)"</f>
        <v>Multi Family Weatherization - Insulate Walls - R-0 to R-11 - Heating Zone 1 (Electric FAF Heating System)</v>
      </c>
      <c r="C122" s="99" t="str">
        <f>Costs!$A2&amp;" - Heating Zone 1 (Electric FAF Heating System)"</f>
        <v>Multi Family Weatherization - Insulate Walls - R-0 to R-11 - Heating Zone 1 (Electric FAF Heating System)</v>
      </c>
      <c r="D122" s="100">
        <f>VLOOKUP(C122,SEEMsavings!$A$5:$L$556,11,FALSE)+VLOOKUP(C122,SEEMsavings!$A$5:$L$556,12,FALSE)</f>
        <v>1.3941850139456249</v>
      </c>
      <c r="E122" s="96">
        <v>45</v>
      </c>
      <c r="F122" s="98">
        <f t="shared" si="3"/>
        <v>1.0354836592527603</v>
      </c>
      <c r="G122" s="96">
        <v>0</v>
      </c>
      <c r="H122" s="95" t="s">
        <v>1077</v>
      </c>
      <c r="I122" s="98"/>
      <c r="J122" s="27"/>
      <c r="K122" s="27"/>
      <c r="L122" s="27"/>
      <c r="M122" s="27"/>
      <c r="N122" s="27"/>
      <c r="O122" s="27"/>
      <c r="P122" s="27"/>
      <c r="Q122" s="27"/>
    </row>
    <row r="123" spans="1:17" ht="25.5">
      <c r="A123" t="str">
        <f t="shared" si="2"/>
        <v>Multi Family Weatherization - Insulate Floors - R-0 to R-19 - Heating Zone 1 (Electric FAF Heating System)Multi Family Weatherization - Insulate Floors - R-0 to R-19 - Heating Zone 1 (Electric FAF Heating System)</v>
      </c>
      <c r="B123" s="99" t="str">
        <f>Costs!$A3&amp;" - Heating Zone 1 (Electric FAF Heating System)"</f>
        <v>Multi Family Weatherization - Insulate Floors - R-0 to R-19 - Heating Zone 1 (Electric FAF Heating System)</v>
      </c>
      <c r="C123" s="99" t="str">
        <f>Costs!$A3&amp;" - Heating Zone 1 (Electric FAF Heating System)"</f>
        <v>Multi Family Weatherization - Insulate Floors - R-0 to R-19 - Heating Zone 1 (Electric FAF Heating System)</v>
      </c>
      <c r="D123" s="100">
        <f>VLOOKUP(C123,SEEMsavings!$A$5:$L$556,11,FALSE)+VLOOKUP(C123,SEEMsavings!$A$5:$L$556,12,FALSE)</f>
        <v>0.61473698631310125</v>
      </c>
      <c r="E123" s="96">
        <v>45</v>
      </c>
      <c r="F123" s="98">
        <f t="shared" si="3"/>
        <v>0.91799940108959477</v>
      </c>
      <c r="G123" s="96">
        <v>0</v>
      </c>
      <c r="H123" s="95" t="s">
        <v>1077</v>
      </c>
      <c r="I123" s="98"/>
      <c r="J123" s="27"/>
      <c r="K123" s="27"/>
      <c r="L123" s="27"/>
      <c r="M123" s="27"/>
      <c r="N123" s="27"/>
      <c r="O123" s="27"/>
      <c r="P123" s="27"/>
      <c r="Q123" s="27"/>
    </row>
    <row r="124" spans="1:17" ht="25.5">
      <c r="A124" t="str">
        <f t="shared" si="2"/>
        <v>Multi Family Weatherization - Insulate Floors - R-0 to R-30 - Heating Zone 1 (Electric FAF Heating System)Multi Family Weatherization - Insulate Floors - R-0 to R-30 - Heating Zone 1 (Electric FAF Heating System)</v>
      </c>
      <c r="B124" s="99" t="str">
        <f>Costs!$A4&amp;" - Heating Zone 1 (Electric FAF Heating System)"</f>
        <v>Multi Family Weatherization - Insulate Floors - R-0 to R-30 - Heating Zone 1 (Electric FAF Heating System)</v>
      </c>
      <c r="C124" s="99" t="str">
        <f>Costs!$A4&amp;" - Heating Zone 1 (Electric FAF Heating System)"</f>
        <v>Multi Family Weatherization - Insulate Floors - R-0 to R-30 - Heating Zone 1 (Electric FAF Heating System)</v>
      </c>
      <c r="D124" s="100">
        <f>VLOOKUP(C124,SEEMsavings!$A$5:$L$556,11,FALSE)+VLOOKUP(C124,SEEMsavings!$A$5:$L$556,12,FALSE)</f>
        <v>0.80054358999946484</v>
      </c>
      <c r="E124" s="96">
        <v>45</v>
      </c>
      <c r="F124" s="98">
        <f t="shared" si="3"/>
        <v>0.98244865861375763</v>
      </c>
      <c r="G124" s="96">
        <v>0</v>
      </c>
      <c r="H124" s="95" t="s">
        <v>1077</v>
      </c>
      <c r="I124" s="98"/>
      <c r="J124" s="27"/>
      <c r="K124" s="27"/>
      <c r="L124" s="27"/>
      <c r="M124" s="27"/>
      <c r="N124" s="27"/>
      <c r="O124" s="27"/>
      <c r="P124" s="27"/>
      <c r="Q124" s="27"/>
    </row>
    <row r="125" spans="1:17" ht="25.5">
      <c r="A125" t="str">
        <f t="shared" si="2"/>
        <v>Multi Family Weatherization - Insulate Floors - R-19 to R-30 - Heating Zone 1 (Electric FAF Heating System)Multi Family Weatherization - Insulate Floors - R-19 to R-30 - Heating Zone 1 (Electric FAF Heating System)</v>
      </c>
      <c r="B125" s="99" t="str">
        <f>Costs!$A5&amp;" - Heating Zone 1 (Electric FAF Heating System)"</f>
        <v>Multi Family Weatherization - Insulate Floors - R-19 to R-30 - Heating Zone 1 (Electric FAF Heating System)</v>
      </c>
      <c r="C125" s="99" t="str">
        <f>Costs!$A5&amp;" - Heating Zone 1 (Electric FAF Heating System)"</f>
        <v>Multi Family Weatherization - Insulate Floors - R-19 to R-30 - Heating Zone 1 (Electric FAF Heating System)</v>
      </c>
      <c r="D125" s="100">
        <f>VLOOKUP(C125,SEEMsavings!$A$5:$L$556,11,FALSE)+VLOOKUP(C125,SEEMsavings!$A$5:$L$556,12,FALSE)</f>
        <v>0.18580660368636359</v>
      </c>
      <c r="E125" s="96">
        <v>45</v>
      </c>
      <c r="F125" s="98">
        <f t="shared" si="3"/>
        <v>0.64785245801359526</v>
      </c>
      <c r="G125" s="96">
        <v>0</v>
      </c>
      <c r="H125" s="95" t="s">
        <v>1077</v>
      </c>
      <c r="I125" s="98"/>
      <c r="J125" s="27"/>
      <c r="K125" s="27"/>
      <c r="L125" s="27"/>
      <c r="M125" s="27"/>
      <c r="N125" s="27"/>
      <c r="O125" s="27"/>
      <c r="P125" s="27"/>
      <c r="Q125" s="27"/>
    </row>
    <row r="126" spans="1:17" ht="25.5">
      <c r="A126" t="str">
        <f t="shared" si="2"/>
        <v>Multi Family Weatherization - Insulate Attic - R-0 to R-19 - Heating Zone 1 (Electric FAF Heating System)Multi Family Weatherization - Insulate Attic - R-0 to R-19 - Heating Zone 1 (Electric FAF Heating System)</v>
      </c>
      <c r="B126" s="99" t="str">
        <f>Costs!$A6&amp;" - Heating Zone 1 (Electric FAF Heating System)"</f>
        <v>Multi Family Weatherization - Insulate Attic - R-0 to R-19 - Heating Zone 1 (Electric FAF Heating System)</v>
      </c>
      <c r="C126" s="99" t="str">
        <f>Costs!$A6&amp;" - Heating Zone 1 (Electric FAF Heating System)"</f>
        <v>Multi Family Weatherization - Insulate Attic - R-0 to R-19 - Heating Zone 1 (Electric FAF Heating System)</v>
      </c>
      <c r="D126" s="100">
        <f>VLOOKUP(C126,SEEMsavings!$A$5:$L$556,11,FALSE)+VLOOKUP(C126,SEEMsavings!$A$5:$L$556,12,FALSE)</f>
        <v>0.49665947495840923</v>
      </c>
      <c r="E126" s="96">
        <v>45</v>
      </c>
      <c r="F126" s="98">
        <f t="shared" si="3"/>
        <v>0.54914779043329487</v>
      </c>
      <c r="G126" s="96">
        <v>0</v>
      </c>
      <c r="H126" s="95" t="s">
        <v>1077</v>
      </c>
      <c r="I126" s="98"/>
      <c r="J126" s="27"/>
      <c r="K126" s="27"/>
      <c r="L126" s="27"/>
      <c r="M126" s="27"/>
      <c r="N126" s="27"/>
      <c r="O126" s="27"/>
      <c r="P126" s="27"/>
      <c r="Q126" s="27"/>
    </row>
    <row r="127" spans="1:17" ht="25.5">
      <c r="A127" t="str">
        <f t="shared" si="2"/>
        <v>Multi Family Weatherization - Insulate Attic - R-0 to R-38 - Heating Zone 1 (Electric FAF Heating System)Multi Family Weatherization - Insulate Attic - R-0 to R-38 - Heating Zone 1 (Electric FAF Heating System)</v>
      </c>
      <c r="B127" s="99" t="str">
        <f>Costs!$A7&amp;" - Heating Zone 1 (Electric FAF Heating System)"</f>
        <v>Multi Family Weatherization - Insulate Attic - R-0 to R-38 - Heating Zone 1 (Electric FAF Heating System)</v>
      </c>
      <c r="C127" s="99" t="str">
        <f>Costs!$A7&amp;" - Heating Zone 1 (Electric FAF Heating System)"</f>
        <v>Multi Family Weatherization - Insulate Attic - R-0 to R-38 - Heating Zone 1 (Electric FAF Heating System)</v>
      </c>
      <c r="D127" s="100">
        <f>VLOOKUP(C127,SEEMsavings!$A$5:$L$556,11,FALSE)+VLOOKUP(C127,SEEMsavings!$A$5:$L$556,12,FALSE)</f>
        <v>0.6764269730438639</v>
      </c>
      <c r="E127" s="96">
        <v>45</v>
      </c>
      <c r="F127" s="98">
        <f t="shared" si="3"/>
        <v>0.73246728560336305</v>
      </c>
      <c r="G127" s="96">
        <v>0</v>
      </c>
      <c r="H127" s="95" t="s">
        <v>1077</v>
      </c>
      <c r="I127" s="98"/>
      <c r="J127" s="27"/>
      <c r="K127" s="27"/>
      <c r="L127" s="27"/>
      <c r="M127" s="27"/>
      <c r="N127" s="27"/>
      <c r="O127" s="27"/>
      <c r="P127" s="27"/>
      <c r="Q127" s="27"/>
    </row>
    <row r="128" spans="1:17" ht="25.5">
      <c r="A128" t="str">
        <f t="shared" si="2"/>
        <v>Multi Family Weatherization - Insulate Attic - R-0 to R-49 - Heating Zone 1 (Electric FAF Heating System)Multi Family Weatherization - Insulate Attic - R-0 to R-49 - Heating Zone 1 (Electric FAF Heating System)</v>
      </c>
      <c r="B128" s="99" t="str">
        <f>Costs!$A8&amp;" - Heating Zone 1 (Electric FAF Heating System)"</f>
        <v>Multi Family Weatherization - Insulate Attic - R-0 to R-49 - Heating Zone 1 (Electric FAF Heating System)</v>
      </c>
      <c r="C128" s="99" t="str">
        <f>Costs!$A8&amp;" - Heating Zone 1 (Electric FAF Heating System)"</f>
        <v>Multi Family Weatherization - Insulate Attic - R-0 to R-49 - Heating Zone 1 (Electric FAF Heating System)</v>
      </c>
      <c r="D128" s="100">
        <f>VLOOKUP(C128,SEEMsavings!$A$5:$L$556,11,FALSE)+VLOOKUP(C128,SEEMsavings!$A$5:$L$556,12,FALSE)</f>
        <v>0.71811130680556834</v>
      </c>
      <c r="E128" s="96">
        <v>45</v>
      </c>
      <c r="F128" s="98">
        <f t="shared" si="3"/>
        <v>0.83087905114745864</v>
      </c>
      <c r="G128" s="96">
        <v>0</v>
      </c>
      <c r="H128" s="95" t="s">
        <v>1077</v>
      </c>
      <c r="I128" s="98"/>
      <c r="J128" s="27"/>
      <c r="K128" s="27"/>
      <c r="L128" s="27"/>
      <c r="M128" s="27"/>
      <c r="N128" s="27"/>
      <c r="O128" s="27"/>
      <c r="P128" s="27"/>
      <c r="Q128" s="27"/>
    </row>
    <row r="129" spans="1:17" ht="25.5">
      <c r="A129" t="str">
        <f t="shared" si="2"/>
        <v>Multi Family Weatherization - Insulate Attic - R-30 to R-38 - Heating Zone 1 (Electric FAF Heating System)Multi Family Weatherization - Insulate Attic - R-30 to R-38 - Heating Zone 1 (Electric FAF Heating System)</v>
      </c>
      <c r="B129" s="99" t="str">
        <f>Costs!$A9&amp;" - Heating Zone 1 (Electric FAF Heating System)"</f>
        <v>Multi Family Weatherization - Insulate Attic - R-30 to R-38 - Heating Zone 1 (Electric FAF Heating System)</v>
      </c>
      <c r="C129" s="99" t="str">
        <f>Costs!$A9&amp;" - Heating Zone 1 (Electric FAF Heating System)"</f>
        <v>Multi Family Weatherization - Insulate Attic - R-30 to R-38 - Heating Zone 1 (Electric FAF Heating System)</v>
      </c>
      <c r="D129" s="100">
        <f>VLOOKUP(C129,SEEMsavings!$A$5:$L$556,11,FALSE)+VLOOKUP(C129,SEEMsavings!$A$5:$L$556,12,FALSE)</f>
        <v>4.9484923774318491E-2</v>
      </c>
      <c r="E129" s="96">
        <v>45</v>
      </c>
      <c r="F129" s="98">
        <f t="shared" si="3"/>
        <v>0.2473644911578245</v>
      </c>
      <c r="G129" s="96">
        <v>0</v>
      </c>
      <c r="H129" s="95" t="s">
        <v>1077</v>
      </c>
      <c r="I129" s="98"/>
      <c r="J129" s="27"/>
      <c r="K129" s="27"/>
      <c r="L129" s="27"/>
      <c r="M129" s="27"/>
      <c r="N129" s="27"/>
      <c r="O129" s="27"/>
      <c r="P129" s="27"/>
      <c r="Q129" s="27"/>
    </row>
    <row r="130" spans="1:17" ht="25.5">
      <c r="A130" t="str">
        <f t="shared" si="2"/>
        <v>Multi Family Weatherization - Insulate Attic - R-30 to R-49 - Heating Zone 1 (Electric FAF Heating System)Multi Family Weatherization - Insulate Attic - R-30 to R-49 - Heating Zone 1 (Electric FAF Heating System)</v>
      </c>
      <c r="B130" s="99" t="str">
        <f>Costs!$A10&amp;" - Heating Zone 1 (Electric FAF Heating System)"</f>
        <v>Multi Family Weatherization - Insulate Attic - R-30 to R-49 - Heating Zone 1 (Electric FAF Heating System)</v>
      </c>
      <c r="C130" s="99" t="str">
        <f>Costs!$A10&amp;" - Heating Zone 1 (Electric FAF Heating System)"</f>
        <v>Multi Family Weatherization - Insulate Attic - R-30 to R-49 - Heating Zone 1 (Electric FAF Heating System)</v>
      </c>
      <c r="D130" s="100">
        <f>VLOOKUP(C130,SEEMsavings!$A$5:$L$556,11,FALSE)+VLOOKUP(C130,SEEMsavings!$A$5:$L$556,12,FALSE)</f>
        <v>9.1169257536022924E-2</v>
      </c>
      <c r="E130" s="96">
        <v>45</v>
      </c>
      <c r="F130" s="98">
        <f t="shared" si="3"/>
        <v>0.58749066649983317</v>
      </c>
      <c r="G130" s="96">
        <v>0</v>
      </c>
      <c r="H130" s="95" t="s">
        <v>1077</v>
      </c>
      <c r="I130" s="98"/>
      <c r="J130" s="27"/>
      <c r="K130" s="27"/>
      <c r="L130" s="27"/>
      <c r="M130" s="27"/>
      <c r="N130" s="27"/>
      <c r="O130" s="27"/>
      <c r="P130" s="27"/>
      <c r="Q130" s="27"/>
    </row>
    <row r="131" spans="1:17" ht="25.5">
      <c r="A131" t="str">
        <f t="shared" si="2"/>
        <v>Multi Family Weatherization - Insulate Attic - R-38 to R-49 - Heating Zone 1 (Electric FAF Heating System)Multi Family Weatherization - Insulate Attic - R-38 to R-49 - Heating Zone 1 (Electric FAF Heating System)</v>
      </c>
      <c r="B131" s="99" t="str">
        <f>Costs!$A11&amp;" - Heating Zone 1 (Electric FAF Heating System)"</f>
        <v>Multi Family Weatherization - Insulate Attic - R-38 to R-49 - Heating Zone 1 (Electric FAF Heating System)</v>
      </c>
      <c r="C131" s="99" t="str">
        <f>Costs!$A11&amp;" - Heating Zone 1 (Electric FAF Heating System)"</f>
        <v>Multi Family Weatherization - Insulate Attic - R-38 to R-49 - Heating Zone 1 (Electric FAF Heating System)</v>
      </c>
      <c r="D131" s="100">
        <f>VLOOKUP(C131,SEEMsavings!$A$5:$L$556,11,FALSE)+VLOOKUP(C131,SEEMsavings!$A$5:$L$556,12,FALSE)</f>
        <v>4.1684333761704419E-2</v>
      </c>
      <c r="E131" s="96">
        <v>45</v>
      </c>
      <c r="F131" s="98">
        <f t="shared" si="3"/>
        <v>0.34012617534200867</v>
      </c>
      <c r="G131" s="96">
        <v>0</v>
      </c>
      <c r="H131" s="95" t="s">
        <v>1077</v>
      </c>
      <c r="I131" s="98"/>
      <c r="J131" s="27"/>
      <c r="K131" s="27"/>
      <c r="L131" s="27"/>
      <c r="M131" s="27"/>
      <c r="N131" s="27"/>
      <c r="O131" s="27"/>
      <c r="P131" s="27"/>
      <c r="Q131" s="27"/>
    </row>
    <row r="132" spans="1:17" ht="25.5">
      <c r="A132" t="str">
        <f t="shared" si="2"/>
        <v>Multi Family Weatherization - Insulate Attic - R-19 to R-30 - Heating Zone 1 (Electric FAF Heating System)Multi Family Weatherization - Insulate Attic - R-19 to R-30 - Heating Zone 1 (Electric FAF Heating System)</v>
      </c>
      <c r="B132" s="99" t="str">
        <f>Costs!$A12&amp;" - Heating Zone 1 (Electric FAF Heating System)"</f>
        <v>Multi Family Weatherization - Insulate Attic - R-19 to R-30 - Heating Zone 1 (Electric FAF Heating System)</v>
      </c>
      <c r="C132" s="99" t="str">
        <f>Costs!$A12&amp;" - Heating Zone 1 (Electric FAF Heating System)"</f>
        <v>Multi Family Weatherization - Insulate Attic - R-19 to R-30 - Heating Zone 1 (Electric FAF Heating System)</v>
      </c>
      <c r="D132" s="100">
        <f>VLOOKUP(C132,SEEMsavings!$A$5:$L$556,11,FALSE)+VLOOKUP(C132,SEEMsavings!$A$5:$L$556,12,FALSE)</f>
        <v>0.13028257431113613</v>
      </c>
      <c r="E132" s="96">
        <v>45</v>
      </c>
      <c r="F132" s="98">
        <f t="shared" si="3"/>
        <v>0.47401945424285125</v>
      </c>
      <c r="G132" s="96">
        <v>0</v>
      </c>
      <c r="H132" s="95" t="s">
        <v>1077</v>
      </c>
      <c r="I132" s="98"/>
      <c r="J132" s="27"/>
      <c r="K132" s="27"/>
      <c r="L132" s="27"/>
      <c r="M132" s="27"/>
      <c r="N132" s="27"/>
      <c r="O132" s="27"/>
      <c r="P132" s="27"/>
      <c r="Q132" s="27"/>
    </row>
    <row r="133" spans="1:17" ht="25.5">
      <c r="A133" t="str">
        <f t="shared" si="2"/>
        <v>Multi Family Weatherization - Insulate Attic - R-19 to R-38 - Heating Zone 1 (Electric FAF Heating System)Multi Family Weatherization - Insulate Attic - R-19 to R-38 - Heating Zone 1 (Electric FAF Heating System)</v>
      </c>
      <c r="B133" s="99" t="str">
        <f>Costs!$A13&amp;" - Heating Zone 1 (Electric FAF Heating System)"</f>
        <v>Multi Family Weatherization - Insulate Attic - R-19 to R-38 - Heating Zone 1 (Electric FAF Heating System)</v>
      </c>
      <c r="C133" s="99" t="str">
        <f>Costs!$A13&amp;" - Heating Zone 1 (Electric FAF Heating System)"</f>
        <v>Multi Family Weatherization - Insulate Attic - R-19 to R-38 - Heating Zone 1 (Electric FAF Heating System)</v>
      </c>
      <c r="D133" s="100">
        <f>VLOOKUP(C133,SEEMsavings!$A$5:$L$556,11,FALSE)+VLOOKUP(C133,SEEMsavings!$A$5:$L$556,12,FALSE)</f>
        <v>0.17976749808545464</v>
      </c>
      <c r="E133" s="96">
        <v>45</v>
      </c>
      <c r="F133" s="98">
        <f t="shared" si="3"/>
        <v>0.55283834686255773</v>
      </c>
      <c r="G133" s="96">
        <v>0</v>
      </c>
      <c r="H133" s="95" t="s">
        <v>1077</v>
      </c>
      <c r="I133" s="98"/>
      <c r="J133" s="27"/>
      <c r="K133" s="27"/>
      <c r="L133" s="27"/>
      <c r="M133" s="27"/>
      <c r="N133" s="27"/>
      <c r="O133" s="27"/>
      <c r="P133" s="27"/>
      <c r="Q133" s="27"/>
    </row>
    <row r="134" spans="1:17" ht="25.5">
      <c r="A134" t="str">
        <f t="shared" si="2"/>
        <v>Multi Family Weatherization - Insulate Attic - R-19 to R-49 - Heating Zone 1 (Electric FAF Heating System)Multi Family Weatherization - Insulate Attic - R-19 to R-49 - Heating Zone 1 (Electric FAF Heating System)</v>
      </c>
      <c r="B134" s="99" t="str">
        <f>Costs!$A14&amp;" - Heating Zone 1 (Electric FAF Heating System)"</f>
        <v>Multi Family Weatherization - Insulate Attic - R-19 to R-49 - Heating Zone 1 (Electric FAF Heating System)</v>
      </c>
      <c r="C134" s="99" t="str">
        <f>Costs!$A14&amp;" - Heating Zone 1 (Electric FAF Heating System)"</f>
        <v>Multi Family Weatherization - Insulate Attic - R-19 to R-49 - Heating Zone 1 (Electric FAF Heating System)</v>
      </c>
      <c r="D134" s="100">
        <f>VLOOKUP(C134,SEEMsavings!$A$5:$L$556,11,FALSE)+VLOOKUP(C134,SEEMsavings!$A$5:$L$556,12,FALSE)</f>
        <v>0.22145183184715905</v>
      </c>
      <c r="E134" s="96">
        <v>45</v>
      </c>
      <c r="F134" s="98">
        <f t="shared" si="3"/>
        <v>0.65683404823881342</v>
      </c>
      <c r="G134" s="96">
        <v>0</v>
      </c>
      <c r="H134" s="95" t="s">
        <v>1077</v>
      </c>
      <c r="I134" s="98"/>
      <c r="J134" s="27"/>
      <c r="K134" s="27"/>
      <c r="L134" s="27"/>
      <c r="M134" s="27"/>
      <c r="N134" s="27"/>
      <c r="O134" s="27"/>
      <c r="P134" s="27"/>
      <c r="Q134" s="27"/>
    </row>
    <row r="135" spans="1:17">
      <c r="A135" t="str">
        <f t="shared" si="2"/>
        <v>Windows - Single Pane to Class 22 - Heating Zone 1 (Electric FAF Heating System)Windows - Single Pane to Class 22 - Heating Zone 1 (Electric FAF Heating System)</v>
      </c>
      <c r="B135" s="99" t="str">
        <f>Costs!$A15&amp;" - Heating Zone 1 (Electric FAF Heating System)"</f>
        <v>Windows - Single Pane to Class 22 - Heating Zone 1 (Electric FAF Heating System)</v>
      </c>
      <c r="C135" s="99" t="str">
        <f>Costs!$A15&amp;" - Heating Zone 1 (Electric FAF Heating System)"</f>
        <v>Windows - Single Pane to Class 22 - Heating Zone 1 (Electric FAF Heating System)</v>
      </c>
      <c r="D135" s="100">
        <f>VLOOKUP(C135,SEEMsavings!$A$5:$L$556,11,FALSE)+VLOOKUP(C135,SEEMsavings!$A$5:$L$556,12,FALSE)</f>
        <v>25.523466294305265</v>
      </c>
      <c r="E135" s="96">
        <v>45</v>
      </c>
      <c r="F135" s="98">
        <f t="shared" si="3"/>
        <v>23.269535952606116</v>
      </c>
      <c r="G135" s="96">
        <v>0</v>
      </c>
      <c r="H135" s="95" t="s">
        <v>1077</v>
      </c>
      <c r="I135" s="98"/>
      <c r="J135" s="27"/>
      <c r="K135" s="27"/>
      <c r="L135" s="27"/>
      <c r="M135" s="27"/>
      <c r="N135" s="27"/>
      <c r="O135" s="27"/>
      <c r="P135" s="27"/>
      <c r="Q135" s="27"/>
    </row>
    <row r="136" spans="1:17">
      <c r="A136" t="str">
        <f t="shared" si="2"/>
        <v>Windows - Double Pane to Class 22 - Heating Zone 1 (Electric FAF Heating System)Windows - Double Pane to Class 22 - Heating Zone 1 (Electric FAF Heating System)</v>
      </c>
      <c r="B136" s="99" t="str">
        <f>Costs!$A16&amp;" - Heating Zone 1 (Electric FAF Heating System)"</f>
        <v>Windows - Double Pane to Class 22 - Heating Zone 1 (Electric FAF Heating System)</v>
      </c>
      <c r="C136" s="99" t="str">
        <f>Costs!$A16&amp;" - Heating Zone 1 (Electric FAF Heating System)"</f>
        <v>Windows - Double Pane to Class 22 - Heating Zone 1 (Electric FAF Heating System)</v>
      </c>
      <c r="D136" s="100">
        <f>VLOOKUP(C136,SEEMsavings!$A$5:$L$556,11,FALSE)+VLOOKUP(C136,SEEMsavings!$A$5:$L$556,12,FALSE)</f>
        <v>14.991558405652484</v>
      </c>
      <c r="E136" s="96">
        <v>45</v>
      </c>
      <c r="F136" s="98">
        <f t="shared" si="3"/>
        <v>23.269535952606116</v>
      </c>
      <c r="G136" s="96">
        <v>0</v>
      </c>
      <c r="H136" s="95" t="s">
        <v>1077</v>
      </c>
      <c r="I136" s="98"/>
      <c r="J136" s="27"/>
      <c r="K136" s="27"/>
      <c r="L136" s="27"/>
      <c r="M136" s="27"/>
      <c r="N136" s="27"/>
      <c r="O136" s="27"/>
      <c r="P136" s="27"/>
      <c r="Q136" s="27"/>
    </row>
    <row r="137" spans="1:17">
      <c r="A137" t="str">
        <f t="shared" ref="A137:A200" si="4">CONCATENATE(B137,C137)</f>
        <v>Windows - Single Pane to Class 30 - Heating Zone 1 (Electric FAF Heating System)Windows - Single Pane to Class 30 - Heating Zone 1 (Electric FAF Heating System)</v>
      </c>
      <c r="B137" s="99" t="str">
        <f>Costs!$A17&amp;" - Heating Zone 1 (Electric FAF Heating System)"</f>
        <v>Windows - Single Pane to Class 30 - Heating Zone 1 (Electric FAF Heating System)</v>
      </c>
      <c r="C137" s="99" t="str">
        <f>Costs!$A17&amp;" - Heating Zone 1 (Electric FAF Heating System)"</f>
        <v>Windows - Single Pane to Class 30 - Heating Zone 1 (Electric FAF Heating System)</v>
      </c>
      <c r="D137" s="100">
        <f>VLOOKUP(C137,SEEMsavings!$A$5:$L$556,11,FALSE)+VLOOKUP(C137,SEEMsavings!$A$5:$L$556,12,FALSE)</f>
        <v>23.467902941309831</v>
      </c>
      <c r="E137" s="96">
        <v>45</v>
      </c>
      <c r="F137" s="98">
        <f t="shared" si="3"/>
        <v>17.810142881355933</v>
      </c>
      <c r="G137" s="96">
        <v>0</v>
      </c>
      <c r="H137" s="95" t="s">
        <v>1077</v>
      </c>
      <c r="I137" s="98"/>
      <c r="J137" s="27"/>
      <c r="K137" s="27"/>
      <c r="L137" s="27"/>
      <c r="M137" s="27"/>
      <c r="N137" s="27"/>
      <c r="O137" s="27"/>
      <c r="P137" s="27"/>
      <c r="Q137" s="27"/>
    </row>
    <row r="138" spans="1:17">
      <c r="A138" t="str">
        <f t="shared" si="4"/>
        <v>Windows - Double Pane to Class 30 - Heating Zone 1 (Electric FAF Heating System)Windows - Double Pane to Class 30 - Heating Zone 1 (Electric FAF Heating System)</v>
      </c>
      <c r="B138" s="99" t="str">
        <f>Costs!$A18&amp;" - Heating Zone 1 (Electric FAF Heating System)"</f>
        <v>Windows - Double Pane to Class 30 - Heating Zone 1 (Electric FAF Heating System)</v>
      </c>
      <c r="C138" s="99" t="str">
        <f>Costs!$A18&amp;" - Heating Zone 1 (Electric FAF Heating System)"</f>
        <v>Windows - Double Pane to Class 30 - Heating Zone 1 (Electric FAF Heating System)</v>
      </c>
      <c r="D138" s="100">
        <f>VLOOKUP(C138,SEEMsavings!$A$5:$L$556,11,FALSE)+VLOOKUP(C138,SEEMsavings!$A$5:$L$556,12,FALSE)</f>
        <v>12.93599505265705</v>
      </c>
      <c r="E138" s="96">
        <v>45</v>
      </c>
      <c r="F138" s="98">
        <f t="shared" si="3"/>
        <v>17.810142881355933</v>
      </c>
      <c r="G138" s="96">
        <v>0</v>
      </c>
      <c r="H138" s="95" t="s">
        <v>1077</v>
      </c>
      <c r="I138" s="98"/>
      <c r="J138" s="27"/>
      <c r="K138" s="27"/>
      <c r="L138" s="27"/>
      <c r="M138" s="27"/>
      <c r="N138" s="27"/>
      <c r="O138" s="27"/>
      <c r="P138" s="27"/>
      <c r="Q138" s="27"/>
    </row>
    <row r="139" spans="1:17">
      <c r="A139" t="str">
        <f t="shared" si="4"/>
        <v>Windows - Class 35 to Class 30 - Heating Zone 1 (Electric FAF Heating System)Windows - Class 35 to Class 30 - Heating Zone 1 (Electric FAF Heating System)</v>
      </c>
      <c r="B139" s="99" t="str">
        <f>Costs!$A19&amp;" - Heating Zone 1 (Electric FAF Heating System)"</f>
        <v>Windows - Class 35 to Class 30 - Heating Zone 1 (Electric FAF Heating System)</v>
      </c>
      <c r="C139" s="99" t="str">
        <f>Costs!$A19&amp;" - Heating Zone 1 (Electric FAF Heating System)"</f>
        <v>Windows - Class 35 to Class 30 - Heating Zone 1 (Electric FAF Heating System)</v>
      </c>
      <c r="D139" s="100">
        <f>VLOOKUP(C139,SEEMsavings!$A$5:$L$556,11,FALSE)+VLOOKUP(C139,SEEMsavings!$A$5:$L$556,12,FALSE)</f>
        <v>1.407429320723582</v>
      </c>
      <c r="E139" s="96">
        <v>45</v>
      </c>
      <c r="F139" s="98">
        <f t="shared" si="3"/>
        <v>1.8290398716390079</v>
      </c>
      <c r="G139" s="96">
        <v>0</v>
      </c>
      <c r="H139" s="95" t="s">
        <v>1077</v>
      </c>
      <c r="I139" s="98"/>
      <c r="J139" s="27"/>
      <c r="K139" s="27"/>
      <c r="L139" s="27"/>
      <c r="M139" s="27"/>
      <c r="N139" s="27"/>
      <c r="O139" s="27"/>
      <c r="P139" s="27"/>
      <c r="Q139" s="27"/>
    </row>
    <row r="140" spans="1:17">
      <c r="A140" t="str">
        <f t="shared" si="4"/>
        <v>Windows - Class 35 to Class 22 - Heating Zone 1 (Electric FAF Heating System)Windows - Class 35 to Class 22 - Heating Zone 1 (Electric FAF Heating System)</v>
      </c>
      <c r="B140" s="99" t="str">
        <f>Costs!$A20&amp;" - Heating Zone 1 (Electric FAF Heating System)"</f>
        <v>Windows - Class 35 to Class 22 - Heating Zone 1 (Electric FAF Heating System)</v>
      </c>
      <c r="C140" s="99" t="str">
        <f>Costs!$A20&amp;" - Heating Zone 1 (Electric FAF Heating System)"</f>
        <v>Windows - Class 35 to Class 22 - Heating Zone 1 (Electric FAF Heating System)</v>
      </c>
      <c r="D140" s="100">
        <f>VLOOKUP(C140,SEEMsavings!$A$5:$L$556,11,FALSE)+VLOOKUP(C140,SEEMsavings!$A$5:$L$556,12,FALSE)</f>
        <v>3.4629926737190164</v>
      </c>
      <c r="E140" s="96">
        <v>45</v>
      </c>
      <c r="F140" s="98">
        <f t="shared" si="3"/>
        <v>7.288432942889191</v>
      </c>
      <c r="G140" s="96">
        <v>0</v>
      </c>
      <c r="H140" s="95" t="s">
        <v>1077</v>
      </c>
      <c r="I140" s="98"/>
      <c r="J140" s="27"/>
      <c r="K140" s="27"/>
      <c r="L140" s="27"/>
      <c r="M140" s="27"/>
      <c r="N140" s="27"/>
      <c r="O140" s="27"/>
      <c r="P140" s="27"/>
      <c r="Q140" s="27"/>
    </row>
    <row r="141" spans="1:17" ht="25.5">
      <c r="A141" t="str">
        <f t="shared" si="4"/>
        <v>Multi Family Weatherization - Insulate Walls - R-0 to R-11 - Heating Zone 2 (Electric FAF Heating System)Multi Family Weatherization - Insulate Walls - R-0 to R-11 - Heating Zone 2 (Electric FAF Heating System)</v>
      </c>
      <c r="B141" s="99" t="str">
        <f>Costs!$A2&amp;" - Heating Zone 2 (Electric FAF Heating System)"</f>
        <v>Multi Family Weatherization - Insulate Walls - R-0 to R-11 - Heating Zone 2 (Electric FAF Heating System)</v>
      </c>
      <c r="C141" s="99" t="str">
        <f>Costs!$A2&amp;" - Heating Zone 2 (Electric FAF Heating System)"</f>
        <v>Multi Family Weatherization - Insulate Walls - R-0 to R-11 - Heating Zone 2 (Electric FAF Heating System)</v>
      </c>
      <c r="D141" s="100">
        <f>VLOOKUP(C141,SEEMsavings!$A$5:$L$556,11,FALSE)+VLOOKUP(C141,SEEMsavings!$A$5:$L$556,12,FALSE)</f>
        <v>1.8981031007016897</v>
      </c>
      <c r="E141" s="96">
        <v>45</v>
      </c>
      <c r="F141" s="98">
        <f t="shared" si="3"/>
        <v>1.0354836592527603</v>
      </c>
      <c r="G141" s="96">
        <v>0</v>
      </c>
      <c r="H141" s="95" t="s">
        <v>1077</v>
      </c>
      <c r="I141" s="98"/>
      <c r="J141" s="27"/>
      <c r="K141" s="27"/>
      <c r="L141" s="27"/>
      <c r="M141" s="27"/>
      <c r="N141" s="27"/>
      <c r="O141" s="27"/>
      <c r="P141" s="27"/>
      <c r="Q141" s="27"/>
    </row>
    <row r="142" spans="1:17" ht="25.5">
      <c r="A142" t="str">
        <f t="shared" si="4"/>
        <v>Multi Family Weatherization - Insulate Floors - R-0 to R-19 - Heating Zone 2 (Electric FAF Heating System)Multi Family Weatherization - Insulate Floors - R-0 to R-19 - Heating Zone 2 (Electric FAF Heating System)</v>
      </c>
      <c r="B142" s="99" t="str">
        <f>Costs!$A3&amp;" - Heating Zone 2 (Electric FAF Heating System)"</f>
        <v>Multi Family Weatherization - Insulate Floors - R-0 to R-19 - Heating Zone 2 (Electric FAF Heating System)</v>
      </c>
      <c r="C142" s="99" t="str">
        <f>Costs!$A3&amp;" - Heating Zone 2 (Electric FAF Heating System)"</f>
        <v>Multi Family Weatherization - Insulate Floors - R-0 to R-19 - Heating Zone 2 (Electric FAF Heating System)</v>
      </c>
      <c r="D142" s="100">
        <f>VLOOKUP(C142,SEEMsavings!$A$5:$L$556,11,FALSE)+VLOOKUP(C142,SEEMsavings!$A$5:$L$556,12,FALSE)</f>
        <v>0.75266534716617617</v>
      </c>
      <c r="E142" s="96">
        <v>45</v>
      </c>
      <c r="F142" s="98">
        <f t="shared" si="3"/>
        <v>0.91799940108959477</v>
      </c>
      <c r="G142" s="96">
        <v>0</v>
      </c>
      <c r="H142" s="95" t="s">
        <v>1077</v>
      </c>
      <c r="I142" s="98"/>
      <c r="J142" s="27"/>
      <c r="K142" s="27"/>
      <c r="L142" s="27"/>
      <c r="M142" s="27"/>
      <c r="N142" s="27"/>
      <c r="O142" s="27"/>
      <c r="P142" s="27"/>
      <c r="Q142" s="27"/>
    </row>
    <row r="143" spans="1:17" ht="25.5">
      <c r="A143" t="str">
        <f t="shared" si="4"/>
        <v>Multi Family Weatherization - Insulate Floors - R-0 to R-30 - Heating Zone 2 (Electric FAF Heating System)Multi Family Weatherization - Insulate Floors - R-0 to R-30 - Heating Zone 2 (Electric FAF Heating System)</v>
      </c>
      <c r="B143" s="99" t="str">
        <f>Costs!$A4&amp;" - Heating Zone 2 (Electric FAF Heating System)"</f>
        <v>Multi Family Weatherization - Insulate Floors - R-0 to R-30 - Heating Zone 2 (Electric FAF Heating System)</v>
      </c>
      <c r="C143" s="99" t="str">
        <f>Costs!$A4&amp;" - Heating Zone 2 (Electric FAF Heating System)"</f>
        <v>Multi Family Weatherization - Insulate Floors - R-0 to R-30 - Heating Zone 2 (Electric FAF Heating System)</v>
      </c>
      <c r="D143" s="100">
        <f>VLOOKUP(C143,SEEMsavings!$A$5:$L$556,11,FALSE)+VLOOKUP(C143,SEEMsavings!$A$5:$L$556,12,FALSE)</f>
        <v>0.98288373653569483</v>
      </c>
      <c r="E143" s="96">
        <v>45</v>
      </c>
      <c r="F143" s="98">
        <f t="shared" si="3"/>
        <v>0.98244865861375763</v>
      </c>
      <c r="G143" s="96">
        <v>0</v>
      </c>
      <c r="H143" s="95" t="s">
        <v>1077</v>
      </c>
      <c r="I143" s="98"/>
      <c r="J143" s="27"/>
      <c r="K143" s="27"/>
      <c r="L143" s="27"/>
      <c r="M143" s="27"/>
      <c r="N143" s="27"/>
      <c r="O143" s="27"/>
      <c r="P143" s="27"/>
      <c r="Q143" s="27"/>
    </row>
    <row r="144" spans="1:17" ht="25.5">
      <c r="A144" t="str">
        <f t="shared" si="4"/>
        <v>Multi Family Weatherization - Insulate Floors - R-19 to R-30 - Heating Zone 2 (Electric FAF Heating System)Multi Family Weatherization - Insulate Floors - R-19 to R-30 - Heating Zone 2 (Electric FAF Heating System)</v>
      </c>
      <c r="B144" s="99" t="str">
        <f>Costs!$A5&amp;" - Heating Zone 2 (Electric FAF Heating System)"</f>
        <v>Multi Family Weatherization - Insulate Floors - R-19 to R-30 - Heating Zone 2 (Electric FAF Heating System)</v>
      </c>
      <c r="C144" s="99" t="str">
        <f>Costs!$A5&amp;" - Heating Zone 2 (Electric FAF Heating System)"</f>
        <v>Multi Family Weatherization - Insulate Floors - R-19 to R-30 - Heating Zone 2 (Electric FAF Heating System)</v>
      </c>
      <c r="D144" s="100">
        <f>VLOOKUP(C144,SEEMsavings!$A$5:$L$556,11,FALSE)+VLOOKUP(C144,SEEMsavings!$A$5:$L$556,12,FALSE)</f>
        <v>0.23021838936951838</v>
      </c>
      <c r="E144" s="96">
        <v>45</v>
      </c>
      <c r="F144" s="98">
        <f t="shared" si="3"/>
        <v>0.64785245801359526</v>
      </c>
      <c r="G144" s="96">
        <v>0</v>
      </c>
      <c r="H144" s="95" t="s">
        <v>1077</v>
      </c>
      <c r="I144" s="98"/>
      <c r="J144" s="27"/>
      <c r="K144" s="27"/>
      <c r="L144" s="27"/>
      <c r="M144" s="27"/>
      <c r="N144" s="27"/>
      <c r="O144" s="27"/>
      <c r="P144" s="27"/>
      <c r="Q144" s="27"/>
    </row>
    <row r="145" spans="1:17" ht="25.5">
      <c r="A145" t="str">
        <f t="shared" si="4"/>
        <v>Multi Family Weatherization - Insulate Attic - R-0 to R-19 - Heating Zone 2 (Electric FAF Heating System)Multi Family Weatherization - Insulate Attic - R-0 to R-19 - Heating Zone 2 (Electric FAF Heating System)</v>
      </c>
      <c r="B145" s="99" t="str">
        <f>Costs!$A6&amp;" - Heating Zone 2 (Electric FAF Heating System)"</f>
        <v>Multi Family Weatherization - Insulate Attic - R-0 to R-19 - Heating Zone 2 (Electric FAF Heating System)</v>
      </c>
      <c r="C145" s="99" t="str">
        <f>Costs!$A6&amp;" - Heating Zone 2 (Electric FAF Heating System)"</f>
        <v>Multi Family Weatherization - Insulate Attic - R-0 to R-19 - Heating Zone 2 (Electric FAF Heating System)</v>
      </c>
      <c r="D145" s="100">
        <f>VLOOKUP(C145,SEEMsavings!$A$5:$L$556,11,FALSE)+VLOOKUP(C145,SEEMsavings!$A$5:$L$556,12,FALSE)</f>
        <v>0.49483889284306926</v>
      </c>
      <c r="E145" s="96">
        <v>45</v>
      </c>
      <c r="F145" s="98">
        <f t="shared" si="3"/>
        <v>0.54914779043329487</v>
      </c>
      <c r="G145" s="96">
        <v>0</v>
      </c>
      <c r="H145" s="95" t="s">
        <v>1077</v>
      </c>
      <c r="I145" s="98"/>
      <c r="J145" s="27"/>
      <c r="K145" s="27"/>
      <c r="L145" s="27"/>
      <c r="M145" s="27"/>
      <c r="N145" s="27"/>
      <c r="O145" s="27"/>
      <c r="P145" s="27"/>
      <c r="Q145" s="27"/>
    </row>
    <row r="146" spans="1:17" ht="25.5">
      <c r="A146" t="str">
        <f t="shared" si="4"/>
        <v>Multi Family Weatherization - Insulate Attic - R-0 to R-38 - Heating Zone 2 (Electric FAF Heating System)Multi Family Weatherization - Insulate Attic - R-0 to R-38 - Heating Zone 2 (Electric FAF Heating System)</v>
      </c>
      <c r="B146" s="99" t="str">
        <f>Costs!$A7&amp;" - Heating Zone 2 (Electric FAF Heating System)"</f>
        <v>Multi Family Weatherization - Insulate Attic - R-0 to R-38 - Heating Zone 2 (Electric FAF Heating System)</v>
      </c>
      <c r="C146" s="99" t="str">
        <f>Costs!$A7&amp;" - Heating Zone 2 (Electric FAF Heating System)"</f>
        <v>Multi Family Weatherization - Insulate Attic - R-0 to R-38 - Heating Zone 2 (Electric FAF Heating System)</v>
      </c>
      <c r="D146" s="100">
        <f>VLOOKUP(C146,SEEMsavings!$A$5:$L$556,11,FALSE)+VLOOKUP(C146,SEEMsavings!$A$5:$L$556,12,FALSE)</f>
        <v>0.67533067136511449</v>
      </c>
      <c r="E146" s="96">
        <v>45</v>
      </c>
      <c r="F146" s="98">
        <f t="shared" si="3"/>
        <v>0.73246728560336305</v>
      </c>
      <c r="G146" s="96">
        <v>0</v>
      </c>
      <c r="H146" s="95" t="s">
        <v>1077</v>
      </c>
      <c r="I146" s="98"/>
      <c r="J146" s="27"/>
      <c r="K146" s="27"/>
      <c r="L146" s="27"/>
      <c r="M146" s="27"/>
      <c r="N146" s="27"/>
      <c r="O146" s="27"/>
      <c r="P146" s="27"/>
      <c r="Q146" s="27"/>
    </row>
    <row r="147" spans="1:17" ht="25.5">
      <c r="A147" t="str">
        <f t="shared" si="4"/>
        <v>Multi Family Weatherization - Insulate Attic - R-0 to R-49 - Heating Zone 2 (Electric FAF Heating System)Multi Family Weatherization - Insulate Attic - R-0 to R-49 - Heating Zone 2 (Electric FAF Heating System)</v>
      </c>
      <c r="B147" s="99" t="str">
        <f>Costs!$A8&amp;" - Heating Zone 2 (Electric FAF Heating System)"</f>
        <v>Multi Family Weatherization - Insulate Attic - R-0 to R-49 - Heating Zone 2 (Electric FAF Heating System)</v>
      </c>
      <c r="C147" s="99" t="str">
        <f>Costs!$A8&amp;" - Heating Zone 2 (Electric FAF Heating System)"</f>
        <v>Multi Family Weatherization - Insulate Attic - R-0 to R-49 - Heating Zone 2 (Electric FAF Heating System)</v>
      </c>
      <c r="D147" s="100">
        <f>VLOOKUP(C147,SEEMsavings!$A$5:$L$556,11,FALSE)+VLOOKUP(C147,SEEMsavings!$A$5:$L$556,12,FALSE)</f>
        <v>0.71725835006113703</v>
      </c>
      <c r="E147" s="96">
        <v>45</v>
      </c>
      <c r="F147" s="98">
        <f t="shared" si="3"/>
        <v>0.83087905114745864</v>
      </c>
      <c r="G147" s="96">
        <v>0</v>
      </c>
      <c r="H147" s="95" t="s">
        <v>1077</v>
      </c>
      <c r="I147" s="98"/>
      <c r="J147" s="27"/>
      <c r="K147" s="27"/>
      <c r="L147" s="27"/>
      <c r="M147" s="27"/>
      <c r="N147" s="27"/>
      <c r="O147" s="27"/>
      <c r="P147" s="27"/>
      <c r="Q147" s="27"/>
    </row>
    <row r="148" spans="1:17" ht="25.5">
      <c r="A148" t="str">
        <f t="shared" si="4"/>
        <v>Multi Family Weatherization - Insulate Attic - R-30 to R-38 - Heating Zone 2 (Electric FAF Heating System)Multi Family Weatherization - Insulate Attic - R-30 to R-38 - Heating Zone 2 (Electric FAF Heating System)</v>
      </c>
      <c r="B148" s="99" t="str">
        <f>Costs!$A9&amp;" - Heating Zone 2 (Electric FAF Heating System)"</f>
        <v>Multi Family Weatherization - Insulate Attic - R-30 to R-38 - Heating Zone 2 (Electric FAF Heating System)</v>
      </c>
      <c r="C148" s="99" t="str">
        <f>Costs!$A9&amp;" - Heating Zone 2 (Electric FAF Heating System)"</f>
        <v>Multi Family Weatherization - Insulate Attic - R-30 to R-38 - Heating Zone 2 (Electric FAF Heating System)</v>
      </c>
      <c r="D148" s="100">
        <f>VLOOKUP(C148,SEEMsavings!$A$5:$L$556,11,FALSE)+VLOOKUP(C148,SEEMsavings!$A$5:$L$556,12,FALSE)</f>
        <v>4.9742969509886548E-2</v>
      </c>
      <c r="E148" s="96">
        <v>45</v>
      </c>
      <c r="F148" s="98">
        <f t="shared" si="3"/>
        <v>0.2473644911578245</v>
      </c>
      <c r="G148" s="96">
        <v>0</v>
      </c>
      <c r="H148" s="95" t="s">
        <v>1077</v>
      </c>
      <c r="I148" s="98"/>
      <c r="J148" s="27"/>
      <c r="K148" s="27"/>
      <c r="L148" s="27"/>
      <c r="M148" s="27"/>
      <c r="N148" s="27"/>
      <c r="O148" s="27"/>
      <c r="P148" s="27"/>
      <c r="Q148" s="27"/>
    </row>
    <row r="149" spans="1:17" ht="25.5">
      <c r="A149" t="str">
        <f t="shared" si="4"/>
        <v>Multi Family Weatherization - Insulate Attic - R-30 to R-49 - Heating Zone 2 (Electric FAF Heating System)Multi Family Weatherization - Insulate Attic - R-30 to R-49 - Heating Zone 2 (Electric FAF Heating System)</v>
      </c>
      <c r="B149" s="99" t="str">
        <f>Costs!$A10&amp;" - Heating Zone 2 (Electric FAF Heating System)"</f>
        <v>Multi Family Weatherization - Insulate Attic - R-30 to R-49 - Heating Zone 2 (Electric FAF Heating System)</v>
      </c>
      <c r="C149" s="99" t="str">
        <f>Costs!$A10&amp;" - Heating Zone 2 (Electric FAF Heating System)"</f>
        <v>Multi Family Weatherization - Insulate Attic - R-30 to R-49 - Heating Zone 2 (Electric FAF Heating System)</v>
      </c>
      <c r="D149" s="100">
        <f>VLOOKUP(C149,SEEMsavings!$A$5:$L$556,11,FALSE)+VLOOKUP(C149,SEEMsavings!$A$5:$L$556,12,FALSE)</f>
        <v>9.1670648205909117E-2</v>
      </c>
      <c r="E149" s="96">
        <v>45</v>
      </c>
      <c r="F149" s="98">
        <f t="shared" si="3"/>
        <v>0.58749066649983317</v>
      </c>
      <c r="G149" s="96">
        <v>0</v>
      </c>
      <c r="H149" s="95" t="s">
        <v>1077</v>
      </c>
      <c r="I149" s="98"/>
      <c r="J149" s="27"/>
      <c r="K149" s="27"/>
      <c r="L149" s="27"/>
      <c r="M149" s="27"/>
      <c r="N149" s="27"/>
      <c r="O149" s="27"/>
      <c r="P149" s="27"/>
      <c r="Q149" s="27"/>
    </row>
    <row r="150" spans="1:17" ht="25.5">
      <c r="A150" t="str">
        <f t="shared" si="4"/>
        <v>Multi Family Weatherization - Insulate Attic - R-38 to R-49 - Heating Zone 2 (Electric FAF Heating System)Multi Family Weatherization - Insulate Attic - R-38 to R-49 - Heating Zone 2 (Electric FAF Heating System)</v>
      </c>
      <c r="B150" s="99" t="str">
        <f>Costs!$A11&amp;" - Heating Zone 2 (Electric FAF Heating System)"</f>
        <v>Multi Family Weatherization - Insulate Attic - R-38 to R-49 - Heating Zone 2 (Electric FAF Heating System)</v>
      </c>
      <c r="C150" s="99" t="str">
        <f>Costs!$A11&amp;" - Heating Zone 2 (Electric FAF Heating System)"</f>
        <v>Multi Family Weatherization - Insulate Attic - R-38 to R-49 - Heating Zone 2 (Electric FAF Heating System)</v>
      </c>
      <c r="D150" s="100">
        <f>VLOOKUP(C150,SEEMsavings!$A$5:$L$556,11,FALSE)+VLOOKUP(C150,SEEMsavings!$A$5:$L$556,12,FALSE)</f>
        <v>4.1927678696022548E-2</v>
      </c>
      <c r="E150" s="96">
        <v>45</v>
      </c>
      <c r="F150" s="98">
        <f t="shared" si="3"/>
        <v>0.34012617534200867</v>
      </c>
      <c r="G150" s="96">
        <v>0</v>
      </c>
      <c r="H150" s="95" t="s">
        <v>1077</v>
      </c>
      <c r="I150" s="98"/>
      <c r="J150" s="27"/>
      <c r="K150" s="27"/>
      <c r="L150" s="27"/>
      <c r="M150" s="27"/>
      <c r="N150" s="27"/>
      <c r="O150" s="27"/>
      <c r="P150" s="27"/>
      <c r="Q150" s="27"/>
    </row>
    <row r="151" spans="1:17" ht="25.5">
      <c r="A151" t="str">
        <f t="shared" si="4"/>
        <v>Multi Family Weatherization - Insulate Attic - R-19 to R-30 - Heating Zone 2 (Electric FAF Heating System)Multi Family Weatherization - Insulate Attic - R-19 to R-30 - Heating Zone 2 (Electric FAF Heating System)</v>
      </c>
      <c r="B151" s="99" t="str">
        <f>Costs!$A12&amp;" - Heating Zone 2 (Electric FAF Heating System)"</f>
        <v>Multi Family Weatherization - Insulate Attic - R-19 to R-30 - Heating Zone 2 (Electric FAF Heating System)</v>
      </c>
      <c r="C151" s="99" t="str">
        <f>Costs!$A12&amp;" - Heating Zone 2 (Electric FAF Heating System)"</f>
        <v>Multi Family Weatherization - Insulate Attic - R-19 to R-30 - Heating Zone 2 (Electric FAF Heating System)</v>
      </c>
      <c r="D151" s="100">
        <f>VLOOKUP(C151,SEEMsavings!$A$5:$L$556,11,FALSE)+VLOOKUP(C151,SEEMsavings!$A$5:$L$556,12,FALSE)</f>
        <v>0.13074880901215871</v>
      </c>
      <c r="E151" s="96">
        <v>45</v>
      </c>
      <c r="F151" s="98">
        <f t="shared" si="3"/>
        <v>0.47401945424285125</v>
      </c>
      <c r="G151" s="96">
        <v>0</v>
      </c>
      <c r="H151" s="95" t="s">
        <v>1077</v>
      </c>
      <c r="I151" s="98"/>
      <c r="J151" s="27"/>
      <c r="K151" s="27"/>
      <c r="L151" s="27"/>
      <c r="M151" s="27"/>
      <c r="N151" s="27"/>
      <c r="O151" s="27"/>
      <c r="P151" s="27"/>
      <c r="Q151" s="27"/>
    </row>
    <row r="152" spans="1:17" ht="25.5">
      <c r="A152" t="str">
        <f t="shared" si="4"/>
        <v>Multi Family Weatherization - Insulate Attic - R-19 to R-38 - Heating Zone 2 (Electric FAF Heating System)Multi Family Weatherization - Insulate Attic - R-19 to R-38 - Heating Zone 2 (Electric FAF Heating System)</v>
      </c>
      <c r="B152" s="99" t="str">
        <f>Costs!$A13&amp;" - Heating Zone 2 (Electric FAF Heating System)"</f>
        <v>Multi Family Weatherization - Insulate Attic - R-19 to R-38 - Heating Zone 2 (Electric FAF Heating System)</v>
      </c>
      <c r="C152" s="99" t="str">
        <f>Costs!$A13&amp;" - Heating Zone 2 (Electric FAF Heating System)"</f>
        <v>Multi Family Weatherization - Insulate Attic - R-19 to R-38 - Heating Zone 2 (Electric FAF Heating System)</v>
      </c>
      <c r="D152" s="100">
        <f>VLOOKUP(C152,SEEMsavings!$A$5:$L$556,11,FALSE)+VLOOKUP(C152,SEEMsavings!$A$5:$L$556,12,FALSE)</f>
        <v>0.18049177852204529</v>
      </c>
      <c r="E152" s="96">
        <v>45</v>
      </c>
      <c r="F152" s="98">
        <f t="shared" si="3"/>
        <v>0.55283834686255773</v>
      </c>
      <c r="G152" s="96">
        <v>0</v>
      </c>
      <c r="H152" s="95" t="s">
        <v>1077</v>
      </c>
      <c r="I152" s="98"/>
      <c r="J152" s="27"/>
      <c r="K152" s="27"/>
      <c r="L152" s="27"/>
      <c r="M152" s="27"/>
      <c r="N152" s="27"/>
      <c r="O152" s="27"/>
      <c r="P152" s="27"/>
      <c r="Q152" s="27"/>
    </row>
    <row r="153" spans="1:17" ht="25.5">
      <c r="A153" t="str">
        <f t="shared" si="4"/>
        <v>Multi Family Weatherization - Insulate Attic - R-19 to R-49 - Heating Zone 2 (Electric FAF Heating System)Multi Family Weatherization - Insulate Attic - R-19 to R-49 - Heating Zone 2 (Electric FAF Heating System)</v>
      </c>
      <c r="B153" s="99" t="str">
        <f>Costs!$A14&amp;" - Heating Zone 2 (Electric FAF Heating System)"</f>
        <v>Multi Family Weatherization - Insulate Attic - R-19 to R-49 - Heating Zone 2 (Electric FAF Heating System)</v>
      </c>
      <c r="C153" s="99" t="str">
        <f>Costs!$A14&amp;" - Heating Zone 2 (Electric FAF Heating System)"</f>
        <v>Multi Family Weatherization - Insulate Attic - R-19 to R-49 - Heating Zone 2 (Electric FAF Heating System)</v>
      </c>
      <c r="D153" s="100">
        <f>VLOOKUP(C153,SEEMsavings!$A$5:$L$556,11,FALSE)+VLOOKUP(C153,SEEMsavings!$A$5:$L$556,12,FALSE)</f>
        <v>0.22241945721806783</v>
      </c>
      <c r="E153" s="96">
        <v>45</v>
      </c>
      <c r="F153" s="98">
        <f t="shared" si="3"/>
        <v>0.65683404823881342</v>
      </c>
      <c r="G153" s="96">
        <v>0</v>
      </c>
      <c r="H153" s="95" t="s">
        <v>1077</v>
      </c>
      <c r="I153" s="98"/>
      <c r="J153" s="27"/>
      <c r="K153" s="27"/>
      <c r="L153" s="27"/>
      <c r="M153" s="27"/>
      <c r="N153" s="27"/>
      <c r="O153" s="27"/>
      <c r="P153" s="27"/>
      <c r="Q153" s="27"/>
    </row>
    <row r="154" spans="1:17">
      <c r="A154" t="str">
        <f t="shared" si="4"/>
        <v>Windows - Single Pane to Class 22 - Heating Zone 2 (Electric FAF Heating System)Windows - Single Pane to Class 22 - Heating Zone 2 (Electric FAF Heating System)</v>
      </c>
      <c r="B154" s="99" t="str">
        <f>Costs!$A15&amp;" - Heating Zone 2 (Electric FAF Heating System)"</f>
        <v>Windows - Single Pane to Class 22 - Heating Zone 2 (Electric FAF Heating System)</v>
      </c>
      <c r="C154" s="99" t="str">
        <f>Costs!$A15&amp;" - Heating Zone 2 (Electric FAF Heating System)"</f>
        <v>Windows - Single Pane to Class 22 - Heating Zone 2 (Electric FAF Heating System)</v>
      </c>
      <c r="D154" s="100">
        <f>VLOOKUP(C154,SEEMsavings!$A$5:$L$556,11,FALSE)+VLOOKUP(C154,SEEMsavings!$A$5:$L$556,12,FALSE)</f>
        <v>34.4470601259288</v>
      </c>
      <c r="E154" s="96">
        <v>45</v>
      </c>
      <c r="F154" s="98">
        <f t="shared" si="3"/>
        <v>23.269535952606116</v>
      </c>
      <c r="G154" s="96">
        <v>0</v>
      </c>
      <c r="H154" s="95" t="s">
        <v>1077</v>
      </c>
      <c r="I154" s="98"/>
      <c r="J154" s="27"/>
      <c r="K154" s="27"/>
      <c r="L154" s="27"/>
      <c r="M154" s="27"/>
      <c r="N154" s="27"/>
      <c r="O154" s="27"/>
      <c r="P154" s="27"/>
      <c r="Q154" s="27"/>
    </row>
    <row r="155" spans="1:17">
      <c r="A155" t="str">
        <f t="shared" si="4"/>
        <v>Windows - Double Pane to Class 22 - Heating Zone 2 (Electric FAF Heating System)Windows - Double Pane to Class 22 - Heating Zone 2 (Electric FAF Heating System)</v>
      </c>
      <c r="B155" s="99" t="str">
        <f>Costs!$A16&amp;" - Heating Zone 2 (Electric FAF Heating System)"</f>
        <v>Windows - Double Pane to Class 22 - Heating Zone 2 (Electric FAF Heating System)</v>
      </c>
      <c r="C155" s="99" t="str">
        <f>Costs!$A16&amp;" - Heating Zone 2 (Electric FAF Heating System)"</f>
        <v>Windows - Double Pane to Class 22 - Heating Zone 2 (Electric FAF Heating System)</v>
      </c>
      <c r="D155" s="100">
        <f>VLOOKUP(C155,SEEMsavings!$A$5:$L$556,11,FALSE)+VLOOKUP(C155,SEEMsavings!$A$5:$L$556,12,FALSE)</f>
        <v>20.538703350494654</v>
      </c>
      <c r="E155" s="96">
        <v>45</v>
      </c>
      <c r="F155" s="98">
        <f t="shared" ref="F155:F218" si="5">F136</f>
        <v>23.269535952606116</v>
      </c>
      <c r="G155" s="96">
        <v>0</v>
      </c>
      <c r="H155" s="95" t="s">
        <v>1077</v>
      </c>
      <c r="I155" s="98"/>
      <c r="J155" s="27"/>
      <c r="K155" s="27"/>
      <c r="L155" s="27"/>
      <c r="M155" s="27"/>
      <c r="N155" s="27"/>
      <c r="O155" s="27"/>
      <c r="P155" s="27"/>
      <c r="Q155" s="27"/>
    </row>
    <row r="156" spans="1:17">
      <c r="A156" t="str">
        <f t="shared" si="4"/>
        <v>Windows - Single Pane to Class 30 - Heating Zone 2 (Electric FAF Heating System)Windows - Single Pane to Class 30 - Heating Zone 2 (Electric FAF Heating System)</v>
      </c>
      <c r="B156" s="99" t="str">
        <f>Costs!$A17&amp;" - Heating Zone 2 (Electric FAF Heating System)"</f>
        <v>Windows - Single Pane to Class 30 - Heating Zone 2 (Electric FAF Heating System)</v>
      </c>
      <c r="C156" s="99" t="str">
        <f>Costs!$A17&amp;" - Heating Zone 2 (Electric FAF Heating System)"</f>
        <v>Windows - Single Pane to Class 30 - Heating Zone 2 (Electric FAF Heating System)</v>
      </c>
      <c r="D156" s="100">
        <f>VLOOKUP(C156,SEEMsavings!$A$5:$L$556,11,FALSE)+VLOOKUP(C156,SEEMsavings!$A$5:$L$556,12,FALSE)</f>
        <v>31.598259034534191</v>
      </c>
      <c r="E156" s="96">
        <v>45</v>
      </c>
      <c r="F156" s="98">
        <f t="shared" si="5"/>
        <v>17.810142881355933</v>
      </c>
      <c r="G156" s="96">
        <v>0</v>
      </c>
      <c r="H156" s="95" t="s">
        <v>1077</v>
      </c>
      <c r="I156" s="98"/>
      <c r="J156" s="27"/>
      <c r="K156" s="27"/>
      <c r="L156" s="27"/>
      <c r="M156" s="27"/>
      <c r="N156" s="27"/>
      <c r="O156" s="27"/>
      <c r="P156" s="27"/>
      <c r="Q156" s="27"/>
    </row>
    <row r="157" spans="1:17">
      <c r="A157" t="str">
        <f t="shared" si="4"/>
        <v>Windows - Double Pane to Class 30 - Heating Zone 2 (Electric FAF Heating System)Windows - Double Pane to Class 30 - Heating Zone 2 (Electric FAF Heating System)</v>
      </c>
      <c r="B157" s="99" t="str">
        <f>Costs!$A18&amp;" - Heating Zone 2 (Electric FAF Heating System)"</f>
        <v>Windows - Double Pane to Class 30 - Heating Zone 2 (Electric FAF Heating System)</v>
      </c>
      <c r="C157" s="99" t="str">
        <f>Costs!$A18&amp;" - Heating Zone 2 (Electric FAF Heating System)"</f>
        <v>Windows - Double Pane to Class 30 - Heating Zone 2 (Electric FAF Heating System)</v>
      </c>
      <c r="D157" s="100">
        <f>VLOOKUP(C157,SEEMsavings!$A$5:$L$556,11,FALSE)+VLOOKUP(C157,SEEMsavings!$A$5:$L$556,12,FALSE)</f>
        <v>17.689902259100037</v>
      </c>
      <c r="E157" s="96">
        <v>45</v>
      </c>
      <c r="F157" s="98">
        <f t="shared" si="5"/>
        <v>17.810142881355933</v>
      </c>
      <c r="G157" s="96">
        <v>0</v>
      </c>
      <c r="H157" s="95" t="s">
        <v>1077</v>
      </c>
      <c r="I157" s="98"/>
      <c r="J157" s="27"/>
      <c r="K157" s="27"/>
      <c r="L157" s="27"/>
      <c r="M157" s="27"/>
      <c r="N157" s="27"/>
      <c r="O157" s="27"/>
      <c r="P157" s="27"/>
      <c r="Q157" s="27"/>
    </row>
    <row r="158" spans="1:17">
      <c r="A158" t="str">
        <f t="shared" si="4"/>
        <v>Windows - Class 35 to Class 30 - Heating Zone 2 (Electric FAF Heating System)Windows - Class 35 to Class 30 - Heating Zone 2 (Electric FAF Heating System)</v>
      </c>
      <c r="B158" s="99" t="str">
        <f>Costs!$A19&amp;" - Heating Zone 2 (Electric FAF Heating System)"</f>
        <v>Windows - Class 35 to Class 30 - Heating Zone 2 (Electric FAF Heating System)</v>
      </c>
      <c r="C158" s="99" t="str">
        <f>Costs!$A19&amp;" - Heating Zone 2 (Electric FAF Heating System)"</f>
        <v>Windows - Class 35 to Class 30 - Heating Zone 2 (Electric FAF Heating System)</v>
      </c>
      <c r="D158" s="100">
        <f>VLOOKUP(C158,SEEMsavings!$A$5:$L$556,11,FALSE)+VLOOKUP(C158,SEEMsavings!$A$5:$L$556,12,FALSE)</f>
        <v>1.9327474786449097</v>
      </c>
      <c r="E158" s="96">
        <v>45</v>
      </c>
      <c r="F158" s="98">
        <f t="shared" si="5"/>
        <v>1.8290398716390079</v>
      </c>
      <c r="G158" s="96">
        <v>0</v>
      </c>
      <c r="H158" s="95" t="s">
        <v>1077</v>
      </c>
      <c r="I158" s="98"/>
      <c r="J158" s="27"/>
      <c r="K158" s="27"/>
      <c r="L158" s="27"/>
      <c r="M158" s="27"/>
      <c r="N158" s="27"/>
      <c r="O158" s="27"/>
      <c r="P158" s="27"/>
      <c r="Q158" s="27"/>
    </row>
    <row r="159" spans="1:17">
      <c r="A159" t="str">
        <f t="shared" si="4"/>
        <v>Windows - Class 35 to Class 22 - Heating Zone 2 (Electric FAF Heating System)Windows - Class 35 to Class 22 - Heating Zone 2 (Electric FAF Heating System)</v>
      </c>
      <c r="B159" s="99" t="str">
        <f>Costs!$A20&amp;" - Heating Zone 2 (Electric FAF Heating System)"</f>
        <v>Windows - Class 35 to Class 22 - Heating Zone 2 (Electric FAF Heating System)</v>
      </c>
      <c r="C159" s="99" t="str">
        <f>Costs!$A20&amp;" - Heating Zone 2 (Electric FAF Heating System)"</f>
        <v>Windows - Class 35 to Class 22 - Heating Zone 2 (Electric FAF Heating System)</v>
      </c>
      <c r="D159" s="100">
        <f>VLOOKUP(C159,SEEMsavings!$A$5:$L$556,11,FALSE)+VLOOKUP(C159,SEEMsavings!$A$5:$L$556,12,FALSE)</f>
        <v>4.7815485700395275</v>
      </c>
      <c r="E159" s="96">
        <v>45</v>
      </c>
      <c r="F159" s="98">
        <f t="shared" si="5"/>
        <v>7.288432942889191</v>
      </c>
      <c r="G159" s="96">
        <v>0</v>
      </c>
      <c r="H159" s="95" t="s">
        <v>1077</v>
      </c>
      <c r="I159" s="98"/>
      <c r="J159" s="27"/>
      <c r="K159" s="27"/>
      <c r="L159" s="27"/>
      <c r="M159" s="27"/>
      <c r="N159" s="27"/>
      <c r="O159" s="27"/>
      <c r="P159" s="27"/>
      <c r="Q159" s="27"/>
    </row>
    <row r="160" spans="1:17" ht="25.5">
      <c r="A160" t="str">
        <f t="shared" si="4"/>
        <v>Multi Family Weatherization - Insulate Walls - R-0 to R-11 - Heating Zone 3 (Electric FAF Heating System)Multi Family Weatherization - Insulate Walls - R-0 to R-11 - Heating Zone 3 (Electric FAF Heating System)</v>
      </c>
      <c r="B160" s="99" t="str">
        <f>Costs!$A2&amp;" - Heating Zone 3 (Electric FAF Heating System)"</f>
        <v>Multi Family Weatherization - Insulate Walls - R-0 to R-11 - Heating Zone 3 (Electric FAF Heating System)</v>
      </c>
      <c r="C160" s="99" t="str">
        <f>Costs!$A2&amp;" - Heating Zone 3 (Electric FAF Heating System)"</f>
        <v>Multi Family Weatherization - Insulate Walls - R-0 to R-11 - Heating Zone 3 (Electric FAF Heating System)</v>
      </c>
      <c r="D160" s="100">
        <f>VLOOKUP(C160,SEEMsavings!$A$5:$L$556,11,FALSE)+VLOOKUP(C160,SEEMsavings!$A$5:$L$556,12,FALSE)</f>
        <v>2.2760980852113253</v>
      </c>
      <c r="E160" s="96">
        <v>45</v>
      </c>
      <c r="F160" s="98">
        <f t="shared" si="5"/>
        <v>1.0354836592527603</v>
      </c>
      <c r="G160" s="96">
        <v>0</v>
      </c>
      <c r="H160" s="95" t="s">
        <v>1077</v>
      </c>
      <c r="I160" s="98"/>
      <c r="J160" s="27"/>
      <c r="K160" s="27"/>
      <c r="L160" s="27"/>
      <c r="M160" s="27"/>
      <c r="N160" s="27"/>
      <c r="O160" s="27"/>
      <c r="P160" s="27"/>
      <c r="Q160" s="27"/>
    </row>
    <row r="161" spans="1:17" ht="25.5">
      <c r="A161" t="str">
        <f t="shared" si="4"/>
        <v>Multi Family Weatherization - Insulate Floors - R-0 to R-19 - Heating Zone 3 (Electric FAF Heating System)Multi Family Weatherization - Insulate Floors - R-0 to R-19 - Heating Zone 3 (Electric FAF Heating System)</v>
      </c>
      <c r="B161" s="99" t="str">
        <f>Costs!$A3&amp;" - Heating Zone 3 (Electric FAF Heating System)"</f>
        <v>Multi Family Weatherization - Insulate Floors - R-0 to R-19 - Heating Zone 3 (Electric FAF Heating System)</v>
      </c>
      <c r="C161" s="99" t="str">
        <f>Costs!$A3&amp;" - Heating Zone 3 (Electric FAF Heating System)"</f>
        <v>Multi Family Weatherization - Insulate Floors - R-0 to R-19 - Heating Zone 3 (Electric FAF Heating System)</v>
      </c>
      <c r="D161" s="100">
        <f>VLOOKUP(C161,SEEMsavings!$A$5:$L$556,11,FALSE)+VLOOKUP(C161,SEEMsavings!$A$5:$L$556,12,FALSE)</f>
        <v>0.87019508074599128</v>
      </c>
      <c r="E161" s="96">
        <v>45</v>
      </c>
      <c r="F161" s="98">
        <f t="shared" si="5"/>
        <v>0.91799940108959477</v>
      </c>
      <c r="G161" s="96">
        <v>0</v>
      </c>
      <c r="H161" s="95" t="s">
        <v>1077</v>
      </c>
      <c r="I161" s="98"/>
      <c r="J161" s="27"/>
      <c r="K161" s="27"/>
      <c r="L161" s="27"/>
      <c r="M161" s="27"/>
      <c r="N161" s="27"/>
      <c r="O161" s="27"/>
      <c r="P161" s="27"/>
      <c r="Q161" s="27"/>
    </row>
    <row r="162" spans="1:17" ht="25.5">
      <c r="A162" t="str">
        <f t="shared" si="4"/>
        <v>Multi Family Weatherization - Insulate Floors - R-0 to R-30 - Heating Zone 3 (Electric FAF Heating System)Multi Family Weatherization - Insulate Floors - R-0 to R-30 - Heating Zone 3 (Electric FAF Heating System)</v>
      </c>
      <c r="B162" s="99" t="str">
        <f>Costs!$A4&amp;" - Heating Zone 3 (Electric FAF Heating System)"</f>
        <v>Multi Family Weatherization - Insulate Floors - R-0 to R-30 - Heating Zone 3 (Electric FAF Heating System)</v>
      </c>
      <c r="C162" s="99" t="str">
        <f>Costs!$A4&amp;" - Heating Zone 3 (Electric FAF Heating System)"</f>
        <v>Multi Family Weatherization - Insulate Floors - R-0 to R-30 - Heating Zone 3 (Electric FAF Heating System)</v>
      </c>
      <c r="D162" s="100">
        <f>VLOOKUP(C162,SEEMsavings!$A$5:$L$556,11,FALSE)+VLOOKUP(C162,SEEMsavings!$A$5:$L$556,12,FALSE)</f>
        <v>1.1361631078181835</v>
      </c>
      <c r="E162" s="96">
        <v>45</v>
      </c>
      <c r="F162" s="98">
        <f t="shared" si="5"/>
        <v>0.98244865861375763</v>
      </c>
      <c r="G162" s="96">
        <v>0</v>
      </c>
      <c r="H162" s="95" t="s">
        <v>1077</v>
      </c>
      <c r="I162" s="98"/>
      <c r="J162" s="27"/>
      <c r="K162" s="27"/>
      <c r="L162" s="27"/>
      <c r="M162" s="27"/>
      <c r="N162" s="27"/>
      <c r="O162" s="27"/>
      <c r="P162" s="27"/>
      <c r="Q162" s="27"/>
    </row>
    <row r="163" spans="1:17" ht="25.5">
      <c r="A163" t="str">
        <f t="shared" si="4"/>
        <v>Multi Family Weatherization - Insulate Floors - R-19 to R-30 - Heating Zone 3 (Electric FAF Heating System)Multi Family Weatherization - Insulate Floors - R-19 to R-30 - Heating Zone 3 (Electric FAF Heating System)</v>
      </c>
      <c r="B163" s="99" t="str">
        <f>Costs!$A5&amp;" - Heating Zone 3 (Electric FAF Heating System)"</f>
        <v>Multi Family Weatherization - Insulate Floors - R-19 to R-30 - Heating Zone 3 (Electric FAF Heating System)</v>
      </c>
      <c r="C163" s="99" t="str">
        <f>Costs!$A5&amp;" - Heating Zone 3 (Electric FAF Heating System)"</f>
        <v>Multi Family Weatherization - Insulate Floors - R-19 to R-30 - Heating Zone 3 (Electric FAF Heating System)</v>
      </c>
      <c r="D163" s="100">
        <f>VLOOKUP(C163,SEEMsavings!$A$5:$L$556,11,FALSE)+VLOOKUP(C163,SEEMsavings!$A$5:$L$556,12,FALSE)</f>
        <v>0.26596802707219236</v>
      </c>
      <c r="E163" s="96">
        <v>45</v>
      </c>
      <c r="F163" s="98">
        <f t="shared" si="5"/>
        <v>0.64785245801359526</v>
      </c>
      <c r="G163" s="96">
        <v>0</v>
      </c>
      <c r="H163" s="95" t="s">
        <v>1077</v>
      </c>
      <c r="I163" s="98"/>
      <c r="J163" s="27"/>
      <c r="K163" s="27"/>
      <c r="L163" s="27"/>
      <c r="M163" s="27"/>
      <c r="N163" s="27"/>
      <c r="O163" s="27"/>
      <c r="P163" s="27"/>
      <c r="Q163" s="27"/>
    </row>
    <row r="164" spans="1:17" ht="25.5">
      <c r="A164" t="str">
        <f t="shared" si="4"/>
        <v>Multi Family Weatherization - Insulate Attic - R-0 to R-19 - Heating Zone 3 (Electric FAF Heating System)Multi Family Weatherization - Insulate Attic - R-0 to R-19 - Heating Zone 3 (Electric FAF Heating System)</v>
      </c>
      <c r="B164" s="99" t="str">
        <f>Costs!$A6&amp;" - Heating Zone 3 (Electric FAF Heating System)"</f>
        <v>Multi Family Weatherization - Insulate Attic - R-0 to R-19 - Heating Zone 3 (Electric FAF Heating System)</v>
      </c>
      <c r="C164" s="99" t="str">
        <f>Costs!$A6&amp;" - Heating Zone 3 (Electric FAF Heating System)"</f>
        <v>Multi Family Weatherization - Insulate Attic - R-0 to R-19 - Heating Zone 3 (Electric FAF Heating System)</v>
      </c>
      <c r="D164" s="100">
        <f>VLOOKUP(C164,SEEMsavings!$A$5:$L$556,11,FALSE)+VLOOKUP(C164,SEEMsavings!$A$5:$L$556,12,FALSE)</f>
        <v>0.44255362667272646</v>
      </c>
      <c r="E164" s="96">
        <v>45</v>
      </c>
      <c r="F164" s="98">
        <f t="shared" si="5"/>
        <v>0.54914779043329487</v>
      </c>
      <c r="G164" s="96">
        <v>0</v>
      </c>
      <c r="H164" s="95" t="s">
        <v>1077</v>
      </c>
      <c r="I164" s="98"/>
      <c r="J164" s="27"/>
      <c r="K164" s="27"/>
      <c r="L164" s="27"/>
      <c r="M164" s="27"/>
      <c r="N164" s="27"/>
      <c r="O164" s="27"/>
      <c r="P164" s="27"/>
      <c r="Q164" s="27"/>
    </row>
    <row r="165" spans="1:17" ht="25.5">
      <c r="A165" t="str">
        <f t="shared" si="4"/>
        <v>Multi Family Weatherization - Insulate Attic - R-0 to R-38 - Heating Zone 3 (Electric FAF Heating System)Multi Family Weatherization - Insulate Attic - R-0 to R-38 - Heating Zone 3 (Electric FAF Heating System)</v>
      </c>
      <c r="B165" s="99" t="str">
        <f>Costs!$A7&amp;" - Heating Zone 3 (Electric FAF Heating System)"</f>
        <v>Multi Family Weatherization - Insulate Attic - R-0 to R-38 - Heating Zone 3 (Electric FAF Heating System)</v>
      </c>
      <c r="C165" s="99" t="str">
        <f>Costs!$A7&amp;" - Heating Zone 3 (Electric FAF Heating System)"</f>
        <v>Multi Family Weatherization - Insulate Attic - R-0 to R-38 - Heating Zone 3 (Electric FAF Heating System)</v>
      </c>
      <c r="D165" s="100">
        <f>VLOOKUP(C165,SEEMsavings!$A$5:$L$556,11,FALSE)+VLOOKUP(C165,SEEMsavings!$A$5:$L$556,12,FALSE)</f>
        <v>0.60409956898409101</v>
      </c>
      <c r="E165" s="96">
        <v>45</v>
      </c>
      <c r="F165" s="98">
        <f t="shared" si="5"/>
        <v>0.73246728560336305</v>
      </c>
      <c r="G165" s="96">
        <v>0</v>
      </c>
      <c r="H165" s="95" t="s">
        <v>1077</v>
      </c>
      <c r="I165" s="98"/>
      <c r="J165" s="27"/>
      <c r="K165" s="27"/>
      <c r="L165" s="27"/>
      <c r="M165" s="27"/>
      <c r="N165" s="27"/>
      <c r="O165" s="27"/>
      <c r="P165" s="27"/>
      <c r="Q165" s="27"/>
    </row>
    <row r="166" spans="1:17" ht="25.5">
      <c r="A166" t="str">
        <f t="shared" si="4"/>
        <v>Multi Family Weatherization - Insulate Attic - R-0 to R-49 - Heating Zone 3 (Electric FAF Heating System)Multi Family Weatherization - Insulate Attic - R-0 to R-49 - Heating Zone 3 (Electric FAF Heating System)</v>
      </c>
      <c r="B166" s="99" t="str">
        <f>Costs!$A8&amp;" - Heating Zone 3 (Electric FAF Heating System)"</f>
        <v>Multi Family Weatherization - Insulate Attic - R-0 to R-49 - Heating Zone 3 (Electric FAF Heating System)</v>
      </c>
      <c r="C166" s="99" t="str">
        <f>Costs!$A8&amp;" - Heating Zone 3 (Electric FAF Heating System)"</f>
        <v>Multi Family Weatherization - Insulate Attic - R-0 to R-49 - Heating Zone 3 (Electric FAF Heating System)</v>
      </c>
      <c r="D166" s="100">
        <f>VLOOKUP(C166,SEEMsavings!$A$5:$L$556,11,FALSE)+VLOOKUP(C166,SEEMsavings!$A$5:$L$556,12,FALSE)</f>
        <v>0.64168771721818163</v>
      </c>
      <c r="E166" s="96">
        <v>45</v>
      </c>
      <c r="F166" s="98">
        <f t="shared" si="5"/>
        <v>0.83087905114745864</v>
      </c>
      <c r="G166" s="96">
        <v>0</v>
      </c>
      <c r="H166" s="95" t="s">
        <v>1077</v>
      </c>
      <c r="I166" s="98"/>
      <c r="J166" s="27"/>
      <c r="K166" s="27"/>
      <c r="L166" s="27"/>
      <c r="M166" s="27"/>
      <c r="N166" s="27"/>
      <c r="O166" s="27"/>
      <c r="P166" s="27"/>
      <c r="Q166" s="27"/>
    </row>
    <row r="167" spans="1:17" ht="25.5">
      <c r="A167" t="str">
        <f t="shared" si="4"/>
        <v>Multi Family Weatherization - Insulate Attic - R-30 to R-38 - Heating Zone 3 (Electric FAF Heating System)Multi Family Weatherization - Insulate Attic - R-30 to R-38 - Heating Zone 3 (Electric FAF Heating System)</v>
      </c>
      <c r="B167" s="99" t="str">
        <f>Costs!$A9&amp;" - Heating Zone 3 (Electric FAF Heating System)"</f>
        <v>Multi Family Weatherization - Insulate Attic - R-30 to R-38 - Heating Zone 3 (Electric FAF Heating System)</v>
      </c>
      <c r="C167" s="99" t="str">
        <f>Costs!$A9&amp;" - Heating Zone 3 (Electric FAF Heating System)"</f>
        <v>Multi Family Weatherization - Insulate Attic - R-30 to R-38 - Heating Zone 3 (Electric FAF Heating System)</v>
      </c>
      <c r="D167" s="100">
        <f>VLOOKUP(C167,SEEMsavings!$A$5:$L$556,11,FALSE)+VLOOKUP(C167,SEEMsavings!$A$5:$L$556,12,FALSE)</f>
        <v>4.4575718293182603E-2</v>
      </c>
      <c r="E167" s="96">
        <v>45</v>
      </c>
      <c r="F167" s="98">
        <f t="shared" si="5"/>
        <v>0.2473644911578245</v>
      </c>
      <c r="G167" s="96">
        <v>0</v>
      </c>
      <c r="H167" s="95" t="s">
        <v>1077</v>
      </c>
      <c r="I167" s="98"/>
      <c r="J167" s="27"/>
      <c r="K167" s="27"/>
      <c r="L167" s="27"/>
      <c r="M167" s="27"/>
      <c r="N167" s="27"/>
      <c r="O167" s="27"/>
      <c r="P167" s="27"/>
      <c r="Q167" s="27"/>
    </row>
    <row r="168" spans="1:17" ht="25.5">
      <c r="A168" t="str">
        <f t="shared" si="4"/>
        <v>Multi Family Weatherization - Insulate Attic - R-30 to R-49 - Heating Zone 3 (Electric FAF Heating System)Multi Family Weatherization - Insulate Attic - R-30 to R-49 - Heating Zone 3 (Electric FAF Heating System)</v>
      </c>
      <c r="B168" s="99" t="str">
        <f>Costs!$A10&amp;" - Heating Zone 3 (Electric FAF Heating System)"</f>
        <v>Multi Family Weatherization - Insulate Attic - R-30 to R-49 - Heating Zone 3 (Electric FAF Heating System)</v>
      </c>
      <c r="C168" s="99" t="str">
        <f>Costs!$A10&amp;" - Heating Zone 3 (Electric FAF Heating System)"</f>
        <v>Multi Family Weatherization - Insulate Attic - R-30 to R-49 - Heating Zone 3 (Electric FAF Heating System)</v>
      </c>
      <c r="D168" s="100">
        <f>VLOOKUP(C168,SEEMsavings!$A$5:$L$556,11,FALSE)+VLOOKUP(C168,SEEMsavings!$A$5:$L$556,12,FALSE)</f>
        <v>8.2163866527273241E-2</v>
      </c>
      <c r="E168" s="96">
        <v>45</v>
      </c>
      <c r="F168" s="98">
        <f t="shared" si="5"/>
        <v>0.58749066649983317</v>
      </c>
      <c r="G168" s="96">
        <v>0</v>
      </c>
      <c r="H168" s="95" t="s">
        <v>1077</v>
      </c>
      <c r="I168" s="98"/>
      <c r="J168" s="27"/>
      <c r="K168" s="27"/>
      <c r="L168" s="27"/>
      <c r="M168" s="27"/>
      <c r="N168" s="27"/>
      <c r="O168" s="27"/>
      <c r="P168" s="27"/>
      <c r="Q168" s="27"/>
    </row>
    <row r="169" spans="1:17" ht="25.5">
      <c r="A169" t="str">
        <f t="shared" si="4"/>
        <v>Multi Family Weatherization - Insulate Attic - R-38 to R-49 - Heating Zone 3 (Electric FAF Heating System)Multi Family Weatherization - Insulate Attic - R-38 to R-49 - Heating Zone 3 (Electric FAF Heating System)</v>
      </c>
      <c r="B169" s="99" t="str">
        <f>Costs!$A11&amp;" - Heating Zone 3 (Electric FAF Heating System)"</f>
        <v>Multi Family Weatherization - Insulate Attic - R-38 to R-49 - Heating Zone 3 (Electric FAF Heating System)</v>
      </c>
      <c r="C169" s="99" t="str">
        <f>Costs!$A11&amp;" - Heating Zone 3 (Electric FAF Heating System)"</f>
        <v>Multi Family Weatherization - Insulate Attic - R-38 to R-49 - Heating Zone 3 (Electric FAF Heating System)</v>
      </c>
      <c r="D169" s="100">
        <f>VLOOKUP(C169,SEEMsavings!$A$5:$L$556,11,FALSE)+VLOOKUP(C169,SEEMsavings!$A$5:$L$556,12,FALSE)</f>
        <v>3.7588148234090658E-2</v>
      </c>
      <c r="E169" s="96">
        <v>45</v>
      </c>
      <c r="F169" s="98">
        <f t="shared" si="5"/>
        <v>0.34012617534200867</v>
      </c>
      <c r="G169" s="96">
        <v>0</v>
      </c>
      <c r="H169" s="95" t="s">
        <v>1077</v>
      </c>
      <c r="I169" s="98"/>
      <c r="J169" s="27"/>
      <c r="K169" s="27"/>
      <c r="L169" s="27"/>
      <c r="M169" s="27"/>
      <c r="N169" s="27"/>
      <c r="O169" s="27"/>
      <c r="P169" s="27"/>
      <c r="Q169" s="27"/>
    </row>
    <row r="170" spans="1:17" ht="25.5">
      <c r="A170" t="str">
        <f t="shared" si="4"/>
        <v>Multi Family Weatherization - Insulate Attic - R-19 to R-30 - Heating Zone 3 (Electric FAF Heating System)Multi Family Weatherization - Insulate Attic - R-19 to R-30 - Heating Zone 3 (Electric FAF Heating System)</v>
      </c>
      <c r="B170" s="99" t="str">
        <f>Costs!$A12&amp;" - Heating Zone 3 (Electric FAF Heating System)"</f>
        <v>Multi Family Weatherization - Insulate Attic - R-19 to R-30 - Heating Zone 3 (Electric FAF Heating System)</v>
      </c>
      <c r="C170" s="99" t="str">
        <f>Costs!$A12&amp;" - Heating Zone 3 (Electric FAF Heating System)"</f>
        <v>Multi Family Weatherization - Insulate Attic - R-19 to R-30 - Heating Zone 3 (Electric FAF Heating System)</v>
      </c>
      <c r="D170" s="100">
        <f>VLOOKUP(C170,SEEMsavings!$A$5:$L$556,11,FALSE)+VLOOKUP(C170,SEEMsavings!$A$5:$L$556,12,FALSE)</f>
        <v>0.11697022401818194</v>
      </c>
      <c r="E170" s="96">
        <v>45</v>
      </c>
      <c r="F170" s="98">
        <f t="shared" si="5"/>
        <v>0.47401945424285125</v>
      </c>
      <c r="G170" s="96">
        <v>0</v>
      </c>
      <c r="H170" s="95" t="s">
        <v>1077</v>
      </c>
      <c r="I170" s="98"/>
      <c r="J170" s="27"/>
      <c r="K170" s="27"/>
      <c r="L170" s="27"/>
      <c r="M170" s="27"/>
      <c r="N170" s="27"/>
      <c r="O170" s="27"/>
      <c r="P170" s="27"/>
      <c r="Q170" s="27"/>
    </row>
    <row r="171" spans="1:17" ht="25.5">
      <c r="A171" t="str">
        <f t="shared" si="4"/>
        <v>Multi Family Weatherization - Insulate Attic - R-19 to R-38 - Heating Zone 3 (Electric FAF Heating System)Multi Family Weatherization - Insulate Attic - R-19 to R-38 - Heating Zone 3 (Electric FAF Heating System)</v>
      </c>
      <c r="B171" s="99" t="str">
        <f>Costs!$A13&amp;" - Heating Zone 3 (Electric FAF Heating System)"</f>
        <v>Multi Family Weatherization - Insulate Attic - R-19 to R-38 - Heating Zone 3 (Electric FAF Heating System)</v>
      </c>
      <c r="C171" s="99" t="str">
        <f>Costs!$A13&amp;" - Heating Zone 3 (Electric FAF Heating System)"</f>
        <v>Multi Family Weatherization - Insulate Attic - R-19 to R-38 - Heating Zone 3 (Electric FAF Heating System)</v>
      </c>
      <c r="D171" s="100">
        <f>VLOOKUP(C171,SEEMsavings!$A$5:$L$556,11,FALSE)+VLOOKUP(C171,SEEMsavings!$A$5:$L$556,12,FALSE)</f>
        <v>0.16154594231136454</v>
      </c>
      <c r="E171" s="96">
        <v>45</v>
      </c>
      <c r="F171" s="98">
        <f t="shared" si="5"/>
        <v>0.55283834686255773</v>
      </c>
      <c r="G171" s="96">
        <v>0</v>
      </c>
      <c r="H171" s="95" t="s">
        <v>1077</v>
      </c>
      <c r="I171" s="98"/>
      <c r="J171" s="27"/>
      <c r="K171" s="27"/>
      <c r="L171" s="27"/>
      <c r="M171" s="27"/>
      <c r="N171" s="27"/>
      <c r="O171" s="27"/>
      <c r="P171" s="27"/>
      <c r="Q171" s="27"/>
    </row>
    <row r="172" spans="1:17" ht="25.5">
      <c r="A172" t="str">
        <f t="shared" si="4"/>
        <v>Multi Family Weatherization - Insulate Attic - R-19 to R-49 - Heating Zone 3 (Electric FAF Heating System)Multi Family Weatherization - Insulate Attic - R-19 to R-49 - Heating Zone 3 (Electric FAF Heating System)</v>
      </c>
      <c r="B172" s="99" t="str">
        <f>Costs!$A14&amp;" - Heating Zone 3 (Electric FAF Heating System)"</f>
        <v>Multi Family Weatherization - Insulate Attic - R-19 to R-49 - Heating Zone 3 (Electric FAF Heating System)</v>
      </c>
      <c r="C172" s="99" t="str">
        <f>Costs!$A14&amp;" - Heating Zone 3 (Electric FAF Heating System)"</f>
        <v>Multi Family Weatherization - Insulate Attic - R-19 to R-49 - Heating Zone 3 (Electric FAF Heating System)</v>
      </c>
      <c r="D172" s="100">
        <f>VLOOKUP(C172,SEEMsavings!$A$5:$L$556,11,FALSE)+VLOOKUP(C172,SEEMsavings!$A$5:$L$556,12,FALSE)</f>
        <v>0.19913409054545519</v>
      </c>
      <c r="E172" s="96">
        <v>45</v>
      </c>
      <c r="F172" s="98">
        <f t="shared" si="5"/>
        <v>0.65683404823881342</v>
      </c>
      <c r="G172" s="96">
        <v>0</v>
      </c>
      <c r="H172" s="95" t="s">
        <v>1077</v>
      </c>
      <c r="I172" s="98"/>
      <c r="J172" s="27"/>
      <c r="K172" s="27"/>
      <c r="L172" s="27"/>
      <c r="M172" s="27"/>
      <c r="N172" s="27"/>
      <c r="O172" s="27"/>
      <c r="P172" s="27"/>
      <c r="Q172" s="27"/>
    </row>
    <row r="173" spans="1:17">
      <c r="A173" t="str">
        <f t="shared" si="4"/>
        <v>Windows - Single Pane to Class 22 - Heating Zone 3 (Electric FAF Heating System)Windows - Single Pane to Class 22 - Heating Zone 3 (Electric FAF Heating System)</v>
      </c>
      <c r="B173" s="99" t="str">
        <f>Costs!$A15&amp;" - Heating Zone 3 (Electric FAF Heating System)"</f>
        <v>Windows - Single Pane to Class 22 - Heating Zone 3 (Electric FAF Heating System)</v>
      </c>
      <c r="C173" s="99" t="str">
        <f>Costs!$A15&amp;" - Heating Zone 3 (Electric FAF Heating System)"</f>
        <v>Windows - Single Pane to Class 22 - Heating Zone 3 (Electric FAF Heating System)</v>
      </c>
      <c r="D173" s="100">
        <f>VLOOKUP(C173,SEEMsavings!$A$5:$L$556,11,FALSE)+VLOOKUP(C173,SEEMsavings!$A$5:$L$556,12,FALSE)</f>
        <v>41.634558119607604</v>
      </c>
      <c r="E173" s="96">
        <v>45</v>
      </c>
      <c r="F173" s="98">
        <f t="shared" si="5"/>
        <v>23.269535952606116</v>
      </c>
      <c r="G173" s="96">
        <v>0</v>
      </c>
      <c r="H173" s="95" t="s">
        <v>1077</v>
      </c>
      <c r="I173" s="98"/>
      <c r="J173" s="27"/>
      <c r="K173" s="27"/>
      <c r="L173" s="27"/>
      <c r="M173" s="27"/>
      <c r="N173" s="27"/>
      <c r="O173" s="27"/>
      <c r="P173" s="27"/>
      <c r="Q173" s="27"/>
    </row>
    <row r="174" spans="1:17">
      <c r="A174" t="str">
        <f t="shared" si="4"/>
        <v>Windows - Double Pane to Class 22 - Heating Zone 3 (Electric FAF Heating System)Windows - Double Pane to Class 22 - Heating Zone 3 (Electric FAF Heating System)</v>
      </c>
      <c r="B174" s="99" t="str">
        <f>Costs!$A16&amp;" - Heating Zone 3 (Electric FAF Heating System)"</f>
        <v>Windows - Double Pane to Class 22 - Heating Zone 3 (Electric FAF Heating System)</v>
      </c>
      <c r="C174" s="99" t="str">
        <f>Costs!$A16&amp;" - Heating Zone 3 (Electric FAF Heating System)"</f>
        <v>Windows - Double Pane to Class 22 - Heating Zone 3 (Electric FAF Heating System)</v>
      </c>
      <c r="D174" s="100">
        <f>VLOOKUP(C174,SEEMsavings!$A$5:$L$556,11,FALSE)+VLOOKUP(C174,SEEMsavings!$A$5:$L$556,12,FALSE)</f>
        <v>25.151612846231544</v>
      </c>
      <c r="E174" s="96">
        <v>45</v>
      </c>
      <c r="F174" s="98">
        <f t="shared" si="5"/>
        <v>23.269535952606116</v>
      </c>
      <c r="G174" s="96">
        <v>0</v>
      </c>
      <c r="H174" s="95" t="s">
        <v>1077</v>
      </c>
      <c r="I174" s="98"/>
      <c r="J174" s="27"/>
      <c r="K174" s="27"/>
      <c r="L174" s="27"/>
      <c r="M174" s="27"/>
      <c r="N174" s="27"/>
      <c r="O174" s="27"/>
      <c r="P174" s="27"/>
      <c r="Q174" s="27"/>
    </row>
    <row r="175" spans="1:17">
      <c r="A175" t="str">
        <f t="shared" si="4"/>
        <v>Windows - Single Pane to Class 30 - Heating Zone 3 (Electric FAF Heating System)Windows - Single Pane to Class 30 - Heating Zone 3 (Electric FAF Heating System)</v>
      </c>
      <c r="B175" s="99" t="str">
        <f>Costs!$A17&amp;" - Heating Zone 3 (Electric FAF Heating System)"</f>
        <v>Windows - Single Pane to Class 30 - Heating Zone 3 (Electric FAF Heating System)</v>
      </c>
      <c r="C175" s="99" t="str">
        <f>Costs!$A17&amp;" - Heating Zone 3 (Electric FAF Heating System)"</f>
        <v>Windows - Single Pane to Class 30 - Heating Zone 3 (Electric FAF Heating System)</v>
      </c>
      <c r="D175" s="100">
        <f>VLOOKUP(C175,SEEMsavings!$A$5:$L$556,11,FALSE)+VLOOKUP(C175,SEEMsavings!$A$5:$L$556,12,FALSE)</f>
        <v>38.169948171736593</v>
      </c>
      <c r="E175" s="96">
        <v>45</v>
      </c>
      <c r="F175" s="98">
        <f t="shared" si="5"/>
        <v>17.810142881355933</v>
      </c>
      <c r="G175" s="96">
        <v>0</v>
      </c>
      <c r="H175" s="95" t="s">
        <v>1077</v>
      </c>
      <c r="I175" s="98"/>
      <c r="J175" s="27"/>
      <c r="K175" s="27"/>
      <c r="L175" s="27"/>
      <c r="M175" s="27"/>
      <c r="N175" s="27"/>
      <c r="O175" s="27"/>
      <c r="P175" s="27"/>
      <c r="Q175" s="27"/>
    </row>
    <row r="176" spans="1:17">
      <c r="A176" t="str">
        <f t="shared" si="4"/>
        <v>Windows - Double Pane to Class 30 - Heating Zone 3 (Electric FAF Heating System)Windows - Double Pane to Class 30 - Heating Zone 3 (Electric FAF Heating System)</v>
      </c>
      <c r="B176" s="99" t="str">
        <f>Costs!$A18&amp;" - Heating Zone 3 (Electric FAF Heating System)"</f>
        <v>Windows - Double Pane to Class 30 - Heating Zone 3 (Electric FAF Heating System)</v>
      </c>
      <c r="C176" s="99" t="str">
        <f>Costs!$A18&amp;" - Heating Zone 3 (Electric FAF Heating System)"</f>
        <v>Windows - Double Pane to Class 30 - Heating Zone 3 (Electric FAF Heating System)</v>
      </c>
      <c r="D176" s="100">
        <f>VLOOKUP(C176,SEEMsavings!$A$5:$L$556,11,FALSE)+VLOOKUP(C176,SEEMsavings!$A$5:$L$556,12,FALSE)</f>
        <v>21.687002898360529</v>
      </c>
      <c r="E176" s="96">
        <v>45</v>
      </c>
      <c r="F176" s="98">
        <f t="shared" si="5"/>
        <v>17.810142881355933</v>
      </c>
      <c r="G176" s="96">
        <v>0</v>
      </c>
      <c r="H176" s="95" t="s">
        <v>1077</v>
      </c>
      <c r="I176" s="98"/>
      <c r="J176" s="27"/>
      <c r="K176" s="27"/>
      <c r="L176" s="27"/>
      <c r="M176" s="27"/>
      <c r="N176" s="27"/>
      <c r="O176" s="27"/>
      <c r="P176" s="27"/>
      <c r="Q176" s="27"/>
    </row>
    <row r="177" spans="1:17">
      <c r="A177" t="str">
        <f t="shared" si="4"/>
        <v>Windows - Class 35 to Class 30 - Heating Zone 3 (Electric FAF Heating System)Windows - Class 35 to Class 30 - Heating Zone 3 (Electric FAF Heating System)</v>
      </c>
      <c r="B177" s="99" t="str">
        <f>Costs!$A19&amp;" - Heating Zone 3 (Electric FAF Heating System)"</f>
        <v>Windows - Class 35 to Class 30 - Heating Zone 3 (Electric FAF Heating System)</v>
      </c>
      <c r="C177" s="99" t="str">
        <f>Costs!$A19&amp;" - Heating Zone 3 (Electric FAF Heating System)"</f>
        <v>Windows - Class 35 to Class 30 - Heating Zone 3 (Electric FAF Heating System)</v>
      </c>
      <c r="D177" s="100">
        <f>VLOOKUP(C177,SEEMsavings!$A$5:$L$556,11,FALSE)+VLOOKUP(C177,SEEMsavings!$A$5:$L$556,12,FALSE)</f>
        <v>2.3282665709867931</v>
      </c>
      <c r="E177" s="96">
        <v>45</v>
      </c>
      <c r="F177" s="98">
        <f t="shared" si="5"/>
        <v>1.8290398716390079</v>
      </c>
      <c r="G177" s="96">
        <v>0</v>
      </c>
      <c r="H177" s="95" t="s">
        <v>1077</v>
      </c>
      <c r="I177" s="98"/>
      <c r="J177" s="27"/>
      <c r="K177" s="27"/>
      <c r="L177" s="27"/>
      <c r="M177" s="27"/>
      <c r="N177" s="27"/>
      <c r="O177" s="27"/>
      <c r="P177" s="27"/>
      <c r="Q177" s="27"/>
    </row>
    <row r="178" spans="1:17">
      <c r="A178" t="str">
        <f t="shared" si="4"/>
        <v>Windows - Class 35 to Class 22 - Heating Zone 3 (Electric FAF Heating System)Windows - Class 35 to Class 22 - Heating Zone 3 (Electric FAF Heating System)</v>
      </c>
      <c r="B178" s="99" t="str">
        <f>Costs!$A20&amp;" - Heating Zone 3 (Electric FAF Heating System)"</f>
        <v>Windows - Class 35 to Class 22 - Heating Zone 3 (Electric FAF Heating System)</v>
      </c>
      <c r="C178" s="99" t="str">
        <f>Costs!$A20&amp;" - Heating Zone 3 (Electric FAF Heating System)"</f>
        <v>Windows - Class 35 to Class 22 - Heating Zone 3 (Electric FAF Heating System)</v>
      </c>
      <c r="D178" s="100">
        <f>VLOOKUP(C178,SEEMsavings!$A$5:$L$556,11,FALSE)+VLOOKUP(C178,SEEMsavings!$A$5:$L$556,12,FALSE)</f>
        <v>5.7928765188578097</v>
      </c>
      <c r="E178" s="96">
        <v>45</v>
      </c>
      <c r="F178" s="98">
        <f t="shared" si="5"/>
        <v>7.288432942889191</v>
      </c>
      <c r="G178" s="96">
        <v>0</v>
      </c>
      <c r="H178" s="95" t="s">
        <v>1077</v>
      </c>
      <c r="I178" s="98"/>
      <c r="J178" s="27"/>
      <c r="K178" s="27"/>
      <c r="L178" s="27"/>
      <c r="M178" s="27"/>
      <c r="N178" s="27"/>
      <c r="O178" s="27"/>
      <c r="P178" s="27"/>
      <c r="Q178" s="27"/>
    </row>
    <row r="179" spans="1:17" ht="25.5">
      <c r="A179" t="str">
        <f t="shared" si="4"/>
        <v>Multi Family Weatherization - Insulate Walls - R-0 to R-11 - Heating Zone 1 (Heat Pump Heating System)Multi Family Weatherization - Insulate Walls - R-0 to R-11 - Heating Zone 1 (Heat Pump Heating System)</v>
      </c>
      <c r="B179" s="99" t="str">
        <f>Costs!$A2&amp;" - Heating Zone 1 (Heat Pump Heating System)"</f>
        <v>Multi Family Weatherization - Insulate Walls - R-0 to R-11 - Heating Zone 1 (Heat Pump Heating System)</v>
      </c>
      <c r="C179" s="99" t="str">
        <f>Costs!$A2&amp;" - Heating Zone 1 (Heat Pump Heating System)"</f>
        <v>Multi Family Weatherization - Insulate Walls - R-0 to R-11 - Heating Zone 1 (Heat Pump Heating System)</v>
      </c>
      <c r="D179" s="100">
        <f>VLOOKUP(C179,SEEMsavings!$A$5:$L$556,11,FALSE)+VLOOKUP(C179,SEEMsavings!$A$5:$L$556,12,FALSE)</f>
        <v>0.49442785946280737</v>
      </c>
      <c r="E179" s="96">
        <v>45</v>
      </c>
      <c r="F179" s="98">
        <f t="shared" si="5"/>
        <v>1.0354836592527603</v>
      </c>
      <c r="G179" s="96">
        <v>0</v>
      </c>
      <c r="H179" s="95" t="s">
        <v>1077</v>
      </c>
      <c r="I179" s="98"/>
      <c r="J179" s="27"/>
      <c r="K179" s="27"/>
      <c r="L179" s="27"/>
      <c r="M179" s="27"/>
      <c r="N179" s="27"/>
      <c r="O179" s="27"/>
      <c r="P179" s="27"/>
      <c r="Q179" s="27"/>
    </row>
    <row r="180" spans="1:17" ht="25.5">
      <c r="A180" t="str">
        <f t="shared" si="4"/>
        <v>Multi Family Weatherization - Insulate Floors - R-0 to R-19 - Heating Zone 1 (Heat Pump Heating System)Multi Family Weatherization - Insulate Floors - R-0 to R-19 - Heating Zone 1 (Heat Pump Heating System)</v>
      </c>
      <c r="B180" s="99" t="str">
        <f>Costs!$A3&amp;" - Heating Zone 1 (Heat Pump Heating System)"</f>
        <v>Multi Family Weatherization - Insulate Floors - R-0 to R-19 - Heating Zone 1 (Heat Pump Heating System)</v>
      </c>
      <c r="C180" s="99" t="str">
        <f>Costs!$A3&amp;" - Heating Zone 1 (Heat Pump Heating System)"</f>
        <v>Multi Family Weatherization - Insulate Floors - R-0 to R-19 - Heating Zone 1 (Heat Pump Heating System)</v>
      </c>
      <c r="D180" s="100">
        <f>VLOOKUP(C180,SEEMsavings!$A$5:$L$556,11,FALSE)+VLOOKUP(C180,SEEMsavings!$A$5:$L$556,12,FALSE)</f>
        <v>0.13296836878248638</v>
      </c>
      <c r="E180" s="96">
        <v>45</v>
      </c>
      <c r="F180" s="98">
        <f t="shared" si="5"/>
        <v>0.91799940108959477</v>
      </c>
      <c r="G180" s="96">
        <v>0</v>
      </c>
      <c r="H180" s="95" t="s">
        <v>1077</v>
      </c>
      <c r="I180" s="98"/>
      <c r="J180" s="27"/>
      <c r="K180" s="27"/>
      <c r="L180" s="27"/>
      <c r="M180" s="27"/>
      <c r="N180" s="27"/>
      <c r="O180" s="27"/>
      <c r="P180" s="27"/>
      <c r="Q180" s="27"/>
    </row>
    <row r="181" spans="1:17" ht="25.5">
      <c r="A181" t="str">
        <f t="shared" si="4"/>
        <v>Multi Family Weatherization - Insulate Floors - R-0 to R-30 - Heating Zone 1 (Heat Pump Heating System)Multi Family Weatherization - Insulate Floors - R-0 to R-30 - Heating Zone 1 (Heat Pump Heating System)</v>
      </c>
      <c r="B181" s="99" t="str">
        <f>Costs!$A4&amp;" - Heating Zone 1 (Heat Pump Heating System)"</f>
        <v>Multi Family Weatherization - Insulate Floors - R-0 to R-30 - Heating Zone 1 (Heat Pump Heating System)</v>
      </c>
      <c r="C181" s="99" t="str">
        <f>Costs!$A4&amp;" - Heating Zone 1 (Heat Pump Heating System)"</f>
        <v>Multi Family Weatherization - Insulate Floors - R-0 to R-30 - Heating Zone 1 (Heat Pump Heating System)</v>
      </c>
      <c r="D181" s="100">
        <f>VLOOKUP(C181,SEEMsavings!$A$5:$L$556,11,FALSE)+VLOOKUP(C181,SEEMsavings!$A$5:$L$556,12,FALSE)</f>
        <v>0.1712248517944166</v>
      </c>
      <c r="E181" s="96">
        <v>45</v>
      </c>
      <c r="F181" s="98">
        <f t="shared" si="5"/>
        <v>0.98244865861375763</v>
      </c>
      <c r="G181" s="96">
        <v>0</v>
      </c>
      <c r="H181" s="95" t="s">
        <v>1077</v>
      </c>
      <c r="I181" s="98"/>
      <c r="J181" s="27"/>
      <c r="K181" s="27"/>
      <c r="L181" s="27"/>
      <c r="M181" s="27"/>
      <c r="N181" s="27"/>
      <c r="O181" s="27"/>
      <c r="P181" s="27"/>
      <c r="Q181" s="27"/>
    </row>
    <row r="182" spans="1:17" ht="25.5">
      <c r="A182" t="str">
        <f t="shared" si="4"/>
        <v>Multi Family Weatherization - Insulate Floors - R-19 to R-30 - Heating Zone 1 (Heat Pump Heating System)Multi Family Weatherization - Insulate Floors - R-19 to R-30 - Heating Zone 1 (Heat Pump Heating System)</v>
      </c>
      <c r="B182" s="99" t="str">
        <f>Costs!$A5&amp;" - Heating Zone 1 (Heat Pump Heating System)"</f>
        <v>Multi Family Weatherization - Insulate Floors - R-19 to R-30 - Heating Zone 1 (Heat Pump Heating System)</v>
      </c>
      <c r="C182" s="99" t="str">
        <f>Costs!$A5&amp;" - Heating Zone 1 (Heat Pump Heating System)"</f>
        <v>Multi Family Weatherization - Insulate Floors - R-19 to R-30 - Heating Zone 1 (Heat Pump Heating System)</v>
      </c>
      <c r="D182" s="100">
        <f>VLOOKUP(C182,SEEMsavings!$A$5:$L$556,11,FALSE)+VLOOKUP(C182,SEEMsavings!$A$5:$L$556,12,FALSE)</f>
        <v>3.8256483011930166E-2</v>
      </c>
      <c r="E182" s="96">
        <v>45</v>
      </c>
      <c r="F182" s="98">
        <f t="shared" si="5"/>
        <v>0.64785245801359526</v>
      </c>
      <c r="G182" s="96">
        <v>0</v>
      </c>
      <c r="H182" s="95" t="s">
        <v>1077</v>
      </c>
      <c r="I182" s="98"/>
      <c r="J182" s="27"/>
      <c r="K182" s="27"/>
      <c r="L182" s="27"/>
      <c r="M182" s="27"/>
      <c r="N182" s="27"/>
      <c r="O182" s="27"/>
      <c r="P182" s="27"/>
      <c r="Q182" s="27"/>
    </row>
    <row r="183" spans="1:17" ht="25.5">
      <c r="A183" t="str">
        <f t="shared" si="4"/>
        <v>Multi Family Weatherization - Insulate Attic - R-0 to R-19 - Heating Zone 1 (Heat Pump Heating System)Multi Family Weatherization - Insulate Attic - R-0 to R-19 - Heating Zone 1 (Heat Pump Heating System)</v>
      </c>
      <c r="B183" s="99" t="str">
        <f>Costs!$A6&amp;" - Heating Zone 1 (Heat Pump Heating System)"</f>
        <v>Multi Family Weatherization - Insulate Attic - R-0 to R-19 - Heating Zone 1 (Heat Pump Heating System)</v>
      </c>
      <c r="C183" s="99" t="str">
        <f>Costs!$A6&amp;" - Heating Zone 1 (Heat Pump Heating System)"</f>
        <v>Multi Family Weatherization - Insulate Attic - R-0 to R-19 - Heating Zone 1 (Heat Pump Heating System)</v>
      </c>
      <c r="D183" s="100">
        <f>VLOOKUP(C183,SEEMsavings!$A$5:$L$556,11,FALSE)+VLOOKUP(C183,SEEMsavings!$A$5:$L$556,12,FALSE)</f>
        <v>0.22296163886132359</v>
      </c>
      <c r="E183" s="96">
        <v>45</v>
      </c>
      <c r="F183" s="98">
        <f t="shared" si="5"/>
        <v>0.54914779043329487</v>
      </c>
      <c r="G183" s="96">
        <v>0</v>
      </c>
      <c r="H183" s="95" t="s">
        <v>1077</v>
      </c>
      <c r="I183" s="98"/>
      <c r="J183" s="27"/>
      <c r="K183" s="27"/>
      <c r="L183" s="27"/>
      <c r="M183" s="27"/>
      <c r="N183" s="27"/>
      <c r="O183" s="27"/>
      <c r="P183" s="27"/>
      <c r="Q183" s="27"/>
    </row>
    <row r="184" spans="1:17" ht="25.5">
      <c r="A184" t="str">
        <f t="shared" si="4"/>
        <v>Multi Family Weatherization - Insulate Attic - R-0 to R-38 - Heating Zone 1 (Heat Pump Heating System)Multi Family Weatherization - Insulate Attic - R-0 to R-38 - Heating Zone 1 (Heat Pump Heating System)</v>
      </c>
      <c r="B184" s="99" t="str">
        <f>Costs!$A7&amp;" - Heating Zone 1 (Heat Pump Heating System)"</f>
        <v>Multi Family Weatherization - Insulate Attic - R-0 to R-38 - Heating Zone 1 (Heat Pump Heating System)</v>
      </c>
      <c r="C184" s="99" t="str">
        <f>Costs!$A7&amp;" - Heating Zone 1 (Heat Pump Heating System)"</f>
        <v>Multi Family Weatherization - Insulate Attic - R-0 to R-38 - Heating Zone 1 (Heat Pump Heating System)</v>
      </c>
      <c r="D184" s="100">
        <f>VLOOKUP(C184,SEEMsavings!$A$5:$L$556,11,FALSE)+VLOOKUP(C184,SEEMsavings!$A$5:$L$556,12,FALSE)</f>
        <v>0.3040765512879412</v>
      </c>
      <c r="E184" s="96">
        <v>45</v>
      </c>
      <c r="F184" s="98">
        <f t="shared" si="5"/>
        <v>0.73246728560336305</v>
      </c>
      <c r="G184" s="96">
        <v>0</v>
      </c>
      <c r="H184" s="95" t="s">
        <v>1077</v>
      </c>
      <c r="I184" s="98"/>
      <c r="J184" s="27"/>
      <c r="K184" s="27"/>
      <c r="L184" s="27"/>
      <c r="M184" s="27"/>
      <c r="N184" s="27"/>
      <c r="O184" s="27"/>
      <c r="P184" s="27"/>
      <c r="Q184" s="27"/>
    </row>
    <row r="185" spans="1:17" ht="25.5">
      <c r="A185" t="str">
        <f t="shared" si="4"/>
        <v>Multi Family Weatherization - Insulate Attic - R-0 to R-49 - Heating Zone 1 (Heat Pump Heating System)Multi Family Weatherization - Insulate Attic - R-0 to R-49 - Heating Zone 1 (Heat Pump Heating System)</v>
      </c>
      <c r="B185" s="99" t="str">
        <f>Costs!$A8&amp;" - Heating Zone 1 (Heat Pump Heating System)"</f>
        <v>Multi Family Weatherization - Insulate Attic - R-0 to R-49 - Heating Zone 1 (Heat Pump Heating System)</v>
      </c>
      <c r="C185" s="99" t="str">
        <f>Costs!$A8&amp;" - Heating Zone 1 (Heat Pump Heating System)"</f>
        <v>Multi Family Weatherization - Insulate Attic - R-0 to R-49 - Heating Zone 1 (Heat Pump Heating System)</v>
      </c>
      <c r="D185" s="100">
        <f>VLOOKUP(C185,SEEMsavings!$A$5:$L$556,11,FALSE)+VLOOKUP(C185,SEEMsavings!$A$5:$L$556,12,FALSE)</f>
        <v>0.32282417921891032</v>
      </c>
      <c r="E185" s="96">
        <v>45</v>
      </c>
      <c r="F185" s="98">
        <f t="shared" si="5"/>
        <v>0.83087905114745864</v>
      </c>
      <c r="G185" s="96">
        <v>0</v>
      </c>
      <c r="H185" s="95" t="s">
        <v>1077</v>
      </c>
      <c r="I185" s="98"/>
      <c r="J185" s="27"/>
      <c r="K185" s="27"/>
      <c r="L185" s="27"/>
      <c r="M185" s="27"/>
      <c r="N185" s="27"/>
      <c r="O185" s="27"/>
      <c r="P185" s="27"/>
      <c r="Q185" s="27"/>
    </row>
    <row r="186" spans="1:17" ht="25.5">
      <c r="A186" t="str">
        <f t="shared" si="4"/>
        <v>Multi Family Weatherization - Insulate Attic - R-30 to R-38 - Heating Zone 1 (Heat Pump Heating System)Multi Family Weatherization - Insulate Attic - R-30 to R-38 - Heating Zone 1 (Heat Pump Heating System)</v>
      </c>
      <c r="B186" s="99" t="str">
        <f>Costs!$A9&amp;" - Heating Zone 1 (Heat Pump Heating System)"</f>
        <v>Multi Family Weatherization - Insulate Attic - R-30 to R-38 - Heating Zone 1 (Heat Pump Heating System)</v>
      </c>
      <c r="C186" s="99" t="str">
        <f>Costs!$A9&amp;" - Heating Zone 1 (Heat Pump Heating System)"</f>
        <v>Multi Family Weatherization - Insulate Attic - R-30 to R-38 - Heating Zone 1 (Heat Pump Heating System)</v>
      </c>
      <c r="D186" s="100">
        <f>VLOOKUP(C186,SEEMsavings!$A$5:$L$556,11,FALSE)+VLOOKUP(C186,SEEMsavings!$A$5:$L$556,12,FALSE)</f>
        <v>2.218380305931824E-2</v>
      </c>
      <c r="E186" s="96">
        <v>45</v>
      </c>
      <c r="F186" s="98">
        <f t="shared" si="5"/>
        <v>0.2473644911578245</v>
      </c>
      <c r="G186" s="96">
        <v>0</v>
      </c>
      <c r="H186" s="95" t="s">
        <v>1077</v>
      </c>
      <c r="I186" s="98"/>
      <c r="J186" s="27"/>
      <c r="K186" s="27"/>
      <c r="L186" s="27"/>
      <c r="M186" s="27"/>
      <c r="N186" s="27"/>
      <c r="O186" s="27"/>
      <c r="P186" s="27"/>
      <c r="Q186" s="27"/>
    </row>
    <row r="187" spans="1:17" ht="25.5">
      <c r="A187" t="str">
        <f t="shared" si="4"/>
        <v>Multi Family Weatherization - Insulate Attic - R-30 to R-49 - Heating Zone 1 (Heat Pump Heating System)Multi Family Weatherization - Insulate Attic - R-30 to R-49 - Heating Zone 1 (Heat Pump Heating System)</v>
      </c>
      <c r="B187" s="99" t="str">
        <f>Costs!$A10&amp;" - Heating Zone 1 (Heat Pump Heating System)"</f>
        <v>Multi Family Weatherization - Insulate Attic - R-30 to R-49 - Heating Zone 1 (Heat Pump Heating System)</v>
      </c>
      <c r="C187" s="99" t="str">
        <f>Costs!$A10&amp;" - Heating Zone 1 (Heat Pump Heating System)"</f>
        <v>Multi Family Weatherization - Insulate Attic - R-30 to R-49 - Heating Zone 1 (Heat Pump Heating System)</v>
      </c>
      <c r="D187" s="100">
        <f>VLOOKUP(C187,SEEMsavings!$A$5:$L$556,11,FALSE)+VLOOKUP(C187,SEEMsavings!$A$5:$L$556,12,FALSE)</f>
        <v>4.0931430990287412E-2</v>
      </c>
      <c r="E187" s="96">
        <v>45</v>
      </c>
      <c r="F187" s="98">
        <f t="shared" si="5"/>
        <v>0.58749066649983317</v>
      </c>
      <c r="G187" s="96">
        <v>0</v>
      </c>
      <c r="H187" s="95" t="s">
        <v>1077</v>
      </c>
      <c r="I187" s="98"/>
      <c r="J187" s="27"/>
      <c r="K187" s="27"/>
      <c r="L187" s="27"/>
      <c r="M187" s="27"/>
      <c r="N187" s="27"/>
      <c r="O187" s="27"/>
      <c r="P187" s="27"/>
      <c r="Q187" s="27"/>
    </row>
    <row r="188" spans="1:17" ht="25.5">
      <c r="A188" t="str">
        <f t="shared" si="4"/>
        <v>Multi Family Weatherization - Insulate Attic - R-38 to R-49 - Heating Zone 1 (Heat Pump Heating System)Multi Family Weatherization - Insulate Attic - R-38 to R-49 - Heating Zone 1 (Heat Pump Heating System)</v>
      </c>
      <c r="B188" s="99" t="str">
        <f>Costs!$A11&amp;" - Heating Zone 1 (Heat Pump Heating System)"</f>
        <v>Multi Family Weatherization - Insulate Attic - R-38 to R-49 - Heating Zone 1 (Heat Pump Heating System)</v>
      </c>
      <c r="C188" s="99" t="str">
        <f>Costs!$A11&amp;" - Heating Zone 1 (Heat Pump Heating System)"</f>
        <v>Multi Family Weatherization - Insulate Attic - R-38 to R-49 - Heating Zone 1 (Heat Pump Heating System)</v>
      </c>
      <c r="D188" s="100">
        <f>VLOOKUP(C188,SEEMsavings!$A$5:$L$556,11,FALSE)+VLOOKUP(C188,SEEMsavings!$A$5:$L$556,12,FALSE)</f>
        <v>1.874762793096918E-2</v>
      </c>
      <c r="E188" s="96">
        <v>45</v>
      </c>
      <c r="F188" s="98">
        <f t="shared" si="5"/>
        <v>0.34012617534200867</v>
      </c>
      <c r="G188" s="96">
        <v>0</v>
      </c>
      <c r="H188" s="95" t="s">
        <v>1077</v>
      </c>
      <c r="I188" s="98"/>
      <c r="J188" s="27"/>
      <c r="K188" s="27"/>
      <c r="L188" s="27"/>
      <c r="M188" s="27"/>
      <c r="N188" s="27"/>
      <c r="O188" s="27"/>
      <c r="P188" s="27"/>
      <c r="Q188" s="27"/>
    </row>
    <row r="189" spans="1:17" ht="25.5">
      <c r="A189" t="str">
        <f t="shared" si="4"/>
        <v>Multi Family Weatherization - Insulate Attic - R-19 to R-30 - Heating Zone 1 (Heat Pump Heating System)Multi Family Weatherization - Insulate Attic - R-19 to R-30 - Heating Zone 1 (Heat Pump Heating System)</v>
      </c>
      <c r="B189" s="99" t="str">
        <f>Costs!$A12&amp;" - Heating Zone 1 (Heat Pump Heating System)"</f>
        <v>Multi Family Weatherization - Insulate Attic - R-19 to R-30 - Heating Zone 1 (Heat Pump Heating System)</v>
      </c>
      <c r="C189" s="99" t="str">
        <f>Costs!$A12&amp;" - Heating Zone 1 (Heat Pump Heating System)"</f>
        <v>Multi Family Weatherization - Insulate Attic - R-19 to R-30 - Heating Zone 1 (Heat Pump Heating System)</v>
      </c>
      <c r="D189" s="100">
        <f>VLOOKUP(C189,SEEMsavings!$A$5:$L$556,11,FALSE)+VLOOKUP(C189,SEEMsavings!$A$5:$L$556,12,FALSE)</f>
        <v>5.8931109367299353E-2</v>
      </c>
      <c r="E189" s="96">
        <v>45</v>
      </c>
      <c r="F189" s="98">
        <f t="shared" si="5"/>
        <v>0.47401945424285125</v>
      </c>
      <c r="G189" s="96">
        <v>0</v>
      </c>
      <c r="H189" s="95" t="s">
        <v>1077</v>
      </c>
      <c r="I189" s="98"/>
      <c r="J189" s="27"/>
      <c r="K189" s="27"/>
      <c r="L189" s="27"/>
      <c r="M189" s="27"/>
      <c r="N189" s="27"/>
      <c r="O189" s="27"/>
      <c r="P189" s="27"/>
      <c r="Q189" s="27"/>
    </row>
    <row r="190" spans="1:17" ht="25.5">
      <c r="A190" t="str">
        <f t="shared" si="4"/>
        <v>Multi Family Weatherization - Insulate Attic - R-19 to R-38 - Heating Zone 1 (Heat Pump Heating System)Multi Family Weatherization - Insulate Attic - R-19 to R-38 - Heating Zone 1 (Heat Pump Heating System)</v>
      </c>
      <c r="B190" s="99" t="str">
        <f>Costs!$A13&amp;" - Heating Zone 1 (Heat Pump Heating System)"</f>
        <v>Multi Family Weatherization - Insulate Attic - R-19 to R-38 - Heating Zone 1 (Heat Pump Heating System)</v>
      </c>
      <c r="C190" s="99" t="str">
        <f>Costs!$A13&amp;" - Heating Zone 1 (Heat Pump Heating System)"</f>
        <v>Multi Family Weatherization - Insulate Attic - R-19 to R-38 - Heating Zone 1 (Heat Pump Heating System)</v>
      </c>
      <c r="D190" s="100">
        <f>VLOOKUP(C190,SEEMsavings!$A$5:$L$556,11,FALSE)+VLOOKUP(C190,SEEMsavings!$A$5:$L$556,12,FALSE)</f>
        <v>8.11149124266176E-2</v>
      </c>
      <c r="E190" s="96">
        <v>45</v>
      </c>
      <c r="F190" s="98">
        <f t="shared" si="5"/>
        <v>0.55283834686255773</v>
      </c>
      <c r="G190" s="96">
        <v>0</v>
      </c>
      <c r="H190" s="95" t="s">
        <v>1077</v>
      </c>
      <c r="I190" s="98"/>
      <c r="J190" s="27"/>
      <c r="K190" s="27"/>
      <c r="L190" s="27"/>
      <c r="M190" s="27"/>
      <c r="N190" s="27"/>
      <c r="O190" s="27"/>
      <c r="P190" s="27"/>
      <c r="Q190" s="27"/>
    </row>
    <row r="191" spans="1:17" ht="25.5">
      <c r="A191" t="str">
        <f t="shared" si="4"/>
        <v>Multi Family Weatherization - Insulate Attic - R-19 to R-49 - Heating Zone 1 (Heat Pump Heating System)Multi Family Weatherization - Insulate Attic - R-19 to R-49 - Heating Zone 1 (Heat Pump Heating System)</v>
      </c>
      <c r="B191" s="99" t="str">
        <f>Costs!$A14&amp;" - Heating Zone 1 (Heat Pump Heating System)"</f>
        <v>Multi Family Weatherization - Insulate Attic - R-19 to R-49 - Heating Zone 1 (Heat Pump Heating System)</v>
      </c>
      <c r="C191" s="99" t="str">
        <f>Costs!$A14&amp;" - Heating Zone 1 (Heat Pump Heating System)"</f>
        <v>Multi Family Weatherization - Insulate Attic - R-19 to R-49 - Heating Zone 1 (Heat Pump Heating System)</v>
      </c>
      <c r="D191" s="100">
        <f>VLOOKUP(C191,SEEMsavings!$A$5:$L$556,11,FALSE)+VLOOKUP(C191,SEEMsavings!$A$5:$L$556,12,FALSE)</f>
        <v>9.9862540357586765E-2</v>
      </c>
      <c r="E191" s="96">
        <v>45</v>
      </c>
      <c r="F191" s="98">
        <f t="shared" si="5"/>
        <v>0.65683404823881342</v>
      </c>
      <c r="G191" s="96">
        <v>0</v>
      </c>
      <c r="H191" s="95" t="s">
        <v>1077</v>
      </c>
      <c r="I191" s="98"/>
      <c r="J191" s="27"/>
      <c r="K191" s="27"/>
      <c r="L191" s="27"/>
      <c r="M191" s="27"/>
      <c r="N191" s="27"/>
      <c r="O191" s="27"/>
      <c r="P191" s="27"/>
      <c r="Q191" s="27"/>
    </row>
    <row r="192" spans="1:17">
      <c r="A192" t="str">
        <f t="shared" si="4"/>
        <v>Windows - Single Pane to Class 22 - Heating Zone 1 (Heat Pump Heating System)Windows - Single Pane to Class 22 - Heating Zone 1 (Heat Pump Heating System)</v>
      </c>
      <c r="B192" s="99" t="str">
        <f>Costs!$A15&amp;" - Heating Zone 1 (Heat Pump Heating System)"</f>
        <v>Windows - Single Pane to Class 22 - Heating Zone 1 (Heat Pump Heating System)</v>
      </c>
      <c r="C192" s="99" t="str">
        <f>Costs!$A15&amp;" - Heating Zone 1 (Heat Pump Heating System)"</f>
        <v>Windows - Single Pane to Class 22 - Heating Zone 1 (Heat Pump Heating System)</v>
      </c>
      <c r="D192" s="100">
        <f>VLOOKUP(C192,SEEMsavings!$A$5:$L$556,11,FALSE)+VLOOKUP(C192,SEEMsavings!$A$5:$L$556,12,FALSE)</f>
        <v>10.785708249928474</v>
      </c>
      <c r="E192" s="96">
        <v>45</v>
      </c>
      <c r="F192" s="98">
        <f t="shared" si="5"/>
        <v>23.269535952606116</v>
      </c>
      <c r="G192" s="96">
        <v>0</v>
      </c>
      <c r="H192" s="95" t="s">
        <v>1077</v>
      </c>
      <c r="I192" s="98"/>
      <c r="J192" s="27"/>
      <c r="K192" s="27"/>
      <c r="L192" s="27"/>
      <c r="M192" s="27"/>
      <c r="N192" s="27"/>
      <c r="O192" s="27"/>
      <c r="P192" s="27"/>
      <c r="Q192" s="27"/>
    </row>
    <row r="193" spans="1:17">
      <c r="A193" t="str">
        <f t="shared" si="4"/>
        <v>Windows - Double Pane to Class 22 - Heating Zone 1 (Heat Pump Heating System)Windows - Double Pane to Class 22 - Heating Zone 1 (Heat Pump Heating System)</v>
      </c>
      <c r="B193" s="99" t="str">
        <f>Costs!$A16&amp;" - Heating Zone 1 (Heat Pump Heating System)"</f>
        <v>Windows - Double Pane to Class 22 - Heating Zone 1 (Heat Pump Heating System)</v>
      </c>
      <c r="C193" s="99" t="str">
        <f>Costs!$A16&amp;" - Heating Zone 1 (Heat Pump Heating System)"</f>
        <v>Windows - Double Pane to Class 22 - Heating Zone 1 (Heat Pump Heating System)</v>
      </c>
      <c r="D193" s="100">
        <f>VLOOKUP(C193,SEEMsavings!$A$5:$L$556,11,FALSE)+VLOOKUP(C193,SEEMsavings!$A$5:$L$556,12,FALSE)</f>
        <v>7.0973929181203426</v>
      </c>
      <c r="E193" s="96">
        <v>45</v>
      </c>
      <c r="F193" s="98">
        <f t="shared" si="5"/>
        <v>23.269535952606116</v>
      </c>
      <c r="G193" s="96">
        <v>0</v>
      </c>
      <c r="H193" s="95" t="s">
        <v>1077</v>
      </c>
      <c r="I193" s="98"/>
      <c r="J193" s="27"/>
      <c r="K193" s="27"/>
      <c r="L193" s="27"/>
      <c r="M193" s="27"/>
      <c r="N193" s="27"/>
      <c r="O193" s="27"/>
      <c r="P193" s="27"/>
      <c r="Q193" s="27"/>
    </row>
    <row r="194" spans="1:17">
      <c r="A194" t="str">
        <f t="shared" si="4"/>
        <v>Windows - Single Pane to Class 30 - Heating Zone 1 (Heat Pump Heating System)Windows - Single Pane to Class 30 - Heating Zone 1 (Heat Pump Heating System)</v>
      </c>
      <c r="B194" s="99" t="str">
        <f>Costs!$A17&amp;" - Heating Zone 1 (Heat Pump Heating System)"</f>
        <v>Windows - Single Pane to Class 30 - Heating Zone 1 (Heat Pump Heating System)</v>
      </c>
      <c r="C194" s="99" t="str">
        <f>Costs!$A17&amp;" - Heating Zone 1 (Heat Pump Heating System)"</f>
        <v>Windows - Single Pane to Class 30 - Heating Zone 1 (Heat Pump Heating System)</v>
      </c>
      <c r="D194" s="100">
        <f>VLOOKUP(C194,SEEMsavings!$A$5:$L$556,11,FALSE)+VLOOKUP(C194,SEEMsavings!$A$5:$L$556,12,FALSE)</f>
        <v>9.986986404153539</v>
      </c>
      <c r="E194" s="96">
        <v>45</v>
      </c>
      <c r="F194" s="98">
        <f t="shared" si="5"/>
        <v>17.810142881355933</v>
      </c>
      <c r="G194" s="96">
        <v>0</v>
      </c>
      <c r="H194" s="95" t="s">
        <v>1077</v>
      </c>
      <c r="I194" s="98"/>
      <c r="J194" s="27"/>
      <c r="K194" s="27"/>
      <c r="L194" s="27"/>
      <c r="M194" s="27"/>
      <c r="N194" s="27"/>
      <c r="O194" s="27"/>
      <c r="P194" s="27"/>
      <c r="Q194" s="27"/>
    </row>
    <row r="195" spans="1:17">
      <c r="A195" t="str">
        <f t="shared" si="4"/>
        <v>Windows - Double Pane to Class 30 - Heating Zone 1 (Heat Pump Heating System)Windows - Double Pane to Class 30 - Heating Zone 1 (Heat Pump Heating System)</v>
      </c>
      <c r="B195" s="99" t="str">
        <f>Costs!$A18&amp;" - Heating Zone 1 (Heat Pump Heating System)"</f>
        <v>Windows - Double Pane to Class 30 - Heating Zone 1 (Heat Pump Heating System)</v>
      </c>
      <c r="C195" s="99" t="str">
        <f>Costs!$A18&amp;" - Heating Zone 1 (Heat Pump Heating System)"</f>
        <v>Windows - Double Pane to Class 30 - Heating Zone 1 (Heat Pump Heating System)</v>
      </c>
      <c r="D195" s="100">
        <f>VLOOKUP(C195,SEEMsavings!$A$5:$L$556,11,FALSE)+VLOOKUP(C195,SEEMsavings!$A$5:$L$556,12,FALSE)</f>
        <v>6.298671072345404</v>
      </c>
      <c r="E195" s="96">
        <v>45</v>
      </c>
      <c r="F195" s="98">
        <f t="shared" si="5"/>
        <v>17.810142881355933</v>
      </c>
      <c r="G195" s="96">
        <v>0</v>
      </c>
      <c r="H195" s="95" t="s">
        <v>1077</v>
      </c>
      <c r="I195" s="98"/>
      <c r="J195" s="27"/>
      <c r="K195" s="27"/>
      <c r="L195" s="27"/>
      <c r="M195" s="27"/>
      <c r="N195" s="27"/>
      <c r="O195" s="27"/>
      <c r="P195" s="27"/>
      <c r="Q195" s="27"/>
    </row>
    <row r="196" spans="1:17">
      <c r="A196" t="str">
        <f t="shared" si="4"/>
        <v>Windows - Class 35 to Class 30 - Heating Zone 1 (Heat Pump Heating System)Windows - Class 35 to Class 30 - Heating Zone 1 (Heat Pump Heating System)</v>
      </c>
      <c r="B196" s="99" t="str">
        <f>Costs!$A19&amp;" - Heating Zone 1 (Heat Pump Heating System)"</f>
        <v>Windows - Class 35 to Class 30 - Heating Zone 1 (Heat Pump Heating System)</v>
      </c>
      <c r="C196" s="99" t="str">
        <f>Costs!$A19&amp;" - Heating Zone 1 (Heat Pump Heating System)"</f>
        <v>Windows - Class 35 to Class 30 - Heating Zone 1 (Heat Pump Heating System)</v>
      </c>
      <c r="D196" s="100">
        <f>VLOOKUP(C196,SEEMsavings!$A$5:$L$556,11,FALSE)+VLOOKUP(C196,SEEMsavings!$A$5:$L$556,12,FALSE)</f>
        <v>0.51884755401403171</v>
      </c>
      <c r="E196" s="96">
        <v>45</v>
      </c>
      <c r="F196" s="98">
        <f t="shared" si="5"/>
        <v>1.8290398716390079</v>
      </c>
      <c r="G196" s="96">
        <v>0</v>
      </c>
      <c r="H196" s="95" t="s">
        <v>1077</v>
      </c>
      <c r="I196" s="98"/>
      <c r="J196" s="27"/>
      <c r="K196" s="27"/>
      <c r="L196" s="27"/>
      <c r="M196" s="27"/>
      <c r="N196" s="27"/>
      <c r="O196" s="27"/>
      <c r="P196" s="27"/>
      <c r="Q196" s="27"/>
    </row>
    <row r="197" spans="1:17">
      <c r="A197" t="str">
        <f t="shared" si="4"/>
        <v>Windows - Class 35 to Class 22 - Heating Zone 1 (Heat Pump Heating System)Windows - Class 35 to Class 22 - Heating Zone 1 (Heat Pump Heating System)</v>
      </c>
      <c r="B197" s="99" t="str">
        <f>Costs!$A20&amp;" - Heating Zone 1 (Heat Pump Heating System)"</f>
        <v>Windows - Class 35 to Class 22 - Heating Zone 1 (Heat Pump Heating System)</v>
      </c>
      <c r="C197" s="99" t="str">
        <f>Costs!$A20&amp;" - Heating Zone 1 (Heat Pump Heating System)"</f>
        <v>Windows - Class 35 to Class 22 - Heating Zone 1 (Heat Pump Heating System)</v>
      </c>
      <c r="D197" s="336">
        <f>VLOOKUP(C197,SEEMsavings!$A$5:$L$556,11,FALSE)+VLOOKUP(C197,SEEMsavings!$A$5:$L$556,12,FALSE)</f>
        <v>1.3175693997889697</v>
      </c>
      <c r="E197" s="337">
        <v>45</v>
      </c>
      <c r="F197" s="338">
        <f t="shared" si="5"/>
        <v>7.288432942889191</v>
      </c>
      <c r="G197" s="93">
        <v>0</v>
      </c>
      <c r="H197" s="339" t="s">
        <v>1077</v>
      </c>
      <c r="I197" s="98"/>
      <c r="J197" s="27"/>
      <c r="K197" s="27"/>
      <c r="L197" s="27"/>
      <c r="M197" s="27"/>
      <c r="N197" s="27"/>
      <c r="O197" s="27"/>
      <c r="P197" s="27"/>
      <c r="Q197" s="27"/>
    </row>
    <row r="198" spans="1:17" ht="25.5">
      <c r="A198" t="str">
        <f t="shared" si="4"/>
        <v>Multi Family Weatherization - Insulate Walls - R-0 to R-11 - Heating Zone 2 (Heat Pump Heating System)Multi Family Weatherization - Insulate Walls - R-0 to R-11 - Heating Zone 2 (Heat Pump Heating System)</v>
      </c>
      <c r="B198" s="55" t="str">
        <f>Costs!$A2&amp;" - Heating Zone 2 (Heat Pump Heating System)"</f>
        <v>Multi Family Weatherization - Insulate Walls - R-0 to R-11 - Heating Zone 2 (Heat Pump Heating System)</v>
      </c>
      <c r="C198" s="55" t="str">
        <f>Costs!$A2&amp;" - Heating Zone 2 (Heat Pump Heating System)"</f>
        <v>Multi Family Weatherization - Insulate Walls - R-0 to R-11 - Heating Zone 2 (Heat Pump Heating System)</v>
      </c>
      <c r="D198" s="336">
        <f>VLOOKUP(C198,SEEMsavings!$A$5:$L$556,11,FALSE)+VLOOKUP(C198,SEEMsavings!$A$5:$L$556,12,FALSE)</f>
        <v>0.83521808168071099</v>
      </c>
      <c r="E198" s="337">
        <v>45</v>
      </c>
      <c r="F198" s="338">
        <f t="shared" si="5"/>
        <v>1.0354836592527603</v>
      </c>
      <c r="G198" s="93">
        <v>0</v>
      </c>
      <c r="H198" s="339" t="s">
        <v>1077</v>
      </c>
      <c r="I198" s="98"/>
      <c r="J198" s="27"/>
      <c r="K198" s="27"/>
      <c r="L198" s="27"/>
      <c r="M198" s="27"/>
      <c r="N198" s="27"/>
      <c r="O198" s="27"/>
      <c r="P198" s="27"/>
      <c r="Q198" s="27"/>
    </row>
    <row r="199" spans="1:17" ht="25.5">
      <c r="A199" t="str">
        <f t="shared" si="4"/>
        <v>Multi Family Weatherization - Insulate Floors - R-0 to R-19 - Heating Zone 2 (Heat Pump Heating System)Multi Family Weatherization - Insulate Floors - R-0 to R-19 - Heating Zone 2 (Heat Pump Heating System)</v>
      </c>
      <c r="B199" s="55" t="str">
        <f>Costs!$A3&amp;" - Heating Zone 2 (Heat Pump Heating System)"</f>
        <v>Multi Family Weatherization - Insulate Floors - R-0 to R-19 - Heating Zone 2 (Heat Pump Heating System)</v>
      </c>
      <c r="C199" s="55" t="str">
        <f>Costs!$A3&amp;" - Heating Zone 2 (Heat Pump Heating System)"</f>
        <v>Multi Family Weatherization - Insulate Floors - R-0 to R-19 - Heating Zone 2 (Heat Pump Heating System)</v>
      </c>
      <c r="D199" s="336">
        <f>VLOOKUP(C199,SEEMsavings!$A$5:$L$556,11,FALSE)+VLOOKUP(C199,SEEMsavings!$A$5:$L$556,12,FALSE)</f>
        <v>0.21307247132106735</v>
      </c>
      <c r="E199" s="337">
        <v>45</v>
      </c>
      <c r="F199" s="338">
        <f t="shared" si="5"/>
        <v>0.91799940108959477</v>
      </c>
      <c r="G199" s="93">
        <v>0</v>
      </c>
      <c r="H199" s="339" t="s">
        <v>1077</v>
      </c>
      <c r="I199" s="98"/>
      <c r="J199" s="27"/>
      <c r="K199" s="27"/>
      <c r="L199" s="27"/>
      <c r="M199" s="27"/>
      <c r="N199" s="27"/>
      <c r="O199" s="27"/>
      <c r="P199" s="27"/>
      <c r="Q199" s="27"/>
    </row>
    <row r="200" spans="1:17" ht="25.5">
      <c r="A200" t="str">
        <f t="shared" si="4"/>
        <v>Multi Family Weatherization - Insulate Floors - R-0 to R-30 - Heating Zone 2 (Heat Pump Heating System)Multi Family Weatherization - Insulate Floors - R-0 to R-30 - Heating Zone 2 (Heat Pump Heating System)</v>
      </c>
      <c r="B200" s="55" t="str">
        <f>Costs!$A4&amp;" - Heating Zone 2 (Heat Pump Heating System)"</f>
        <v>Multi Family Weatherization - Insulate Floors - R-0 to R-30 - Heating Zone 2 (Heat Pump Heating System)</v>
      </c>
      <c r="C200" s="55" t="str">
        <f>Costs!$A4&amp;" - Heating Zone 2 (Heat Pump Heating System)"</f>
        <v>Multi Family Weatherization - Insulate Floors - R-0 to R-30 - Heating Zone 2 (Heat Pump Heating System)</v>
      </c>
      <c r="D200" s="336">
        <f>VLOOKUP(C200,SEEMsavings!$A$5:$L$556,11,FALSE)+VLOOKUP(C200,SEEMsavings!$A$5:$L$556,12,FALSE)</f>
        <v>0.2763739310354672</v>
      </c>
      <c r="E200" s="337">
        <v>45</v>
      </c>
      <c r="F200" s="338">
        <f t="shared" si="5"/>
        <v>0.98244865861375763</v>
      </c>
      <c r="G200" s="93">
        <v>0</v>
      </c>
      <c r="H200" s="339" t="s">
        <v>1077</v>
      </c>
      <c r="I200" s="98"/>
      <c r="J200" s="27"/>
      <c r="K200" s="27"/>
      <c r="L200" s="27"/>
      <c r="M200" s="27"/>
      <c r="N200" s="27"/>
      <c r="O200" s="27"/>
      <c r="P200" s="27"/>
      <c r="Q200" s="27"/>
    </row>
    <row r="201" spans="1:17" ht="25.5">
      <c r="A201" t="str">
        <f t="shared" ref="A201:A235" si="6">CONCATENATE(B201,C201)</f>
        <v>Multi Family Weatherization - Insulate Floors - R-19 to R-30 - Heating Zone 2 (Heat Pump Heating System)Multi Family Weatherization - Insulate Floors - R-19 to R-30 - Heating Zone 2 (Heat Pump Heating System)</v>
      </c>
      <c r="B201" s="55" t="str">
        <f>Costs!$A5&amp;" - Heating Zone 2 (Heat Pump Heating System)"</f>
        <v>Multi Family Weatherization - Insulate Floors - R-19 to R-30 - Heating Zone 2 (Heat Pump Heating System)</v>
      </c>
      <c r="C201" s="55" t="str">
        <f>Costs!$A5&amp;" - Heating Zone 2 (Heat Pump Heating System)"</f>
        <v>Multi Family Weatherization - Insulate Floors - R-19 to R-30 - Heating Zone 2 (Heat Pump Heating System)</v>
      </c>
      <c r="D201" s="336">
        <f>VLOOKUP(C201,SEEMsavings!$A$5:$L$556,11,FALSE)+VLOOKUP(C201,SEEMsavings!$A$5:$L$556,12,FALSE)</f>
        <v>6.3301459714399766E-2</v>
      </c>
      <c r="E201" s="337">
        <v>45</v>
      </c>
      <c r="F201" s="338">
        <f t="shared" si="5"/>
        <v>0.64785245801359526</v>
      </c>
      <c r="G201" s="93">
        <v>0</v>
      </c>
      <c r="H201" s="339" t="s">
        <v>1077</v>
      </c>
      <c r="I201" s="98"/>
      <c r="J201" s="27"/>
      <c r="K201" s="27"/>
      <c r="L201" s="27"/>
      <c r="M201" s="27"/>
      <c r="N201" s="27"/>
      <c r="O201" s="27"/>
      <c r="P201" s="27"/>
      <c r="Q201" s="27"/>
    </row>
    <row r="202" spans="1:17" ht="25.5">
      <c r="A202" t="str">
        <f t="shared" si="6"/>
        <v>Multi Family Weatherization - Insulate Attic - R-0 to R-19 - Heating Zone 2 (Heat Pump Heating System)Multi Family Weatherization - Insulate Attic - R-0 to R-19 - Heating Zone 2 (Heat Pump Heating System)</v>
      </c>
      <c r="B202" s="55" t="str">
        <f>Costs!$A6&amp;" - Heating Zone 2 (Heat Pump Heating System)"</f>
        <v>Multi Family Weatherization - Insulate Attic - R-0 to R-19 - Heating Zone 2 (Heat Pump Heating System)</v>
      </c>
      <c r="C202" s="55" t="str">
        <f>Costs!$A6&amp;" - Heating Zone 2 (Heat Pump Heating System)"</f>
        <v>Multi Family Weatherization - Insulate Attic - R-0 to R-19 - Heating Zone 2 (Heat Pump Heating System)</v>
      </c>
      <c r="D202" s="336">
        <f>VLOOKUP(C202,SEEMsavings!$A$5:$L$556,11,FALSE)+VLOOKUP(C202,SEEMsavings!$A$5:$L$556,12,FALSE)</f>
        <v>0.27221183078558847</v>
      </c>
      <c r="E202" s="337">
        <v>45</v>
      </c>
      <c r="F202" s="338">
        <f t="shared" si="5"/>
        <v>0.54914779043329487</v>
      </c>
      <c r="G202" s="93">
        <v>0</v>
      </c>
      <c r="H202" s="339" t="s">
        <v>1077</v>
      </c>
      <c r="I202" s="98"/>
      <c r="J202" s="27"/>
      <c r="K202" s="27"/>
      <c r="L202" s="27"/>
      <c r="M202" s="27"/>
      <c r="N202" s="27"/>
      <c r="O202" s="27"/>
      <c r="P202" s="27"/>
      <c r="Q202" s="27"/>
    </row>
    <row r="203" spans="1:17" ht="25.5">
      <c r="A203" t="str">
        <f t="shared" si="6"/>
        <v>Multi Family Weatherization - Insulate Attic - R-0 to R-38 - Heating Zone 2 (Heat Pump Heating System)Multi Family Weatherization - Insulate Attic - R-0 to R-38 - Heating Zone 2 (Heat Pump Heating System)</v>
      </c>
      <c r="B203" s="55" t="str">
        <f>Costs!$A7&amp;" - Heating Zone 2 (Heat Pump Heating System)"</f>
        <v>Multi Family Weatherization - Insulate Attic - R-0 to R-38 - Heating Zone 2 (Heat Pump Heating System)</v>
      </c>
      <c r="C203" s="55" t="str">
        <f>Costs!$A7&amp;" - Heating Zone 2 (Heat Pump Heating System)"</f>
        <v>Multi Family Weatherization - Insulate Attic - R-0 to R-38 - Heating Zone 2 (Heat Pump Heating System)</v>
      </c>
      <c r="D203" s="336">
        <f>VLOOKUP(C203,SEEMsavings!$A$5:$L$556,11,FALSE)+VLOOKUP(C203,SEEMsavings!$A$5:$L$556,12,FALSE)</f>
        <v>0.37222524255495981</v>
      </c>
      <c r="E203" s="337">
        <v>45</v>
      </c>
      <c r="F203" s="338">
        <f t="shared" si="5"/>
        <v>0.73246728560336305</v>
      </c>
      <c r="G203" s="93">
        <v>0</v>
      </c>
      <c r="H203" s="339" t="s">
        <v>1077</v>
      </c>
      <c r="I203" s="98"/>
      <c r="J203" s="27"/>
      <c r="K203" s="27"/>
      <c r="L203" s="27"/>
      <c r="M203" s="27"/>
      <c r="N203" s="27"/>
      <c r="O203" s="27"/>
      <c r="P203" s="27"/>
      <c r="Q203" s="27"/>
    </row>
    <row r="204" spans="1:17" ht="25.5">
      <c r="A204" t="str">
        <f t="shared" si="6"/>
        <v>Multi Family Weatherization - Insulate Attic - R-0 to R-49 - Heating Zone 2 (Heat Pump Heating System)Multi Family Weatherization - Insulate Attic - R-0 to R-49 - Heating Zone 2 (Heat Pump Heating System)</v>
      </c>
      <c r="B204" s="55" t="str">
        <f>Costs!$A8&amp;" - Heating Zone 2 (Heat Pump Heating System)"</f>
        <v>Multi Family Weatherization - Insulate Attic - R-0 to R-49 - Heating Zone 2 (Heat Pump Heating System)</v>
      </c>
      <c r="C204" s="55" t="str">
        <f>Costs!$A8&amp;" - Heating Zone 2 (Heat Pump Heating System)"</f>
        <v>Multi Family Weatherization - Insulate Attic - R-0 to R-49 - Heating Zone 2 (Heat Pump Heating System)</v>
      </c>
      <c r="D204" s="336">
        <f>VLOOKUP(C204,SEEMsavings!$A$5:$L$556,11,FALSE)+VLOOKUP(C204,SEEMsavings!$A$5:$L$556,12,FALSE)</f>
        <v>0.39552755421759345</v>
      </c>
      <c r="E204" s="337">
        <v>45</v>
      </c>
      <c r="F204" s="338">
        <f t="shared" si="5"/>
        <v>0.83087905114745864</v>
      </c>
      <c r="G204" s="93">
        <v>0</v>
      </c>
      <c r="H204" s="339" t="s">
        <v>1077</v>
      </c>
      <c r="I204" s="98"/>
      <c r="J204" s="27"/>
      <c r="K204" s="27"/>
      <c r="L204" s="27"/>
      <c r="M204" s="27"/>
      <c r="N204" s="27"/>
      <c r="O204" s="27"/>
      <c r="P204" s="27"/>
      <c r="Q204" s="27"/>
    </row>
    <row r="205" spans="1:17" ht="25.5">
      <c r="A205" t="str">
        <f t="shared" si="6"/>
        <v>Multi Family Weatherization - Insulate Attic - R-30 to R-38 - Heating Zone 2 (Heat Pump Heating System)Multi Family Weatherization - Insulate Attic - R-30 to R-38 - Heating Zone 2 (Heat Pump Heating System)</v>
      </c>
      <c r="B205" s="55" t="str">
        <f>Costs!$A9&amp;" - Heating Zone 2 (Heat Pump Heating System)"</f>
        <v>Multi Family Weatherization - Insulate Attic - R-30 to R-38 - Heating Zone 2 (Heat Pump Heating System)</v>
      </c>
      <c r="C205" s="55" t="str">
        <f>Costs!$A9&amp;" - Heating Zone 2 (Heat Pump Heating System)"</f>
        <v>Multi Family Weatherization - Insulate Attic - R-30 to R-38 - Heating Zone 2 (Heat Pump Heating System)</v>
      </c>
      <c r="D205" s="336">
        <f>VLOOKUP(C205,SEEMsavings!$A$5:$L$556,11,FALSE)+VLOOKUP(C205,SEEMsavings!$A$5:$L$556,12,FALSE)</f>
        <v>2.755204936112942E-2</v>
      </c>
      <c r="E205" s="337">
        <v>45</v>
      </c>
      <c r="F205" s="338">
        <f t="shared" si="5"/>
        <v>0.2473644911578245</v>
      </c>
      <c r="G205" s="93">
        <v>0</v>
      </c>
      <c r="H205" s="339" t="s">
        <v>1077</v>
      </c>
      <c r="I205" s="98"/>
      <c r="J205" s="27"/>
      <c r="K205" s="27"/>
      <c r="L205" s="27"/>
      <c r="M205" s="27"/>
      <c r="N205" s="27"/>
      <c r="O205" s="27"/>
      <c r="P205" s="27"/>
      <c r="Q205" s="27"/>
    </row>
    <row r="206" spans="1:17" ht="25.5">
      <c r="A206" t="str">
        <f t="shared" si="6"/>
        <v>Multi Family Weatherization - Insulate Attic - R-30 to R-49 - Heating Zone 2 (Heat Pump Heating System)Multi Family Weatherization - Insulate Attic - R-30 to R-49 - Heating Zone 2 (Heat Pump Heating System)</v>
      </c>
      <c r="B206" s="55" t="str">
        <f>Costs!$A10&amp;" - Heating Zone 2 (Heat Pump Heating System)"</f>
        <v>Multi Family Weatherization - Insulate Attic - R-30 to R-49 - Heating Zone 2 (Heat Pump Heating System)</v>
      </c>
      <c r="C206" s="55" t="str">
        <f>Costs!$A10&amp;" - Heating Zone 2 (Heat Pump Heating System)"</f>
        <v>Multi Family Weatherization - Insulate Attic - R-30 to R-49 - Heating Zone 2 (Heat Pump Heating System)</v>
      </c>
      <c r="D206" s="336">
        <f>VLOOKUP(C206,SEEMsavings!$A$5:$L$556,11,FALSE)+VLOOKUP(C206,SEEMsavings!$A$5:$L$556,12,FALSE)</f>
        <v>5.0854361023762999E-2</v>
      </c>
      <c r="E206" s="337">
        <v>45</v>
      </c>
      <c r="F206" s="338">
        <f t="shared" si="5"/>
        <v>0.58749066649983317</v>
      </c>
      <c r="G206" s="93">
        <v>0</v>
      </c>
      <c r="H206" s="339" t="s">
        <v>1077</v>
      </c>
      <c r="I206" s="98"/>
      <c r="J206" s="27"/>
      <c r="K206" s="27"/>
      <c r="L206" s="27"/>
      <c r="M206" s="27"/>
      <c r="N206" s="27"/>
      <c r="O206" s="27"/>
      <c r="P206" s="27"/>
      <c r="Q206" s="27"/>
    </row>
    <row r="207" spans="1:17" ht="25.5">
      <c r="A207" t="str">
        <f t="shared" si="6"/>
        <v>Multi Family Weatherization - Insulate Attic - R-38 to R-49 - Heating Zone 2 (Heat Pump Heating System)Multi Family Weatherization - Insulate Attic - R-38 to R-49 - Heating Zone 2 (Heat Pump Heating System)</v>
      </c>
      <c r="B207" s="55" t="str">
        <f>Costs!$A11&amp;" - Heating Zone 2 (Heat Pump Heating System)"</f>
        <v>Multi Family Weatherization - Insulate Attic - R-38 to R-49 - Heating Zone 2 (Heat Pump Heating System)</v>
      </c>
      <c r="C207" s="55" t="str">
        <f>Costs!$A11&amp;" - Heating Zone 2 (Heat Pump Heating System)"</f>
        <v>Multi Family Weatherization - Insulate Attic - R-38 to R-49 - Heating Zone 2 (Heat Pump Heating System)</v>
      </c>
      <c r="D207" s="336">
        <f>VLOOKUP(C207,SEEMsavings!$A$5:$L$556,11,FALSE)+VLOOKUP(C207,SEEMsavings!$A$5:$L$556,12,FALSE)</f>
        <v>2.3302311662633579E-2</v>
      </c>
      <c r="E207" s="337">
        <v>45</v>
      </c>
      <c r="F207" s="338">
        <f t="shared" si="5"/>
        <v>0.34012617534200867</v>
      </c>
      <c r="G207" s="93">
        <v>0</v>
      </c>
      <c r="H207" s="339" t="s">
        <v>1077</v>
      </c>
      <c r="I207" s="98"/>
      <c r="J207" s="27"/>
      <c r="K207" s="27"/>
      <c r="L207" s="27"/>
      <c r="M207" s="27"/>
      <c r="N207" s="27"/>
      <c r="O207" s="27"/>
      <c r="P207" s="27"/>
      <c r="Q207" s="27"/>
    </row>
    <row r="208" spans="1:17" ht="25.5">
      <c r="A208" t="str">
        <f t="shared" si="6"/>
        <v>Multi Family Weatherization - Insulate Attic - R-19 to R-30 - Heating Zone 2 (Heat Pump Heating System)Multi Family Weatherization - Insulate Attic - R-19 to R-30 - Heating Zone 2 (Heat Pump Heating System)</v>
      </c>
      <c r="B208" s="55" t="str">
        <f>Costs!$A12&amp;" - Heating Zone 2 (Heat Pump Heating System)"</f>
        <v>Multi Family Weatherization - Insulate Attic - R-19 to R-30 - Heating Zone 2 (Heat Pump Heating System)</v>
      </c>
      <c r="C208" s="55" t="str">
        <f>Costs!$A12&amp;" - Heating Zone 2 (Heat Pump Heating System)"</f>
        <v>Multi Family Weatherization - Insulate Attic - R-19 to R-30 - Heating Zone 2 (Heat Pump Heating System)</v>
      </c>
      <c r="D208" s="336">
        <f>VLOOKUP(C208,SEEMsavings!$A$5:$L$556,11,FALSE)+VLOOKUP(C208,SEEMsavings!$A$5:$L$556,12,FALSE)</f>
        <v>7.2461362408241914E-2</v>
      </c>
      <c r="E208" s="337">
        <v>45</v>
      </c>
      <c r="F208" s="338">
        <f t="shared" si="5"/>
        <v>0.47401945424285125</v>
      </c>
      <c r="G208" s="93">
        <v>0</v>
      </c>
      <c r="H208" s="339" t="s">
        <v>1077</v>
      </c>
      <c r="I208" s="98"/>
      <c r="J208" s="27"/>
      <c r="K208" s="27"/>
      <c r="L208" s="27"/>
      <c r="M208" s="27"/>
      <c r="N208" s="27"/>
      <c r="O208" s="27"/>
      <c r="P208" s="27"/>
      <c r="Q208" s="27"/>
    </row>
    <row r="209" spans="1:17" ht="25.5">
      <c r="A209" t="str">
        <f t="shared" si="6"/>
        <v>Multi Family Weatherization - Insulate Attic - R-19 to R-38 - Heating Zone 2 (Heat Pump Heating System)Multi Family Weatherization - Insulate Attic - R-19 to R-38 - Heating Zone 2 (Heat Pump Heating System)</v>
      </c>
      <c r="B209" s="55" t="str">
        <f>Costs!$A13&amp;" - Heating Zone 2 (Heat Pump Heating System)"</f>
        <v>Multi Family Weatherization - Insulate Attic - R-19 to R-38 - Heating Zone 2 (Heat Pump Heating System)</v>
      </c>
      <c r="C209" s="55" t="str">
        <f>Costs!$A13&amp;" - Heating Zone 2 (Heat Pump Heating System)"</f>
        <v>Multi Family Weatherization - Insulate Attic - R-19 to R-38 - Heating Zone 2 (Heat Pump Heating System)</v>
      </c>
      <c r="D209" s="336">
        <f>VLOOKUP(C209,SEEMsavings!$A$5:$L$556,11,FALSE)+VLOOKUP(C209,SEEMsavings!$A$5:$L$556,12,FALSE)</f>
        <v>0.10001341176937134</v>
      </c>
      <c r="E209" s="337">
        <v>45</v>
      </c>
      <c r="F209" s="338">
        <f t="shared" si="5"/>
        <v>0.55283834686255773</v>
      </c>
      <c r="G209" s="93">
        <v>0</v>
      </c>
      <c r="H209" s="339" t="s">
        <v>1077</v>
      </c>
      <c r="I209" s="98"/>
      <c r="J209" s="27"/>
      <c r="K209" s="27"/>
      <c r="L209" s="27"/>
      <c r="M209" s="27"/>
      <c r="N209" s="27"/>
      <c r="O209" s="27"/>
      <c r="P209" s="27"/>
      <c r="Q209" s="27"/>
    </row>
    <row r="210" spans="1:17" ht="25.5">
      <c r="A210" t="str">
        <f t="shared" si="6"/>
        <v>Multi Family Weatherization - Insulate Attic - R-19 to R-49 - Heating Zone 2 (Heat Pump Heating System)Multi Family Weatherization - Insulate Attic - R-19 to R-49 - Heating Zone 2 (Heat Pump Heating System)</v>
      </c>
      <c r="B210" s="55" t="str">
        <f>Costs!$A14&amp;" - Heating Zone 2 (Heat Pump Heating System)"</f>
        <v>Multi Family Weatherization - Insulate Attic - R-19 to R-49 - Heating Zone 2 (Heat Pump Heating System)</v>
      </c>
      <c r="C210" s="55" t="str">
        <f>Costs!$A14&amp;" - Heating Zone 2 (Heat Pump Heating System)"</f>
        <v>Multi Family Weatherization - Insulate Attic - R-19 to R-49 - Heating Zone 2 (Heat Pump Heating System)</v>
      </c>
      <c r="D210" s="336">
        <f>VLOOKUP(C210,SEEMsavings!$A$5:$L$556,11,FALSE)+VLOOKUP(C210,SEEMsavings!$A$5:$L$556,12,FALSE)</f>
        <v>0.12331572343200492</v>
      </c>
      <c r="E210" s="337">
        <v>45</v>
      </c>
      <c r="F210" s="338">
        <f t="shared" si="5"/>
        <v>0.65683404823881342</v>
      </c>
      <c r="G210" s="93">
        <v>0</v>
      </c>
      <c r="H210" s="339" t="s">
        <v>1077</v>
      </c>
      <c r="I210" s="98"/>
      <c r="J210" s="27"/>
      <c r="K210" s="27"/>
      <c r="L210" s="27"/>
      <c r="M210" s="27"/>
      <c r="N210" s="27"/>
      <c r="O210" s="27"/>
      <c r="P210" s="27"/>
      <c r="Q210" s="27"/>
    </row>
    <row r="211" spans="1:17">
      <c r="A211" t="str">
        <f t="shared" si="6"/>
        <v>Windows - Single Pane to Class 22 - Heating Zone 2 (Heat Pump Heating System)Windows - Single Pane to Class 22 - Heating Zone 2 (Heat Pump Heating System)</v>
      </c>
      <c r="B211" s="55" t="str">
        <f>Costs!$A15&amp;" - Heating Zone 2 (Heat Pump Heating System)"</f>
        <v>Windows - Single Pane to Class 22 - Heating Zone 2 (Heat Pump Heating System)</v>
      </c>
      <c r="C211" s="55" t="str">
        <f>Costs!$A15&amp;" - Heating Zone 2 (Heat Pump Heating System)"</f>
        <v>Windows - Single Pane to Class 22 - Heating Zone 2 (Heat Pump Heating System)</v>
      </c>
      <c r="D211" s="336">
        <f>VLOOKUP(C211,SEEMsavings!$A$5:$L$556,11,FALSE)+VLOOKUP(C211,SEEMsavings!$A$5:$L$556,12,FALSE)</f>
        <v>18.445123106398103</v>
      </c>
      <c r="E211" s="337">
        <v>45</v>
      </c>
      <c r="F211" s="338">
        <f t="shared" si="5"/>
        <v>23.269535952606116</v>
      </c>
      <c r="G211" s="93">
        <v>0</v>
      </c>
      <c r="H211" s="339" t="s">
        <v>1077</v>
      </c>
      <c r="I211" s="98"/>
      <c r="J211" s="27"/>
      <c r="K211" s="27"/>
      <c r="L211" s="27"/>
      <c r="M211" s="27"/>
      <c r="N211" s="27"/>
      <c r="O211" s="27"/>
      <c r="P211" s="27"/>
      <c r="Q211" s="27"/>
    </row>
    <row r="212" spans="1:17">
      <c r="A212" t="str">
        <f t="shared" si="6"/>
        <v>Windows - Double Pane to Class 22 - Heating Zone 2 (Heat Pump Heating System)Windows - Double Pane to Class 22 - Heating Zone 2 (Heat Pump Heating System)</v>
      </c>
      <c r="B212" s="55" t="str">
        <f>Costs!$A16&amp;" - Heating Zone 2 (Heat Pump Heating System)"</f>
        <v>Windows - Double Pane to Class 22 - Heating Zone 2 (Heat Pump Heating System)</v>
      </c>
      <c r="C212" s="55" t="str">
        <f>Costs!$A16&amp;" - Heating Zone 2 (Heat Pump Heating System)"</f>
        <v>Windows - Double Pane to Class 22 - Heating Zone 2 (Heat Pump Heating System)</v>
      </c>
      <c r="D212" s="336">
        <f>VLOOKUP(C212,SEEMsavings!$A$5:$L$556,11,FALSE)+VLOOKUP(C212,SEEMsavings!$A$5:$L$556,12,FALSE)</f>
        <v>11.603891493356469</v>
      </c>
      <c r="E212" s="337">
        <v>45</v>
      </c>
      <c r="F212" s="338">
        <f t="shared" si="5"/>
        <v>23.269535952606116</v>
      </c>
      <c r="G212" s="93">
        <v>0</v>
      </c>
      <c r="H212" s="339" t="s">
        <v>1077</v>
      </c>
      <c r="I212" s="98"/>
      <c r="J212" s="27"/>
      <c r="K212" s="27"/>
      <c r="L212" s="27"/>
      <c r="M212" s="27"/>
      <c r="N212" s="27"/>
      <c r="O212" s="27"/>
      <c r="P212" s="27"/>
      <c r="Q212" s="27"/>
    </row>
    <row r="213" spans="1:17">
      <c r="A213" t="str">
        <f t="shared" si="6"/>
        <v>Windows - Single Pane to Class 30 - Heating Zone 2 (Heat Pump Heating System)Windows - Single Pane to Class 30 - Heating Zone 2 (Heat Pump Heating System)</v>
      </c>
      <c r="B213" s="55" t="str">
        <f>Costs!$A17&amp;" - Heating Zone 2 (Heat Pump Heating System)"</f>
        <v>Windows - Single Pane to Class 30 - Heating Zone 2 (Heat Pump Heating System)</v>
      </c>
      <c r="C213" s="55" t="str">
        <f>Costs!$A17&amp;" - Heating Zone 2 (Heat Pump Heating System)"</f>
        <v>Windows - Single Pane to Class 30 - Heating Zone 2 (Heat Pump Heating System)</v>
      </c>
      <c r="D213" s="336">
        <f>VLOOKUP(C213,SEEMsavings!$A$5:$L$556,11,FALSE)+VLOOKUP(C213,SEEMsavings!$A$5:$L$556,12,FALSE)</f>
        <v>17.125348980129907</v>
      </c>
      <c r="E213" s="337">
        <v>45</v>
      </c>
      <c r="F213" s="338">
        <f t="shared" si="5"/>
        <v>17.810142881355933</v>
      </c>
      <c r="G213" s="93">
        <v>0</v>
      </c>
      <c r="H213" s="339" t="s">
        <v>1077</v>
      </c>
      <c r="I213" s="98"/>
      <c r="J213" s="27"/>
      <c r="K213" s="27"/>
      <c r="L213" s="27"/>
      <c r="M213" s="27"/>
      <c r="N213" s="27"/>
      <c r="O213" s="27"/>
      <c r="P213" s="27"/>
      <c r="Q213" s="27"/>
    </row>
    <row r="214" spans="1:17">
      <c r="A214" t="str">
        <f t="shared" si="6"/>
        <v>Windows - Double Pane to Class 30 - Heating Zone 2 (Heat Pump Heating System)Windows - Double Pane to Class 30 - Heating Zone 2 (Heat Pump Heating System)</v>
      </c>
      <c r="B214" s="55" t="str">
        <f>Costs!$A18&amp;" - Heating Zone 2 (Heat Pump Heating System)"</f>
        <v>Windows - Double Pane to Class 30 - Heating Zone 2 (Heat Pump Heating System)</v>
      </c>
      <c r="C214" s="55" t="str">
        <f>Costs!$A18&amp;" - Heating Zone 2 (Heat Pump Heating System)"</f>
        <v>Windows - Double Pane to Class 30 - Heating Zone 2 (Heat Pump Heating System)</v>
      </c>
      <c r="D214" s="336">
        <f>VLOOKUP(C214,SEEMsavings!$A$5:$L$556,11,FALSE)+VLOOKUP(C214,SEEMsavings!$A$5:$L$556,12,FALSE)</f>
        <v>10.284117367088273</v>
      </c>
      <c r="E214" s="337">
        <v>45</v>
      </c>
      <c r="F214" s="338">
        <f t="shared" si="5"/>
        <v>17.810142881355933</v>
      </c>
      <c r="G214" s="93">
        <v>0</v>
      </c>
      <c r="H214" s="339" t="s">
        <v>1077</v>
      </c>
      <c r="I214" s="98"/>
      <c r="J214" s="27"/>
      <c r="K214" s="27"/>
      <c r="L214" s="27"/>
      <c r="M214" s="27"/>
      <c r="N214" s="27"/>
      <c r="O214" s="27"/>
      <c r="P214" s="27"/>
      <c r="Q214" s="27"/>
    </row>
    <row r="215" spans="1:17">
      <c r="A215" t="str">
        <f t="shared" si="6"/>
        <v>Windows - Class 35 to Class 30 - Heating Zone 2 (Heat Pump Heating System)Windows - Class 35 to Class 30 - Heating Zone 2 (Heat Pump Heating System)</v>
      </c>
      <c r="B215" s="55" t="str">
        <f>Costs!$A19&amp;" - Heating Zone 2 (Heat Pump Heating System)"</f>
        <v>Windows - Class 35 to Class 30 - Heating Zone 2 (Heat Pump Heating System)</v>
      </c>
      <c r="C215" s="55" t="str">
        <f>Costs!$A19&amp;" - Heating Zone 2 (Heat Pump Heating System)"</f>
        <v>Windows - Class 35 to Class 30 - Heating Zone 2 (Heat Pump Heating System)</v>
      </c>
      <c r="D215" s="336">
        <f>VLOOKUP(C215,SEEMsavings!$A$5:$L$556,11,FALSE)+VLOOKUP(C215,SEEMsavings!$A$5:$L$556,12,FALSE)</f>
        <v>0.86362480578630174</v>
      </c>
      <c r="E215" s="337">
        <v>45</v>
      </c>
      <c r="F215" s="338">
        <f t="shared" si="5"/>
        <v>1.8290398716390079</v>
      </c>
      <c r="G215" s="93">
        <v>0</v>
      </c>
      <c r="H215" s="339" t="s">
        <v>1077</v>
      </c>
      <c r="I215" s="98"/>
      <c r="J215" s="27"/>
      <c r="K215" s="27"/>
      <c r="L215" s="27"/>
      <c r="M215" s="27"/>
      <c r="N215" s="27"/>
      <c r="O215" s="27"/>
      <c r="P215" s="27"/>
      <c r="Q215" s="27"/>
    </row>
    <row r="216" spans="1:17">
      <c r="A216" t="str">
        <f t="shared" si="6"/>
        <v>Windows - Class 35 to Class 22 - Heating Zone 2 (Heat Pump Heating System)Windows - Class 35 to Class 22 - Heating Zone 2 (Heat Pump Heating System)</v>
      </c>
      <c r="B216" s="55" t="str">
        <f>Costs!$A20&amp;" - Heating Zone 2 (Heat Pump Heating System)"</f>
        <v>Windows - Class 35 to Class 22 - Heating Zone 2 (Heat Pump Heating System)</v>
      </c>
      <c r="C216" s="55" t="str">
        <f>Costs!$A20&amp;" - Heating Zone 2 (Heat Pump Heating System)"</f>
        <v>Windows - Class 35 to Class 22 - Heating Zone 2 (Heat Pump Heating System)</v>
      </c>
      <c r="D216" s="336">
        <f>VLOOKUP(C216,SEEMsavings!$A$5:$L$556,11,FALSE)+VLOOKUP(C216,SEEMsavings!$A$5:$L$556,12,FALSE)</f>
        <v>2.183398932054498</v>
      </c>
      <c r="E216" s="337">
        <v>45</v>
      </c>
      <c r="F216" s="338">
        <f t="shared" si="5"/>
        <v>7.288432942889191</v>
      </c>
      <c r="G216" s="93">
        <v>0</v>
      </c>
      <c r="H216" s="339" t="s">
        <v>1077</v>
      </c>
      <c r="I216" s="98"/>
      <c r="J216" s="27"/>
      <c r="K216" s="27"/>
      <c r="L216" s="27"/>
      <c r="M216" s="27"/>
      <c r="N216" s="27"/>
      <c r="O216" s="27"/>
      <c r="P216" s="27"/>
      <c r="Q216" s="27"/>
    </row>
    <row r="217" spans="1:17" ht="25.5">
      <c r="A217" t="str">
        <f t="shared" si="6"/>
        <v>Multi Family Weatherization - Insulate Walls - R-0 to R-11 - Heating Zone 3 (Heat Pump Heating System)Multi Family Weatherization - Insulate Walls - R-0 to R-11 - Heating Zone 3 (Heat Pump Heating System)</v>
      </c>
      <c r="B217" s="55" t="str">
        <f>Costs!$A2&amp;" - Heating Zone 3 (Heat Pump Heating System)"</f>
        <v>Multi Family Weatherization - Insulate Walls - R-0 to R-11 - Heating Zone 3 (Heat Pump Heating System)</v>
      </c>
      <c r="C217" s="55" t="str">
        <f>Costs!$A2&amp;" - Heating Zone 3 (Heat Pump Heating System)"</f>
        <v>Multi Family Weatherization - Insulate Walls - R-0 to R-11 - Heating Zone 3 (Heat Pump Heating System)</v>
      </c>
      <c r="D217" s="336">
        <f>VLOOKUP(C217,SEEMsavings!$A$5:$L$556,11,FALSE)+VLOOKUP(C217,SEEMsavings!$A$5:$L$556,12,FALSE)</f>
        <v>1.1891444184965805</v>
      </c>
      <c r="E217" s="337">
        <v>45</v>
      </c>
      <c r="F217" s="338">
        <f t="shared" si="5"/>
        <v>1.0354836592527603</v>
      </c>
      <c r="G217" s="93">
        <v>0</v>
      </c>
      <c r="H217" s="339" t="s">
        <v>1077</v>
      </c>
      <c r="I217" s="98"/>
      <c r="J217" s="27"/>
      <c r="K217" s="27"/>
      <c r="L217" s="27"/>
      <c r="M217" s="27"/>
      <c r="N217" s="27"/>
      <c r="O217" s="27"/>
      <c r="P217" s="27"/>
      <c r="Q217" s="27"/>
    </row>
    <row r="218" spans="1:17" ht="25.5">
      <c r="A218" t="str">
        <f t="shared" si="6"/>
        <v>Multi Family Weatherization - Insulate Floors - R-0 to R-19 - Heating Zone 3 (Heat Pump Heating System)Multi Family Weatherization - Insulate Floors - R-0 to R-19 - Heating Zone 3 (Heat Pump Heating System)</v>
      </c>
      <c r="B218" s="55" t="str">
        <f>Costs!$A3&amp;" - Heating Zone 3 (Heat Pump Heating System)"</f>
        <v>Multi Family Weatherization - Insulate Floors - R-0 to R-19 - Heating Zone 3 (Heat Pump Heating System)</v>
      </c>
      <c r="C218" s="55" t="str">
        <f>Costs!$A3&amp;" - Heating Zone 3 (Heat Pump Heating System)"</f>
        <v>Multi Family Weatherization - Insulate Floors - R-0 to R-19 - Heating Zone 3 (Heat Pump Heating System)</v>
      </c>
      <c r="D218" s="336">
        <f>VLOOKUP(C218,SEEMsavings!$A$5:$L$556,11,FALSE)+VLOOKUP(C218,SEEMsavings!$A$5:$L$556,12,FALSE)</f>
        <v>0.28250276610270575</v>
      </c>
      <c r="E218" s="337">
        <v>45</v>
      </c>
      <c r="F218" s="338">
        <f t="shared" si="5"/>
        <v>0.91799940108959477</v>
      </c>
      <c r="G218" s="93">
        <v>0</v>
      </c>
      <c r="H218" s="339" t="s">
        <v>1077</v>
      </c>
      <c r="I218" s="98"/>
      <c r="J218" s="27"/>
      <c r="K218" s="27"/>
      <c r="L218" s="27"/>
      <c r="M218" s="27"/>
      <c r="N218" s="27"/>
      <c r="O218" s="27"/>
      <c r="P218" s="27"/>
      <c r="Q218" s="27"/>
    </row>
    <row r="219" spans="1:17" ht="25.5">
      <c r="A219" t="str">
        <f t="shared" si="6"/>
        <v>Multi Family Weatherization - Insulate Floors - R-0 to R-30 - Heating Zone 3 (Heat Pump Heating System)Multi Family Weatherization - Insulate Floors - R-0 to R-30 - Heating Zone 3 (Heat Pump Heating System)</v>
      </c>
      <c r="B219" s="55" t="str">
        <f>Costs!$A4&amp;" - Heating Zone 3 (Heat Pump Heating System)"</f>
        <v>Multi Family Weatherization - Insulate Floors - R-0 to R-30 - Heating Zone 3 (Heat Pump Heating System)</v>
      </c>
      <c r="C219" s="55" t="str">
        <f>Costs!$A4&amp;" - Heating Zone 3 (Heat Pump Heating System)"</f>
        <v>Multi Family Weatherization - Insulate Floors - R-0 to R-30 - Heating Zone 3 (Heat Pump Heating System)</v>
      </c>
      <c r="D219" s="336">
        <f>VLOOKUP(C219,SEEMsavings!$A$5:$L$556,11,FALSE)+VLOOKUP(C219,SEEMsavings!$A$5:$L$556,12,FALSE)</f>
        <v>0.36611259495045606</v>
      </c>
      <c r="E219" s="337">
        <v>45</v>
      </c>
      <c r="F219" s="338">
        <f t="shared" ref="F219:F235" si="7">F200</f>
        <v>0.98244865861375763</v>
      </c>
      <c r="G219" s="93">
        <v>0</v>
      </c>
      <c r="H219" s="339" t="s">
        <v>1077</v>
      </c>
      <c r="I219" s="98"/>
      <c r="J219" s="27"/>
      <c r="K219" s="27"/>
      <c r="L219" s="27"/>
      <c r="M219" s="27"/>
      <c r="N219" s="27"/>
      <c r="O219" s="27"/>
      <c r="P219" s="27"/>
      <c r="Q219" s="27"/>
    </row>
    <row r="220" spans="1:17" ht="25.5">
      <c r="A220" t="str">
        <f t="shared" si="6"/>
        <v>Multi Family Weatherization - Insulate Floors - R-19 to R-30 - Heating Zone 3 (Heat Pump Heating System)Multi Family Weatherization - Insulate Floors - R-19 to R-30 - Heating Zone 3 (Heat Pump Heating System)</v>
      </c>
      <c r="B220" s="55" t="str">
        <f>Costs!$A5&amp;" - Heating Zone 3 (Heat Pump Heating System)"</f>
        <v>Multi Family Weatherization - Insulate Floors - R-19 to R-30 - Heating Zone 3 (Heat Pump Heating System)</v>
      </c>
      <c r="C220" s="55" t="str">
        <f>Costs!$A5&amp;" - Heating Zone 3 (Heat Pump Heating System)"</f>
        <v>Multi Family Weatherization - Insulate Floors - R-19 to R-30 - Heating Zone 3 (Heat Pump Heating System)</v>
      </c>
      <c r="D220" s="336">
        <f>VLOOKUP(C220,SEEMsavings!$A$5:$L$556,11,FALSE)+VLOOKUP(C220,SEEMsavings!$A$5:$L$556,12,FALSE)</f>
        <v>8.3609828847750312E-2</v>
      </c>
      <c r="E220" s="337">
        <v>45</v>
      </c>
      <c r="F220" s="338">
        <f t="shared" si="7"/>
        <v>0.64785245801359526</v>
      </c>
      <c r="G220" s="93">
        <v>0</v>
      </c>
      <c r="H220" s="339" t="s">
        <v>1077</v>
      </c>
      <c r="I220" s="98"/>
      <c r="J220" s="27"/>
      <c r="K220" s="27"/>
      <c r="L220" s="27"/>
      <c r="M220" s="27"/>
      <c r="N220" s="27"/>
      <c r="O220" s="27"/>
      <c r="P220" s="27"/>
      <c r="Q220" s="27"/>
    </row>
    <row r="221" spans="1:17" ht="25.5">
      <c r="A221" t="str">
        <f t="shared" si="6"/>
        <v>Multi Family Weatherization - Insulate Attic - R-0 to R-19 - Heating Zone 3 (Heat Pump Heating System)Multi Family Weatherization - Insulate Attic - R-0 to R-19 - Heating Zone 3 (Heat Pump Heating System)</v>
      </c>
      <c r="B221" s="55" t="str">
        <f>Costs!$A6&amp;" - Heating Zone 3 (Heat Pump Heating System)"</f>
        <v>Multi Family Weatherization - Insulate Attic - R-0 to R-19 - Heating Zone 3 (Heat Pump Heating System)</v>
      </c>
      <c r="C221" s="55" t="str">
        <f>Costs!$A6&amp;" - Heating Zone 3 (Heat Pump Heating System)"</f>
        <v>Multi Family Weatherization - Insulate Attic - R-0 to R-19 - Heating Zone 3 (Heat Pump Heating System)</v>
      </c>
      <c r="D221" s="336">
        <f>VLOOKUP(C221,SEEMsavings!$A$5:$L$556,11,FALSE)+VLOOKUP(C221,SEEMsavings!$A$5:$L$556,12,FALSE)</f>
        <v>0.30589474254679139</v>
      </c>
      <c r="E221" s="337">
        <v>45</v>
      </c>
      <c r="F221" s="338">
        <f t="shared" si="7"/>
        <v>0.54914779043329487</v>
      </c>
      <c r="G221" s="93">
        <v>0</v>
      </c>
      <c r="H221" s="339" t="s">
        <v>1077</v>
      </c>
      <c r="I221" s="98"/>
      <c r="J221" s="27"/>
      <c r="K221" s="27"/>
      <c r="L221" s="27"/>
      <c r="M221" s="27"/>
      <c r="N221" s="27"/>
      <c r="O221" s="27"/>
      <c r="P221" s="27"/>
      <c r="Q221" s="27"/>
    </row>
    <row r="222" spans="1:17" ht="25.5">
      <c r="A222" t="str">
        <f t="shared" si="6"/>
        <v>Multi Family Weatherization - Insulate Attic - R-0 to R-38 - Heating Zone 3 (Heat Pump Heating System)Multi Family Weatherization - Insulate Attic - R-0 to R-38 - Heating Zone 3 (Heat Pump Heating System)</v>
      </c>
      <c r="B222" s="55" t="str">
        <f>Costs!$A7&amp;" - Heating Zone 3 (Heat Pump Heating System)"</f>
        <v>Multi Family Weatherization - Insulate Attic - R-0 to R-38 - Heating Zone 3 (Heat Pump Heating System)</v>
      </c>
      <c r="C222" s="55" t="str">
        <f>Costs!$A7&amp;" - Heating Zone 3 (Heat Pump Heating System)"</f>
        <v>Multi Family Weatherization - Insulate Attic - R-0 to R-38 - Heating Zone 3 (Heat Pump Heating System)</v>
      </c>
      <c r="D222" s="336">
        <f>VLOOKUP(C222,SEEMsavings!$A$5:$L$556,11,FALSE)+VLOOKUP(C222,SEEMsavings!$A$5:$L$556,12,FALSE)</f>
        <v>0.41965586362807494</v>
      </c>
      <c r="E222" s="337">
        <v>45</v>
      </c>
      <c r="F222" s="338">
        <f t="shared" si="7"/>
        <v>0.73246728560336305</v>
      </c>
      <c r="G222" s="93">
        <v>0</v>
      </c>
      <c r="H222" s="339" t="s">
        <v>1077</v>
      </c>
      <c r="I222" s="98"/>
      <c r="J222" s="27"/>
      <c r="K222" s="27"/>
      <c r="L222" s="27"/>
      <c r="M222" s="27"/>
      <c r="N222" s="27"/>
      <c r="O222" s="27"/>
      <c r="P222" s="27"/>
      <c r="Q222" s="27"/>
    </row>
    <row r="223" spans="1:17" ht="25.5">
      <c r="A223" t="str">
        <f t="shared" si="6"/>
        <v>Multi Family Weatherization - Insulate Attic - R-0 to R-49 - Heating Zone 3 (Heat Pump Heating System)Multi Family Weatherization - Insulate Attic - R-0 to R-49 - Heating Zone 3 (Heat Pump Heating System)</v>
      </c>
      <c r="B223" s="55" t="str">
        <f>Costs!$A8&amp;" - Heating Zone 3 (Heat Pump Heating System)"</f>
        <v>Multi Family Weatherization - Insulate Attic - R-0 to R-49 - Heating Zone 3 (Heat Pump Heating System)</v>
      </c>
      <c r="C223" s="55" t="str">
        <f>Costs!$A8&amp;" - Heating Zone 3 (Heat Pump Heating System)"</f>
        <v>Multi Family Weatherization - Insulate Attic - R-0 to R-49 - Heating Zone 3 (Heat Pump Heating System)</v>
      </c>
      <c r="D223" s="336">
        <f>VLOOKUP(C223,SEEMsavings!$A$5:$L$556,11,FALSE)+VLOOKUP(C223,SEEMsavings!$A$5:$L$556,12,FALSE)</f>
        <v>0.44603147646911767</v>
      </c>
      <c r="E223" s="337">
        <v>45</v>
      </c>
      <c r="F223" s="338">
        <f t="shared" si="7"/>
        <v>0.83087905114745864</v>
      </c>
      <c r="G223" s="93">
        <v>0</v>
      </c>
      <c r="H223" s="339" t="s">
        <v>1077</v>
      </c>
      <c r="I223" s="98"/>
      <c r="J223" s="27"/>
      <c r="K223" s="27"/>
      <c r="L223" s="27"/>
      <c r="M223" s="27"/>
      <c r="N223" s="27"/>
      <c r="O223" s="27"/>
      <c r="P223" s="27"/>
      <c r="Q223" s="27"/>
    </row>
    <row r="224" spans="1:17" ht="25.5">
      <c r="A224" t="str">
        <f t="shared" si="6"/>
        <v>Multi Family Weatherization - Insulate Attic - R-30 to R-38 - Heating Zone 3 (Heat Pump Heating System)Multi Family Weatherization - Insulate Attic - R-30 to R-38 - Heating Zone 3 (Heat Pump Heating System)</v>
      </c>
      <c r="B224" s="55" t="str">
        <f>Costs!$A9&amp;" - Heating Zone 3 (Heat Pump Heating System)"</f>
        <v>Multi Family Weatherization - Insulate Attic - R-30 to R-38 - Heating Zone 3 (Heat Pump Heating System)</v>
      </c>
      <c r="C224" s="55" t="str">
        <f>Costs!$A9&amp;" - Heating Zone 3 (Heat Pump Heating System)"</f>
        <v>Multi Family Weatherization - Insulate Attic - R-30 to R-38 - Heating Zone 3 (Heat Pump Heating System)</v>
      </c>
      <c r="D224" s="336">
        <f>VLOOKUP(C224,SEEMsavings!$A$5:$L$556,11,FALSE)+VLOOKUP(C224,SEEMsavings!$A$5:$L$556,12,FALSE)</f>
        <v>3.1378288531284049E-2</v>
      </c>
      <c r="E224" s="337">
        <v>45</v>
      </c>
      <c r="F224" s="338">
        <f t="shared" si="7"/>
        <v>0.2473644911578245</v>
      </c>
      <c r="G224" s="93">
        <v>0</v>
      </c>
      <c r="H224" s="339" t="s">
        <v>1077</v>
      </c>
      <c r="I224" s="98"/>
      <c r="J224" s="27"/>
      <c r="K224" s="27"/>
      <c r="L224" s="27"/>
      <c r="M224" s="27"/>
      <c r="N224" s="27"/>
      <c r="O224" s="27"/>
      <c r="P224" s="27"/>
      <c r="Q224" s="27"/>
    </row>
    <row r="225" spans="1:17" ht="25.5">
      <c r="A225" t="str">
        <f t="shared" si="6"/>
        <v>Multi Family Weatherization - Insulate Attic - R-30 to R-49 - Heating Zone 3 (Heat Pump Heating System)Multi Family Weatherization - Insulate Attic - R-30 to R-49 - Heating Zone 3 (Heat Pump Heating System)</v>
      </c>
      <c r="B225" s="55" t="str">
        <f>Costs!$A10&amp;" - Heating Zone 3 (Heat Pump Heating System)"</f>
        <v>Multi Family Weatherization - Insulate Attic - R-30 to R-49 - Heating Zone 3 (Heat Pump Heating System)</v>
      </c>
      <c r="C225" s="55" t="str">
        <f>Costs!$A10&amp;" - Heating Zone 3 (Heat Pump Heating System)"</f>
        <v>Multi Family Weatherization - Insulate Attic - R-30 to R-49 - Heating Zone 3 (Heat Pump Heating System)</v>
      </c>
      <c r="D225" s="336">
        <f>VLOOKUP(C225,SEEMsavings!$A$5:$L$556,11,FALSE)+VLOOKUP(C225,SEEMsavings!$A$5:$L$556,12,FALSE)</f>
        <v>5.7753901372326763E-2</v>
      </c>
      <c r="E225" s="337">
        <v>45</v>
      </c>
      <c r="F225" s="338">
        <f t="shared" si="7"/>
        <v>0.58749066649983317</v>
      </c>
      <c r="G225" s="93">
        <v>0</v>
      </c>
      <c r="H225" s="339" t="s">
        <v>1077</v>
      </c>
      <c r="I225" s="98"/>
      <c r="J225" s="27"/>
      <c r="K225" s="27"/>
      <c r="L225" s="27"/>
      <c r="M225" s="27"/>
      <c r="N225" s="27"/>
      <c r="O225" s="27"/>
      <c r="P225" s="27"/>
      <c r="Q225" s="27"/>
    </row>
    <row r="226" spans="1:17" ht="25.5">
      <c r="A226" t="str">
        <f t="shared" si="6"/>
        <v>Multi Family Weatherization - Insulate Attic - R-38 to R-49 - Heating Zone 3 (Heat Pump Heating System)Multi Family Weatherization - Insulate Attic - R-38 to R-49 - Heating Zone 3 (Heat Pump Heating System)</v>
      </c>
      <c r="B226" s="55" t="str">
        <f>Costs!$A11&amp;" - Heating Zone 3 (Heat Pump Heating System)"</f>
        <v>Multi Family Weatherization - Insulate Attic - R-38 to R-49 - Heating Zone 3 (Heat Pump Heating System)</v>
      </c>
      <c r="C226" s="55" t="str">
        <f>Costs!$A11&amp;" - Heating Zone 3 (Heat Pump Heating System)"</f>
        <v>Multi Family Weatherization - Insulate Attic - R-38 to R-49 - Heating Zone 3 (Heat Pump Heating System)</v>
      </c>
      <c r="D226" s="336">
        <f>VLOOKUP(C226,SEEMsavings!$A$5:$L$556,11,FALSE)+VLOOKUP(C226,SEEMsavings!$A$5:$L$556,12,FALSE)</f>
        <v>2.6375612841042704E-2</v>
      </c>
      <c r="E226" s="337">
        <v>45</v>
      </c>
      <c r="F226" s="338">
        <f t="shared" si="7"/>
        <v>0.34012617534200867</v>
      </c>
      <c r="G226" s="93">
        <v>0</v>
      </c>
      <c r="H226" s="339" t="s">
        <v>1077</v>
      </c>
      <c r="I226" s="98"/>
      <c r="J226" s="27"/>
      <c r="K226" s="27"/>
      <c r="L226" s="27"/>
      <c r="M226" s="27"/>
      <c r="N226" s="27"/>
      <c r="O226" s="27"/>
      <c r="P226" s="27"/>
      <c r="Q226" s="27"/>
    </row>
    <row r="227" spans="1:17" ht="25.5">
      <c r="A227" t="str">
        <f t="shared" si="6"/>
        <v>Multi Family Weatherization - Insulate Attic - R-19 to R-30 - Heating Zone 3 (Heat Pump Heating System)Multi Family Weatherization - Insulate Attic - R-19 to R-30 - Heating Zone 3 (Heat Pump Heating System)</v>
      </c>
      <c r="B227" s="55" t="str">
        <f>Costs!$A12&amp;" - Heating Zone 3 (Heat Pump Heating System)"</f>
        <v>Multi Family Weatherization - Insulate Attic - R-19 to R-30 - Heating Zone 3 (Heat Pump Heating System)</v>
      </c>
      <c r="C227" s="55" t="str">
        <f>Costs!$A12&amp;" - Heating Zone 3 (Heat Pump Heating System)"</f>
        <v>Multi Family Weatherization - Insulate Attic - R-19 to R-30 - Heating Zone 3 (Heat Pump Heating System)</v>
      </c>
      <c r="D227" s="336">
        <f>VLOOKUP(C227,SEEMsavings!$A$5:$L$556,11,FALSE)+VLOOKUP(C227,SEEMsavings!$A$5:$L$556,12,FALSE)</f>
        <v>8.2382832549999563E-2</v>
      </c>
      <c r="E227" s="337">
        <v>45</v>
      </c>
      <c r="F227" s="338">
        <f t="shared" si="7"/>
        <v>0.47401945424285125</v>
      </c>
      <c r="G227" s="93">
        <v>0</v>
      </c>
      <c r="H227" s="339" t="s">
        <v>1077</v>
      </c>
      <c r="I227" s="98"/>
      <c r="J227" s="27"/>
      <c r="K227" s="27"/>
      <c r="L227" s="27"/>
      <c r="M227" s="27"/>
      <c r="N227" s="27"/>
      <c r="O227" s="27"/>
      <c r="P227" s="27"/>
      <c r="Q227" s="27"/>
    </row>
    <row r="228" spans="1:17" ht="25.5">
      <c r="A228" t="str">
        <f t="shared" si="6"/>
        <v>Multi Family Weatherization - Insulate Attic - R-19 to R-38 - Heating Zone 3 (Heat Pump Heating System)Multi Family Weatherization - Insulate Attic - R-19 to R-38 - Heating Zone 3 (Heat Pump Heating System)</v>
      </c>
      <c r="B228" s="55" t="str">
        <f>Costs!$A13&amp;" - Heating Zone 3 (Heat Pump Heating System)"</f>
        <v>Multi Family Weatherization - Insulate Attic - R-19 to R-38 - Heating Zone 3 (Heat Pump Heating System)</v>
      </c>
      <c r="C228" s="55" t="str">
        <f>Costs!$A13&amp;" - Heating Zone 3 (Heat Pump Heating System)"</f>
        <v>Multi Family Weatherization - Insulate Attic - R-19 to R-38 - Heating Zone 3 (Heat Pump Heating System)</v>
      </c>
      <c r="D228" s="336">
        <f>VLOOKUP(C228,SEEMsavings!$A$5:$L$556,11,FALSE)+VLOOKUP(C228,SEEMsavings!$A$5:$L$556,12,FALSE)</f>
        <v>0.11376112108128361</v>
      </c>
      <c r="E228" s="337">
        <v>45</v>
      </c>
      <c r="F228" s="338">
        <f t="shared" si="7"/>
        <v>0.55283834686255773</v>
      </c>
      <c r="G228" s="93">
        <v>0</v>
      </c>
      <c r="H228" s="339" t="s">
        <v>1077</v>
      </c>
      <c r="I228" s="98"/>
      <c r="J228" s="27"/>
      <c r="K228" s="27"/>
      <c r="L228" s="27"/>
      <c r="M228" s="27"/>
      <c r="N228" s="27"/>
      <c r="O228" s="27"/>
      <c r="P228" s="27"/>
      <c r="Q228" s="27"/>
    </row>
    <row r="229" spans="1:17" ht="25.5">
      <c r="A229" t="str">
        <f t="shared" si="6"/>
        <v>Multi Family Weatherization - Insulate Attic - R-19 to R-49 - Heating Zone 3 (Heat Pump Heating System)Multi Family Weatherization - Insulate Attic - R-19 to R-49 - Heating Zone 3 (Heat Pump Heating System)</v>
      </c>
      <c r="B229" s="55" t="str">
        <f>Costs!$A14&amp;" - Heating Zone 3 (Heat Pump Heating System)"</f>
        <v>Multi Family Weatherization - Insulate Attic - R-19 to R-49 - Heating Zone 3 (Heat Pump Heating System)</v>
      </c>
      <c r="C229" s="55" t="str">
        <f>Costs!$A14&amp;" - Heating Zone 3 (Heat Pump Heating System)"</f>
        <v>Multi Family Weatherization - Insulate Attic - R-19 to R-49 - Heating Zone 3 (Heat Pump Heating System)</v>
      </c>
      <c r="D229" s="336">
        <f>VLOOKUP(C229,SEEMsavings!$A$5:$L$556,11,FALSE)+VLOOKUP(C229,SEEMsavings!$A$5:$L$556,12,FALSE)</f>
        <v>0.14013673392232634</v>
      </c>
      <c r="E229" s="337">
        <v>45</v>
      </c>
      <c r="F229" s="338">
        <f t="shared" si="7"/>
        <v>0.65683404823881342</v>
      </c>
      <c r="G229" s="93">
        <v>0</v>
      </c>
      <c r="H229" s="339" t="s">
        <v>1077</v>
      </c>
      <c r="I229" s="98"/>
      <c r="J229" s="27"/>
      <c r="K229" s="27"/>
      <c r="L229" s="27"/>
      <c r="M229" s="27"/>
      <c r="N229" s="27"/>
      <c r="O229" s="27"/>
      <c r="P229" s="27"/>
      <c r="Q229" s="27"/>
    </row>
    <row r="230" spans="1:17">
      <c r="A230" t="str">
        <f t="shared" si="6"/>
        <v>Windows - Single Pane to Class 22 - Heating Zone 3 (Heat Pump Heating System)Windows - Single Pane to Class 22 - Heating Zone 3 (Heat Pump Heating System)</v>
      </c>
      <c r="B230" s="55" t="str">
        <f>Costs!$A15&amp;" - Heating Zone 3 (Heat Pump Heating System)"</f>
        <v>Windows - Single Pane to Class 22 - Heating Zone 3 (Heat Pump Heating System)</v>
      </c>
      <c r="C230" s="55" t="str">
        <f>Costs!$A15&amp;" - Heating Zone 3 (Heat Pump Heating System)"</f>
        <v>Windows - Single Pane to Class 22 - Heating Zone 3 (Heat Pump Heating System)</v>
      </c>
      <c r="D230" s="336">
        <f>VLOOKUP(C230,SEEMsavings!$A$5:$L$556,11,FALSE)+VLOOKUP(C230,SEEMsavings!$A$5:$L$556,12,FALSE)</f>
        <v>26.668887143623454</v>
      </c>
      <c r="E230" s="337">
        <v>45</v>
      </c>
      <c r="F230" s="338">
        <f t="shared" si="7"/>
        <v>23.269535952606116</v>
      </c>
      <c r="G230" s="93">
        <v>0</v>
      </c>
      <c r="H230" s="339" t="s">
        <v>1077</v>
      </c>
      <c r="I230" s="98"/>
      <c r="J230" s="27"/>
      <c r="K230" s="27"/>
      <c r="L230" s="27"/>
      <c r="M230" s="27"/>
      <c r="N230" s="27"/>
      <c r="O230" s="27"/>
      <c r="P230" s="27"/>
      <c r="Q230" s="27"/>
    </row>
    <row r="231" spans="1:17">
      <c r="A231" t="str">
        <f t="shared" si="6"/>
        <v>Windows - Double Pane to Class 22 - Heating Zone 3 (Heat Pump Heating System)Windows - Double Pane to Class 22 - Heating Zone 3 (Heat Pump Heating System)</v>
      </c>
      <c r="B231" s="55" t="str">
        <f>Costs!$A16&amp;" - Heating Zone 3 (Heat Pump Heating System)"</f>
        <v>Windows - Double Pane to Class 22 - Heating Zone 3 (Heat Pump Heating System)</v>
      </c>
      <c r="C231" s="55" t="str">
        <f>Costs!$A16&amp;" - Heating Zone 3 (Heat Pump Heating System)"</f>
        <v>Windows - Double Pane to Class 22 - Heating Zone 3 (Heat Pump Heating System)</v>
      </c>
      <c r="D231" s="336">
        <f>VLOOKUP(C231,SEEMsavings!$A$5:$L$556,11,FALSE)+VLOOKUP(C231,SEEMsavings!$A$5:$L$556,12,FALSE)</f>
        <v>16.895816986013187</v>
      </c>
      <c r="E231" s="337">
        <v>45</v>
      </c>
      <c r="F231" s="338">
        <f t="shared" si="7"/>
        <v>23.269535952606116</v>
      </c>
      <c r="G231" s="93">
        <v>0</v>
      </c>
      <c r="H231" s="339" t="s">
        <v>1077</v>
      </c>
      <c r="I231" s="98"/>
      <c r="J231" s="27"/>
      <c r="K231" s="27"/>
      <c r="L231" s="27"/>
      <c r="M231" s="27"/>
      <c r="N231" s="27"/>
      <c r="O231" s="27"/>
      <c r="P231" s="27"/>
      <c r="Q231" s="27"/>
    </row>
    <row r="232" spans="1:17">
      <c r="A232" t="str">
        <f t="shared" si="6"/>
        <v>Windows - Single Pane to Class 30 - Heating Zone 3 (Heat Pump Heating System)Windows - Single Pane to Class 30 - Heating Zone 3 (Heat Pump Heating System)</v>
      </c>
      <c r="B232" s="55" t="str">
        <f>Costs!$A17&amp;" - Heating Zone 3 (Heat Pump Heating System)"</f>
        <v>Windows - Single Pane to Class 30 - Heating Zone 3 (Heat Pump Heating System)</v>
      </c>
      <c r="C232" s="55" t="str">
        <f>Costs!$A17&amp;" - Heating Zone 3 (Heat Pump Heating System)"</f>
        <v>Windows - Single Pane to Class 30 - Heating Zone 3 (Heat Pump Heating System)</v>
      </c>
      <c r="D232" s="336">
        <f>VLOOKUP(C232,SEEMsavings!$A$5:$L$556,11,FALSE)+VLOOKUP(C232,SEEMsavings!$A$5:$L$556,12,FALSE)</f>
        <v>24.803870674490149</v>
      </c>
      <c r="E232" s="337">
        <v>45</v>
      </c>
      <c r="F232" s="338">
        <f t="shared" si="7"/>
        <v>17.810142881355933</v>
      </c>
      <c r="G232" s="93">
        <v>0</v>
      </c>
      <c r="H232" s="339" t="s">
        <v>1077</v>
      </c>
      <c r="I232" s="98"/>
      <c r="J232" s="27"/>
      <c r="K232" s="27"/>
      <c r="L232" s="27"/>
      <c r="M232" s="27"/>
      <c r="N232" s="27"/>
      <c r="O232" s="27"/>
      <c r="P232" s="27"/>
      <c r="Q232" s="27"/>
    </row>
    <row r="233" spans="1:17">
      <c r="A233" t="str">
        <f t="shared" si="6"/>
        <v>Windows - Double Pane to Class 30 - Heating Zone 3 (Heat Pump Heating System)Windows - Double Pane to Class 30 - Heating Zone 3 (Heat Pump Heating System)</v>
      </c>
      <c r="B233" s="55" t="str">
        <f>Costs!$A18&amp;" - Heating Zone 3 (Heat Pump Heating System)"</f>
        <v>Windows - Double Pane to Class 30 - Heating Zone 3 (Heat Pump Heating System)</v>
      </c>
      <c r="C233" s="55" t="str">
        <f>Costs!$A18&amp;" - Heating Zone 3 (Heat Pump Heating System)"</f>
        <v>Windows - Double Pane to Class 30 - Heating Zone 3 (Heat Pump Heating System)</v>
      </c>
      <c r="D233" s="336">
        <f>VLOOKUP(C233,SEEMsavings!$A$5:$L$556,11,FALSE)+VLOOKUP(C233,SEEMsavings!$A$5:$L$556,12,FALSE)</f>
        <v>15.030800516879884</v>
      </c>
      <c r="E233" s="337">
        <v>45</v>
      </c>
      <c r="F233" s="338">
        <f t="shared" si="7"/>
        <v>17.810142881355933</v>
      </c>
      <c r="G233" s="93">
        <v>0</v>
      </c>
      <c r="H233" s="339" t="s">
        <v>1077</v>
      </c>
      <c r="I233" s="98"/>
      <c r="J233" s="27"/>
      <c r="K233" s="27"/>
      <c r="L233" s="27"/>
      <c r="M233" s="27"/>
      <c r="N233" s="27"/>
      <c r="O233" s="27"/>
      <c r="P233" s="27"/>
      <c r="Q233" s="27"/>
    </row>
    <row r="234" spans="1:17">
      <c r="A234" t="str">
        <f t="shared" si="6"/>
        <v>Windows - Class 35 to Class 30 - Heating Zone 3 (Heat Pump Heating System)Windows - Class 35 to Class 30 - Heating Zone 3 (Heat Pump Heating System)</v>
      </c>
      <c r="B234" s="55" t="str">
        <f>Costs!$A19&amp;" - Heating Zone 3 (Heat Pump Heating System)"</f>
        <v>Windows - Class 35 to Class 30 - Heating Zone 3 (Heat Pump Heating System)</v>
      </c>
      <c r="C234" s="55" t="str">
        <f>Costs!$A19&amp;" - Heating Zone 3 (Heat Pump Heating System)"</f>
        <v>Windows - Class 35 to Class 30 - Heating Zone 3 (Heat Pump Heating System)</v>
      </c>
      <c r="D234" s="336">
        <f>VLOOKUP(C234,SEEMsavings!$A$5:$L$556,11,FALSE)+VLOOKUP(C234,SEEMsavings!$A$5:$L$556,12,FALSE)</f>
        <v>1.2225683871052162</v>
      </c>
      <c r="E234" s="337">
        <v>45</v>
      </c>
      <c r="F234" s="338">
        <f t="shared" si="7"/>
        <v>1.8290398716390079</v>
      </c>
      <c r="G234" s="93">
        <v>0</v>
      </c>
      <c r="H234" s="339" t="s">
        <v>1077</v>
      </c>
      <c r="I234" s="98"/>
      <c r="J234" s="27"/>
      <c r="K234" s="27"/>
      <c r="L234" s="27"/>
      <c r="M234" s="27"/>
      <c r="N234" s="27"/>
      <c r="O234" s="27"/>
      <c r="P234" s="27"/>
      <c r="Q234" s="27"/>
    </row>
    <row r="235" spans="1:17">
      <c r="A235" t="str">
        <f t="shared" si="6"/>
        <v>Windows - Class 35 to Class 22 - Heating Zone 3 (Heat Pump Heating System)Windows - Class 35 to Class 22 - Heating Zone 3 (Heat Pump Heating System)</v>
      </c>
      <c r="B235" s="55" t="str">
        <f>Costs!$A20&amp;" - Heating Zone 3 (Heat Pump Heating System)"</f>
        <v>Windows - Class 35 to Class 22 - Heating Zone 3 (Heat Pump Heating System)</v>
      </c>
      <c r="C235" s="55" t="str">
        <f>Costs!$A20&amp;" - Heating Zone 3 (Heat Pump Heating System)"</f>
        <v>Windows - Class 35 to Class 22 - Heating Zone 3 (Heat Pump Heating System)</v>
      </c>
      <c r="D235" s="336">
        <f>VLOOKUP(C235,SEEMsavings!$A$5:$L$556,11,FALSE)+VLOOKUP(C235,SEEMsavings!$A$5:$L$556,12,FALSE)</f>
        <v>3.0875848562385162</v>
      </c>
      <c r="E235" s="337">
        <v>45</v>
      </c>
      <c r="F235" s="338">
        <f t="shared" si="7"/>
        <v>7.288432942889191</v>
      </c>
      <c r="G235" s="93">
        <v>0</v>
      </c>
      <c r="H235" s="339" t="s">
        <v>1077</v>
      </c>
      <c r="I235" s="98"/>
      <c r="J235" s="27"/>
      <c r="K235" s="27"/>
      <c r="L235" s="27"/>
      <c r="M235" s="27"/>
      <c r="N235" s="27"/>
      <c r="O235" s="27"/>
      <c r="P235" s="27"/>
      <c r="Q235" s="27"/>
    </row>
  </sheetData>
  <autoFilter ref="A7:DB463"/>
  <mergeCells count="2">
    <mergeCell ref="J6:O6"/>
    <mergeCell ref="P6:Q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vt:i4>
      </vt:variant>
    </vt:vector>
  </HeadingPairs>
  <TitlesOfParts>
    <vt:vector size="28" baseType="lpstr">
      <vt:lpstr>7PSourceSummary</vt:lpstr>
      <vt:lpstr>forRPM</vt:lpstr>
      <vt:lpstr>SC-Retro</vt:lpstr>
      <vt:lpstr>M_Input_Out</vt:lpstr>
      <vt:lpstr>M_Input</vt:lpstr>
      <vt:lpstr>Segmented</vt:lpstr>
      <vt:lpstr>Weighting</vt:lpstr>
      <vt:lpstr>Composite</vt:lpstr>
      <vt:lpstr>Raw RTF</vt:lpstr>
      <vt:lpstr>Attic</vt:lpstr>
      <vt:lpstr>Window</vt:lpstr>
      <vt:lpstr>FlCrawl</vt:lpstr>
      <vt:lpstr>MFMaster</vt:lpstr>
      <vt:lpstr>Achievements</vt:lpstr>
      <vt:lpstr>SEEMsavings</vt:lpstr>
      <vt:lpstr>Results</vt:lpstr>
      <vt:lpstr>MeasureInputsANDResults</vt:lpstr>
      <vt:lpstr>inputWeightings</vt:lpstr>
      <vt:lpstr>Costs</vt:lpstr>
      <vt:lpstr>SIW Costs</vt:lpstr>
      <vt:lpstr>ETO MF Insulation Cost</vt:lpstr>
      <vt:lpstr>Areas</vt:lpstr>
      <vt:lpstr>AtticCost</vt:lpstr>
      <vt:lpstr>Deflator</vt:lpstr>
      <vt:lpstr>FloorCost</vt:lpstr>
      <vt:lpstr>Heating</vt:lpstr>
      <vt:lpstr>MeasureOutput</vt:lpstr>
      <vt:lpstr>WallCost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2014-08-14T17:54:07Z</dcterms:created>
  <dcterms:modified xsi:type="dcterms:W3CDTF">2015-03-26T15:54:15Z</dcterms:modified>
</cp:coreProperties>
</file>