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950" yWindow="375" windowWidth="20730" windowHeight="11760" activeTab="3"/>
  </bookViews>
  <sheets>
    <sheet name="7PSourceSummary" sheetId="11" r:id="rId1"/>
    <sheet name="forRPM" sheetId="16" r:id="rId2"/>
    <sheet name="SC-New" sheetId="6" r:id="rId3"/>
    <sheet name="SC-NR" sheetId="7" r:id="rId4"/>
    <sheet name="# of Units" sheetId="12" r:id="rId5"/>
    <sheet name="M_Input_Out" sheetId="15" r:id="rId6"/>
    <sheet name="M_Input" sheetId="3" r:id="rId7"/>
    <sheet name="CostSavings Info" sheetId="1" r:id="rId8"/>
  </sheets>
  <externalReferences>
    <externalReference r:id="rId9"/>
    <externalReference r:id="rId10"/>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localSheetId="0" hidden="1">#REF!</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6"/>
  <c r="D8"/>
  <c r="D9" i="7"/>
  <c r="D8"/>
  <c r="C8"/>
  <c r="C8" i="6"/>
  <c r="A9" i="7" l="1"/>
  <c r="E7" i="16" s="1"/>
  <c r="A9" i="6"/>
  <c r="E4" i="16" s="1"/>
  <c r="J10"/>
  <c r="BA10" s="1"/>
  <c r="I10"/>
  <c r="J9"/>
  <c r="BB9" s="1"/>
  <c r="I9"/>
  <c r="J8"/>
  <c r="I8"/>
  <c r="J7"/>
  <c r="AZ7" s="1"/>
  <c r="I7"/>
  <c r="AW10"/>
  <c r="C10"/>
  <c r="AW9"/>
  <c r="C9"/>
  <c r="F8"/>
  <c r="C8"/>
  <c r="A8" s="1"/>
  <c r="C7"/>
  <c r="B10"/>
  <c r="B9"/>
  <c r="B8"/>
  <c r="B7"/>
  <c r="J6"/>
  <c r="AZ6" s="1"/>
  <c r="I6"/>
  <c r="C6"/>
  <c r="A6" s="1"/>
  <c r="B6"/>
  <c r="J5"/>
  <c r="AZ5" s="1"/>
  <c r="I5"/>
  <c r="C5"/>
  <c r="A5" s="1"/>
  <c r="B5"/>
  <c r="J4"/>
  <c r="F4" s="1"/>
  <c r="I4"/>
  <c r="C4"/>
  <c r="A4" s="1"/>
  <c r="B4"/>
  <c r="J3"/>
  <c r="AQ3" s="1"/>
  <c r="I3"/>
  <c r="C3"/>
  <c r="A3" s="1"/>
  <c r="B3"/>
  <c r="BB10"/>
  <c r="BD9"/>
  <c r="AX9"/>
  <c r="AS9"/>
  <c r="AQ9"/>
  <c r="AG9"/>
  <c r="AF9"/>
  <c r="AV7"/>
  <c r="F7"/>
  <c r="BD6"/>
  <c r="AW6"/>
  <c r="AV6"/>
  <c r="AS6"/>
  <c r="AM6"/>
  <c r="AJ6"/>
  <c r="AF6"/>
  <c r="F6"/>
  <c r="BD5"/>
  <c r="BB5"/>
  <c r="AX5"/>
  <c r="AW5"/>
  <c r="AS5"/>
  <c r="AQ5"/>
  <c r="AM5"/>
  <c r="AK5"/>
  <c r="AG5"/>
  <c r="AF5"/>
  <c r="BD3"/>
  <c r="AZ3"/>
  <c r="AM3"/>
  <c r="AI3"/>
  <c r="AD2"/>
  <c r="AC2"/>
  <c r="AB2"/>
  <c r="AA2"/>
  <c r="Z2"/>
  <c r="Y2"/>
  <c r="X2"/>
  <c r="W2"/>
  <c r="V2"/>
  <c r="U2"/>
  <c r="T2"/>
  <c r="S2"/>
  <c r="R2"/>
  <c r="Q2"/>
  <c r="P2"/>
  <c r="O2"/>
  <c r="N2"/>
  <c r="M2"/>
  <c r="L2"/>
  <c r="K2"/>
  <c r="X167" i="7"/>
  <c r="W167"/>
  <c r="V167"/>
  <c r="U167"/>
  <c r="T167"/>
  <c r="S167"/>
  <c r="R167"/>
  <c r="Q167"/>
  <c r="P167"/>
  <c r="O167"/>
  <c r="N167"/>
  <c r="M167"/>
  <c r="L167"/>
  <c r="K167"/>
  <c r="J167"/>
  <c r="I167"/>
  <c r="H167"/>
  <c r="G167"/>
  <c r="F167"/>
  <c r="E167"/>
  <c r="X80"/>
  <c r="W80"/>
  <c r="V80"/>
  <c r="U80"/>
  <c r="T80"/>
  <c r="S80"/>
  <c r="R80"/>
  <c r="Q80"/>
  <c r="P80"/>
  <c r="O80"/>
  <c r="N80"/>
  <c r="M80"/>
  <c r="L80"/>
  <c r="K80"/>
  <c r="J80"/>
  <c r="I80"/>
  <c r="H80"/>
  <c r="G80"/>
  <c r="F80"/>
  <c r="E80"/>
  <c r="X91"/>
  <c r="W91"/>
  <c r="V91"/>
  <c r="U91"/>
  <c r="T91"/>
  <c r="S91"/>
  <c r="R91"/>
  <c r="Q91"/>
  <c r="P91"/>
  <c r="O91"/>
  <c r="N91"/>
  <c r="M91"/>
  <c r="L91"/>
  <c r="K91"/>
  <c r="J91"/>
  <c r="I91"/>
  <c r="H91"/>
  <c r="G91"/>
  <c r="F91"/>
  <c r="E91"/>
  <c r="X128"/>
  <c r="W128"/>
  <c r="V128"/>
  <c r="U128"/>
  <c r="T128"/>
  <c r="S128"/>
  <c r="R128"/>
  <c r="Q128"/>
  <c r="P128"/>
  <c r="O128"/>
  <c r="N128"/>
  <c r="M128"/>
  <c r="L128"/>
  <c r="K128"/>
  <c r="J128"/>
  <c r="I128"/>
  <c r="H128"/>
  <c r="G128"/>
  <c r="F128"/>
  <c r="E128"/>
  <c r="X92" i="6"/>
  <c r="W92"/>
  <c r="V92"/>
  <c r="U92"/>
  <c r="T92"/>
  <c r="S92"/>
  <c r="R92"/>
  <c r="Q92"/>
  <c r="P92"/>
  <c r="O92"/>
  <c r="N92"/>
  <c r="M92"/>
  <c r="L92"/>
  <c r="K92"/>
  <c r="J92"/>
  <c r="I92"/>
  <c r="H92"/>
  <c r="G92"/>
  <c r="F92"/>
  <c r="E92"/>
  <c r="X55"/>
  <c r="W55"/>
  <c r="V55"/>
  <c r="U55"/>
  <c r="T55"/>
  <c r="S55"/>
  <c r="R55"/>
  <c r="Q55"/>
  <c r="P55"/>
  <c r="O55"/>
  <c r="N55"/>
  <c r="M55"/>
  <c r="L55"/>
  <c r="K55"/>
  <c r="J55"/>
  <c r="I55"/>
  <c r="H55"/>
  <c r="G55"/>
  <c r="F55"/>
  <c r="E55"/>
  <c r="X43"/>
  <c r="W43"/>
  <c r="V43"/>
  <c r="U43"/>
  <c r="T43"/>
  <c r="S43"/>
  <c r="R43"/>
  <c r="Q43"/>
  <c r="P43"/>
  <c r="O43"/>
  <c r="N43"/>
  <c r="M43"/>
  <c r="L43"/>
  <c r="K43"/>
  <c r="J43"/>
  <c r="I43"/>
  <c r="H43"/>
  <c r="G43"/>
  <c r="F43"/>
  <c r="E43"/>
  <c r="G28" i="1"/>
  <c r="E21"/>
  <c r="A9" i="16" l="1"/>
  <c r="E3"/>
  <c r="E6"/>
  <c r="A7"/>
  <c r="AV10"/>
  <c r="BA3"/>
  <c r="AV3"/>
  <c r="AS10"/>
  <c r="F3"/>
  <c r="BB6"/>
  <c r="AN6"/>
  <c r="BA6"/>
  <c r="AF10"/>
  <c r="AZ10"/>
  <c r="E10"/>
  <c r="E5"/>
  <c r="E9"/>
  <c r="E8"/>
  <c r="AQ7"/>
  <c r="AI7"/>
  <c r="AN10"/>
  <c r="BD10"/>
  <c r="BD7"/>
  <c r="BA7"/>
  <c r="AM9"/>
  <c r="AJ10"/>
  <c r="AZ9"/>
  <c r="AM7"/>
  <c r="AK9"/>
  <c r="F10"/>
  <c r="AM10"/>
  <c r="A10"/>
  <c r="BD4"/>
  <c r="BD8"/>
  <c r="BC5"/>
  <c r="AJ5"/>
  <c r="AO5"/>
  <c r="AV5"/>
  <c r="BA5"/>
  <c r="BC9"/>
  <c r="AJ9"/>
  <c r="AO9"/>
  <c r="AV9"/>
  <c r="BA9"/>
  <c r="F5"/>
  <c r="AI5"/>
  <c r="AN5"/>
  <c r="AT5"/>
  <c r="AI6"/>
  <c r="AQ6"/>
  <c r="F9"/>
  <c r="AI9"/>
  <c r="AN9"/>
  <c r="AT9"/>
  <c r="AI10"/>
  <c r="AQ10"/>
  <c r="AH4"/>
  <c r="AL4"/>
  <c r="AP4"/>
  <c r="AU4"/>
  <c r="AY4"/>
  <c r="BC4"/>
  <c r="AH8"/>
  <c r="AL8"/>
  <c r="AP8"/>
  <c r="AU8"/>
  <c r="AY8"/>
  <c r="BC8"/>
  <c r="AH3"/>
  <c r="AL3"/>
  <c r="AP3"/>
  <c r="AU3"/>
  <c r="AY3"/>
  <c r="BC3"/>
  <c r="AG4"/>
  <c r="AK4"/>
  <c r="AO4"/>
  <c r="AT4"/>
  <c r="AX4"/>
  <c r="BB4"/>
  <c r="AH7"/>
  <c r="AL7"/>
  <c r="AP7"/>
  <c r="AU7"/>
  <c r="AY7"/>
  <c r="BC7"/>
  <c r="AG8"/>
  <c r="AK8"/>
  <c r="AO8"/>
  <c r="AT8"/>
  <c r="AX8"/>
  <c r="BB8"/>
  <c r="AG3"/>
  <c r="AK3"/>
  <c r="AO3"/>
  <c r="AT3"/>
  <c r="AX3"/>
  <c r="BB3"/>
  <c r="AF4"/>
  <c r="AJ4"/>
  <c r="AN4"/>
  <c r="AS4"/>
  <c r="AW4"/>
  <c r="BA4"/>
  <c r="AH6"/>
  <c r="AL6"/>
  <c r="AP6"/>
  <c r="AU6"/>
  <c r="AY6"/>
  <c r="BC6"/>
  <c r="AG7"/>
  <c r="AK7"/>
  <c r="AO7"/>
  <c r="AT7"/>
  <c r="AX7"/>
  <c r="BB7"/>
  <c r="AF8"/>
  <c r="AJ8"/>
  <c r="AN8"/>
  <c r="AS8"/>
  <c r="AW8"/>
  <c r="BA8"/>
  <c r="AH10"/>
  <c r="AL10"/>
  <c r="AP10"/>
  <c r="AU10"/>
  <c r="AY10"/>
  <c r="BC10"/>
  <c r="AF3"/>
  <c r="AJ3"/>
  <c r="AN3"/>
  <c r="AS3"/>
  <c r="AW3"/>
  <c r="AI4"/>
  <c r="AM4"/>
  <c r="AQ4"/>
  <c r="AV4"/>
  <c r="AZ4"/>
  <c r="AH5"/>
  <c r="AL5"/>
  <c r="AP5"/>
  <c r="AU5"/>
  <c r="AY5"/>
  <c r="AG6"/>
  <c r="AK6"/>
  <c r="AO6"/>
  <c r="AT6"/>
  <c r="AX6"/>
  <c r="AF7"/>
  <c r="AJ7"/>
  <c r="AN7"/>
  <c r="AS7"/>
  <c r="AW7"/>
  <c r="AI8"/>
  <c r="AM8"/>
  <c r="AQ8"/>
  <c r="AV8"/>
  <c r="AZ8"/>
  <c r="AH9"/>
  <c r="AL9"/>
  <c r="AP9"/>
  <c r="AU9"/>
  <c r="AY9"/>
  <c r="AG10"/>
  <c r="AK10"/>
  <c r="AO10"/>
  <c r="AT10"/>
  <c r="AX10"/>
  <c r="C10" i="12"/>
  <c r="D10"/>
  <c r="E10"/>
  <c r="F10"/>
  <c r="G10"/>
  <c r="H10"/>
  <c r="I10"/>
  <c r="J10"/>
  <c r="K10"/>
  <c r="L10"/>
  <c r="M10"/>
  <c r="N10"/>
  <c r="O10"/>
  <c r="P10"/>
  <c r="Q10"/>
  <c r="R10"/>
  <c r="S10"/>
  <c r="T10"/>
  <c r="U10"/>
  <c r="B10"/>
  <c r="X12" i="7" l="1"/>
  <c r="W12"/>
  <c r="V12"/>
  <c r="U12"/>
  <c r="T12"/>
  <c r="S12"/>
  <c r="R12"/>
  <c r="Q12"/>
  <c r="P12"/>
  <c r="O12"/>
  <c r="N12"/>
  <c r="M12"/>
  <c r="L12"/>
  <c r="K12"/>
  <c r="J12"/>
  <c r="I12"/>
  <c r="H12"/>
  <c r="G12"/>
  <c r="F12"/>
  <c r="E12"/>
  <c r="X12" i="6"/>
  <c r="W12"/>
  <c r="V12"/>
  <c r="U12"/>
  <c r="T12"/>
  <c r="S12"/>
  <c r="R12"/>
  <c r="Q12"/>
  <c r="P12"/>
  <c r="O12"/>
  <c r="N12"/>
  <c r="M12"/>
  <c r="L12"/>
  <c r="K12"/>
  <c r="J12"/>
  <c r="I12"/>
  <c r="H12"/>
  <c r="G12"/>
  <c r="F12"/>
  <c r="E12"/>
  <c r="C9" i="7"/>
  <c r="C9" i="6"/>
  <c r="B45" l="1"/>
  <c r="H4" i="16" s="1"/>
  <c r="B46" i="6"/>
  <c r="H5" i="16" s="1"/>
  <c r="B47" i="6"/>
  <c r="H6" i="16" s="1"/>
  <c r="A45" i="6"/>
  <c r="G4" i="16" s="1"/>
  <c r="A46" i="6"/>
  <c r="G5" i="16" s="1"/>
  <c r="A47" i="6"/>
  <c r="G6" i="16" s="1"/>
  <c r="B82" i="7"/>
  <c r="H8" i="16" s="1"/>
  <c r="B83" i="7"/>
  <c r="H9" i="16" s="1"/>
  <c r="B84" i="7"/>
  <c r="H10" i="16" s="1"/>
  <c r="B81" i="7"/>
  <c r="H7" i="16" s="1"/>
  <c r="A82" i="7"/>
  <c r="G8" i="16" s="1"/>
  <c r="A83" i="7"/>
  <c r="G9" i="16" s="1"/>
  <c r="A84" i="7"/>
  <c r="G10" i="16" s="1"/>
  <c r="A81" i="7"/>
  <c r="G7" i="16" s="1"/>
  <c r="C82" i="7"/>
  <c r="C83"/>
  <c r="C84"/>
  <c r="B44" i="6"/>
  <c r="H3" i="16" s="1"/>
  <c r="A44" i="6"/>
  <c r="G3" i="16" s="1"/>
  <c r="E8" i="3"/>
  <c r="C8"/>
  <c r="G29" i="1"/>
  <c r="G14"/>
  <c r="G24"/>
  <c r="C47" i="6"/>
  <c r="D8" i="3"/>
  <c r="E23" i="1"/>
  <c r="E22"/>
  <c r="E20"/>
  <c r="E19"/>
  <c r="E13"/>
  <c r="E12"/>
  <c r="G13" s="1"/>
  <c r="E11"/>
  <c r="E10"/>
  <c r="E9"/>
  <c r="D50" i="7"/>
  <c r="C52" l="1"/>
  <c r="C53"/>
  <c r="C54"/>
  <c r="C51"/>
  <c r="Y94"/>
  <c r="X92"/>
  <c r="Y93"/>
  <c r="Y92"/>
  <c r="Y129" s="1"/>
  <c r="G23" i="1"/>
  <c r="Y130" i="7" l="1"/>
  <c r="Y131"/>
  <c r="D167"/>
  <c r="A166" s="1"/>
  <c r="D128"/>
  <c r="X127"/>
  <c r="X166" s="1"/>
  <c r="W127"/>
  <c r="W166" s="1"/>
  <c r="V127"/>
  <c r="V166" s="1"/>
  <c r="U127"/>
  <c r="U166" s="1"/>
  <c r="T127"/>
  <c r="T166" s="1"/>
  <c r="S127"/>
  <c r="S166" s="1"/>
  <c r="R127"/>
  <c r="R166" s="1"/>
  <c r="Q127"/>
  <c r="Q166" s="1"/>
  <c r="P127"/>
  <c r="P166" s="1"/>
  <c r="O127"/>
  <c r="O166" s="1"/>
  <c r="N127"/>
  <c r="N166" s="1"/>
  <c r="M127"/>
  <c r="M166" s="1"/>
  <c r="L127"/>
  <c r="L166" s="1"/>
  <c r="K127"/>
  <c r="K166" s="1"/>
  <c r="J127"/>
  <c r="J166" s="1"/>
  <c r="I127"/>
  <c r="I166" s="1"/>
  <c r="H127"/>
  <c r="H166" s="1"/>
  <c r="G127"/>
  <c r="G166" s="1"/>
  <c r="F127"/>
  <c r="F166" s="1"/>
  <c r="E127"/>
  <c r="E166" s="1"/>
  <c r="D127"/>
  <c r="X90"/>
  <c r="W90"/>
  <c r="V90"/>
  <c r="U90"/>
  <c r="T90"/>
  <c r="S90"/>
  <c r="R90"/>
  <c r="Q90"/>
  <c r="P90"/>
  <c r="O90"/>
  <c r="N90"/>
  <c r="M90"/>
  <c r="L90"/>
  <c r="K90"/>
  <c r="J90"/>
  <c r="I90"/>
  <c r="H90"/>
  <c r="G90"/>
  <c r="F90"/>
  <c r="E90"/>
  <c r="C81"/>
  <c r="X79"/>
  <c r="W79"/>
  <c r="V79"/>
  <c r="U79"/>
  <c r="T79"/>
  <c r="S79"/>
  <c r="R79"/>
  <c r="Q79"/>
  <c r="P79"/>
  <c r="O79"/>
  <c r="N79"/>
  <c r="M79"/>
  <c r="L79"/>
  <c r="K79"/>
  <c r="J79"/>
  <c r="I79"/>
  <c r="H79"/>
  <c r="G79"/>
  <c r="F79"/>
  <c r="E79"/>
  <c r="D72"/>
  <c r="D71"/>
  <c r="D70"/>
  <c r="D69"/>
  <c r="D46"/>
  <c r="D45"/>
  <c r="D44"/>
  <c r="D43"/>
  <c r="D42"/>
  <c r="C36"/>
  <c r="C35"/>
  <c r="C34"/>
  <c r="C33"/>
  <c r="C26"/>
  <c r="D63" s="1"/>
  <c r="C25"/>
  <c r="D62" s="1"/>
  <c r="C24"/>
  <c r="D61" s="1"/>
  <c r="C23"/>
  <c r="D60" s="1"/>
  <c r="C139" i="6"/>
  <c r="C138"/>
  <c r="C137"/>
  <c r="C136"/>
  <c r="C92"/>
  <c r="X91"/>
  <c r="W91"/>
  <c r="V91"/>
  <c r="U91"/>
  <c r="T91"/>
  <c r="S91"/>
  <c r="R91"/>
  <c r="Q91"/>
  <c r="P91"/>
  <c r="O91"/>
  <c r="N91"/>
  <c r="M91"/>
  <c r="L91"/>
  <c r="K91"/>
  <c r="J91"/>
  <c r="I91"/>
  <c r="H91"/>
  <c r="G91"/>
  <c r="F91"/>
  <c r="E91"/>
  <c r="X54"/>
  <c r="W54"/>
  <c r="V54"/>
  <c r="U54"/>
  <c r="T54"/>
  <c r="S54"/>
  <c r="R54"/>
  <c r="Q54"/>
  <c r="P54"/>
  <c r="O54"/>
  <c r="N54"/>
  <c r="M54"/>
  <c r="L54"/>
  <c r="K54"/>
  <c r="J54"/>
  <c r="I54"/>
  <c r="H54"/>
  <c r="G54"/>
  <c r="F54"/>
  <c r="E54"/>
  <c r="X42"/>
  <c r="W42"/>
  <c r="V42"/>
  <c r="U42"/>
  <c r="T42"/>
  <c r="S42"/>
  <c r="R42"/>
  <c r="Q42"/>
  <c r="P42"/>
  <c r="O42"/>
  <c r="N42"/>
  <c r="M42"/>
  <c r="L42"/>
  <c r="K42"/>
  <c r="J42"/>
  <c r="I42"/>
  <c r="H42"/>
  <c r="G42"/>
  <c r="F42"/>
  <c r="E42"/>
  <c r="C41"/>
  <c r="C36"/>
  <c r="C32"/>
  <c r="C25"/>
  <c r="C24"/>
  <c r="C23"/>
  <c r="C22"/>
  <c r="A11"/>
  <c r="W59" i="7" l="1"/>
  <c r="S59"/>
  <c r="O59"/>
  <c r="K59"/>
  <c r="G59"/>
  <c r="V59"/>
  <c r="R59"/>
  <c r="N59"/>
  <c r="J59"/>
  <c r="F59"/>
  <c r="X59"/>
  <c r="T59"/>
  <c r="P59"/>
  <c r="L59"/>
  <c r="H59"/>
  <c r="U59"/>
  <c r="Q59"/>
  <c r="M59"/>
  <c r="I59"/>
  <c r="E59"/>
  <c r="W32" i="6"/>
  <c r="S32"/>
  <c r="O32"/>
  <c r="K32"/>
  <c r="G32"/>
  <c r="X32"/>
  <c r="T32"/>
  <c r="P32"/>
  <c r="L32"/>
  <c r="H32"/>
  <c r="V32"/>
  <c r="R32"/>
  <c r="N32"/>
  <c r="J32"/>
  <c r="F32"/>
  <c r="U32"/>
  <c r="Q32"/>
  <c r="M32"/>
  <c r="I32"/>
  <c r="E32"/>
  <c r="A23"/>
  <c r="A25"/>
  <c r="A24"/>
  <c r="A26"/>
  <c r="A43" i="7"/>
  <c r="A44"/>
  <c r="A45"/>
  <c r="A46"/>
  <c r="D53"/>
  <c r="C44"/>
  <c r="C46"/>
  <c r="C43"/>
  <c r="C45"/>
  <c r="D52"/>
  <c r="C34" i="6"/>
  <c r="C45"/>
  <c r="C33"/>
  <c r="C44"/>
  <c r="C46"/>
  <c r="D51" i="7"/>
  <c r="D54"/>
  <c r="D68"/>
  <c r="D59"/>
  <c r="A21" i="6"/>
  <c r="A31"/>
  <c r="M26" i="7" l="1"/>
  <c r="I26"/>
  <c r="E26"/>
  <c r="M25"/>
  <c r="I25"/>
  <c r="E25"/>
  <c r="M24"/>
  <c r="I24"/>
  <c r="E24"/>
  <c r="M23"/>
  <c r="I23"/>
  <c r="E23"/>
  <c r="J26"/>
  <c r="F26"/>
  <c r="J25"/>
  <c r="F25"/>
  <c r="J24"/>
  <c r="F24"/>
  <c r="J23"/>
  <c r="F23"/>
  <c r="K26"/>
  <c r="G26"/>
  <c r="K25"/>
  <c r="G25"/>
  <c r="K24"/>
  <c r="G24"/>
  <c r="K23"/>
  <c r="G23"/>
  <c r="L26"/>
  <c r="H26"/>
  <c r="L25"/>
  <c r="H25"/>
  <c r="L24"/>
  <c r="H24"/>
  <c r="L23"/>
  <c r="H23"/>
  <c r="O56" i="6"/>
  <c r="O57"/>
  <c r="O58"/>
  <c r="S56"/>
  <c r="S57"/>
  <c r="S58"/>
  <c r="T56"/>
  <c r="T57"/>
  <c r="T58"/>
  <c r="H56"/>
  <c r="H57"/>
  <c r="H58"/>
  <c r="M57"/>
  <c r="M58"/>
  <c r="M56"/>
  <c r="X56"/>
  <c r="X57"/>
  <c r="X58"/>
  <c r="K56"/>
  <c r="K57"/>
  <c r="K58"/>
  <c r="F58"/>
  <c r="F56"/>
  <c r="F57"/>
  <c r="J58"/>
  <c r="J56"/>
  <c r="J57"/>
  <c r="W56"/>
  <c r="W57"/>
  <c r="W58"/>
  <c r="G56"/>
  <c r="G57"/>
  <c r="G58"/>
  <c r="I57"/>
  <c r="I58"/>
  <c r="I56"/>
  <c r="P56"/>
  <c r="P57"/>
  <c r="P58"/>
  <c r="V58"/>
  <c r="V56"/>
  <c r="V57"/>
  <c r="R58"/>
  <c r="R56"/>
  <c r="R57"/>
  <c r="U57"/>
  <c r="U58"/>
  <c r="U56"/>
  <c r="L56"/>
  <c r="L57"/>
  <c r="L58"/>
  <c r="Q57"/>
  <c r="Q58"/>
  <c r="Q56"/>
  <c r="N58"/>
  <c r="N56"/>
  <c r="N57"/>
  <c r="A53" i="7"/>
  <c r="A51"/>
  <c r="A54"/>
  <c r="A52"/>
  <c r="G28" l="1"/>
  <c r="E28"/>
  <c r="K28"/>
  <c r="F28"/>
  <c r="J28"/>
  <c r="H28"/>
  <c r="L28"/>
  <c r="I28"/>
  <c r="M28"/>
  <c r="M93" i="6" l="1"/>
  <c r="W93"/>
  <c r="R93"/>
  <c r="J93"/>
  <c r="H93"/>
  <c r="T93"/>
  <c r="N93"/>
  <c r="F93"/>
  <c r="E56"/>
  <c r="E93" s="1"/>
  <c r="Q93"/>
  <c r="V93"/>
  <c r="O93"/>
  <c r="X93"/>
  <c r="G93"/>
  <c r="L93"/>
  <c r="I93"/>
  <c r="S93"/>
  <c r="K93"/>
  <c r="U93"/>
  <c r="P93"/>
  <c r="Y93" l="1"/>
  <c r="E92" i="7"/>
  <c r="E129" s="1"/>
  <c r="E168" l="1"/>
  <c r="G92" l="1"/>
  <c r="G129" s="1"/>
  <c r="F92"/>
  <c r="F129" s="1"/>
  <c r="F168" l="1"/>
  <c r="G168" s="1"/>
  <c r="H92"/>
  <c r="H129" s="1"/>
  <c r="H168" l="1"/>
  <c r="I92"/>
  <c r="I129" s="1"/>
  <c r="I168" l="1"/>
  <c r="J92"/>
  <c r="J129" s="1"/>
  <c r="J168" l="1"/>
  <c r="K92"/>
  <c r="K129" s="1"/>
  <c r="K168" l="1"/>
  <c r="L92"/>
  <c r="L129" s="1"/>
  <c r="L168" l="1"/>
  <c r="M92"/>
  <c r="M129" s="1"/>
  <c r="N92" l="1"/>
  <c r="N129" s="1"/>
  <c r="M168"/>
  <c r="O92" l="1"/>
  <c r="O129" s="1"/>
  <c r="N168"/>
  <c r="P92" l="1"/>
  <c r="P129" s="1"/>
  <c r="O168"/>
  <c r="Q92" l="1"/>
  <c r="Q129" s="1"/>
  <c r="P168"/>
  <c r="Q168" l="1"/>
  <c r="R92"/>
  <c r="R129" s="1"/>
  <c r="R168" l="1"/>
  <c r="S92"/>
  <c r="S129" s="1"/>
  <c r="T92" l="1"/>
  <c r="T129" s="1"/>
  <c r="S168"/>
  <c r="U92" l="1"/>
  <c r="U129" s="1"/>
  <c r="T168"/>
  <c r="V92" l="1"/>
  <c r="V129" s="1"/>
  <c r="U168"/>
  <c r="W92" l="1"/>
  <c r="W129" s="1"/>
  <c r="V168"/>
  <c r="X129" l="1"/>
  <c r="W168"/>
  <c r="X168" l="1"/>
  <c r="G94" i="6" l="1"/>
  <c r="M94"/>
  <c r="T94"/>
  <c r="W94"/>
  <c r="N94"/>
  <c r="G95" l="1"/>
  <c r="M95"/>
  <c r="Q94"/>
  <c r="L94"/>
  <c r="X94"/>
  <c r="V94"/>
  <c r="W95"/>
  <c r="P94"/>
  <c r="S94"/>
  <c r="I94"/>
  <c r="O94"/>
  <c r="J94"/>
  <c r="E57"/>
  <c r="E94" s="1"/>
  <c r="E58"/>
  <c r="H94"/>
  <c r="F94"/>
  <c r="R94"/>
  <c r="T95"/>
  <c r="U94"/>
  <c r="K94"/>
  <c r="N95"/>
  <c r="Y94" l="1"/>
  <c r="Q95"/>
  <c r="I95"/>
  <c r="U95"/>
  <c r="H95"/>
  <c r="S95"/>
  <c r="E94" i="7"/>
  <c r="E93"/>
  <c r="E130" s="1"/>
  <c r="R95" i="6"/>
  <c r="F95"/>
  <c r="E95"/>
  <c r="O95"/>
  <c r="P95"/>
  <c r="L95"/>
  <c r="X95"/>
  <c r="K95"/>
  <c r="J95"/>
  <c r="V95"/>
  <c r="Y95" l="1"/>
  <c r="E169" i="7"/>
  <c r="E131"/>
  <c r="E170" l="1"/>
  <c r="F93"/>
  <c r="F130" s="1"/>
  <c r="F94"/>
  <c r="G93"/>
  <c r="G130" s="1"/>
  <c r="G94"/>
  <c r="H93"/>
  <c r="H130" s="1"/>
  <c r="H94"/>
  <c r="F131" l="1"/>
  <c r="G131"/>
  <c r="H131"/>
  <c r="F169"/>
  <c r="I94"/>
  <c r="I93"/>
  <c r="I130" s="1"/>
  <c r="F170" l="1"/>
  <c r="G170" s="1"/>
  <c r="H170" s="1"/>
  <c r="G169"/>
  <c r="I131"/>
  <c r="J93"/>
  <c r="J130" s="1"/>
  <c r="J94"/>
  <c r="J131" l="1"/>
  <c r="I170"/>
  <c r="H169"/>
  <c r="K94"/>
  <c r="K93"/>
  <c r="K130" s="1"/>
  <c r="J170" l="1"/>
  <c r="L94"/>
  <c r="L93"/>
  <c r="L130" s="1"/>
  <c r="I169"/>
  <c r="K131"/>
  <c r="K170" l="1"/>
  <c r="M93"/>
  <c r="M130" s="1"/>
  <c r="M94"/>
  <c r="L131"/>
  <c r="J169"/>
  <c r="L170" l="1"/>
  <c r="M131"/>
  <c r="N93"/>
  <c r="N130" s="1"/>
  <c r="N94"/>
  <c r="K169"/>
  <c r="M170" l="1"/>
  <c r="N131"/>
  <c r="O93"/>
  <c r="O130" s="1"/>
  <c r="O94"/>
  <c r="L169"/>
  <c r="N170" l="1"/>
  <c r="O131"/>
  <c r="M169"/>
  <c r="P94"/>
  <c r="P93"/>
  <c r="P130" s="1"/>
  <c r="O170" l="1"/>
  <c r="N169"/>
  <c r="Q93"/>
  <c r="Q130" s="1"/>
  <c r="Q94"/>
  <c r="P131"/>
  <c r="Q131" l="1"/>
  <c r="O169"/>
  <c r="P170"/>
  <c r="R93"/>
  <c r="R130" s="1"/>
  <c r="R94"/>
  <c r="Q170" l="1"/>
  <c r="R131"/>
  <c r="S93"/>
  <c r="S130" s="1"/>
  <c r="S94"/>
  <c r="P169"/>
  <c r="R170" l="1"/>
  <c r="T94"/>
  <c r="T93"/>
  <c r="T130" s="1"/>
  <c r="S131"/>
  <c r="Q169"/>
  <c r="S170" l="1"/>
  <c r="R169"/>
  <c r="U93"/>
  <c r="U130" s="1"/>
  <c r="U94"/>
  <c r="T131"/>
  <c r="U131" l="1"/>
  <c r="T170"/>
  <c r="V94"/>
  <c r="V93"/>
  <c r="V130" s="1"/>
  <c r="S169"/>
  <c r="U170" l="1"/>
  <c r="V131"/>
  <c r="T169"/>
  <c r="W93"/>
  <c r="W130" s="1"/>
  <c r="W94"/>
  <c r="V170" l="1"/>
  <c r="U169"/>
  <c r="X93"/>
  <c r="X130" s="1"/>
  <c r="X94"/>
  <c r="W131"/>
  <c r="W170" l="1"/>
  <c r="X131"/>
  <c r="V169"/>
  <c r="X170" l="1"/>
  <c r="W169"/>
  <c r="X169" l="1"/>
  <c r="M95" l="1"/>
  <c r="M132" s="1"/>
  <c r="H59" i="6" l="1"/>
  <c r="H96" s="1"/>
  <c r="P59"/>
  <c r="P96" s="1"/>
  <c r="V59"/>
  <c r="V96" s="1"/>
  <c r="W59"/>
  <c r="W96" s="1"/>
  <c r="L59"/>
  <c r="L96" s="1"/>
  <c r="N59"/>
  <c r="N96" s="1"/>
  <c r="J95" i="7"/>
  <c r="J132" s="1"/>
  <c r="R59" i="6"/>
  <c r="R96" s="1"/>
  <c r="T59"/>
  <c r="T96" s="1"/>
  <c r="O59"/>
  <c r="O96" s="1"/>
  <c r="K59"/>
  <c r="K96" s="1"/>
  <c r="G59"/>
  <c r="G96" s="1"/>
  <c r="J59"/>
  <c r="J96" s="1"/>
  <c r="F59"/>
  <c r="F96" s="1"/>
  <c r="K95" i="7"/>
  <c r="K132" s="1"/>
  <c r="S59" i="6"/>
  <c r="S96" s="1"/>
  <c r="G95" i="7" l="1"/>
  <c r="G132" s="1"/>
  <c r="X59" i="6"/>
  <c r="X96" s="1"/>
  <c r="I95" i="7"/>
  <c r="I132" s="1"/>
  <c r="L95"/>
  <c r="L132" s="1"/>
  <c r="I59" i="6"/>
  <c r="I96" s="1"/>
  <c r="E59"/>
  <c r="E96" s="1"/>
  <c r="F95" i="7"/>
  <c r="F132" s="1"/>
  <c r="U59" i="6"/>
  <c r="U96" s="1"/>
  <c r="M59"/>
  <c r="M96" s="1"/>
  <c r="E95" i="7"/>
  <c r="E132" s="1"/>
  <c r="H95"/>
  <c r="H132" s="1"/>
  <c r="Q59" i="6"/>
  <c r="Q96" s="1"/>
  <c r="T95" i="7" l="1"/>
  <c r="T132" s="1"/>
  <c r="Y96" i="6"/>
  <c r="X95" i="7"/>
  <c r="X132" s="1"/>
  <c r="E171"/>
  <c r="Y95" l="1"/>
  <c r="Y132" s="1"/>
  <c r="F171"/>
  <c r="Q95" l="1"/>
  <c r="Q132" s="1"/>
  <c r="N95"/>
  <c r="N132" s="1"/>
  <c r="U95"/>
  <c r="U132" s="1"/>
  <c r="O95"/>
  <c r="O132" s="1"/>
  <c r="W95"/>
  <c r="W132" s="1"/>
  <c r="P95"/>
  <c r="P132" s="1"/>
  <c r="S95"/>
  <c r="S132" s="1"/>
  <c r="G171"/>
  <c r="V95" l="1"/>
  <c r="V132" s="1"/>
  <c r="H171"/>
  <c r="R95"/>
  <c r="R132" s="1"/>
  <c r="I171" l="1"/>
  <c r="J171" l="1"/>
  <c r="K171" l="1"/>
  <c r="L171" l="1"/>
  <c r="M171" l="1"/>
  <c r="N171" l="1"/>
  <c r="O171" l="1"/>
  <c r="P171" l="1"/>
  <c r="Q171" l="1"/>
  <c r="R171" l="1"/>
  <c r="S171" l="1"/>
  <c r="T171" l="1"/>
  <c r="U171" l="1"/>
  <c r="V171" l="1"/>
  <c r="W171" l="1"/>
  <c r="X171" l="1"/>
  <c r="B43" l="1"/>
  <c r="B44" l="1"/>
  <c r="B51" l="1"/>
  <c r="B23" i="6"/>
  <c r="B45" i="7"/>
  <c r="G51" l="1"/>
  <c r="J51"/>
  <c r="H51"/>
  <c r="F51"/>
  <c r="E51"/>
  <c r="I51"/>
  <c r="L51"/>
  <c r="K51"/>
  <c r="M51"/>
  <c r="B24" i="6"/>
  <c r="B52" i="7"/>
  <c r="B46" l="1"/>
  <c r="M52"/>
  <c r="K52"/>
  <c r="H52"/>
  <c r="G52"/>
  <c r="L52"/>
  <c r="J52"/>
  <c r="E52"/>
  <c r="I52"/>
  <c r="F52"/>
  <c r="B25" i="6"/>
  <c r="B53" i="7"/>
  <c r="M53" l="1"/>
  <c r="E53"/>
  <c r="F53"/>
  <c r="G53"/>
  <c r="L53"/>
  <c r="I53"/>
  <c r="K53"/>
  <c r="H53"/>
  <c r="J53"/>
  <c r="B26" i="6"/>
  <c r="B54" i="7"/>
  <c r="K54" l="1"/>
  <c r="J54"/>
  <c r="G54"/>
  <c r="E54"/>
  <c r="E56" s="1"/>
  <c r="F54"/>
  <c r="L54"/>
  <c r="L56" s="1"/>
  <c r="H54"/>
  <c r="H56" s="1"/>
  <c r="I54"/>
  <c r="I56" s="1"/>
  <c r="M54"/>
  <c r="F56" l="1"/>
  <c r="J56"/>
  <c r="K56"/>
  <c r="M56"/>
  <c r="G56"/>
  <c r="O14" l="1"/>
  <c r="O44" s="1"/>
  <c r="G15"/>
  <c r="X16"/>
  <c r="H15"/>
  <c r="S16"/>
  <c r="S46" s="1"/>
  <c r="X14"/>
  <c r="R16"/>
  <c r="R46" s="1"/>
  <c r="L16"/>
  <c r="V14"/>
  <c r="V44" s="1"/>
  <c r="F15"/>
  <c r="Q15"/>
  <c r="Q45" s="1"/>
  <c r="X15"/>
  <c r="N15"/>
  <c r="N45" s="1"/>
  <c r="W16"/>
  <c r="W46" s="1"/>
  <c r="M13"/>
  <c r="N14"/>
  <c r="N44" s="1"/>
  <c r="R13"/>
  <c r="T16"/>
  <c r="T46" s="1"/>
  <c r="U15"/>
  <c r="U45" s="1"/>
  <c r="M15"/>
  <c r="I15"/>
  <c r="P14"/>
  <c r="P44" s="1"/>
  <c r="N13"/>
  <c r="I16"/>
  <c r="R14"/>
  <c r="R44" s="1"/>
  <c r="E15"/>
  <c r="G13"/>
  <c r="F14"/>
  <c r="U13"/>
  <c r="H16"/>
  <c r="P13"/>
  <c r="V13"/>
  <c r="Q16"/>
  <c r="Q46" s="1"/>
  <c r="V16"/>
  <c r="V46" s="1"/>
  <c r="O15"/>
  <c r="O45" s="1"/>
  <c r="H14"/>
  <c r="K16"/>
  <c r="E14"/>
  <c r="H13"/>
  <c r="J16"/>
  <c r="M16"/>
  <c r="L15"/>
  <c r="V15"/>
  <c r="V45" s="1"/>
  <c r="M14"/>
  <c r="T14"/>
  <c r="T44" s="1"/>
  <c r="X13"/>
  <c r="L14"/>
  <c r="U16"/>
  <c r="U46" s="1"/>
  <c r="S15"/>
  <c r="S45" s="1"/>
  <c r="P16"/>
  <c r="P46" s="1"/>
  <c r="U14"/>
  <c r="U44" s="1"/>
  <c r="K15"/>
  <c r="J15"/>
  <c r="G16"/>
  <c r="Q13"/>
  <c r="S13"/>
  <c r="G14"/>
  <c r="O16"/>
  <c r="O46" s="1"/>
  <c r="I13"/>
  <c r="R15"/>
  <c r="R45" s="1"/>
  <c r="Q14"/>
  <c r="Q44" s="1"/>
  <c r="F16"/>
  <c r="J13"/>
  <c r="E13"/>
  <c r="T15"/>
  <c r="T45" s="1"/>
  <c r="E16"/>
  <c r="F13"/>
  <c r="S14"/>
  <c r="S44" s="1"/>
  <c r="J14"/>
  <c r="N16"/>
  <c r="N46" s="1"/>
  <c r="K14"/>
  <c r="W15"/>
  <c r="W45" s="1"/>
  <c r="K13"/>
  <c r="P15"/>
  <c r="P45" s="1"/>
  <c r="W14"/>
  <c r="W44" s="1"/>
  <c r="I14"/>
  <c r="O13"/>
  <c r="L13"/>
  <c r="T13"/>
  <c r="W13"/>
  <c r="I14" i="6"/>
  <c r="P16"/>
  <c r="L13"/>
  <c r="R16"/>
  <c r="J16"/>
  <c r="K16"/>
  <c r="G16"/>
  <c r="O13"/>
  <c r="E14"/>
  <c r="T13"/>
  <c r="N16"/>
  <c r="L16"/>
  <c r="W13"/>
  <c r="J13"/>
  <c r="X13"/>
  <c r="I16"/>
  <c r="K13"/>
  <c r="G13"/>
  <c r="R13"/>
  <c r="X16"/>
  <c r="F16"/>
  <c r="O16"/>
  <c r="E16"/>
  <c r="Q16"/>
  <c r="M13"/>
  <c r="X14"/>
  <c r="V14"/>
  <c r="U14"/>
  <c r="E13"/>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L18" i="7" l="1"/>
  <c r="L33"/>
  <c r="L43"/>
  <c r="L35"/>
  <c r="L45"/>
  <c r="L62" s="1"/>
  <c r="L83" s="1"/>
  <c r="R9" i="16" s="1"/>
  <c r="F35" i="7"/>
  <c r="F45"/>
  <c r="F62" s="1"/>
  <c r="F83" s="1"/>
  <c r="L9" i="16" s="1"/>
  <c r="G35" i="7"/>
  <c r="G45"/>
  <c r="G62" s="1"/>
  <c r="G83" s="1"/>
  <c r="M9" i="16" s="1"/>
  <c r="T18" i="7"/>
  <c r="T43"/>
  <c r="K34"/>
  <c r="K44"/>
  <c r="K61" s="1"/>
  <c r="K82" s="1"/>
  <c r="Q8" i="16" s="1"/>
  <c r="J18" i="7"/>
  <c r="J33"/>
  <c r="J43"/>
  <c r="J60" s="1"/>
  <c r="L34"/>
  <c r="L44"/>
  <c r="L61" s="1"/>
  <c r="L82" s="1"/>
  <c r="R8" i="16" s="1"/>
  <c r="G18" i="7"/>
  <c r="G33"/>
  <c r="G43"/>
  <c r="X46"/>
  <c r="Z46"/>
  <c r="O18"/>
  <c r="O43"/>
  <c r="O48" s="1"/>
  <c r="K18"/>
  <c r="K33"/>
  <c r="K43"/>
  <c r="K60" s="1"/>
  <c r="J34"/>
  <c r="J44"/>
  <c r="J61" s="1"/>
  <c r="J82" s="1"/>
  <c r="P8" i="16" s="1"/>
  <c r="G34" i="7"/>
  <c r="G44"/>
  <c r="G61" s="1"/>
  <c r="G82" s="1"/>
  <c r="M8" i="16" s="1"/>
  <c r="J35" i="7"/>
  <c r="J45"/>
  <c r="J62" s="1"/>
  <c r="J83" s="1"/>
  <c r="P9" i="16" s="1"/>
  <c r="M36" i="7"/>
  <c r="M46"/>
  <c r="K36"/>
  <c r="K46"/>
  <c r="U18"/>
  <c r="U43"/>
  <c r="I35"/>
  <c r="I45"/>
  <c r="I62" s="1"/>
  <c r="I83" s="1"/>
  <c r="O9" i="16" s="1"/>
  <c r="R18" i="7"/>
  <c r="R43"/>
  <c r="R48" s="1"/>
  <c r="E36"/>
  <c r="E46"/>
  <c r="E63" s="1"/>
  <c r="F36"/>
  <c r="F46"/>
  <c r="F63" s="1"/>
  <c r="F84" s="1"/>
  <c r="L10" i="16" s="1"/>
  <c r="G36" i="7"/>
  <c r="G46"/>
  <c r="G63" s="1"/>
  <c r="G84" s="1"/>
  <c r="M10" i="16" s="1"/>
  <c r="X18" i="7"/>
  <c r="Z43"/>
  <c r="X43"/>
  <c r="E34"/>
  <c r="E44"/>
  <c r="E61" s="1"/>
  <c r="H36"/>
  <c r="H46"/>
  <c r="H63" s="1"/>
  <c r="H84" s="1"/>
  <c r="N10" i="16" s="1"/>
  <c r="E35" i="7"/>
  <c r="E45"/>
  <c r="E62" s="1"/>
  <c r="X44"/>
  <c r="Z44"/>
  <c r="F18"/>
  <c r="F33"/>
  <c r="F43"/>
  <c r="I18"/>
  <c r="I33"/>
  <c r="I43"/>
  <c r="Q18"/>
  <c r="Q43"/>
  <c r="Q48" s="1"/>
  <c r="H18"/>
  <c r="H33"/>
  <c r="H43"/>
  <c r="P18"/>
  <c r="P43"/>
  <c r="P48" s="1"/>
  <c r="N18"/>
  <c r="N43"/>
  <c r="N48" s="1"/>
  <c r="M18"/>
  <c r="M33"/>
  <c r="M43"/>
  <c r="M60" s="1"/>
  <c r="W18"/>
  <c r="W43"/>
  <c r="W48" s="1"/>
  <c r="I34"/>
  <c r="I44"/>
  <c r="I61" s="1"/>
  <c r="I82" s="1"/>
  <c r="O8" i="16" s="1"/>
  <c r="E18" i="7"/>
  <c r="E33"/>
  <c r="E38" s="1"/>
  <c r="E43"/>
  <c r="S18"/>
  <c r="S43"/>
  <c r="S48" s="1"/>
  <c r="K35"/>
  <c r="K45"/>
  <c r="K62" s="1"/>
  <c r="K83" s="1"/>
  <c r="Q9" i="16" s="1"/>
  <c r="M34" i="7"/>
  <c r="M44"/>
  <c r="M61" s="1"/>
  <c r="M82" s="1"/>
  <c r="S8" i="16" s="1"/>
  <c r="J36" i="7"/>
  <c r="J46"/>
  <c r="H34"/>
  <c r="H44"/>
  <c r="H61" s="1"/>
  <c r="H82" s="1"/>
  <c r="N8" i="16" s="1"/>
  <c r="V18" i="7"/>
  <c r="V43"/>
  <c r="V48" s="1"/>
  <c r="F34"/>
  <c r="F44"/>
  <c r="F61" s="1"/>
  <c r="F82" s="1"/>
  <c r="L8" i="16" s="1"/>
  <c r="I36" i="7"/>
  <c r="I46"/>
  <c r="I63" s="1"/>
  <c r="M35"/>
  <c r="M45"/>
  <c r="M62" s="1"/>
  <c r="M83" s="1"/>
  <c r="S9" i="16" s="1"/>
  <c r="Z45" i="7"/>
  <c r="X45"/>
  <c r="L36"/>
  <c r="L46"/>
  <c r="L63" s="1"/>
  <c r="L84" s="1"/>
  <c r="R10" i="16" s="1"/>
  <c r="H35" i="7"/>
  <c r="H45"/>
  <c r="H62" s="1"/>
  <c r="H83" s="1"/>
  <c r="N9" i="16" s="1"/>
  <c r="T48" i="7"/>
  <c r="U48"/>
  <c r="S25" i="6"/>
  <c r="S35" s="1"/>
  <c r="S46" s="1"/>
  <c r="Y5" i="16" s="1"/>
  <c r="K24" i="6"/>
  <c r="K34" s="1"/>
  <c r="K45" s="1"/>
  <c r="Q4" i="16" s="1"/>
  <c r="K137" i="6"/>
  <c r="T24" i="7" s="1"/>
  <c r="M24" i="6"/>
  <c r="M34" s="1"/>
  <c r="M45" s="1"/>
  <c r="S4" i="16" s="1"/>
  <c r="W25" i="6"/>
  <c r="W35" s="1"/>
  <c r="W46" s="1"/>
  <c r="AC5" i="16" s="1"/>
  <c r="Q18" i="6"/>
  <c r="Q23"/>
  <c r="H25"/>
  <c r="H35" s="1"/>
  <c r="H46" s="1"/>
  <c r="O24"/>
  <c r="O34" s="1"/>
  <c r="O45" s="1"/>
  <c r="U4" i="16" s="1"/>
  <c r="O137" i="6"/>
  <c r="X24" i="7" s="1"/>
  <c r="N18" i="6"/>
  <c r="N23"/>
  <c r="L25"/>
  <c r="L35" s="1"/>
  <c r="L46" s="1"/>
  <c r="R5" i="16" s="1"/>
  <c r="L138" i="6"/>
  <c r="U25" i="7" s="1"/>
  <c r="Q24" i="6"/>
  <c r="Q34" s="1"/>
  <c r="Q45" s="1"/>
  <c r="W4" i="16" s="1"/>
  <c r="F24" i="6"/>
  <c r="F34" s="1"/>
  <c r="F45" s="1"/>
  <c r="L4" i="16" s="1"/>
  <c r="F137" i="6"/>
  <c r="O24" i="7" s="1"/>
  <c r="W26" i="6"/>
  <c r="W36" s="1"/>
  <c r="W47" s="1"/>
  <c r="AC6" i="16" s="1"/>
  <c r="AA13" i="6"/>
  <c r="E18"/>
  <c r="E23"/>
  <c r="M18"/>
  <c r="M23"/>
  <c r="F26"/>
  <c r="F36" s="1"/>
  <c r="F47" s="1"/>
  <c r="F139"/>
  <c r="O26" i="7" s="1"/>
  <c r="K18" i="6"/>
  <c r="K23"/>
  <c r="W18"/>
  <c r="W23"/>
  <c r="AA14"/>
  <c r="E24"/>
  <c r="J26"/>
  <c r="J36" s="1"/>
  <c r="I24"/>
  <c r="I34" s="1"/>
  <c r="I45" s="1"/>
  <c r="O4" i="16" s="1"/>
  <c r="I137" i="6"/>
  <c r="R24" i="7" s="1"/>
  <c r="N25" i="6"/>
  <c r="N35" s="1"/>
  <c r="N46" s="1"/>
  <c r="T5" i="16" s="1"/>
  <c r="K25" i="6"/>
  <c r="K35" s="1"/>
  <c r="K46" s="1"/>
  <c r="Q5" i="16" s="1"/>
  <c r="K138" i="6"/>
  <c r="T25" i="7" s="1"/>
  <c r="H24" i="6"/>
  <c r="H34" s="1"/>
  <c r="H45" s="1"/>
  <c r="N4" i="16" s="1"/>
  <c r="I18" i="6"/>
  <c r="I23"/>
  <c r="W24"/>
  <c r="W34" s="1"/>
  <c r="W45" s="1"/>
  <c r="AC4" i="16" s="1"/>
  <c r="W137" i="6"/>
  <c r="U26"/>
  <c r="U36" s="1"/>
  <c r="U47" s="1"/>
  <c r="L24"/>
  <c r="L34" s="1"/>
  <c r="L45" s="1"/>
  <c r="R4" i="16" s="1"/>
  <c r="L137" i="6"/>
  <c r="U24" i="7" s="1"/>
  <c r="T25" i="6"/>
  <c r="T35" s="1"/>
  <c r="T46" s="1"/>
  <c r="Z5" i="16" s="1"/>
  <c r="Q25" i="6"/>
  <c r="Q35" s="1"/>
  <c r="Q46" s="1"/>
  <c r="W5" i="16" s="1"/>
  <c r="Q138" i="6"/>
  <c r="J25"/>
  <c r="J35" s="1"/>
  <c r="J46" s="1"/>
  <c r="P5" i="16" s="1"/>
  <c r="H18" i="6"/>
  <c r="H23"/>
  <c r="U18"/>
  <c r="U23"/>
  <c r="M26"/>
  <c r="M36" s="1"/>
  <c r="M47" s="1"/>
  <c r="M139"/>
  <c r="V26" i="7" s="1"/>
  <c r="X24" i="6"/>
  <c r="X34" s="1"/>
  <c r="X45" s="1"/>
  <c r="AD4" i="16" s="1"/>
  <c r="O26" i="6"/>
  <c r="O36" s="1"/>
  <c r="O47" s="1"/>
  <c r="U6" i="16" s="1"/>
  <c r="O139" i="6"/>
  <c r="X26" i="7" s="1"/>
  <c r="G18" i="6"/>
  <c r="G23"/>
  <c r="J18"/>
  <c r="J23"/>
  <c r="T18"/>
  <c r="T23"/>
  <c r="K26"/>
  <c r="K36" s="1"/>
  <c r="K47" s="1"/>
  <c r="Q6" i="16" s="1"/>
  <c r="K139" i="6"/>
  <c r="T26" i="7" s="1"/>
  <c r="P26" i="6"/>
  <c r="P36" s="1"/>
  <c r="P47" s="1"/>
  <c r="X25"/>
  <c r="X35" s="1"/>
  <c r="X46" s="1"/>
  <c r="AD5" i="16" s="1"/>
  <c r="X138" i="6"/>
  <c r="R24"/>
  <c r="R34" s="1"/>
  <c r="R45" s="1"/>
  <c r="X4" i="16" s="1"/>
  <c r="P25" i="6"/>
  <c r="P35" s="1"/>
  <c r="P46" s="1"/>
  <c r="V5" i="16" s="1"/>
  <c r="U25" i="6"/>
  <c r="U35" s="1"/>
  <c r="U46" s="1"/>
  <c r="AA5" i="16" s="1"/>
  <c r="S18" i="6"/>
  <c r="S23"/>
  <c r="S26"/>
  <c r="S36" s="1"/>
  <c r="S47" s="1"/>
  <c r="Y6" i="16" s="1"/>
  <c r="S139" i="6"/>
  <c r="S24"/>
  <c r="S34" s="1"/>
  <c r="S45" s="1"/>
  <c r="Y4" i="16" s="1"/>
  <c r="P24" i="6"/>
  <c r="P34" s="1"/>
  <c r="P45" s="1"/>
  <c r="V4" i="16" s="1"/>
  <c r="P137" i="6"/>
  <c r="P18"/>
  <c r="P23"/>
  <c r="J24"/>
  <c r="J34" s="1"/>
  <c r="J45" s="1"/>
  <c r="P4" i="16" s="1"/>
  <c r="J137" i="6"/>
  <c r="S24" i="7" s="1"/>
  <c r="R25" i="6"/>
  <c r="R35" s="1"/>
  <c r="R46" s="1"/>
  <c r="V26"/>
  <c r="V36" s="1"/>
  <c r="V47" s="1"/>
  <c r="AB6" i="16" s="1"/>
  <c r="V18" i="6"/>
  <c r="V23"/>
  <c r="V24"/>
  <c r="V34" s="1"/>
  <c r="V45" s="1"/>
  <c r="AB4" i="16" s="1"/>
  <c r="AA16" i="6"/>
  <c r="E26"/>
  <c r="R18"/>
  <c r="R23"/>
  <c r="X18"/>
  <c r="X23"/>
  <c r="N26"/>
  <c r="N36" s="1"/>
  <c r="N47" s="1"/>
  <c r="T6" i="16" s="1"/>
  <c r="G26" i="6"/>
  <c r="G36" s="1"/>
  <c r="G139" s="1"/>
  <c r="P26" i="7" s="1"/>
  <c r="L18" i="6"/>
  <c r="L23"/>
  <c r="G25"/>
  <c r="G35" s="1"/>
  <c r="G46" s="1"/>
  <c r="M5" i="16" s="1"/>
  <c r="G138" i="6"/>
  <c r="P25" i="7" s="1"/>
  <c r="F25" i="6"/>
  <c r="F35" s="1"/>
  <c r="F46" s="1"/>
  <c r="L5" i="16" s="1"/>
  <c r="AA15" i="6"/>
  <c r="E25"/>
  <c r="M25"/>
  <c r="M35" s="1"/>
  <c r="M46" s="1"/>
  <c r="S5" i="16" s="1"/>
  <c r="G24" i="6"/>
  <c r="G34" s="1"/>
  <c r="G45" s="1"/>
  <c r="M4" i="16" s="1"/>
  <c r="N24" i="6"/>
  <c r="N34" s="1"/>
  <c r="N45" s="1"/>
  <c r="T4" i="16" s="1"/>
  <c r="T24" i="6"/>
  <c r="T34" s="1"/>
  <c r="T45" s="1"/>
  <c r="Z4" i="16" s="1"/>
  <c r="O25" i="6"/>
  <c r="O35" s="1"/>
  <c r="O46" s="1"/>
  <c r="U5" i="16" s="1"/>
  <c r="T26" i="6"/>
  <c r="T36" s="1"/>
  <c r="T47" s="1"/>
  <c r="T139"/>
  <c r="I25"/>
  <c r="I35" s="1"/>
  <c r="I46" s="1"/>
  <c r="O5" i="16" s="1"/>
  <c r="V25" i="6"/>
  <c r="V35" s="1"/>
  <c r="V46" s="1"/>
  <c r="AB5" i="16" s="1"/>
  <c r="V138" i="6"/>
  <c r="H26"/>
  <c r="H36" s="1"/>
  <c r="H47" s="1"/>
  <c r="N6" i="16" s="1"/>
  <c r="F18" i="6"/>
  <c r="F23"/>
  <c r="U24"/>
  <c r="U34" s="1"/>
  <c r="U45" s="1"/>
  <c r="AA4" i="16" s="1"/>
  <c r="U137" i="6"/>
  <c r="Q26"/>
  <c r="Q36" s="1"/>
  <c r="Q139" s="1"/>
  <c r="X26"/>
  <c r="X36" s="1"/>
  <c r="X47" s="1"/>
  <c r="AD6" i="16" s="1"/>
  <c r="X139" i="6"/>
  <c r="I26"/>
  <c r="I36" s="1"/>
  <c r="I47" s="1"/>
  <c r="L26"/>
  <c r="L36" s="1"/>
  <c r="L47" s="1"/>
  <c r="L139"/>
  <c r="U26" i="7" s="1"/>
  <c r="O18" i="6"/>
  <c r="O23"/>
  <c r="R26"/>
  <c r="R36" s="1"/>
  <c r="R47" s="1"/>
  <c r="X6" i="16" s="1"/>
  <c r="R139" i="6"/>
  <c r="H60" i="7" l="1"/>
  <c r="H48"/>
  <c r="G60"/>
  <c r="G48"/>
  <c r="K48"/>
  <c r="K63"/>
  <c r="K84" s="1"/>
  <c r="Q10" i="16" s="1"/>
  <c r="I84" i="7"/>
  <c r="O10" i="16" s="1"/>
  <c r="J48" i="7"/>
  <c r="J63"/>
  <c r="J84" s="1"/>
  <c r="P10" i="16" s="1"/>
  <c r="E60" i="7"/>
  <c r="E48"/>
  <c r="E72"/>
  <c r="F72" s="1"/>
  <c r="G72" s="1"/>
  <c r="H72" s="1"/>
  <c r="I72" s="1"/>
  <c r="J72" s="1"/>
  <c r="K72" s="1"/>
  <c r="L72" s="1"/>
  <c r="E84"/>
  <c r="L60"/>
  <c r="L48"/>
  <c r="T137" i="6"/>
  <c r="F138"/>
  <c r="O25" i="7" s="1"/>
  <c r="O53" s="1"/>
  <c r="O62" s="1"/>
  <c r="O83" s="1"/>
  <c r="U9" i="16" s="1"/>
  <c r="S137" i="6"/>
  <c r="X48" i="7"/>
  <c r="L38"/>
  <c r="I139" i="6"/>
  <c r="R26" i="7" s="1"/>
  <c r="R36" s="1"/>
  <c r="G137" i="6"/>
  <c r="P24" i="7" s="1"/>
  <c r="N139" i="6"/>
  <c r="W26" i="7" s="1"/>
  <c r="V137" i="6"/>
  <c r="V139"/>
  <c r="P138"/>
  <c r="X137"/>
  <c r="J138"/>
  <c r="S25" i="7" s="1"/>
  <c r="S35" s="1"/>
  <c r="T138" i="6"/>
  <c r="U139"/>
  <c r="H138"/>
  <c r="Q25" i="7" s="1"/>
  <c r="W138" i="6"/>
  <c r="M38" i="7"/>
  <c r="I38"/>
  <c r="K38"/>
  <c r="J38"/>
  <c r="F60"/>
  <c r="F48"/>
  <c r="M81"/>
  <c r="I60"/>
  <c r="I81" s="1"/>
  <c r="I48"/>
  <c r="E71"/>
  <c r="F71" s="1"/>
  <c r="G71" s="1"/>
  <c r="H71" s="1"/>
  <c r="I71" s="1"/>
  <c r="J71" s="1"/>
  <c r="K71" s="1"/>
  <c r="L71" s="1"/>
  <c r="M71" s="1"/>
  <c r="E83"/>
  <c r="K9" i="16" s="1"/>
  <c r="E70" i="7"/>
  <c r="F70" s="1"/>
  <c r="G70" s="1"/>
  <c r="H70" s="1"/>
  <c r="I70" s="1"/>
  <c r="J70" s="1"/>
  <c r="K70" s="1"/>
  <c r="L70" s="1"/>
  <c r="M70" s="1"/>
  <c r="E82"/>
  <c r="K8" i="16" s="1"/>
  <c r="M48" i="7"/>
  <c r="M63"/>
  <c r="M84" s="1"/>
  <c r="S10" i="16" s="1"/>
  <c r="K81" i="7"/>
  <c r="J81"/>
  <c r="J65"/>
  <c r="H38"/>
  <c r="F38"/>
  <c r="G38"/>
  <c r="P36"/>
  <c r="P54"/>
  <c r="P63" s="1"/>
  <c r="P84" s="1"/>
  <c r="V10" i="16" s="1"/>
  <c r="X5"/>
  <c r="V6"/>
  <c r="J47" i="6"/>
  <c r="E33"/>
  <c r="AA23"/>
  <c r="E28"/>
  <c r="Q35" i="7"/>
  <c r="Q53"/>
  <c r="Q62" s="1"/>
  <c r="Q83" s="1"/>
  <c r="W9" i="16" s="1"/>
  <c r="R6"/>
  <c r="R33" i="6"/>
  <c r="R28"/>
  <c r="V33"/>
  <c r="V28"/>
  <c r="J33"/>
  <c r="J28"/>
  <c r="U33"/>
  <c r="U28"/>
  <c r="L6" i="16"/>
  <c r="Q33" i="6"/>
  <c r="Q28"/>
  <c r="H139"/>
  <c r="Q26" i="7" s="1"/>
  <c r="I138" i="6"/>
  <c r="R25" i="7" s="1"/>
  <c r="O138" i="6"/>
  <c r="X25" i="7" s="1"/>
  <c r="N137" i="6"/>
  <c r="W24" i="7" s="1"/>
  <c r="M138" i="6"/>
  <c r="V25" i="7" s="1"/>
  <c r="R138" i="6"/>
  <c r="U138"/>
  <c r="R137"/>
  <c r="P139"/>
  <c r="H137"/>
  <c r="Q24" i="7" s="1"/>
  <c r="N138" i="6"/>
  <c r="W25" i="7" s="1"/>
  <c r="J139" i="6"/>
  <c r="S26" i="7" s="1"/>
  <c r="W139" i="6"/>
  <c r="Q137"/>
  <c r="M137"/>
  <c r="V24" i="7" s="1"/>
  <c r="S138" i="6"/>
  <c r="X54" i="7"/>
  <c r="X63" s="1"/>
  <c r="X84" s="1"/>
  <c r="AD10" i="16" s="1"/>
  <c r="X36" i="7"/>
  <c r="Z36" s="1"/>
  <c r="K33" i="6"/>
  <c r="K28"/>
  <c r="N33"/>
  <c r="N28"/>
  <c r="U36" i="7"/>
  <c r="U54"/>
  <c r="U63" s="1"/>
  <c r="U84" s="1"/>
  <c r="AA10" i="16" s="1"/>
  <c r="Z6"/>
  <c r="E35" i="6"/>
  <c r="AA25"/>
  <c r="P35" i="7"/>
  <c r="P53"/>
  <c r="P62" s="1"/>
  <c r="P83" s="1"/>
  <c r="V9" i="16" s="1"/>
  <c r="AA26" i="6"/>
  <c r="E36"/>
  <c r="G33"/>
  <c r="G28"/>
  <c r="H33"/>
  <c r="H28"/>
  <c r="U52" i="7"/>
  <c r="U61" s="1"/>
  <c r="U82" s="1"/>
  <c r="AA8" i="16" s="1"/>
  <c r="U34" i="7"/>
  <c r="E34" i="6"/>
  <c r="AA24"/>
  <c r="O54" i="7"/>
  <c r="O63" s="1"/>
  <c r="O84" s="1"/>
  <c r="U10" i="16" s="1"/>
  <c r="O36" i="7"/>
  <c r="X34"/>
  <c r="Z34" s="1"/>
  <c r="X52"/>
  <c r="X61" s="1"/>
  <c r="X82" s="1"/>
  <c r="AD8" i="16" s="1"/>
  <c r="O33" i="6"/>
  <c r="O28"/>
  <c r="O35" i="7"/>
  <c r="G38" i="6"/>
  <c r="G47"/>
  <c r="M6" i="16" s="1"/>
  <c r="X33" i="6"/>
  <c r="X28"/>
  <c r="P33"/>
  <c r="P28"/>
  <c r="T33"/>
  <c r="T28"/>
  <c r="V36" i="7"/>
  <c r="V54"/>
  <c r="V63" s="1"/>
  <c r="V84" s="1"/>
  <c r="AB10" i="16" s="1"/>
  <c r="O6"/>
  <c r="Q38" i="6"/>
  <c r="Q47"/>
  <c r="F33"/>
  <c r="F28"/>
  <c r="P34" i="7"/>
  <c r="P52"/>
  <c r="P61" s="1"/>
  <c r="P82" s="1"/>
  <c r="V8" i="16" s="1"/>
  <c r="L33" i="6"/>
  <c r="L28"/>
  <c r="W36" i="7"/>
  <c r="W54"/>
  <c r="W63" s="1"/>
  <c r="W84" s="1"/>
  <c r="AC10" i="16" s="1"/>
  <c r="S52" i="7"/>
  <c r="S61" s="1"/>
  <c r="S82" s="1"/>
  <c r="Y8" i="16" s="1"/>
  <c r="S34" i="7"/>
  <c r="S33" i="6"/>
  <c r="S28"/>
  <c r="T36" i="7"/>
  <c r="T54"/>
  <c r="T63" s="1"/>
  <c r="T84" s="1"/>
  <c r="Z10" i="16" s="1"/>
  <c r="S6"/>
  <c r="AA6"/>
  <c r="I33" i="6"/>
  <c r="I28"/>
  <c r="T35" i="7"/>
  <c r="T53"/>
  <c r="T62" s="1"/>
  <c r="T83" s="1"/>
  <c r="Z9" i="16" s="1"/>
  <c r="R52" i="7"/>
  <c r="R61" s="1"/>
  <c r="R82" s="1"/>
  <c r="X8" i="16" s="1"/>
  <c r="R34" i="7"/>
  <c r="W33" i="6"/>
  <c r="W28"/>
  <c r="M33"/>
  <c r="M28"/>
  <c r="O52" i="7"/>
  <c r="O61" s="1"/>
  <c r="O82" s="1"/>
  <c r="U8" i="16" s="1"/>
  <c r="O34" i="7"/>
  <c r="U35"/>
  <c r="U53"/>
  <c r="U62" s="1"/>
  <c r="U83" s="1"/>
  <c r="AA9" i="16" s="1"/>
  <c r="N5"/>
  <c r="T52" i="7"/>
  <c r="T61" s="1"/>
  <c r="T82" s="1"/>
  <c r="Z8" i="16" s="1"/>
  <c r="T34" i="7"/>
  <c r="AA18" i="6"/>
  <c r="Q7" i="16" l="1"/>
  <c r="K96" i="7"/>
  <c r="K133" s="1"/>
  <c r="K106"/>
  <c r="K97"/>
  <c r="K104"/>
  <c r="K118"/>
  <c r="K155" s="1"/>
  <c r="K86"/>
  <c r="K105"/>
  <c r="K102"/>
  <c r="K111"/>
  <c r="K148" s="1"/>
  <c r="K98"/>
  <c r="K135" s="1"/>
  <c r="K121"/>
  <c r="K101"/>
  <c r="K138" s="1"/>
  <c r="K119"/>
  <c r="K156" s="1"/>
  <c r="K122"/>
  <c r="K99"/>
  <c r="K136" s="1"/>
  <c r="K108"/>
  <c r="K145" s="1"/>
  <c r="K113"/>
  <c r="K100"/>
  <c r="K110"/>
  <c r="K103"/>
  <c r="K140" s="1"/>
  <c r="K114"/>
  <c r="K151" s="1"/>
  <c r="K116"/>
  <c r="K115"/>
  <c r="K112"/>
  <c r="K149" s="1"/>
  <c r="K107"/>
  <c r="K144" s="1"/>
  <c r="K109"/>
  <c r="K117"/>
  <c r="K154" s="1"/>
  <c r="K123"/>
  <c r="K160" s="1"/>
  <c r="K120"/>
  <c r="K157" s="1"/>
  <c r="O7" i="16"/>
  <c r="I100" i="7"/>
  <c r="I104"/>
  <c r="I116"/>
  <c r="I153" s="1"/>
  <c r="I112"/>
  <c r="I111"/>
  <c r="I103"/>
  <c r="I96"/>
  <c r="I133" s="1"/>
  <c r="I86"/>
  <c r="I120"/>
  <c r="I107"/>
  <c r="I144" s="1"/>
  <c r="I99"/>
  <c r="I106"/>
  <c r="I97"/>
  <c r="I102"/>
  <c r="I114"/>
  <c r="I151" s="1"/>
  <c r="I118"/>
  <c r="I123"/>
  <c r="I122"/>
  <c r="I159" s="1"/>
  <c r="I105"/>
  <c r="I110"/>
  <c r="I121"/>
  <c r="I158" s="1"/>
  <c r="I109"/>
  <c r="I146" s="1"/>
  <c r="I98"/>
  <c r="I135" s="1"/>
  <c r="I113"/>
  <c r="I150" s="1"/>
  <c r="I115"/>
  <c r="I101"/>
  <c r="I138" s="1"/>
  <c r="I108"/>
  <c r="I119"/>
  <c r="I156" s="1"/>
  <c r="I117"/>
  <c r="E118"/>
  <c r="K10" i="16"/>
  <c r="L81" i="7"/>
  <c r="L65"/>
  <c r="E69"/>
  <c r="E81"/>
  <c r="E65"/>
  <c r="G81"/>
  <c r="G65"/>
  <c r="S53"/>
  <c r="S62" s="1"/>
  <c r="S83" s="1"/>
  <c r="Y9" i="16" s="1"/>
  <c r="R54" i="7"/>
  <c r="R63" s="1"/>
  <c r="R84" s="1"/>
  <c r="X10" i="16" s="1"/>
  <c r="K65" i="7"/>
  <c r="I65"/>
  <c r="H81"/>
  <c r="H65"/>
  <c r="F81"/>
  <c r="F65"/>
  <c r="P7" i="16"/>
  <c r="J119" i="7"/>
  <c r="J101"/>
  <c r="J96"/>
  <c r="J133" s="1"/>
  <c r="J111"/>
  <c r="J86"/>
  <c r="J106"/>
  <c r="J108"/>
  <c r="J145" s="1"/>
  <c r="J120"/>
  <c r="J157" s="1"/>
  <c r="J109"/>
  <c r="J100"/>
  <c r="J103"/>
  <c r="J140" s="1"/>
  <c r="J105"/>
  <c r="J142" s="1"/>
  <c r="J113"/>
  <c r="J121"/>
  <c r="J123"/>
  <c r="J160" s="1"/>
  <c r="J114"/>
  <c r="J151" s="1"/>
  <c r="J104"/>
  <c r="J116"/>
  <c r="J115"/>
  <c r="J152" s="1"/>
  <c r="J99"/>
  <c r="J136" s="1"/>
  <c r="J107"/>
  <c r="J144" s="1"/>
  <c r="J102"/>
  <c r="J139" s="1"/>
  <c r="J97"/>
  <c r="J134" s="1"/>
  <c r="J122"/>
  <c r="J159" s="1"/>
  <c r="J98"/>
  <c r="J112"/>
  <c r="J117"/>
  <c r="J154" s="1"/>
  <c r="J110"/>
  <c r="J147" s="1"/>
  <c r="J118"/>
  <c r="S7" i="16"/>
  <c r="M106" i="7"/>
  <c r="M98"/>
  <c r="M102"/>
  <c r="M109"/>
  <c r="M114"/>
  <c r="M151" s="1"/>
  <c r="M99"/>
  <c r="M136" s="1"/>
  <c r="M119"/>
  <c r="M113"/>
  <c r="M97"/>
  <c r="M134" s="1"/>
  <c r="M107"/>
  <c r="M122"/>
  <c r="M121"/>
  <c r="M123"/>
  <c r="M160" s="1"/>
  <c r="M100"/>
  <c r="M137" s="1"/>
  <c r="M86"/>
  <c r="M103"/>
  <c r="M140" s="1"/>
  <c r="M116"/>
  <c r="M153" s="1"/>
  <c r="M110"/>
  <c r="M147" s="1"/>
  <c r="M104"/>
  <c r="M108"/>
  <c r="M101"/>
  <c r="M138" s="1"/>
  <c r="M120"/>
  <c r="M157" s="1"/>
  <c r="M96"/>
  <c r="M133" s="1"/>
  <c r="M117"/>
  <c r="M105"/>
  <c r="M142" s="1"/>
  <c r="M111"/>
  <c r="M148" s="1"/>
  <c r="M112"/>
  <c r="M115"/>
  <c r="M118"/>
  <c r="M155" s="1"/>
  <c r="M65"/>
  <c r="M72"/>
  <c r="Z48"/>
  <c r="AA34" i="6"/>
  <c r="E45"/>
  <c r="E137"/>
  <c r="E46"/>
  <c r="AA35"/>
  <c r="E138"/>
  <c r="X53" i="7"/>
  <c r="X62" s="1"/>
  <c r="X83" s="1"/>
  <c r="AD9" i="16" s="1"/>
  <c r="X35" i="7"/>
  <c r="Z35" s="1"/>
  <c r="J50" i="6"/>
  <c r="P6" i="16"/>
  <c r="AA36" i="6"/>
  <c r="E47"/>
  <c r="E139"/>
  <c r="S54" i="7"/>
  <c r="S63" s="1"/>
  <c r="S84" s="1"/>
  <c r="Y10" i="16" s="1"/>
  <c r="S36" i="7"/>
  <c r="W34"/>
  <c r="W52"/>
  <c r="W61" s="1"/>
  <c r="W82" s="1"/>
  <c r="AC8" i="16" s="1"/>
  <c r="E44" i="6"/>
  <c r="AA33"/>
  <c r="E38"/>
  <c r="E136"/>
  <c r="L44"/>
  <c r="L38"/>
  <c r="L136"/>
  <c r="F44"/>
  <c r="F38"/>
  <c r="F136"/>
  <c r="T44"/>
  <c r="T38"/>
  <c r="T136"/>
  <c r="T141" s="1"/>
  <c r="X44"/>
  <c r="X38"/>
  <c r="X136"/>
  <c r="X141" s="1"/>
  <c r="H44"/>
  <c r="H38"/>
  <c r="H136"/>
  <c r="V52" i="7"/>
  <c r="V61" s="1"/>
  <c r="V82" s="1"/>
  <c r="AB8" i="16" s="1"/>
  <c r="V34" i="7"/>
  <c r="M44" i="6"/>
  <c r="M38"/>
  <c r="M136"/>
  <c r="I44"/>
  <c r="I38"/>
  <c r="I136"/>
  <c r="S44"/>
  <c r="S38"/>
  <c r="S136"/>
  <c r="S141" s="1"/>
  <c r="P44"/>
  <c r="P38"/>
  <c r="P136"/>
  <c r="P141" s="1"/>
  <c r="O44"/>
  <c r="O38"/>
  <c r="O136"/>
  <c r="G44"/>
  <c r="G136"/>
  <c r="N44"/>
  <c r="N38"/>
  <c r="N136"/>
  <c r="V35" i="7"/>
  <c r="V53"/>
  <c r="V62" s="1"/>
  <c r="V83" s="1"/>
  <c r="AB9" i="16" s="1"/>
  <c r="Q36" i="7"/>
  <c r="Q54"/>
  <c r="Q63" s="1"/>
  <c r="Q84" s="1"/>
  <c r="W10" i="16" s="1"/>
  <c r="Q44" i="6"/>
  <c r="Q136"/>
  <c r="Q141" s="1"/>
  <c r="U44"/>
  <c r="U38"/>
  <c r="U136"/>
  <c r="U141" s="1"/>
  <c r="V44"/>
  <c r="V38"/>
  <c r="V136"/>
  <c r="V141" s="1"/>
  <c r="W44"/>
  <c r="W38"/>
  <c r="W136"/>
  <c r="W141" s="1"/>
  <c r="K44"/>
  <c r="K38"/>
  <c r="K136"/>
  <c r="W53" i="7"/>
  <c r="W62" s="1"/>
  <c r="W83" s="1"/>
  <c r="AC9" i="16" s="1"/>
  <c r="W35" i="7"/>
  <c r="J44" i="6"/>
  <c r="J136"/>
  <c r="R44"/>
  <c r="R38"/>
  <c r="R136"/>
  <c r="R141" s="1"/>
  <c r="Q50"/>
  <c r="W6" i="16"/>
  <c r="Q52" i="7"/>
  <c r="Q61" s="1"/>
  <c r="Q82" s="1"/>
  <c r="W8" i="16" s="1"/>
  <c r="Q34" i="7"/>
  <c r="R53"/>
  <c r="R62" s="1"/>
  <c r="R83" s="1"/>
  <c r="X9" i="16" s="1"/>
  <c r="R35" i="7"/>
  <c r="AA28" i="6"/>
  <c r="J38"/>
  <c r="F69" i="7" l="1"/>
  <c r="E74"/>
  <c r="N7" i="16"/>
  <c r="H114" i="7"/>
  <c r="H104"/>
  <c r="H109"/>
  <c r="H146" s="1"/>
  <c r="H108"/>
  <c r="H101"/>
  <c r="H123"/>
  <c r="H121"/>
  <c r="H158" s="1"/>
  <c r="H110"/>
  <c r="H106"/>
  <c r="H119"/>
  <c r="H156" s="1"/>
  <c r="H96"/>
  <c r="H133" s="1"/>
  <c r="H97"/>
  <c r="H120"/>
  <c r="H103"/>
  <c r="H140" s="1"/>
  <c r="H115"/>
  <c r="H152" s="1"/>
  <c r="H86"/>
  <c r="H116"/>
  <c r="H122"/>
  <c r="H159" s="1"/>
  <c r="H99"/>
  <c r="H136" s="1"/>
  <c r="H105"/>
  <c r="H107"/>
  <c r="H144" s="1"/>
  <c r="H100"/>
  <c r="H137" s="1"/>
  <c r="H102"/>
  <c r="H139" s="1"/>
  <c r="H98"/>
  <c r="H135" s="1"/>
  <c r="H111"/>
  <c r="H148" s="1"/>
  <c r="H112"/>
  <c r="H149" s="1"/>
  <c r="H118"/>
  <c r="H155" s="1"/>
  <c r="H117"/>
  <c r="H154" s="1"/>
  <c r="H113"/>
  <c r="K7" i="16"/>
  <c r="E115" i="7"/>
  <c r="E152" s="1"/>
  <c r="E191" s="1"/>
  <c r="E107"/>
  <c r="E122"/>
  <c r="E112"/>
  <c r="E149" s="1"/>
  <c r="E188" s="1"/>
  <c r="E117"/>
  <c r="E123"/>
  <c r="E160" s="1"/>
  <c r="E199" s="1"/>
  <c r="E102"/>
  <c r="E109"/>
  <c r="E113"/>
  <c r="E114"/>
  <c r="E86"/>
  <c r="E103"/>
  <c r="E140" s="1"/>
  <c r="E179" s="1"/>
  <c r="F179" s="1"/>
  <c r="E104"/>
  <c r="E101"/>
  <c r="E119"/>
  <c r="E156" s="1"/>
  <c r="E195" s="1"/>
  <c r="E120"/>
  <c r="E157" s="1"/>
  <c r="E196" s="1"/>
  <c r="F196" s="1"/>
  <c r="E111"/>
  <c r="E148" s="1"/>
  <c r="E187" s="1"/>
  <c r="E97"/>
  <c r="E110"/>
  <c r="E108"/>
  <c r="E145" s="1"/>
  <c r="E184" s="1"/>
  <c r="F184" s="1"/>
  <c r="E96"/>
  <c r="E133" s="1"/>
  <c r="E105"/>
  <c r="E99"/>
  <c r="E121"/>
  <c r="E158" s="1"/>
  <c r="E197" s="1"/>
  <c r="E106"/>
  <c r="E143" s="1"/>
  <c r="E182" s="1"/>
  <c r="F182" s="1"/>
  <c r="E100"/>
  <c r="E137" s="1"/>
  <c r="E176" s="1"/>
  <c r="E116"/>
  <c r="E98"/>
  <c r="E135" s="1"/>
  <c r="E174" s="1"/>
  <c r="R7" i="16"/>
  <c r="L106" i="7"/>
  <c r="L113"/>
  <c r="L120"/>
  <c r="L157" s="1"/>
  <c r="L112"/>
  <c r="L149" s="1"/>
  <c r="L98"/>
  <c r="L121"/>
  <c r="L103"/>
  <c r="L116"/>
  <c r="L153" s="1"/>
  <c r="L117"/>
  <c r="L107"/>
  <c r="L144" s="1"/>
  <c r="L109"/>
  <c r="L146" s="1"/>
  <c r="L105"/>
  <c r="L142" s="1"/>
  <c r="L115"/>
  <c r="L104"/>
  <c r="L110"/>
  <c r="L147" s="1"/>
  <c r="L97"/>
  <c r="L134" s="1"/>
  <c r="L96"/>
  <c r="L133" s="1"/>
  <c r="L101"/>
  <c r="L102"/>
  <c r="L139" s="1"/>
  <c r="L108"/>
  <c r="L145" s="1"/>
  <c r="L123"/>
  <c r="L86"/>
  <c r="L118"/>
  <c r="L155" s="1"/>
  <c r="L100"/>
  <c r="L137" s="1"/>
  <c r="L111"/>
  <c r="L119"/>
  <c r="L114"/>
  <c r="L151" s="1"/>
  <c r="L122"/>
  <c r="L159" s="1"/>
  <c r="L99"/>
  <c r="L136" s="1"/>
  <c r="K139"/>
  <c r="M144"/>
  <c r="M135"/>
  <c r="J148"/>
  <c r="I142"/>
  <c r="I136"/>
  <c r="K150"/>
  <c r="M149"/>
  <c r="M141"/>
  <c r="M159"/>
  <c r="M156"/>
  <c r="M139"/>
  <c r="M162" s="1"/>
  <c r="J155"/>
  <c r="J135"/>
  <c r="J162" s="1"/>
  <c r="J141"/>
  <c r="J150"/>
  <c r="J146"/>
  <c r="J156"/>
  <c r="I147"/>
  <c r="I155"/>
  <c r="I143"/>
  <c r="I149"/>
  <c r="K146"/>
  <c r="K153"/>
  <c r="K137"/>
  <c r="K159"/>
  <c r="K143"/>
  <c r="L7" i="16"/>
  <c r="F113" i="7"/>
  <c r="F102"/>
  <c r="F86"/>
  <c r="F108"/>
  <c r="F145" s="1"/>
  <c r="F104"/>
  <c r="F116"/>
  <c r="F121"/>
  <c r="F158" s="1"/>
  <c r="F117"/>
  <c r="F154" s="1"/>
  <c r="F96"/>
  <c r="F133" s="1"/>
  <c r="F105"/>
  <c r="F98"/>
  <c r="F135" s="1"/>
  <c r="F111"/>
  <c r="F122"/>
  <c r="F109"/>
  <c r="F112"/>
  <c r="F149" s="1"/>
  <c r="F123"/>
  <c r="F160" s="1"/>
  <c r="F107"/>
  <c r="F119"/>
  <c r="F115"/>
  <c r="F152" s="1"/>
  <c r="F100"/>
  <c r="F137" s="1"/>
  <c r="F106"/>
  <c r="F143" s="1"/>
  <c r="F103"/>
  <c r="F140" s="1"/>
  <c r="F110"/>
  <c r="F147" s="1"/>
  <c r="F97"/>
  <c r="F134" s="1"/>
  <c r="F118"/>
  <c r="F114"/>
  <c r="F151" s="1"/>
  <c r="F101"/>
  <c r="F138" s="1"/>
  <c r="F120"/>
  <c r="F157" s="1"/>
  <c r="F99"/>
  <c r="M7" i="16"/>
  <c r="G112" i="7"/>
  <c r="G149" s="1"/>
  <c r="G122"/>
  <c r="G159" s="1"/>
  <c r="G108"/>
  <c r="G97"/>
  <c r="G116"/>
  <c r="G153" s="1"/>
  <c r="G101"/>
  <c r="G138" s="1"/>
  <c r="G100"/>
  <c r="G123"/>
  <c r="G105"/>
  <c r="G142" s="1"/>
  <c r="G111"/>
  <c r="G148" s="1"/>
  <c r="G109"/>
  <c r="G146" s="1"/>
  <c r="G114"/>
  <c r="G117"/>
  <c r="G154" s="1"/>
  <c r="G104"/>
  <c r="G141" s="1"/>
  <c r="G86"/>
  <c r="G110"/>
  <c r="G98"/>
  <c r="G135" s="1"/>
  <c r="G119"/>
  <c r="G107"/>
  <c r="G121"/>
  <c r="G113"/>
  <c r="G150" s="1"/>
  <c r="G96"/>
  <c r="G133" s="1"/>
  <c r="G103"/>
  <c r="G115"/>
  <c r="G152" s="1"/>
  <c r="G106"/>
  <c r="G143" s="1"/>
  <c r="G118"/>
  <c r="G99"/>
  <c r="G120"/>
  <c r="G102"/>
  <c r="G139" s="1"/>
  <c r="M143"/>
  <c r="I139"/>
  <c r="I140"/>
  <c r="I141"/>
  <c r="K141"/>
  <c r="I145"/>
  <c r="M152"/>
  <c r="M154"/>
  <c r="M145"/>
  <c r="M158"/>
  <c r="M150"/>
  <c r="M146"/>
  <c r="J149"/>
  <c r="J153"/>
  <c r="J158"/>
  <c r="J137"/>
  <c r="J143"/>
  <c r="J138"/>
  <c r="I154"/>
  <c r="I152"/>
  <c r="I160"/>
  <c r="I134"/>
  <c r="I162" s="1"/>
  <c r="I157"/>
  <c r="I148"/>
  <c r="I137"/>
  <c r="K152"/>
  <c r="K147"/>
  <c r="K158"/>
  <c r="K142"/>
  <c r="K134"/>
  <c r="K162" s="1"/>
  <c r="S23"/>
  <c r="J141" i="6"/>
  <c r="T23" i="7"/>
  <c r="K141" i="6"/>
  <c r="AB3" i="16"/>
  <c r="V86" i="6"/>
  <c r="V122" s="1"/>
  <c r="V74"/>
  <c r="V85"/>
  <c r="V79"/>
  <c r="V80"/>
  <c r="V60"/>
  <c r="V97" s="1"/>
  <c r="V71"/>
  <c r="V75"/>
  <c r="V112" s="1"/>
  <c r="V67"/>
  <c r="V104" s="1"/>
  <c r="V78"/>
  <c r="V73"/>
  <c r="V77"/>
  <c r="V69"/>
  <c r="V65"/>
  <c r="V66"/>
  <c r="V76"/>
  <c r="V68"/>
  <c r="V105" s="1"/>
  <c r="V63"/>
  <c r="V61"/>
  <c r="V98" s="1"/>
  <c r="V70"/>
  <c r="V64"/>
  <c r="V101" s="1"/>
  <c r="V50"/>
  <c r="V82"/>
  <c r="V81"/>
  <c r="V62"/>
  <c r="V99" s="1"/>
  <c r="V83"/>
  <c r="V87"/>
  <c r="V84"/>
  <c r="V120" s="1"/>
  <c r="V72"/>
  <c r="V109" s="1"/>
  <c r="T3" i="16"/>
  <c r="N67" i="6"/>
  <c r="N76"/>
  <c r="N113" s="1"/>
  <c r="N71"/>
  <c r="N108" s="1"/>
  <c r="N62"/>
  <c r="N72"/>
  <c r="N87"/>
  <c r="N123" s="1"/>
  <c r="N61"/>
  <c r="N84"/>
  <c r="N75"/>
  <c r="N77"/>
  <c r="N83"/>
  <c r="N50"/>
  <c r="N68"/>
  <c r="N105" s="1"/>
  <c r="N60"/>
  <c r="N97" s="1"/>
  <c r="N64"/>
  <c r="N86"/>
  <c r="N81"/>
  <c r="N69"/>
  <c r="N106" s="1"/>
  <c r="N79"/>
  <c r="N115" s="1"/>
  <c r="N70"/>
  <c r="N74"/>
  <c r="N63"/>
  <c r="N100" s="1"/>
  <c r="N65"/>
  <c r="N102" s="1"/>
  <c r="N80"/>
  <c r="N78"/>
  <c r="N82"/>
  <c r="N118" s="1"/>
  <c r="N85"/>
  <c r="N121" s="1"/>
  <c r="N66"/>
  <c r="N73"/>
  <c r="N110" s="1"/>
  <c r="V3" i="16"/>
  <c r="P68" i="6"/>
  <c r="P105" s="1"/>
  <c r="P74"/>
  <c r="P62"/>
  <c r="P85"/>
  <c r="P79"/>
  <c r="P71"/>
  <c r="P66"/>
  <c r="P87"/>
  <c r="P123" s="1"/>
  <c r="P78"/>
  <c r="P72"/>
  <c r="P109" s="1"/>
  <c r="P63"/>
  <c r="P100" s="1"/>
  <c r="P75"/>
  <c r="P112" s="1"/>
  <c r="P84"/>
  <c r="P77"/>
  <c r="P65"/>
  <c r="P64"/>
  <c r="P101" s="1"/>
  <c r="P76"/>
  <c r="P67"/>
  <c r="P104" s="1"/>
  <c r="P69"/>
  <c r="P60"/>
  <c r="P97" s="1"/>
  <c r="P70"/>
  <c r="P107" s="1"/>
  <c r="P80"/>
  <c r="P86"/>
  <c r="P73"/>
  <c r="P110" s="1"/>
  <c r="P82"/>
  <c r="P118" s="1"/>
  <c r="P61"/>
  <c r="P81"/>
  <c r="P83"/>
  <c r="P50"/>
  <c r="R23" i="7"/>
  <c r="I141" i="6"/>
  <c r="Q23" i="7"/>
  <c r="H141" i="6"/>
  <c r="Z3" i="16"/>
  <c r="T79" i="6"/>
  <c r="T69"/>
  <c r="T73"/>
  <c r="T110" s="1"/>
  <c r="T62"/>
  <c r="T74"/>
  <c r="T61"/>
  <c r="T81"/>
  <c r="T84"/>
  <c r="T82"/>
  <c r="T75"/>
  <c r="T112" s="1"/>
  <c r="T80"/>
  <c r="T116" s="1"/>
  <c r="T63"/>
  <c r="T100" s="1"/>
  <c r="T87"/>
  <c r="T66"/>
  <c r="T83"/>
  <c r="T119" s="1"/>
  <c r="T71"/>
  <c r="T77"/>
  <c r="T64"/>
  <c r="T101" s="1"/>
  <c r="T68"/>
  <c r="T105" s="1"/>
  <c r="T78"/>
  <c r="T72"/>
  <c r="T70"/>
  <c r="T107" s="1"/>
  <c r="T60"/>
  <c r="T97" s="1"/>
  <c r="T85"/>
  <c r="T121" s="1"/>
  <c r="T86"/>
  <c r="T76"/>
  <c r="T113" s="1"/>
  <c r="T65"/>
  <c r="T67"/>
  <c r="T50"/>
  <c r="U23" i="7"/>
  <c r="L141" i="6"/>
  <c r="AA136"/>
  <c r="N23" i="7"/>
  <c r="E141" i="6"/>
  <c r="AA139"/>
  <c r="N26" i="7"/>
  <c r="X3" i="16"/>
  <c r="R86" i="6"/>
  <c r="R122" s="1"/>
  <c r="R82"/>
  <c r="R83"/>
  <c r="R60"/>
  <c r="R97" s="1"/>
  <c r="R73"/>
  <c r="R63"/>
  <c r="R100" s="1"/>
  <c r="R84"/>
  <c r="R120" s="1"/>
  <c r="R65"/>
  <c r="R80"/>
  <c r="R116" s="1"/>
  <c r="R76"/>
  <c r="R113" s="1"/>
  <c r="R64"/>
  <c r="R71"/>
  <c r="R81"/>
  <c r="R117" s="1"/>
  <c r="R68"/>
  <c r="R105" s="1"/>
  <c r="R70"/>
  <c r="R62"/>
  <c r="R78"/>
  <c r="R74"/>
  <c r="R66"/>
  <c r="R85"/>
  <c r="R87"/>
  <c r="R123" s="1"/>
  <c r="R61"/>
  <c r="R98" s="1"/>
  <c r="R67"/>
  <c r="R104" s="1"/>
  <c r="R75"/>
  <c r="R69"/>
  <c r="R72"/>
  <c r="R109" s="1"/>
  <c r="R77"/>
  <c r="R79"/>
  <c r="R50"/>
  <c r="AA3" i="16"/>
  <c r="U68" i="6"/>
  <c r="U67"/>
  <c r="U73"/>
  <c r="U64"/>
  <c r="U62"/>
  <c r="U86"/>
  <c r="U61"/>
  <c r="U84"/>
  <c r="U79"/>
  <c r="U75"/>
  <c r="U80"/>
  <c r="U116" s="1"/>
  <c r="U83"/>
  <c r="U70"/>
  <c r="U65"/>
  <c r="U60"/>
  <c r="U97" s="1"/>
  <c r="U72"/>
  <c r="U109" s="1"/>
  <c r="U87"/>
  <c r="U76"/>
  <c r="U113" s="1"/>
  <c r="U63"/>
  <c r="U100" s="1"/>
  <c r="U82"/>
  <c r="U118" s="1"/>
  <c r="U81"/>
  <c r="U78"/>
  <c r="U114" s="1"/>
  <c r="U69"/>
  <c r="U106" s="1"/>
  <c r="U66"/>
  <c r="U103" s="1"/>
  <c r="U71"/>
  <c r="U108" s="1"/>
  <c r="U74"/>
  <c r="U77"/>
  <c r="U85"/>
  <c r="U121" s="1"/>
  <c r="U50"/>
  <c r="X23" i="7"/>
  <c r="O141" i="6"/>
  <c r="Y3" i="16"/>
  <c r="S63" i="6"/>
  <c r="S65"/>
  <c r="S79"/>
  <c r="S115" s="1"/>
  <c r="S64"/>
  <c r="S101" s="1"/>
  <c r="S74"/>
  <c r="S68"/>
  <c r="S50"/>
  <c r="S70"/>
  <c r="S107" s="1"/>
  <c r="S66"/>
  <c r="S78"/>
  <c r="S77"/>
  <c r="S60"/>
  <c r="S97" s="1"/>
  <c r="S61"/>
  <c r="S71"/>
  <c r="S82"/>
  <c r="S87"/>
  <c r="S123" s="1"/>
  <c r="S73"/>
  <c r="S86"/>
  <c r="S80"/>
  <c r="S116" s="1"/>
  <c r="S67"/>
  <c r="S104" s="1"/>
  <c r="S62"/>
  <c r="S99" s="1"/>
  <c r="S76"/>
  <c r="S72"/>
  <c r="S109" s="1"/>
  <c r="S75"/>
  <c r="S112" s="1"/>
  <c r="S84"/>
  <c r="S85"/>
  <c r="S81"/>
  <c r="S83"/>
  <c r="S69"/>
  <c r="S106" s="1"/>
  <c r="V23" i="7"/>
  <c r="M141" i="6"/>
  <c r="L3" i="16"/>
  <c r="F65" i="6"/>
  <c r="F71"/>
  <c r="F69"/>
  <c r="F81"/>
  <c r="F117" s="1"/>
  <c r="F84"/>
  <c r="F64"/>
  <c r="F75"/>
  <c r="F85"/>
  <c r="F121" s="1"/>
  <c r="F63"/>
  <c r="F60"/>
  <c r="F97" s="1"/>
  <c r="F86"/>
  <c r="F77"/>
  <c r="F66"/>
  <c r="F103" s="1"/>
  <c r="F80"/>
  <c r="F79"/>
  <c r="F115" s="1"/>
  <c r="F74"/>
  <c r="F111" s="1"/>
  <c r="F78"/>
  <c r="F62"/>
  <c r="F83"/>
  <c r="F61"/>
  <c r="F98" s="1"/>
  <c r="F73"/>
  <c r="F72"/>
  <c r="F109" s="1"/>
  <c r="F67"/>
  <c r="F104" s="1"/>
  <c r="F82"/>
  <c r="F118" s="1"/>
  <c r="F76"/>
  <c r="F70"/>
  <c r="F68"/>
  <c r="F105" s="1"/>
  <c r="F87"/>
  <c r="F50"/>
  <c r="K3" i="16"/>
  <c r="Y44" i="6"/>
  <c r="AA44" s="1"/>
  <c r="E64"/>
  <c r="E76"/>
  <c r="E62"/>
  <c r="E87"/>
  <c r="E75"/>
  <c r="E80"/>
  <c r="E74"/>
  <c r="E82"/>
  <c r="E79"/>
  <c r="E72"/>
  <c r="E81"/>
  <c r="E117" s="1"/>
  <c r="E68"/>
  <c r="E84"/>
  <c r="E71"/>
  <c r="E63"/>
  <c r="E100" s="1"/>
  <c r="E70"/>
  <c r="E65"/>
  <c r="E102" s="1"/>
  <c r="E69"/>
  <c r="E78"/>
  <c r="E114" s="1"/>
  <c r="E61"/>
  <c r="E66"/>
  <c r="E103" s="1"/>
  <c r="E83"/>
  <c r="E77"/>
  <c r="E85"/>
  <c r="E121" s="1"/>
  <c r="E50"/>
  <c r="E86"/>
  <c r="E73"/>
  <c r="E110" s="1"/>
  <c r="E67"/>
  <c r="E104" s="1"/>
  <c r="AA138"/>
  <c r="N25" i="7"/>
  <c r="K4" i="16"/>
  <c r="Y45" i="6"/>
  <c r="AE4" i="16" s="1"/>
  <c r="Q3"/>
  <c r="K68" i="6"/>
  <c r="K50"/>
  <c r="K64"/>
  <c r="K101" s="1"/>
  <c r="K80"/>
  <c r="K74"/>
  <c r="K67"/>
  <c r="K73"/>
  <c r="K75"/>
  <c r="K61"/>
  <c r="K85"/>
  <c r="K60"/>
  <c r="K97" s="1"/>
  <c r="K70"/>
  <c r="K62"/>
  <c r="K99" s="1"/>
  <c r="K81"/>
  <c r="K117" s="1"/>
  <c r="K76"/>
  <c r="K113" s="1"/>
  <c r="K82"/>
  <c r="K69"/>
  <c r="K106" s="1"/>
  <c r="K72"/>
  <c r="K109" s="1"/>
  <c r="K78"/>
  <c r="K114" s="1"/>
  <c r="K63"/>
  <c r="K86"/>
  <c r="K65"/>
  <c r="K102" s="1"/>
  <c r="K71"/>
  <c r="K108" s="1"/>
  <c r="K77"/>
  <c r="K79"/>
  <c r="K84"/>
  <c r="K120" s="1"/>
  <c r="K87"/>
  <c r="K83"/>
  <c r="K119" s="1"/>
  <c r="K66"/>
  <c r="W23" i="7"/>
  <c r="N141" i="6"/>
  <c r="M3" i="16"/>
  <c r="G61" i="6"/>
  <c r="G50"/>
  <c r="G68"/>
  <c r="G70"/>
  <c r="G63"/>
  <c r="G100" s="1"/>
  <c r="G83"/>
  <c r="G119" s="1"/>
  <c r="G67"/>
  <c r="G64"/>
  <c r="G85"/>
  <c r="G121" s="1"/>
  <c r="G81"/>
  <c r="G117" s="1"/>
  <c r="G78"/>
  <c r="G72"/>
  <c r="G87"/>
  <c r="G77"/>
  <c r="G76"/>
  <c r="G113" s="1"/>
  <c r="G84"/>
  <c r="G74"/>
  <c r="G79"/>
  <c r="G115" s="1"/>
  <c r="G82"/>
  <c r="G62"/>
  <c r="G66"/>
  <c r="G60"/>
  <c r="G97" s="1"/>
  <c r="G73"/>
  <c r="G110" s="1"/>
  <c r="G80"/>
  <c r="G86"/>
  <c r="G122" s="1"/>
  <c r="G71"/>
  <c r="G108" s="1"/>
  <c r="G65"/>
  <c r="G102" s="1"/>
  <c r="G75"/>
  <c r="G69"/>
  <c r="O3" i="16"/>
  <c r="I63" i="6"/>
  <c r="I61"/>
  <c r="I66"/>
  <c r="I103" s="1"/>
  <c r="I71"/>
  <c r="I68"/>
  <c r="I72"/>
  <c r="I69"/>
  <c r="I70"/>
  <c r="I107" s="1"/>
  <c r="I64"/>
  <c r="I101" s="1"/>
  <c r="I83"/>
  <c r="I84"/>
  <c r="I120" s="1"/>
  <c r="I62"/>
  <c r="I99" s="1"/>
  <c r="I82"/>
  <c r="I80"/>
  <c r="I76"/>
  <c r="I74"/>
  <c r="I111" s="1"/>
  <c r="I73"/>
  <c r="I110" s="1"/>
  <c r="I87"/>
  <c r="I81"/>
  <c r="I117" s="1"/>
  <c r="I79"/>
  <c r="I115" s="1"/>
  <c r="I75"/>
  <c r="I65"/>
  <c r="I60"/>
  <c r="I97" s="1"/>
  <c r="I77"/>
  <c r="I86"/>
  <c r="I78"/>
  <c r="I67"/>
  <c r="I104" s="1"/>
  <c r="I85"/>
  <c r="I121" s="1"/>
  <c r="I50"/>
  <c r="N3" i="16"/>
  <c r="H61" i="6"/>
  <c r="H70"/>
  <c r="H107" s="1"/>
  <c r="H86"/>
  <c r="H84"/>
  <c r="H85"/>
  <c r="H121" s="1"/>
  <c r="H78"/>
  <c r="H114" s="1"/>
  <c r="H74"/>
  <c r="H75"/>
  <c r="H66"/>
  <c r="H60"/>
  <c r="H97" s="1"/>
  <c r="H79"/>
  <c r="H62"/>
  <c r="H73"/>
  <c r="H82"/>
  <c r="H118" s="1"/>
  <c r="H87"/>
  <c r="H123" s="1"/>
  <c r="H76"/>
  <c r="H113" s="1"/>
  <c r="H69"/>
  <c r="H106" s="1"/>
  <c r="H77"/>
  <c r="H81"/>
  <c r="H117" s="1"/>
  <c r="H80"/>
  <c r="H63"/>
  <c r="H100" s="1"/>
  <c r="H83"/>
  <c r="H119" s="1"/>
  <c r="H72"/>
  <c r="H68"/>
  <c r="H67"/>
  <c r="H104" s="1"/>
  <c r="H65"/>
  <c r="H102" s="1"/>
  <c r="H71"/>
  <c r="H64"/>
  <c r="H50"/>
  <c r="R3" i="16"/>
  <c r="L72" i="6"/>
  <c r="L84"/>
  <c r="L70"/>
  <c r="L60"/>
  <c r="L97" s="1"/>
  <c r="L79"/>
  <c r="L67"/>
  <c r="L87"/>
  <c r="L78"/>
  <c r="L114" s="1"/>
  <c r="L80"/>
  <c r="L116" s="1"/>
  <c r="L76"/>
  <c r="L65"/>
  <c r="L86"/>
  <c r="L122" s="1"/>
  <c r="L61"/>
  <c r="L85"/>
  <c r="L121" s="1"/>
  <c r="L82"/>
  <c r="L73"/>
  <c r="L110" s="1"/>
  <c r="L69"/>
  <c r="L74"/>
  <c r="L68"/>
  <c r="L105" s="1"/>
  <c r="L64"/>
  <c r="L83"/>
  <c r="L66"/>
  <c r="L71"/>
  <c r="L108" s="1"/>
  <c r="L63"/>
  <c r="L75"/>
  <c r="L112" s="1"/>
  <c r="L77"/>
  <c r="L81"/>
  <c r="L62"/>
  <c r="L99" s="1"/>
  <c r="L50"/>
  <c r="N24" i="7"/>
  <c r="AA137" i="6"/>
  <c r="P3" i="16"/>
  <c r="J84" i="6"/>
  <c r="J75"/>
  <c r="J62"/>
  <c r="J83"/>
  <c r="J66"/>
  <c r="J103" s="1"/>
  <c r="J72"/>
  <c r="J68"/>
  <c r="J79"/>
  <c r="J78"/>
  <c r="J86"/>
  <c r="J73"/>
  <c r="J76"/>
  <c r="J85"/>
  <c r="J121" s="1"/>
  <c r="J67"/>
  <c r="J63"/>
  <c r="J100" s="1"/>
  <c r="J71"/>
  <c r="J70"/>
  <c r="J80"/>
  <c r="J65"/>
  <c r="J74"/>
  <c r="J87"/>
  <c r="J82"/>
  <c r="J61"/>
  <c r="J60"/>
  <c r="J97" s="1"/>
  <c r="J64"/>
  <c r="J101" s="1"/>
  <c r="J69"/>
  <c r="J106" s="1"/>
  <c r="J77"/>
  <c r="J81"/>
  <c r="AC3" i="16"/>
  <c r="W50" i="6"/>
  <c r="W60"/>
  <c r="W97" s="1"/>
  <c r="W70"/>
  <c r="W76"/>
  <c r="W69"/>
  <c r="W63"/>
  <c r="W77"/>
  <c r="W64"/>
  <c r="W101" s="1"/>
  <c r="W62"/>
  <c r="W68"/>
  <c r="W66"/>
  <c r="W80"/>
  <c r="W61"/>
  <c r="W84"/>
  <c r="W65"/>
  <c r="W86"/>
  <c r="W78"/>
  <c r="W71"/>
  <c r="W67"/>
  <c r="W104" s="1"/>
  <c r="W72"/>
  <c r="W109" s="1"/>
  <c r="W82"/>
  <c r="W73"/>
  <c r="W87"/>
  <c r="W83"/>
  <c r="W81"/>
  <c r="W74"/>
  <c r="W85"/>
  <c r="W79"/>
  <c r="W75"/>
  <c r="W3" i="16"/>
  <c r="Q61" i="6"/>
  <c r="Q64"/>
  <c r="Q68"/>
  <c r="Q77"/>
  <c r="Q86"/>
  <c r="Q74"/>
  <c r="Q81"/>
  <c r="Q79"/>
  <c r="Q67"/>
  <c r="Q82"/>
  <c r="Q69"/>
  <c r="Q106" s="1"/>
  <c r="Q72"/>
  <c r="Q71"/>
  <c r="Q80"/>
  <c r="Q116" s="1"/>
  <c r="Q63"/>
  <c r="Q66"/>
  <c r="Q85"/>
  <c r="Q60"/>
  <c r="Q97" s="1"/>
  <c r="Q76"/>
  <c r="Q84"/>
  <c r="Q75"/>
  <c r="Q62"/>
  <c r="Q73"/>
  <c r="Q110" s="1"/>
  <c r="Q70"/>
  <c r="Q83"/>
  <c r="Q87"/>
  <c r="Q65"/>
  <c r="Q78"/>
  <c r="P23" i="7"/>
  <c r="G141" i="6"/>
  <c r="U3" i="16"/>
  <c r="O63" i="6"/>
  <c r="O79"/>
  <c r="O76"/>
  <c r="O67"/>
  <c r="O64"/>
  <c r="O101" s="1"/>
  <c r="O87"/>
  <c r="O83"/>
  <c r="O50"/>
  <c r="O73"/>
  <c r="O72"/>
  <c r="O86"/>
  <c r="O65"/>
  <c r="O68"/>
  <c r="O60"/>
  <c r="O97" s="1"/>
  <c r="O69"/>
  <c r="O106" s="1"/>
  <c r="O75"/>
  <c r="O77"/>
  <c r="O81"/>
  <c r="O85"/>
  <c r="O84"/>
  <c r="O66"/>
  <c r="O70"/>
  <c r="O71"/>
  <c r="O61"/>
  <c r="O80"/>
  <c r="O74"/>
  <c r="O82"/>
  <c r="O62"/>
  <c r="O99" s="1"/>
  <c r="O78"/>
  <c r="S3" i="16"/>
  <c r="M72" i="6"/>
  <c r="M75"/>
  <c r="M74"/>
  <c r="M68"/>
  <c r="M79"/>
  <c r="M78"/>
  <c r="M87"/>
  <c r="M62"/>
  <c r="M69"/>
  <c r="M85"/>
  <c r="M70"/>
  <c r="M76"/>
  <c r="M73"/>
  <c r="M110" s="1"/>
  <c r="M82"/>
  <c r="M84"/>
  <c r="M66"/>
  <c r="M64"/>
  <c r="M71"/>
  <c r="M77"/>
  <c r="M63"/>
  <c r="M100" s="1"/>
  <c r="M86"/>
  <c r="M60"/>
  <c r="M97" s="1"/>
  <c r="M80"/>
  <c r="M65"/>
  <c r="M83"/>
  <c r="M81"/>
  <c r="M67"/>
  <c r="M61"/>
  <c r="M50"/>
  <c r="AD3" i="16"/>
  <c r="X84" i="6"/>
  <c r="X63"/>
  <c r="X87"/>
  <c r="X75"/>
  <c r="X78"/>
  <c r="X80"/>
  <c r="X85"/>
  <c r="X121" s="1"/>
  <c r="X64"/>
  <c r="X81"/>
  <c r="X69"/>
  <c r="X72"/>
  <c r="X73"/>
  <c r="X65"/>
  <c r="X67"/>
  <c r="X50"/>
  <c r="X82"/>
  <c r="X61"/>
  <c r="X62"/>
  <c r="X79"/>
  <c r="X115" s="1"/>
  <c r="X74"/>
  <c r="X111" s="1"/>
  <c r="X70"/>
  <c r="X76"/>
  <c r="X60"/>
  <c r="X97" s="1"/>
  <c r="X83"/>
  <c r="X119" s="1"/>
  <c r="X77"/>
  <c r="X68"/>
  <c r="X105" s="1"/>
  <c r="X71"/>
  <c r="X108" s="1"/>
  <c r="X86"/>
  <c r="X66"/>
  <c r="X103" s="1"/>
  <c r="O23" i="7"/>
  <c r="F141" i="6"/>
  <c r="E60"/>
  <c r="E97" s="1"/>
  <c r="K6" i="16"/>
  <c r="Y47" i="6"/>
  <c r="AE6" i="16" s="1"/>
  <c r="Y46" i="6"/>
  <c r="AE5" i="16" s="1"/>
  <c r="K5"/>
  <c r="AA38" i="6"/>
  <c r="L140" i="7" l="1"/>
  <c r="F188"/>
  <c r="G188" s="1"/>
  <c r="H188" s="1"/>
  <c r="I188" s="1"/>
  <c r="J188" s="1"/>
  <c r="K188" s="1"/>
  <c r="L188" s="1"/>
  <c r="M188" s="1"/>
  <c r="G69"/>
  <c r="F74"/>
  <c r="E172"/>
  <c r="E155"/>
  <c r="E194" s="1"/>
  <c r="E154"/>
  <c r="E193" s="1"/>
  <c r="F193" s="1"/>
  <c r="G193" s="1"/>
  <c r="H193" s="1"/>
  <c r="I193" s="1"/>
  <c r="J193" s="1"/>
  <c r="K193" s="1"/>
  <c r="I108" i="6"/>
  <c r="S117"/>
  <c r="V113"/>
  <c r="F174" i="7"/>
  <c r="G174" s="1"/>
  <c r="H174" s="1"/>
  <c r="I174" s="1"/>
  <c r="J174" s="1"/>
  <c r="K174" s="1"/>
  <c r="L174" s="1"/>
  <c r="M174" s="1"/>
  <c r="G196"/>
  <c r="H196" s="1"/>
  <c r="I196" s="1"/>
  <c r="J196" s="1"/>
  <c r="K196" s="1"/>
  <c r="L196" s="1"/>
  <c r="M196" s="1"/>
  <c r="E146"/>
  <c r="E185" s="1"/>
  <c r="H160"/>
  <c r="AA47" i="6"/>
  <c r="M101"/>
  <c r="M106"/>
  <c r="O118"/>
  <c r="Q99"/>
  <c r="W122"/>
  <c r="J114"/>
  <c r="E118"/>
  <c r="F123"/>
  <c r="S119"/>
  <c r="U119"/>
  <c r="U101"/>
  <c r="R111"/>
  <c r="T102"/>
  <c r="P120"/>
  <c r="N119"/>
  <c r="G156" i="7"/>
  <c r="E141"/>
  <c r="E180" s="1"/>
  <c r="F180" s="1"/>
  <c r="G180" s="1"/>
  <c r="X122" i="6"/>
  <c r="X118"/>
  <c r="X110"/>
  <c r="X101"/>
  <c r="M117"/>
  <c r="M108"/>
  <c r="M121"/>
  <c r="M114"/>
  <c r="M112"/>
  <c r="O98"/>
  <c r="O120"/>
  <c r="O112"/>
  <c r="O102"/>
  <c r="O104"/>
  <c r="Q102"/>
  <c r="Q113"/>
  <c r="Q100"/>
  <c r="Q117"/>
  <c r="Q105"/>
  <c r="W114"/>
  <c r="W98"/>
  <c r="W106"/>
  <c r="J118"/>
  <c r="J116"/>
  <c r="J104"/>
  <c r="J122"/>
  <c r="J109"/>
  <c r="J112"/>
  <c r="E120"/>
  <c r="F110"/>
  <c r="F100"/>
  <c r="F102"/>
  <c r="S103"/>
  <c r="U123"/>
  <c r="U115"/>
  <c r="U105"/>
  <c r="R103"/>
  <c r="V119"/>
  <c r="G136" i="7"/>
  <c r="G162" s="1"/>
  <c r="G140"/>
  <c r="G144"/>
  <c r="G137"/>
  <c r="G145"/>
  <c r="G184" s="1"/>
  <c r="H184" s="1"/>
  <c r="I184" s="1"/>
  <c r="J184" s="1"/>
  <c r="K184" s="1"/>
  <c r="L184" s="1"/>
  <c r="M184" s="1"/>
  <c r="F136"/>
  <c r="F155"/>
  <c r="F144"/>
  <c r="F159"/>
  <c r="F141"/>
  <c r="F150"/>
  <c r="L148"/>
  <c r="L160"/>
  <c r="L152"/>
  <c r="L154"/>
  <c r="L135"/>
  <c r="L143"/>
  <c r="F176"/>
  <c r="G176" s="1"/>
  <c r="H176" s="1"/>
  <c r="I176" s="1"/>
  <c r="J176" s="1"/>
  <c r="K176" s="1"/>
  <c r="L176" s="1"/>
  <c r="M176" s="1"/>
  <c r="E142"/>
  <c r="E181" s="1"/>
  <c r="F181" s="1"/>
  <c r="G181" s="1"/>
  <c r="H181" s="1"/>
  <c r="I181" s="1"/>
  <c r="J181" s="1"/>
  <c r="K181" s="1"/>
  <c r="L181" s="1"/>
  <c r="M181" s="1"/>
  <c r="E134"/>
  <c r="E173" s="1"/>
  <c r="F173" s="1"/>
  <c r="E138"/>
  <c r="E177" s="1"/>
  <c r="F177" s="1"/>
  <c r="G177" s="1"/>
  <c r="E151"/>
  <c r="E190" s="1"/>
  <c r="F190" s="1"/>
  <c r="G190" s="1"/>
  <c r="H190" s="1"/>
  <c r="I190" s="1"/>
  <c r="J190" s="1"/>
  <c r="K190" s="1"/>
  <c r="L190" s="1"/>
  <c r="M190" s="1"/>
  <c r="F199"/>
  <c r="G199" s="1"/>
  <c r="H199" s="1"/>
  <c r="I199" s="1"/>
  <c r="J199" s="1"/>
  <c r="K199" s="1"/>
  <c r="L199" s="1"/>
  <c r="M199" s="1"/>
  <c r="E144"/>
  <c r="E183" s="1"/>
  <c r="H142"/>
  <c r="H134"/>
  <c r="H162" s="1"/>
  <c r="H147"/>
  <c r="H145"/>
  <c r="F197"/>
  <c r="G197" s="1"/>
  <c r="H197" s="1"/>
  <c r="I197" s="1"/>
  <c r="J197" s="1"/>
  <c r="K197" s="1"/>
  <c r="G179"/>
  <c r="H179" s="1"/>
  <c r="I179" s="1"/>
  <c r="J179" s="1"/>
  <c r="K179" s="1"/>
  <c r="H141"/>
  <c r="O108" i="6"/>
  <c r="Q123"/>
  <c r="J120"/>
  <c r="R118"/>
  <c r="P113"/>
  <c r="N101"/>
  <c r="N98"/>
  <c r="V116"/>
  <c r="G155" i="7"/>
  <c r="F148"/>
  <c r="F187" s="1"/>
  <c r="G187" s="1"/>
  <c r="H187" s="1"/>
  <c r="I187" s="1"/>
  <c r="J187" s="1"/>
  <c r="K187" s="1"/>
  <c r="L187" s="1"/>
  <c r="M187" s="1"/>
  <c r="G182"/>
  <c r="H182" s="1"/>
  <c r="I182" s="1"/>
  <c r="J182" s="1"/>
  <c r="K182" s="1"/>
  <c r="L182" s="1"/>
  <c r="M182" s="1"/>
  <c r="E150"/>
  <c r="E189" s="1"/>
  <c r="F189" s="1"/>
  <c r="G189" s="1"/>
  <c r="F191"/>
  <c r="G191" s="1"/>
  <c r="H191" s="1"/>
  <c r="I191" s="1"/>
  <c r="J191" s="1"/>
  <c r="K191" s="1"/>
  <c r="L191" s="1"/>
  <c r="M191" s="1"/>
  <c r="X107" i="6"/>
  <c r="X117"/>
  <c r="X114"/>
  <c r="M104"/>
  <c r="O116"/>
  <c r="O110"/>
  <c r="Q120"/>
  <c r="Q109"/>
  <c r="W108"/>
  <c r="W105"/>
  <c r="J98"/>
  <c r="L117"/>
  <c r="L107"/>
  <c r="H110"/>
  <c r="I113"/>
  <c r="I106"/>
  <c r="G106"/>
  <c r="G103"/>
  <c r="G111"/>
  <c r="K115"/>
  <c r="K98"/>
  <c r="K111"/>
  <c r="G157" i="7"/>
  <c r="G158"/>
  <c r="G147"/>
  <c r="G151"/>
  <c r="G160"/>
  <c r="G134"/>
  <c r="F156"/>
  <c r="F195" s="1"/>
  <c r="G195" s="1"/>
  <c r="H195" s="1"/>
  <c r="I195" s="1"/>
  <c r="J195" s="1"/>
  <c r="K195" s="1"/>
  <c r="L195" s="1"/>
  <c r="M195" s="1"/>
  <c r="F146"/>
  <c r="F142"/>
  <c r="F153"/>
  <c r="F139"/>
  <c r="F162" s="1"/>
  <c r="L156"/>
  <c r="L138"/>
  <c r="L162" s="1"/>
  <c r="L141"/>
  <c r="L158"/>
  <c r="L150"/>
  <c r="E153"/>
  <c r="E192" s="1"/>
  <c r="F192" s="1"/>
  <c r="G192" s="1"/>
  <c r="H192" s="1"/>
  <c r="I192" s="1"/>
  <c r="J192" s="1"/>
  <c r="K192" s="1"/>
  <c r="L192" s="1"/>
  <c r="M192" s="1"/>
  <c r="E136"/>
  <c r="E175" s="1"/>
  <c r="F175" s="1"/>
  <c r="E147"/>
  <c r="E186" s="1"/>
  <c r="F186" s="1"/>
  <c r="G186" s="1"/>
  <c r="H186" s="1"/>
  <c r="I186" s="1"/>
  <c r="J186" s="1"/>
  <c r="K186" s="1"/>
  <c r="L186" s="1"/>
  <c r="M186" s="1"/>
  <c r="E139"/>
  <c r="E178" s="1"/>
  <c r="E159"/>
  <c r="E198" s="1"/>
  <c r="H150"/>
  <c r="H153"/>
  <c r="H157"/>
  <c r="H143"/>
  <c r="H138"/>
  <c r="H151"/>
  <c r="AE3" i="16"/>
  <c r="Y50" i="6"/>
  <c r="C10" s="1"/>
  <c r="U51" i="7"/>
  <c r="U33"/>
  <c r="U38" s="1"/>
  <c r="U28"/>
  <c r="Q33"/>
  <c r="Q38" s="1"/>
  <c r="Q51"/>
  <c r="Q28"/>
  <c r="S33"/>
  <c r="S38" s="1"/>
  <c r="S51"/>
  <c r="S28"/>
  <c r="X109" i="6"/>
  <c r="X123"/>
  <c r="M119"/>
  <c r="M122"/>
  <c r="M115"/>
  <c r="M109"/>
  <c r="O121"/>
  <c r="O122"/>
  <c r="O119"/>
  <c r="O113"/>
  <c r="Q118"/>
  <c r="Q111"/>
  <c r="Q101"/>
  <c r="W115"/>
  <c r="W119"/>
  <c r="W116"/>
  <c r="J123"/>
  <c r="J107"/>
  <c r="L118"/>
  <c r="L102"/>
  <c r="L123"/>
  <c r="H103"/>
  <c r="H98"/>
  <c r="G123"/>
  <c r="G98"/>
  <c r="K103"/>
  <c r="K122"/>
  <c r="E111"/>
  <c r="E99"/>
  <c r="F119"/>
  <c r="F122"/>
  <c r="F112"/>
  <c r="F106"/>
  <c r="S118"/>
  <c r="U98"/>
  <c r="U110"/>
  <c r="R106"/>
  <c r="R114"/>
  <c r="R110"/>
  <c r="AA141"/>
  <c r="T103"/>
  <c r="T98"/>
  <c r="T106"/>
  <c r="P119"/>
  <c r="P121"/>
  <c r="V117"/>
  <c r="V107"/>
  <c r="V115"/>
  <c r="Y97"/>
  <c r="W113"/>
  <c r="W112"/>
  <c r="W118"/>
  <c r="W117"/>
  <c r="W33" i="7"/>
  <c r="W38" s="1"/>
  <c r="W51"/>
  <c r="W28"/>
  <c r="K105" i="6"/>
  <c r="K104"/>
  <c r="M118"/>
  <c r="W99"/>
  <c r="L100"/>
  <c r="L101"/>
  <c r="K121"/>
  <c r="U120"/>
  <c r="T117"/>
  <c r="P114"/>
  <c r="P115"/>
  <c r="W111"/>
  <c r="W110"/>
  <c r="G105"/>
  <c r="G104"/>
  <c r="E116"/>
  <c r="E115"/>
  <c r="N54" i="7"/>
  <c r="N63" s="1"/>
  <c r="Z54"/>
  <c r="Y84" s="1"/>
  <c r="N36"/>
  <c r="R51"/>
  <c r="R33"/>
  <c r="R38" s="1"/>
  <c r="R28"/>
  <c r="T33"/>
  <c r="T38" s="1"/>
  <c r="T51"/>
  <c r="T28"/>
  <c r="X112" i="6"/>
  <c r="E98"/>
  <c r="E105"/>
  <c r="X98"/>
  <c r="X102"/>
  <c r="X120"/>
  <c r="M116"/>
  <c r="M120"/>
  <c r="M107"/>
  <c r="M123"/>
  <c r="M111"/>
  <c r="O114"/>
  <c r="O103"/>
  <c r="O105"/>
  <c r="O100"/>
  <c r="Q114"/>
  <c r="Q107"/>
  <c r="Q103"/>
  <c r="Q115"/>
  <c r="W120"/>
  <c r="W100"/>
  <c r="J102"/>
  <c r="J110"/>
  <c r="J105"/>
  <c r="J99"/>
  <c r="L119"/>
  <c r="L106"/>
  <c r="L98"/>
  <c r="L115"/>
  <c r="L109"/>
  <c r="H108"/>
  <c r="H109"/>
  <c r="H115"/>
  <c r="H111"/>
  <c r="H122"/>
  <c r="I122"/>
  <c r="I112"/>
  <c r="I118"/>
  <c r="I105"/>
  <c r="I100"/>
  <c r="G118"/>
  <c r="G114"/>
  <c r="K123"/>
  <c r="K110"/>
  <c r="AA45"/>
  <c r="B50" s="1"/>
  <c r="AA50"/>
  <c r="E112"/>
  <c r="E101"/>
  <c r="F113"/>
  <c r="F114"/>
  <c r="F120"/>
  <c r="S120"/>
  <c r="S110"/>
  <c r="S98"/>
  <c r="S111"/>
  <c r="S100"/>
  <c r="U117"/>
  <c r="U107"/>
  <c r="U99"/>
  <c r="R107"/>
  <c r="R101"/>
  <c r="R119"/>
  <c r="T104"/>
  <c r="T114"/>
  <c r="T108"/>
  <c r="T120"/>
  <c r="T99"/>
  <c r="P98"/>
  <c r="P116"/>
  <c r="P108"/>
  <c r="P111"/>
  <c r="N103"/>
  <c r="N116"/>
  <c r="N107"/>
  <c r="N122"/>
  <c r="N120"/>
  <c r="N99"/>
  <c r="V100"/>
  <c r="V102"/>
  <c r="V114"/>
  <c r="V111"/>
  <c r="O51" i="7"/>
  <c r="O33"/>
  <c r="O38" s="1"/>
  <c r="O28"/>
  <c r="P33"/>
  <c r="P38" s="1"/>
  <c r="P51"/>
  <c r="P28"/>
  <c r="N52"/>
  <c r="N61" s="1"/>
  <c r="Z52"/>
  <c r="Y82" s="1"/>
  <c r="AE8" i="16" s="1"/>
  <c r="N34" i="7"/>
  <c r="N53"/>
  <c r="N62" s="1"/>
  <c r="Z53"/>
  <c r="Y83" s="1"/>
  <c r="AE9" i="16" s="1"/>
  <c r="N35" i="7"/>
  <c r="E123" i="6"/>
  <c r="E122"/>
  <c r="E107"/>
  <c r="E106"/>
  <c r="E109"/>
  <c r="E108"/>
  <c r="V51" i="7"/>
  <c r="V33"/>
  <c r="V38" s="1"/>
  <c r="V28"/>
  <c r="X51"/>
  <c r="X33"/>
  <c r="X28"/>
  <c r="N33"/>
  <c r="Z51"/>
  <c r="Y81" s="1"/>
  <c r="N51"/>
  <c r="N28"/>
  <c r="V106" i="6"/>
  <c r="AA46"/>
  <c r="X113"/>
  <c r="X99"/>
  <c r="X104"/>
  <c r="X106"/>
  <c r="X116"/>
  <c r="X100"/>
  <c r="M98"/>
  <c r="M102"/>
  <c r="M103"/>
  <c r="M113"/>
  <c r="M99"/>
  <c r="M105"/>
  <c r="O111"/>
  <c r="O107"/>
  <c r="O117"/>
  <c r="O109"/>
  <c r="O123"/>
  <c r="O115"/>
  <c r="Q119"/>
  <c r="Q112"/>
  <c r="Q121"/>
  <c r="Q108"/>
  <c r="Q104"/>
  <c r="Q122"/>
  <c r="Q98"/>
  <c r="W121"/>
  <c r="W123"/>
  <c r="W102"/>
  <c r="W103"/>
  <c r="W107"/>
  <c r="J117"/>
  <c r="J111"/>
  <c r="J108"/>
  <c r="J113"/>
  <c r="J115"/>
  <c r="J119"/>
  <c r="L103"/>
  <c r="L111"/>
  <c r="L113"/>
  <c r="L104"/>
  <c r="L120"/>
  <c r="H101"/>
  <c r="H105"/>
  <c r="H116"/>
  <c r="H99"/>
  <c r="H112"/>
  <c r="H120"/>
  <c r="I114"/>
  <c r="I102"/>
  <c r="I123"/>
  <c r="I116"/>
  <c r="I119"/>
  <c r="I109"/>
  <c r="I98"/>
  <c r="G112"/>
  <c r="G116"/>
  <c r="G99"/>
  <c r="G120"/>
  <c r="G109"/>
  <c r="G101"/>
  <c r="G107"/>
  <c r="K100"/>
  <c r="K118"/>
  <c r="K107"/>
  <c r="K112"/>
  <c r="K116"/>
  <c r="E119"/>
  <c r="E113"/>
  <c r="F107"/>
  <c r="F99"/>
  <c r="F125" s="1"/>
  <c r="F116"/>
  <c r="F101"/>
  <c r="F108"/>
  <c r="S121"/>
  <c r="S113"/>
  <c r="S122"/>
  <c r="S108"/>
  <c r="S114"/>
  <c r="S105"/>
  <c r="S102"/>
  <c r="U111"/>
  <c r="U102"/>
  <c r="U112"/>
  <c r="U122"/>
  <c r="U104"/>
  <c r="R115"/>
  <c r="R112"/>
  <c r="R121"/>
  <c r="R99"/>
  <c r="R108"/>
  <c r="R102"/>
  <c r="T122"/>
  <c r="T109"/>
  <c r="T123"/>
  <c r="T125" s="1"/>
  <c r="T118"/>
  <c r="T111"/>
  <c r="T115"/>
  <c r="P117"/>
  <c r="P122"/>
  <c r="P106"/>
  <c r="P102"/>
  <c r="P103"/>
  <c r="P99"/>
  <c r="N114"/>
  <c r="N111"/>
  <c r="N117"/>
  <c r="N112"/>
  <c r="N109"/>
  <c r="N104"/>
  <c r="V123"/>
  <c r="V118"/>
  <c r="V103"/>
  <c r="V110"/>
  <c r="V108"/>
  <c r="V121"/>
  <c r="F172" i="7" l="1"/>
  <c r="E201"/>
  <c r="V125" i="6"/>
  <c r="G125"/>
  <c r="Y102"/>
  <c r="Y103"/>
  <c r="Q125"/>
  <c r="L125"/>
  <c r="X125"/>
  <c r="F178" i="7"/>
  <c r="G178" s="1"/>
  <c r="H178" s="1"/>
  <c r="I178" s="1"/>
  <c r="J178" s="1"/>
  <c r="K178" s="1"/>
  <c r="L178" s="1"/>
  <c r="M178" s="1"/>
  <c r="H189"/>
  <c r="I189" s="1"/>
  <c r="J189" s="1"/>
  <c r="K189" s="1"/>
  <c r="L189" s="1"/>
  <c r="M189" s="1"/>
  <c r="L197"/>
  <c r="M197" s="1"/>
  <c r="H177"/>
  <c r="I177" s="1"/>
  <c r="J177" s="1"/>
  <c r="K177" s="1"/>
  <c r="L177" s="1"/>
  <c r="M177" s="1"/>
  <c r="L193"/>
  <c r="M193" s="1"/>
  <c r="K125" i="6"/>
  <c r="Y106"/>
  <c r="J125"/>
  <c r="Y121"/>
  <c r="U125"/>
  <c r="F198" i="7"/>
  <c r="G198" s="1"/>
  <c r="H198" s="1"/>
  <c r="I198" s="1"/>
  <c r="J198" s="1"/>
  <c r="K198" s="1"/>
  <c r="L198" s="1"/>
  <c r="M198" s="1"/>
  <c r="G175"/>
  <c r="H175" s="1"/>
  <c r="I175" s="1"/>
  <c r="J175" s="1"/>
  <c r="K175" s="1"/>
  <c r="L175" s="1"/>
  <c r="M175" s="1"/>
  <c r="L179"/>
  <c r="M179" s="1"/>
  <c r="H69"/>
  <c r="G74"/>
  <c r="Y117" i="6"/>
  <c r="N125"/>
  <c r="Y120"/>
  <c r="S125"/>
  <c r="Y114"/>
  <c r="Y118"/>
  <c r="H125"/>
  <c r="Y116"/>
  <c r="H180" i="7"/>
  <c r="I180" s="1"/>
  <c r="J180" s="1"/>
  <c r="K180" s="1"/>
  <c r="L180" s="1"/>
  <c r="M180" s="1"/>
  <c r="E162"/>
  <c r="E163" s="1"/>
  <c r="F163" s="1"/>
  <c r="G163" s="1"/>
  <c r="H163" s="1"/>
  <c r="I163" s="1"/>
  <c r="J163" s="1"/>
  <c r="K163" s="1"/>
  <c r="L163" s="1"/>
  <c r="M163" s="1"/>
  <c r="R125" i="6"/>
  <c r="I125"/>
  <c r="Y104"/>
  <c r="Y110"/>
  <c r="O125"/>
  <c r="M125"/>
  <c r="F183" i="7"/>
  <c r="G183" s="1"/>
  <c r="H183" s="1"/>
  <c r="I183" s="1"/>
  <c r="J183" s="1"/>
  <c r="K183" s="1"/>
  <c r="L183" s="1"/>
  <c r="M183" s="1"/>
  <c r="G173"/>
  <c r="H173" s="1"/>
  <c r="I173" s="1"/>
  <c r="J173" s="1"/>
  <c r="K173" s="1"/>
  <c r="L173" s="1"/>
  <c r="M173" s="1"/>
  <c r="F185"/>
  <c r="G185" s="1"/>
  <c r="H185" s="1"/>
  <c r="I185" s="1"/>
  <c r="J185" s="1"/>
  <c r="K185" s="1"/>
  <c r="L185" s="1"/>
  <c r="M185" s="1"/>
  <c r="F194"/>
  <c r="G194" s="1"/>
  <c r="H194" s="1"/>
  <c r="I194" s="1"/>
  <c r="J194" s="1"/>
  <c r="K194" s="1"/>
  <c r="L194" s="1"/>
  <c r="M194" s="1"/>
  <c r="Y105" i="6"/>
  <c r="P60" i="7"/>
  <c r="P56"/>
  <c r="O60"/>
  <c r="O56"/>
  <c r="T60"/>
  <c r="T56"/>
  <c r="R60"/>
  <c r="R56"/>
  <c r="S60"/>
  <c r="S56"/>
  <c r="AE7" i="16"/>
  <c r="Y122" i="7"/>
  <c r="Y119"/>
  <c r="Y115"/>
  <c r="Y117"/>
  <c r="Y113"/>
  <c r="Y103"/>
  <c r="Y108"/>
  <c r="Y107"/>
  <c r="Y144" s="1"/>
  <c r="Y99"/>
  <c r="Y136" s="1"/>
  <c r="Y86"/>
  <c r="Y100"/>
  <c r="Y110"/>
  <c r="Y147" s="1"/>
  <c r="Y105"/>
  <c r="Y142" s="1"/>
  <c r="Y98"/>
  <c r="Y112"/>
  <c r="Y123"/>
  <c r="Y160" s="1"/>
  <c r="Y111"/>
  <c r="Y104"/>
  <c r="Y141" s="1"/>
  <c r="Y106"/>
  <c r="Y120"/>
  <c r="Y157" s="1"/>
  <c r="Y109"/>
  <c r="Y146" s="1"/>
  <c r="Y96"/>
  <c r="Y133" s="1"/>
  <c r="Y101"/>
  <c r="Y138" s="1"/>
  <c r="Y102"/>
  <c r="Y121"/>
  <c r="Y97"/>
  <c r="Y134" s="1"/>
  <c r="Y118"/>
  <c r="Y116"/>
  <c r="Y153" s="1"/>
  <c r="X60"/>
  <c r="X56"/>
  <c r="N83"/>
  <c r="N71"/>
  <c r="O71" s="1"/>
  <c r="P71" s="1"/>
  <c r="Q71" s="1"/>
  <c r="R71" s="1"/>
  <c r="S71" s="1"/>
  <c r="T71" s="1"/>
  <c r="U71" s="1"/>
  <c r="V71" s="1"/>
  <c r="W71" s="1"/>
  <c r="X71" s="1"/>
  <c r="N72"/>
  <c r="O72" s="1"/>
  <c r="P72" s="1"/>
  <c r="Q72" s="1"/>
  <c r="R72" s="1"/>
  <c r="S72" s="1"/>
  <c r="T72" s="1"/>
  <c r="U72" s="1"/>
  <c r="V72" s="1"/>
  <c r="W72" s="1"/>
  <c r="X72" s="1"/>
  <c r="N84"/>
  <c r="Q60"/>
  <c r="Q56"/>
  <c r="U60"/>
  <c r="U56"/>
  <c r="N60"/>
  <c r="N56"/>
  <c r="Z33"/>
  <c r="Z38" s="1"/>
  <c r="X38"/>
  <c r="V60"/>
  <c r="V56"/>
  <c r="N82"/>
  <c r="N70"/>
  <c r="O70" s="1"/>
  <c r="P70" s="1"/>
  <c r="Q70" s="1"/>
  <c r="R70" s="1"/>
  <c r="S70" s="1"/>
  <c r="T70" s="1"/>
  <c r="U70" s="1"/>
  <c r="V70" s="1"/>
  <c r="W70" s="1"/>
  <c r="X70" s="1"/>
  <c r="Y114"/>
  <c r="AE10" i="16"/>
  <c r="W60" i="7"/>
  <c r="W56"/>
  <c r="Y113" i="6"/>
  <c r="N38" i="7"/>
  <c r="Y111" i="6"/>
  <c r="Y109"/>
  <c r="Y123"/>
  <c r="Y112"/>
  <c r="Y99"/>
  <c r="Y115"/>
  <c r="Y100"/>
  <c r="E125"/>
  <c r="E126" s="1"/>
  <c r="F126" s="1"/>
  <c r="G126" s="1"/>
  <c r="H126" s="1"/>
  <c r="I126" s="1"/>
  <c r="J126" s="1"/>
  <c r="K126" s="1"/>
  <c r="L126" s="1"/>
  <c r="M126" s="1"/>
  <c r="N126" s="1"/>
  <c r="O126" s="1"/>
  <c r="P126" s="1"/>
  <c r="Q126" s="1"/>
  <c r="R126" s="1"/>
  <c r="S126" s="1"/>
  <c r="T126" s="1"/>
  <c r="U126" s="1"/>
  <c r="V126" s="1"/>
  <c r="W126" s="1"/>
  <c r="X126" s="1"/>
  <c r="Y108"/>
  <c r="Y122"/>
  <c r="Y98"/>
  <c r="Y101"/>
  <c r="P125"/>
  <c r="Y119"/>
  <c r="Y107"/>
  <c r="W125"/>
  <c r="I69" i="7" l="1"/>
  <c r="H74"/>
  <c r="F201"/>
  <c r="G172"/>
  <c r="Z56"/>
  <c r="Y126" i="6"/>
  <c r="R81" i="7"/>
  <c r="R65"/>
  <c r="O81"/>
  <c r="O65"/>
  <c r="Y154"/>
  <c r="Y158"/>
  <c r="Y159"/>
  <c r="Y140"/>
  <c r="Y139"/>
  <c r="W81"/>
  <c r="W65"/>
  <c r="T8" i="16"/>
  <c r="AA82" i="7"/>
  <c r="U81"/>
  <c r="U65"/>
  <c r="X81"/>
  <c r="X65"/>
  <c r="Y151"/>
  <c r="Y150"/>
  <c r="T10" i="16"/>
  <c r="AA84" i="7"/>
  <c r="S81"/>
  <c r="S65"/>
  <c r="T81"/>
  <c r="T65"/>
  <c r="P65"/>
  <c r="P81"/>
  <c r="Y148"/>
  <c r="Y135"/>
  <c r="Y156"/>
  <c r="V65"/>
  <c r="V81"/>
  <c r="N81"/>
  <c r="N65"/>
  <c r="Q81"/>
  <c r="Q65"/>
  <c r="AA83"/>
  <c r="T9" i="16"/>
  <c r="Y155" i="7"/>
  <c r="Y143"/>
  <c r="Y149"/>
  <c r="Y137"/>
  <c r="Y145"/>
  <c r="Y152"/>
  <c r="J69" l="1"/>
  <c r="I74"/>
  <c r="Y163"/>
  <c r="G201"/>
  <c r="H172"/>
  <c r="Z7" i="16"/>
  <c r="T99" i="7"/>
  <c r="T109"/>
  <c r="T110"/>
  <c r="T147" s="1"/>
  <c r="T102"/>
  <c r="T119"/>
  <c r="T100"/>
  <c r="T137" s="1"/>
  <c r="T113"/>
  <c r="T86"/>
  <c r="T121"/>
  <c r="T112"/>
  <c r="T122"/>
  <c r="T159" s="1"/>
  <c r="T111"/>
  <c r="T107"/>
  <c r="T103"/>
  <c r="T106"/>
  <c r="T143" s="1"/>
  <c r="T98"/>
  <c r="T108"/>
  <c r="T145" s="1"/>
  <c r="T117"/>
  <c r="T96"/>
  <c r="T133" s="1"/>
  <c r="T104"/>
  <c r="T123"/>
  <c r="T101"/>
  <c r="T138" s="1"/>
  <c r="T114"/>
  <c r="T151" s="1"/>
  <c r="T116"/>
  <c r="T105"/>
  <c r="T120"/>
  <c r="T157" s="1"/>
  <c r="T115"/>
  <c r="T152" s="1"/>
  <c r="T97"/>
  <c r="T118"/>
  <c r="W7" i="16"/>
  <c r="Q112" i="7"/>
  <c r="Q105"/>
  <c r="Q114"/>
  <c r="Q101"/>
  <c r="Q97"/>
  <c r="Q119"/>
  <c r="Q113"/>
  <c r="Q118"/>
  <c r="Q107"/>
  <c r="Q106"/>
  <c r="Q143" s="1"/>
  <c r="Q100"/>
  <c r="Q98"/>
  <c r="Q122"/>
  <c r="Q159" s="1"/>
  <c r="Q111"/>
  <c r="Q121"/>
  <c r="Q102"/>
  <c r="Q139" s="1"/>
  <c r="Q99"/>
  <c r="Q136" s="1"/>
  <c r="Q96"/>
  <c r="Q133" s="1"/>
  <c r="Q108"/>
  <c r="Q116"/>
  <c r="Q117"/>
  <c r="Q154" s="1"/>
  <c r="Q123"/>
  <c r="Q103"/>
  <c r="Q104"/>
  <c r="Q115"/>
  <c r="Q152" s="1"/>
  <c r="Q109"/>
  <c r="Q86"/>
  <c r="Q110"/>
  <c r="Q120"/>
  <c r="V109"/>
  <c r="V117"/>
  <c r="V99"/>
  <c r="V108"/>
  <c r="V96"/>
  <c r="V133" s="1"/>
  <c r="V113"/>
  <c r="V111"/>
  <c r="V105"/>
  <c r="V142" s="1"/>
  <c r="AB7" i="16"/>
  <c r="V104" i="7"/>
  <c r="V102"/>
  <c r="V100"/>
  <c r="V137" s="1"/>
  <c r="V123"/>
  <c r="V121"/>
  <c r="V110"/>
  <c r="V112"/>
  <c r="V149" s="1"/>
  <c r="V106"/>
  <c r="V120"/>
  <c r="V98"/>
  <c r="V103"/>
  <c r="V140" s="1"/>
  <c r="V86"/>
  <c r="V101"/>
  <c r="V115"/>
  <c r="V116"/>
  <c r="V153" s="1"/>
  <c r="V114"/>
  <c r="V122"/>
  <c r="V159" s="1"/>
  <c r="V118"/>
  <c r="V155" s="1"/>
  <c r="V107"/>
  <c r="V97"/>
  <c r="V134" s="1"/>
  <c r="V119"/>
  <c r="AD7" i="16"/>
  <c r="X112" i="7"/>
  <c r="X149" s="1"/>
  <c r="X97"/>
  <c r="X104"/>
  <c r="X141" s="1"/>
  <c r="X106"/>
  <c r="X100"/>
  <c r="X121"/>
  <c r="X123"/>
  <c r="X160" s="1"/>
  <c r="X111"/>
  <c r="X99"/>
  <c r="X120"/>
  <c r="X105"/>
  <c r="X142" s="1"/>
  <c r="X115"/>
  <c r="X118"/>
  <c r="X110"/>
  <c r="X119"/>
  <c r="X156" s="1"/>
  <c r="X122"/>
  <c r="X96"/>
  <c r="X133" s="1"/>
  <c r="X86"/>
  <c r="X102"/>
  <c r="X139" s="1"/>
  <c r="X103"/>
  <c r="X98"/>
  <c r="X135" s="1"/>
  <c r="X114"/>
  <c r="X117"/>
  <c r="X154" s="1"/>
  <c r="X101"/>
  <c r="X107"/>
  <c r="X144" s="1"/>
  <c r="X109"/>
  <c r="X108"/>
  <c r="X145" s="1"/>
  <c r="X116"/>
  <c r="X153" s="1"/>
  <c r="X113"/>
  <c r="X150" s="1"/>
  <c r="X7" i="16"/>
  <c r="R108" i="7"/>
  <c r="R145" s="1"/>
  <c r="R97"/>
  <c r="R122"/>
  <c r="R101"/>
  <c r="R120"/>
  <c r="R157" s="1"/>
  <c r="R110"/>
  <c r="R105"/>
  <c r="R106"/>
  <c r="R86"/>
  <c r="R113"/>
  <c r="R107"/>
  <c r="R144" s="1"/>
  <c r="R96"/>
  <c r="R133" s="1"/>
  <c r="R114"/>
  <c r="R151" s="1"/>
  <c r="R115"/>
  <c r="R121"/>
  <c r="R123"/>
  <c r="R117"/>
  <c r="R119"/>
  <c r="R111"/>
  <c r="R148" s="1"/>
  <c r="R104"/>
  <c r="R141" s="1"/>
  <c r="R100"/>
  <c r="R137" s="1"/>
  <c r="R103"/>
  <c r="R102"/>
  <c r="R139" s="1"/>
  <c r="R112"/>
  <c r="R118"/>
  <c r="R155" s="1"/>
  <c r="R109"/>
  <c r="R99"/>
  <c r="R98"/>
  <c r="R135" s="1"/>
  <c r="R116"/>
  <c r="R153" s="1"/>
  <c r="T7" i="16"/>
  <c r="AA81" i="7"/>
  <c r="B86" s="1"/>
  <c r="N123"/>
  <c r="N160" s="1"/>
  <c r="N199" s="1"/>
  <c r="N120"/>
  <c r="N122"/>
  <c r="N104"/>
  <c r="N96"/>
  <c r="N133" s="1"/>
  <c r="N101"/>
  <c r="N138" s="1"/>
  <c r="N177" s="1"/>
  <c r="N106"/>
  <c r="N109"/>
  <c r="N97"/>
  <c r="N134" s="1"/>
  <c r="N173" s="1"/>
  <c r="N117"/>
  <c r="N154" s="1"/>
  <c r="N193" s="1"/>
  <c r="O193" s="1"/>
  <c r="P193" s="1"/>
  <c r="Q193" s="1"/>
  <c r="N111"/>
  <c r="N116"/>
  <c r="N153" s="1"/>
  <c r="N192" s="1"/>
  <c r="N100"/>
  <c r="N99"/>
  <c r="N136" s="1"/>
  <c r="N175" s="1"/>
  <c r="N114"/>
  <c r="N105"/>
  <c r="N142" s="1"/>
  <c r="N181" s="1"/>
  <c r="N98"/>
  <c r="N135" s="1"/>
  <c r="N174" s="1"/>
  <c r="N112"/>
  <c r="N149" s="1"/>
  <c r="N188" s="1"/>
  <c r="N86"/>
  <c r="N118"/>
  <c r="N107"/>
  <c r="N144" s="1"/>
  <c r="N183" s="1"/>
  <c r="N119"/>
  <c r="N156" s="1"/>
  <c r="N195" s="1"/>
  <c r="O195" s="1"/>
  <c r="N115"/>
  <c r="N152" s="1"/>
  <c r="N191" s="1"/>
  <c r="N102"/>
  <c r="N110"/>
  <c r="N103"/>
  <c r="N140" s="1"/>
  <c r="N179" s="1"/>
  <c r="N121"/>
  <c r="N113"/>
  <c r="N108"/>
  <c r="N145" s="1"/>
  <c r="N184" s="1"/>
  <c r="Y7" i="16"/>
  <c r="S102" i="7"/>
  <c r="S121"/>
  <c r="S109"/>
  <c r="S146" s="1"/>
  <c r="S113"/>
  <c r="S114"/>
  <c r="S111"/>
  <c r="S86"/>
  <c r="S103"/>
  <c r="S140" s="1"/>
  <c r="S106"/>
  <c r="S101"/>
  <c r="S138" s="1"/>
  <c r="S100"/>
  <c r="S110"/>
  <c r="S147" s="1"/>
  <c r="S123"/>
  <c r="S122"/>
  <c r="S159" s="1"/>
  <c r="S119"/>
  <c r="S120"/>
  <c r="S157" s="1"/>
  <c r="S116"/>
  <c r="S115"/>
  <c r="S152" s="1"/>
  <c r="S99"/>
  <c r="S136" s="1"/>
  <c r="S112"/>
  <c r="S149" s="1"/>
  <c r="S98"/>
  <c r="S97"/>
  <c r="S104"/>
  <c r="S118"/>
  <c r="S155" s="1"/>
  <c r="S108"/>
  <c r="S107"/>
  <c r="S144" s="1"/>
  <c r="S117"/>
  <c r="S154" s="1"/>
  <c r="S96"/>
  <c r="S133" s="1"/>
  <c r="S105"/>
  <c r="AA7" i="16"/>
  <c r="U119" i="7"/>
  <c r="U99"/>
  <c r="U136" s="1"/>
  <c r="U110"/>
  <c r="U86"/>
  <c r="U114"/>
  <c r="U115"/>
  <c r="U152" s="1"/>
  <c r="U104"/>
  <c r="U108"/>
  <c r="U107"/>
  <c r="U118"/>
  <c r="U155" s="1"/>
  <c r="U117"/>
  <c r="U112"/>
  <c r="U122"/>
  <c r="U109"/>
  <c r="U146" s="1"/>
  <c r="U98"/>
  <c r="U120"/>
  <c r="U157" s="1"/>
  <c r="U97"/>
  <c r="U134" s="1"/>
  <c r="U111"/>
  <c r="U148" s="1"/>
  <c r="U100"/>
  <c r="U105"/>
  <c r="U142" s="1"/>
  <c r="U116"/>
  <c r="U103"/>
  <c r="U140" s="1"/>
  <c r="U102"/>
  <c r="U123"/>
  <c r="U160" s="1"/>
  <c r="U106"/>
  <c r="U113"/>
  <c r="U150" s="1"/>
  <c r="U96"/>
  <c r="U133" s="1"/>
  <c r="U101"/>
  <c r="U138" s="1"/>
  <c r="U121"/>
  <c r="AC7" i="16"/>
  <c r="W115" i="7"/>
  <c r="W86"/>
  <c r="W114"/>
  <c r="W151" s="1"/>
  <c r="W96"/>
  <c r="W133" s="1"/>
  <c r="W113"/>
  <c r="W120"/>
  <c r="W99"/>
  <c r="W117"/>
  <c r="W110"/>
  <c r="W118"/>
  <c r="W101"/>
  <c r="W116"/>
  <c r="W153" s="1"/>
  <c r="W97"/>
  <c r="W104"/>
  <c r="W141" s="1"/>
  <c r="W119"/>
  <c r="W98"/>
  <c r="W135" s="1"/>
  <c r="W107"/>
  <c r="W122"/>
  <c r="W112"/>
  <c r="W149" s="1"/>
  <c r="W121"/>
  <c r="W158" s="1"/>
  <c r="W103"/>
  <c r="W100"/>
  <c r="W137" s="1"/>
  <c r="W123"/>
  <c r="W108"/>
  <c r="W145" s="1"/>
  <c r="W109"/>
  <c r="W105"/>
  <c r="W142" s="1"/>
  <c r="W106"/>
  <c r="W102"/>
  <c r="W139" s="1"/>
  <c r="W111"/>
  <c r="W148" s="1"/>
  <c r="U7" i="16"/>
  <c r="O115" i="7"/>
  <c r="O112"/>
  <c r="O149" s="1"/>
  <c r="O116"/>
  <c r="O96"/>
  <c r="O133" s="1"/>
  <c r="O107"/>
  <c r="O144" s="1"/>
  <c r="O86"/>
  <c r="O117"/>
  <c r="O154" s="1"/>
  <c r="O100"/>
  <c r="O137" s="1"/>
  <c r="O103"/>
  <c r="O101"/>
  <c r="O138" s="1"/>
  <c r="O106"/>
  <c r="O111"/>
  <c r="O108"/>
  <c r="O145" s="1"/>
  <c r="O110"/>
  <c r="O113"/>
  <c r="O122"/>
  <c r="O118"/>
  <c r="O155" s="1"/>
  <c r="O121"/>
  <c r="O158" s="1"/>
  <c r="O105"/>
  <c r="O102"/>
  <c r="O119"/>
  <c r="O156" s="1"/>
  <c r="O109"/>
  <c r="O146" s="1"/>
  <c r="O99"/>
  <c r="O120"/>
  <c r="O98"/>
  <c r="O97"/>
  <c r="O134" s="1"/>
  <c r="O104"/>
  <c r="O114"/>
  <c r="O151" s="1"/>
  <c r="O123"/>
  <c r="O160" s="1"/>
  <c r="V7" i="16"/>
  <c r="P105" i="7"/>
  <c r="P116"/>
  <c r="P102"/>
  <c r="P118"/>
  <c r="P155" s="1"/>
  <c r="P108"/>
  <c r="P110"/>
  <c r="P107"/>
  <c r="P99"/>
  <c r="P103"/>
  <c r="P120"/>
  <c r="P113"/>
  <c r="P150" s="1"/>
  <c r="P86"/>
  <c r="P97"/>
  <c r="P109"/>
  <c r="P146" s="1"/>
  <c r="P119"/>
  <c r="P98"/>
  <c r="P135" s="1"/>
  <c r="P100"/>
  <c r="P121"/>
  <c r="P158" s="1"/>
  <c r="P117"/>
  <c r="P154" s="1"/>
  <c r="P114"/>
  <c r="P151" s="1"/>
  <c r="P104"/>
  <c r="P141" s="1"/>
  <c r="P106"/>
  <c r="P143" s="1"/>
  <c r="P123"/>
  <c r="P160" s="1"/>
  <c r="P101"/>
  <c r="P138" s="1"/>
  <c r="P112"/>
  <c r="P115"/>
  <c r="P96"/>
  <c r="P133" s="1"/>
  <c r="P111"/>
  <c r="P148" s="1"/>
  <c r="P122"/>
  <c r="Z65"/>
  <c r="H201" l="1"/>
  <c r="I172"/>
  <c r="K69"/>
  <c r="J74"/>
  <c r="V151"/>
  <c r="V143"/>
  <c r="V160"/>
  <c r="V146"/>
  <c r="Q146"/>
  <c r="Q160"/>
  <c r="Q148"/>
  <c r="Q156"/>
  <c r="Q142"/>
  <c r="T134"/>
  <c r="T153"/>
  <c r="T141"/>
  <c r="T148"/>
  <c r="T139"/>
  <c r="O140"/>
  <c r="W143"/>
  <c r="W160"/>
  <c r="W156"/>
  <c r="U158"/>
  <c r="U143"/>
  <c r="N147"/>
  <c r="N186" s="1"/>
  <c r="R149"/>
  <c r="R160"/>
  <c r="R143"/>
  <c r="X151"/>
  <c r="V139"/>
  <c r="Q141"/>
  <c r="Q135"/>
  <c r="Q138"/>
  <c r="P136"/>
  <c r="O147"/>
  <c r="W154"/>
  <c r="S150"/>
  <c r="O188"/>
  <c r="O177"/>
  <c r="P177" s="1"/>
  <c r="N157"/>
  <c r="N196" s="1"/>
  <c r="R154"/>
  <c r="R193" s="1"/>
  <c r="S193" s="1"/>
  <c r="T193" s="1"/>
  <c r="U193" s="1"/>
  <c r="V193" s="1"/>
  <c r="W193" s="1"/>
  <c r="X193" s="1"/>
  <c r="T135"/>
  <c r="P159"/>
  <c r="P149"/>
  <c r="P137"/>
  <c r="P162" s="1"/>
  <c r="P134"/>
  <c r="P140"/>
  <c r="P145"/>
  <c r="P142"/>
  <c r="O141"/>
  <c r="O136"/>
  <c r="O175" s="1"/>
  <c r="P175" s="1"/>
  <c r="Q175" s="1"/>
  <c r="O142"/>
  <c r="O181" s="1"/>
  <c r="O150"/>
  <c r="O143"/>
  <c r="O153"/>
  <c r="O192" s="1"/>
  <c r="W146"/>
  <c r="W140"/>
  <c r="W144"/>
  <c r="W134"/>
  <c r="W147"/>
  <c r="W150"/>
  <c r="W152"/>
  <c r="U139"/>
  <c r="U137"/>
  <c r="U135"/>
  <c r="U154"/>
  <c r="U141"/>
  <c r="U147"/>
  <c r="S142"/>
  <c r="S145"/>
  <c r="S135"/>
  <c r="S153"/>
  <c r="S160"/>
  <c r="S143"/>
  <c r="S151"/>
  <c r="S139"/>
  <c r="N158"/>
  <c r="N197" s="1"/>
  <c r="O197" s="1"/>
  <c r="P197" s="1"/>
  <c r="C10"/>
  <c r="N151"/>
  <c r="N190" s="1"/>
  <c r="O190" s="1"/>
  <c r="P190" s="1"/>
  <c r="N148"/>
  <c r="N187" s="1"/>
  <c r="N143"/>
  <c r="N182" s="1"/>
  <c r="O182" s="1"/>
  <c r="P182" s="1"/>
  <c r="Q182" s="1"/>
  <c r="R182" s="1"/>
  <c r="S182" s="1"/>
  <c r="T182" s="1"/>
  <c r="U182" s="1"/>
  <c r="V182" s="1"/>
  <c r="W182" s="1"/>
  <c r="X182" s="1"/>
  <c r="N159"/>
  <c r="N198" s="1"/>
  <c r="R146"/>
  <c r="R140"/>
  <c r="R156"/>
  <c r="R152"/>
  <c r="R150"/>
  <c r="R147"/>
  <c r="R134"/>
  <c r="X138"/>
  <c r="X140"/>
  <c r="X159"/>
  <c r="X152"/>
  <c r="X148"/>
  <c r="X143"/>
  <c r="V156"/>
  <c r="V138"/>
  <c r="V157"/>
  <c r="V158"/>
  <c r="V141"/>
  <c r="V150"/>
  <c r="V154"/>
  <c r="Q140"/>
  <c r="Q145"/>
  <c r="Q158"/>
  <c r="Q137"/>
  <c r="Q150"/>
  <c r="Q151"/>
  <c r="T155"/>
  <c r="T142"/>
  <c r="T160"/>
  <c r="T144"/>
  <c r="T158"/>
  <c r="T156"/>
  <c r="T136"/>
  <c r="P152"/>
  <c r="P157"/>
  <c r="P147"/>
  <c r="P153"/>
  <c r="O157"/>
  <c r="O139"/>
  <c r="O159"/>
  <c r="O148"/>
  <c r="W159"/>
  <c r="W155"/>
  <c r="W157"/>
  <c r="U149"/>
  <c r="U145"/>
  <c r="AA86"/>
  <c r="S134"/>
  <c r="S148"/>
  <c r="S158"/>
  <c r="N150"/>
  <c r="N189" s="1"/>
  <c r="N139"/>
  <c r="N178" s="1"/>
  <c r="N155"/>
  <c r="N194" s="1"/>
  <c r="O194" s="1"/>
  <c r="P194" s="1"/>
  <c r="N146"/>
  <c r="N185" s="1"/>
  <c r="O185" s="1"/>
  <c r="P185" s="1"/>
  <c r="Q185" s="1"/>
  <c r="R185" s="1"/>
  <c r="S185" s="1"/>
  <c r="N141"/>
  <c r="N180" s="1"/>
  <c r="O180" s="1"/>
  <c r="P180" s="1"/>
  <c r="Q180" s="1"/>
  <c r="R180" s="1"/>
  <c r="R136"/>
  <c r="R158"/>
  <c r="R142"/>
  <c r="R159"/>
  <c r="X155"/>
  <c r="X136"/>
  <c r="X137"/>
  <c r="V152"/>
  <c r="V135"/>
  <c r="V147"/>
  <c r="V148"/>
  <c r="V136"/>
  <c r="Q147"/>
  <c r="Q153"/>
  <c r="Q155"/>
  <c r="T154"/>
  <c r="T140"/>
  <c r="T149"/>
  <c r="T146"/>
  <c r="P156"/>
  <c r="P195" s="1"/>
  <c r="Q195" s="1"/>
  <c r="R195" s="1"/>
  <c r="P144"/>
  <c r="P139"/>
  <c r="O135"/>
  <c r="O174" s="1"/>
  <c r="P174" s="1"/>
  <c r="Q174" s="1"/>
  <c r="R174" s="1"/>
  <c r="S174" s="1"/>
  <c r="T174" s="1"/>
  <c r="O179"/>
  <c r="O152"/>
  <c r="O191" s="1"/>
  <c r="P191" s="1"/>
  <c r="Q191" s="1"/>
  <c r="R191" s="1"/>
  <c r="S191" s="1"/>
  <c r="T191" s="1"/>
  <c r="U191" s="1"/>
  <c r="W138"/>
  <c r="W136"/>
  <c r="U153"/>
  <c r="U159"/>
  <c r="U144"/>
  <c r="U151"/>
  <c r="U156"/>
  <c r="S141"/>
  <c r="S156"/>
  <c r="S137"/>
  <c r="O184"/>
  <c r="P184" s="1"/>
  <c r="O183"/>
  <c r="P183" s="1"/>
  <c r="N137"/>
  <c r="N176" s="1"/>
  <c r="O176" s="1"/>
  <c r="O173"/>
  <c r="P173" s="1"/>
  <c r="O199"/>
  <c r="P199" s="1"/>
  <c r="Q199" s="1"/>
  <c r="R199" s="1"/>
  <c r="R138"/>
  <c r="X146"/>
  <c r="X147"/>
  <c r="X157"/>
  <c r="X158"/>
  <c r="X134"/>
  <c r="X162" s="1"/>
  <c r="V144"/>
  <c r="V145"/>
  <c r="Q157"/>
  <c r="Q144"/>
  <c r="Q134"/>
  <c r="Q149"/>
  <c r="T150"/>
  <c r="I201" l="1"/>
  <c r="J172"/>
  <c r="T185"/>
  <c r="U185" s="1"/>
  <c r="V185" s="1"/>
  <c r="Q162"/>
  <c r="Q173"/>
  <c r="R173" s="1"/>
  <c r="S173" s="1"/>
  <c r="T173" s="1"/>
  <c r="U173" s="1"/>
  <c r="V173" s="1"/>
  <c r="W173" s="1"/>
  <c r="X173" s="1"/>
  <c r="S162"/>
  <c r="U174"/>
  <c r="V174" s="1"/>
  <c r="W174" s="1"/>
  <c r="X174" s="1"/>
  <c r="N162"/>
  <c r="N163" s="1"/>
  <c r="O189"/>
  <c r="P189" s="1"/>
  <c r="Q189" s="1"/>
  <c r="R189" s="1"/>
  <c r="S189" s="1"/>
  <c r="T189" s="1"/>
  <c r="U189" s="1"/>
  <c r="V189" s="1"/>
  <c r="W189" s="1"/>
  <c r="X189" s="1"/>
  <c r="R162"/>
  <c r="L69"/>
  <c r="K74"/>
  <c r="S199"/>
  <c r="T199" s="1"/>
  <c r="U199" s="1"/>
  <c r="V199" s="1"/>
  <c r="W199" s="1"/>
  <c r="X199" s="1"/>
  <c r="Q184"/>
  <c r="R184" s="1"/>
  <c r="S195"/>
  <c r="T195" s="1"/>
  <c r="U195" s="1"/>
  <c r="V195" s="1"/>
  <c r="W195" s="1"/>
  <c r="X195" s="1"/>
  <c r="V162"/>
  <c r="O198"/>
  <c r="W162"/>
  <c r="P192"/>
  <c r="Q192" s="1"/>
  <c r="R192" s="1"/>
  <c r="S192" s="1"/>
  <c r="T192" s="1"/>
  <c r="U192" s="1"/>
  <c r="V192" s="1"/>
  <c r="W192" s="1"/>
  <c r="X192" s="1"/>
  <c r="R175"/>
  <c r="S175" s="1"/>
  <c r="T175" s="1"/>
  <c r="U175" s="1"/>
  <c r="V175" s="1"/>
  <c r="W175" s="1"/>
  <c r="X175" s="1"/>
  <c r="Q177"/>
  <c r="R177" s="1"/>
  <c r="S177" s="1"/>
  <c r="T177" s="1"/>
  <c r="U177" s="1"/>
  <c r="V177" s="1"/>
  <c r="W177" s="1"/>
  <c r="X177" s="1"/>
  <c r="O186"/>
  <c r="Q194"/>
  <c r="R194" s="1"/>
  <c r="S194" s="1"/>
  <c r="T194" s="1"/>
  <c r="U194" s="1"/>
  <c r="V194" s="1"/>
  <c r="W194" s="1"/>
  <c r="X194" s="1"/>
  <c r="U162"/>
  <c r="T162"/>
  <c r="Q190"/>
  <c r="R190" s="1"/>
  <c r="S190" s="1"/>
  <c r="T190" s="1"/>
  <c r="U190" s="1"/>
  <c r="V190" s="1"/>
  <c r="W190" s="1"/>
  <c r="X190" s="1"/>
  <c r="P181"/>
  <c r="Q181" s="1"/>
  <c r="R181" s="1"/>
  <c r="S181" s="1"/>
  <c r="T181" s="1"/>
  <c r="U181" s="1"/>
  <c r="V181" s="1"/>
  <c r="W181" s="1"/>
  <c r="X181" s="1"/>
  <c r="O162"/>
  <c r="O163" s="1"/>
  <c r="P163" s="1"/>
  <c r="Q163" s="1"/>
  <c r="R163" s="1"/>
  <c r="S163" s="1"/>
  <c r="T163" s="1"/>
  <c r="U163" s="1"/>
  <c r="V163" s="1"/>
  <c r="W163" s="1"/>
  <c r="X163" s="1"/>
  <c r="V191"/>
  <c r="W191" s="1"/>
  <c r="X191" s="1"/>
  <c r="S184"/>
  <c r="T184" s="1"/>
  <c r="U184" s="1"/>
  <c r="V184" s="1"/>
  <c r="W184" s="1"/>
  <c r="X184" s="1"/>
  <c r="P179"/>
  <c r="Q179" s="1"/>
  <c r="R179" s="1"/>
  <c r="S179" s="1"/>
  <c r="T179" s="1"/>
  <c r="U179" s="1"/>
  <c r="V179" s="1"/>
  <c r="W179" s="1"/>
  <c r="X179" s="1"/>
  <c r="P198"/>
  <c r="Q198" s="1"/>
  <c r="R198" s="1"/>
  <c r="S198" s="1"/>
  <c r="T198" s="1"/>
  <c r="U198" s="1"/>
  <c r="V198" s="1"/>
  <c r="W198" s="1"/>
  <c r="X198" s="1"/>
  <c r="P186"/>
  <c r="Q186" s="1"/>
  <c r="R186" s="1"/>
  <c r="S186" s="1"/>
  <c r="T186" s="1"/>
  <c r="U186" s="1"/>
  <c r="V186" s="1"/>
  <c r="W186" s="1"/>
  <c r="X186" s="1"/>
  <c r="Q183"/>
  <c r="R183" s="1"/>
  <c r="S183" s="1"/>
  <c r="T183" s="1"/>
  <c r="U183" s="1"/>
  <c r="V183" s="1"/>
  <c r="W183" s="1"/>
  <c r="X183" s="1"/>
  <c r="W185"/>
  <c r="X185" s="1"/>
  <c r="P176"/>
  <c r="Q176" s="1"/>
  <c r="R176" s="1"/>
  <c r="S176" s="1"/>
  <c r="T176" s="1"/>
  <c r="U176" s="1"/>
  <c r="V176" s="1"/>
  <c r="W176" s="1"/>
  <c r="X176" s="1"/>
  <c r="S180"/>
  <c r="T180" s="1"/>
  <c r="U180" s="1"/>
  <c r="V180" s="1"/>
  <c r="W180" s="1"/>
  <c r="X180" s="1"/>
  <c r="O178"/>
  <c r="P178" s="1"/>
  <c r="Q178" s="1"/>
  <c r="R178" s="1"/>
  <c r="S178" s="1"/>
  <c r="T178" s="1"/>
  <c r="U178" s="1"/>
  <c r="V178" s="1"/>
  <c r="W178" s="1"/>
  <c r="X178" s="1"/>
  <c r="O187"/>
  <c r="P187" s="1"/>
  <c r="Q187" s="1"/>
  <c r="R187" s="1"/>
  <c r="S187" s="1"/>
  <c r="T187" s="1"/>
  <c r="U187" s="1"/>
  <c r="V187" s="1"/>
  <c r="W187" s="1"/>
  <c r="X187" s="1"/>
  <c r="Q197"/>
  <c r="R197" s="1"/>
  <c r="S197" s="1"/>
  <c r="T197" s="1"/>
  <c r="U197" s="1"/>
  <c r="V197" s="1"/>
  <c r="W197" s="1"/>
  <c r="X197" s="1"/>
  <c r="O196"/>
  <c r="P196" s="1"/>
  <c r="Q196" s="1"/>
  <c r="R196" s="1"/>
  <c r="S196" s="1"/>
  <c r="T196" s="1"/>
  <c r="U196" s="1"/>
  <c r="V196" s="1"/>
  <c r="W196" s="1"/>
  <c r="X196" s="1"/>
  <c r="P188"/>
  <c r="Q188" s="1"/>
  <c r="R188" s="1"/>
  <c r="S188" s="1"/>
  <c r="T188" s="1"/>
  <c r="U188" s="1"/>
  <c r="V188" s="1"/>
  <c r="W188" s="1"/>
  <c r="X188" s="1"/>
  <c r="K172" l="1"/>
  <c r="J201"/>
  <c r="M69"/>
  <c r="L74"/>
  <c r="K201" l="1"/>
  <c r="L172"/>
  <c r="M74"/>
  <c r="N69"/>
  <c r="L201" l="1"/>
  <c r="M172"/>
  <c r="O69"/>
  <c r="N74"/>
  <c r="M201" l="1"/>
  <c r="N172"/>
  <c r="P69"/>
  <c r="O74"/>
  <c r="N201" l="1"/>
  <c r="O172"/>
  <c r="P74"/>
  <c r="Q69"/>
  <c r="P172" l="1"/>
  <c r="O201"/>
  <c r="Q74"/>
  <c r="R69"/>
  <c r="P201" l="1"/>
  <c r="Q172"/>
  <c r="R74"/>
  <c r="S69"/>
  <c r="R172" l="1"/>
  <c r="Q201"/>
  <c r="S74"/>
  <c r="T69"/>
  <c r="S172" l="1"/>
  <c r="R201"/>
  <c r="U69"/>
  <c r="T74"/>
  <c r="S201" l="1"/>
  <c r="T172"/>
  <c r="V69"/>
  <c r="U74"/>
  <c r="W69" l="1"/>
  <c r="V74"/>
  <c r="U172"/>
  <c r="T201"/>
  <c r="W74" l="1"/>
  <c r="X69"/>
  <c r="X74" s="1"/>
  <c r="V172"/>
  <c r="U201"/>
  <c r="W172" l="1"/>
  <c r="V201"/>
  <c r="X172" l="1"/>
  <c r="X201" s="1"/>
  <c r="W20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sharedStrings.xml><?xml version="1.0" encoding="utf-8"?>
<sst xmlns="http://schemas.openxmlformats.org/spreadsheetml/2006/main" count="1057" uniqueCount="464">
  <si>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</si>
  <si>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</si>
  <si>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</si>
  <si>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</si>
  <si>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</si>
  <si>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</si>
  <si>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</si>
  <si>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</si>
  <si>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</si>
  <si>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</si>
  <si>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</si>
  <si>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</si>
  <si>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</si>
  <si>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</si>
  <si>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</si>
  <si>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</si>
  <si>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</si>
  <si>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</si>
  <si>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</si>
  <si>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</si>
  <si>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</si>
  <si>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</si>
  <si>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</si>
  <si>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</si>
  <si>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</si>
  <si>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</si>
  <si>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</si>
  <si>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</si>
  <si>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</si>
  <si>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</si>
  <si>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</si>
  <si>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</si>
  <si>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</si>
  <si>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</si>
  <si>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</si>
  <si>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</si>
  <si>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</si>
  <si>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</si>
  <si>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</si>
  <si>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</si>
  <si>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</si>
  <si>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</si>
  <si>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</si>
  <si>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</si>
  <si>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</si>
  <si>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</si>
  <si>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</si>
  <si>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</si>
  <si>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</si>
  <si>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</si>
  <si>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</si>
  <si>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</si>
  <si>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Methodology</t>
  </si>
  <si>
    <t>New Homes only.  Also use this to calculate New Homes not addressed due to acheivability, and send that to the NR/Retrofit pool.</t>
  </si>
  <si>
    <t>New</t>
  </si>
  <si>
    <t>Measure Bundle</t>
  </si>
  <si>
    <t>Report Year</t>
  </si>
  <si>
    <t># homes</t>
  </si>
  <si>
    <t>REG_TOTAL_STOCK_# HOMES</t>
  </si>
  <si>
    <t>Total Regional Stock</t>
  </si>
  <si>
    <t>Applicability</t>
  </si>
  <si>
    <t>Achievability =&gt;</t>
  </si>
  <si>
    <t>SUPPLY CURVE SAVINGS BY BUNDLE</t>
  </si>
  <si>
    <t>MWa</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</si>
  <si>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</si>
  <si>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</si>
  <si>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</si>
  <si>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</si>
  <si>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</si>
  <si>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</si>
  <si>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</si>
  <si>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</si>
  <si>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</si>
  <si>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</si>
  <si>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</si>
  <si>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</si>
  <si>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</si>
  <si>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</si>
  <si>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</si>
  <si>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</si>
  <si>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</si>
  <si>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</si>
  <si>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</si>
  <si>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</si>
  <si>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</si>
  <si>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</si>
  <si>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</si>
  <si>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</si>
  <si>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</si>
  <si>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</si>
  <si>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</si>
  <si>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</si>
  <si>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</si>
  <si>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</si>
  <si>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</si>
  <si>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</si>
  <si>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</si>
  <si>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</si>
  <si>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</si>
  <si>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</si>
  <si>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</si>
  <si>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</si>
  <si>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</si>
  <si>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</si>
  <si>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</si>
  <si>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</si>
  <si>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</si>
  <si>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</si>
  <si>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</si>
  <si>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</si>
  <si>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</si>
  <si>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</si>
  <si>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</si>
  <si>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</si>
  <si>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</si>
  <si>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</si>
  <si>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</si>
  <si>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</si>
  <si>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</si>
  <si>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</si>
  <si>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</si>
  <si>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</si>
  <si>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</si>
  <si>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</si>
  <si>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</si>
  <si>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</si>
  <si>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</si>
  <si>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</si>
  <si>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</si>
  <si>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</si>
  <si>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</si>
  <si>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</si>
  <si>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</si>
  <si>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</si>
  <si>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</si>
  <si>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</si>
  <si>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SC_New</t>
  </si>
  <si>
    <t>Total per Year</t>
  </si>
  <si>
    <t>Total Cumulative</t>
  </si>
  <si>
    <t>CALCULATE # HOMES NOT ADDRESSED BY MEASURE AND ADD TO NR/RETROFIT POOL</t>
  </si>
  <si>
    <t># HOMES RESIDUAL &amp; AVAILABLE TO NR/RETROFIT POOL</t>
  </si>
  <si>
    <t>APPLICABLE NEW STOCK MINUS TREATED</t>
  </si>
  <si>
    <t>Homes</t>
  </si>
  <si>
    <t>Total Residual to NR/Retro Pool</t>
  </si>
  <si>
    <t>NR</t>
  </si>
  <si>
    <t># Homes FOR EXISTING STOCK</t>
  </si>
  <si>
    <t># Homes NOT TREATED FROM NEW STOCK AND THUS AVAILABLE FOR NR POOL FROM SC-NEW</t>
  </si>
  <si>
    <t>New Stock into NR/Retro Pool</t>
  </si>
  <si>
    <t>EXISTING STOCK AVAILABLE TO NR/RETROFIT POOL</t>
  </si>
  <si>
    <t>MAX</t>
  </si>
  <si>
    <t>Turnover Rate</t>
  </si>
  <si>
    <t>Saturation</t>
  </si>
  <si>
    <t>CUMULATIVE ADOPTION</t>
  </si>
  <si>
    <t>APPLY MEASURE APPLICABILITY, SATURATION TURNOVER RATE FOR MAX ANNUAL # UNITS</t>
  </si>
  <si>
    <t>INCREMENTAL ACHIEVABILITY</t>
  </si>
  <si>
    <t>ONLY INCLUDE AFTER ONE EUL</t>
  </si>
  <si>
    <t>New standard:</t>
  </si>
  <si>
    <t>Microwave Oven - Only (CT and OTR), Microwave Convection Oven (CT)</t>
  </si>
  <si>
    <t>Level</t>
  </si>
  <si>
    <t>Baseline</t>
  </si>
  <si>
    <t>TSL1</t>
  </si>
  <si>
    <t>TSL2</t>
  </si>
  <si>
    <t>TSL3</t>
  </si>
  <si>
    <t>TSL4</t>
  </si>
  <si>
    <t>Built-In and Over-the-Range Convection Microwave Ovens</t>
  </si>
  <si>
    <t>Standby Power</t>
  </si>
  <si>
    <t>Installed Price</t>
  </si>
  <si>
    <t>$</t>
  </si>
  <si>
    <t>LEVEL 3</t>
  </si>
  <si>
    <t>From EERE-2011-BT-STD-0048-0024.xlsm</t>
  </si>
  <si>
    <t xml:space="preserve">Historical Shipment tab: </t>
  </si>
  <si>
    <t>Hours per year Active:</t>
  </si>
  <si>
    <t>hours</t>
  </si>
  <si>
    <t>Microwave Oven Lifetime</t>
  </si>
  <si>
    <t>years</t>
  </si>
  <si>
    <t>Microwave Ovens Product Class 1</t>
  </si>
  <si>
    <t>Efficiency Level Source</t>
  </si>
  <si>
    <t>Energy Use</t>
  </si>
  <si>
    <t>Watts</t>
  </si>
  <si>
    <t>kWh/yr</t>
  </si>
  <si>
    <t>Microwave Ovens Product Class 2</t>
  </si>
  <si>
    <t>kWh/year savings to top tier efficiency</t>
  </si>
  <si>
    <t>Microwave Top Tier</t>
  </si>
  <si>
    <t>TSL4 Efficiency</t>
  </si>
  <si>
    <t>From LCC &amp; PBP Calcs tab</t>
  </si>
  <si>
    <t>of all microwaves are PC1</t>
  </si>
  <si>
    <t>incremental Cost</t>
  </si>
  <si>
    <t>Weighted avg</t>
  </si>
  <si>
    <t>kWh</t>
  </si>
  <si>
    <t>incr cost</t>
  </si>
  <si>
    <t>='[7P Forecasts D1.xlsx]Res Forecast (Base Case)'!$D$5</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</si>
  <si>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MWa potential available by year for each type.  Turnover Rate, Achievable Penetration Rate and Applicability Factor are looked up from ResMaster.  Savings available for the retrofit measure apply only to the non-NR residual # of homes at the 20th year.  </t>
  </si>
  <si>
    <t>DOE NIA</t>
  </si>
  <si>
    <t>Item</t>
  </si>
  <si>
    <t>Methods &amp; Sources</t>
  </si>
  <si>
    <t>Note</t>
  </si>
  <si>
    <t>Measures Described</t>
  </si>
  <si>
    <t>Energy Savings Calculation Basis</t>
  </si>
  <si>
    <t>Applicable Stock</t>
  </si>
  <si>
    <t>Baseline Saturation</t>
  </si>
  <si>
    <t>Permutations</t>
  </si>
  <si>
    <t>Costs</t>
  </si>
  <si>
    <t>Measure Life</t>
  </si>
  <si>
    <t>Savings Shape</t>
  </si>
  <si>
    <t>EERE-2011-BT-STD-0048-0024.xlsm</t>
  </si>
  <si>
    <t>RECS estimates microwave saturation</t>
  </si>
  <si>
    <t>DOE NIA has zero market share for new standard</t>
  </si>
  <si>
    <t>NA</t>
  </si>
  <si>
    <t>Measure:</t>
  </si>
  <si>
    <t>7P Updates</t>
  </si>
  <si>
    <t>Baseline HVAC Loads</t>
  </si>
  <si>
    <t>Achievability Ramp Rate</t>
  </si>
  <si>
    <t xml:space="preserve">High efficiency microwave, based on DOE standards work (NIA). </t>
  </si>
  <si>
    <t>New std effective 2016</t>
  </si>
  <si>
    <t>High Efficiency Microwave</t>
  </si>
  <si>
    <t>Retro or LO</t>
  </si>
  <si>
    <t>Early Retrofit Parameters</t>
  </si>
  <si>
    <t>R or L</t>
  </si>
  <si>
    <t>Savings 2
(kWh)</t>
  </si>
  <si>
    <t>Remaining
Life (yrs)</t>
  </si>
  <si>
    <t>Salvage Value ($)</t>
  </si>
  <si>
    <t>L</t>
  </si>
  <si>
    <t>Existing</t>
  </si>
  <si>
    <t>from Massoud's Oct 2014 Forecast</t>
  </si>
  <si>
    <t>Normalizing to 2011 counts</t>
  </si>
  <si>
    <t>Microwaves</t>
  </si>
  <si>
    <t>R-All-Food-Oven-All-All-R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</si>
  <si>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</si>
  <si>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</si>
  <si>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</si>
  <si>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</si>
  <si>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</si>
  <si>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</si>
  <si>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</si>
  <si>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</si>
  <si>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</si>
  <si>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</si>
  <si>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</si>
  <si>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</si>
  <si>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</si>
  <si>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</si>
  <si>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</si>
  <si>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</si>
  <si>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</si>
  <si>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</si>
  <si>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</si>
  <si>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</si>
  <si>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</si>
  <si>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</si>
  <si>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</si>
  <si>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</si>
  <si>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</si>
  <si>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</si>
  <si>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</si>
  <si>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</si>
  <si>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</si>
  <si>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</si>
  <si>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</si>
  <si>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</si>
  <si>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</si>
  <si>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</si>
  <si>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</si>
  <si>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</si>
  <si>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</si>
  <si>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</si>
  <si>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</si>
  <si>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</si>
  <si>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</si>
  <si>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</si>
  <si>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</si>
  <si>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</si>
  <si>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</si>
  <si>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</si>
  <si>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</si>
  <si>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</si>
  <si>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</si>
  <si>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</si>
  <si>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</si>
  <si>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</si>
  <si>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</si>
  <si>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</si>
  <si>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</si>
  <si>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</si>
  <si>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</si>
  <si>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</si>
  <si>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</si>
  <si>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</si>
  <si>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</si>
  <si>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</si>
  <si>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</si>
  <si>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</si>
  <si>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</si>
  <si>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</si>
  <si>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</si>
  <si>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</si>
  <si>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</si>
  <si>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</si>
  <si>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</si>
  <si>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</si>
  <si>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</si>
  <si>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</si>
  <si>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</si>
  <si>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</si>
  <si>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</si>
  <si>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</si>
  <si>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</si>
  <si>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</si>
  <si>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</si>
  <si>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</si>
  <si>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</si>
  <si>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</si>
  <si>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</si>
  <si>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</si>
  <si>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</si>
  <si>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</si>
  <si>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</si>
  <si>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</si>
  <si>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</si>
  <si>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</si>
  <si>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</si>
  <si>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</si>
  <si>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</si>
  <si>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</si>
  <si>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</si>
  <si>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</si>
  <si>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</si>
  <si>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</si>
  <si>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</si>
  <si>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</si>
  <si>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</si>
  <si>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</si>
  <si>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</si>
  <si>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</si>
  <si>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</si>
  <si>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</si>
  <si>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</si>
  <si>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</si>
  <si>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</si>
  <si>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</si>
  <si>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</si>
  <si>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</si>
  <si>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</si>
  <si>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</si>
  <si>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</si>
  <si>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</si>
  <si>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</si>
  <si>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</si>
  <si>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</si>
  <si>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</si>
  <si>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</si>
  <si>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</si>
  <si>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</si>
  <si>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</si>
  <si>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</si>
  <si>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</si>
  <si>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</si>
  <si>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</si>
  <si>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</si>
  <si>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</si>
  <si>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</si>
  <si>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</si>
  <si>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</si>
  <si>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</si>
  <si>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</si>
  <si>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</si>
  <si>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</si>
  <si>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</si>
  <si>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</si>
  <si>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</si>
  <si>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</si>
  <si>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</si>
  <si>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</si>
  <si>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</si>
  <si>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</si>
  <si>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</si>
  <si>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</si>
  <si>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</si>
  <si>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</si>
  <si>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</si>
  <si>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</si>
  <si>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</si>
  <si>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</si>
  <si>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</si>
  <si>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</si>
  <si>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</si>
  <si>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</si>
  <si>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</si>
  <si>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</si>
  <si>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</si>
  <si>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</si>
  <si>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</si>
  <si>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</si>
  <si>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</si>
  <si>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</si>
  <si>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</si>
  <si>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</si>
  <si>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</si>
  <si>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</si>
  <si>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</si>
  <si>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</si>
  <si>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</si>
  <si>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</si>
  <si>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</si>
  <si>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</si>
  <si>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</si>
  <si>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</si>
  <si>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</si>
  <si>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</si>
  <si>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</si>
  <si>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</si>
  <si>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</si>
  <si>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</si>
  <si>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</si>
  <si>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</si>
  <si>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</si>
  <si>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</si>
  <si>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</si>
  <si>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</si>
  <si>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</si>
  <si>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</si>
  <si>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</si>
  <si>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</si>
  <si>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</si>
  <si>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</si>
  <si>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</si>
  <si>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</si>
  <si>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</si>
  <si>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</si>
  <si>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</si>
  <si>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</si>
  <si>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</si>
  <si>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</si>
  <si>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</si>
  <si>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</si>
  <si>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</si>
  <si>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</si>
  <si>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</si>
  <si>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new standard</t>
  </si>
  <si>
    <t>RBSA cooking</t>
  </si>
  <si>
    <t>new RBSA metered shape</t>
  </si>
  <si>
    <t>DOE National Impact Analysis, new standard has lower standby power</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</si>
  <si>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</si>
  <si>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</si>
  <si>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</si>
  <si>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</si>
  <si>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</si>
  <si>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</si>
  <si>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DOE NIA Tiers - Tier 4, one option above standard</t>
  </si>
  <si>
    <t>LO 12Med</t>
  </si>
  <si>
    <t>Given new standard, efficient tier w/ zero market share, and no programs, slow ramp rate; low cost</t>
  </si>
  <si>
    <t>Block 2: 0-10 mills/kWh</t>
  </si>
  <si>
    <t>aMW</t>
  </si>
  <si>
    <t>Ramp Rate</t>
  </si>
  <si>
    <t>Resource Type</t>
  </si>
  <si>
    <t>Measure Category</t>
  </si>
  <si>
    <t>Sector</t>
  </si>
  <si>
    <t>End Use</t>
  </si>
  <si>
    <t>kW per unit</t>
  </si>
  <si>
    <t>kWh per unit</t>
  </si>
  <si>
    <t>TRC Net Levelized Cost (Net of All Benefits)</t>
  </si>
  <si>
    <t>Residential</t>
  </si>
  <si>
    <t>End Use:</t>
  </si>
  <si>
    <t>Friday, 6 March , 2015 at 1:52 PM</t>
  </si>
  <si>
    <t>Total Max Potential (aMW)</t>
  </si>
</sst>
</file>

<file path=xl/styles.xml><?xml version="1.0" encoding="utf-8"?>
<styleSheet xmlns="http://schemas.openxmlformats.org/spreadsheetml/2006/main">
  <numFmts count="13">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0_);_(* \(#,##0.00\);_(* &quot;-&quot;?_);_(@_)"/>
    <numFmt numFmtId="169" formatCode="&quot;$&quot;#,##0"/>
    <numFmt numFmtId="170" formatCode="mmm\-yyyy"/>
    <numFmt numFmtId="171" formatCode="0.0;[Red]\-0.0"/>
    <numFmt numFmtId="172" formatCode="\ "/>
  </numFmts>
  <fonts count="65">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b/>
      <sz val="11"/>
      <color indexed="56"/>
      <name val="Calibri"/>
      <family val="2"/>
    </font>
    <font>
      <u/>
      <sz val="10"/>
      <color indexed="12"/>
      <name val="Arial"/>
      <family val="2"/>
    </font>
    <font>
      <u/>
      <sz val="7"/>
      <color indexed="12"/>
      <name val="Arial"/>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1"/>
      <color indexed="8"/>
      <name val="Calibri"/>
      <family val="2"/>
    </font>
    <font>
      <sz val="11"/>
      <color indexed="10"/>
      <name val="Calibri"/>
      <family val="2"/>
    </font>
    <font>
      <sz val="8"/>
      <name val="Arial"/>
      <family val="2"/>
    </font>
    <font>
      <b/>
      <sz val="8"/>
      <name val="Arial"/>
      <family val="2"/>
    </font>
    <font>
      <i/>
      <sz val="8"/>
      <name val="Arial"/>
      <family val="2"/>
    </font>
    <font>
      <b/>
      <sz val="8"/>
      <color indexed="9"/>
      <name val="Arial"/>
      <family val="2"/>
    </font>
    <font>
      <sz val="9"/>
      <name val="Arial"/>
      <family val="2"/>
    </font>
    <font>
      <sz val="8"/>
      <color indexed="9"/>
      <name val="Arial"/>
      <family val="2"/>
    </font>
    <font>
      <sz val="11"/>
      <color indexed="63"/>
      <name val="Calibri"/>
      <family val="2"/>
    </font>
    <font>
      <b/>
      <sz val="15"/>
      <color indexed="62"/>
      <name val="Calibri"/>
      <family val="2"/>
    </font>
    <font>
      <b/>
      <sz val="11"/>
      <color indexed="62"/>
      <name val="Calibri"/>
      <family val="2"/>
    </font>
    <font>
      <sz val="12"/>
      <name val="Helv"/>
    </font>
    <font>
      <b/>
      <sz val="18"/>
      <color indexed="62"/>
      <name val="Cambria"/>
      <family val="2"/>
    </font>
    <font>
      <sz val="10"/>
      <name val="굴림"/>
      <family val="3"/>
      <charset val="129"/>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0"/>
      <color indexed="10"/>
      <name val="Arial"/>
      <family val="2"/>
    </font>
    <font>
      <sz val="9"/>
      <color indexed="81"/>
      <name val="Tahoma"/>
      <family val="2"/>
    </font>
  </fonts>
  <fills count="82">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indexed="43"/>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8"/>
      </patternFill>
    </fill>
    <fill>
      <patternFill patternType="solid">
        <fgColor indexed="54"/>
      </patternFill>
    </fill>
    <fill>
      <patternFill patternType="solid">
        <fgColor indexed="9"/>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4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29">
    <xf numFmtId="0" fontId="0" fillId="0" borderId="0">
      <alignment readingOrder="1"/>
    </xf>
    <xf numFmtId="0" fontId="4" fillId="0" borderId="0"/>
    <xf numFmtId="0" fontId="6" fillId="0" borderId="0"/>
    <xf numFmtId="0" fontId="6" fillId="8" borderId="0" applyNumberFormat="0" applyAlignment="0">
      <alignment horizontal="right"/>
    </xf>
    <xf numFmtId="0" fontId="6" fillId="7" borderId="0" applyNumberFormat="0" applyAlignment="0"/>
    <xf numFmtId="167" fontId="16" fillId="0" borderId="0"/>
    <xf numFmtId="0" fontId="17" fillId="0" borderId="0">
      <alignment horizontal="center" wrapText="1"/>
    </xf>
    <xf numFmtId="9" fontId="6" fillId="0" borderId="0" applyFont="0" applyFill="0" applyBorder="0" applyAlignment="0" applyProtection="0"/>
    <xf numFmtId="0" fontId="18" fillId="0" borderId="0"/>
    <xf numFmtId="0" fontId="18" fillId="0" borderId="0"/>
    <xf numFmtId="0" fontId="3" fillId="0" borderId="0"/>
    <xf numFmtId="0" fontId="3" fillId="0" borderId="0"/>
    <xf numFmtId="0" fontId="6" fillId="0" borderId="0">
      <alignment readingOrder="1"/>
    </xf>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3" fillId="28" borderId="0" applyNumberFormat="0" applyBorder="0" applyAlignment="0" applyProtection="0"/>
    <xf numFmtId="0" fontId="20"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3" fillId="31" borderId="0" applyNumberFormat="0" applyBorder="0" applyAlignment="0" applyProtection="0"/>
    <xf numFmtId="0" fontId="20"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3" fillId="34" borderId="0" applyNumberFormat="0" applyBorder="0" applyAlignment="0" applyProtection="0"/>
    <xf numFmtId="0" fontId="20" fillId="35"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3" fillId="37" borderId="0" applyNumberFormat="0" applyBorder="0" applyAlignment="0" applyProtection="0"/>
    <xf numFmtId="0" fontId="20" fillId="23" borderId="0" applyNumberFormat="0" applyBorder="0" applyAlignment="0" applyProtection="0"/>
    <xf numFmtId="0" fontId="11" fillId="38" borderId="0" applyNumberFormat="0" applyBorder="0" applyAlignment="0" applyProtection="0"/>
    <xf numFmtId="0" fontId="11" fillId="27" borderId="0" applyNumberFormat="0" applyBorder="0" applyAlignment="0" applyProtection="0"/>
    <xf numFmtId="0" fontId="13" fillId="39" borderId="0" applyNumberFormat="0" applyBorder="0" applyAlignment="0" applyProtection="0"/>
    <xf numFmtId="0" fontId="20" fillId="24"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3" fillId="42" borderId="0" applyNumberFormat="0" applyBorder="0" applyAlignment="0" applyProtection="0"/>
    <xf numFmtId="0" fontId="20" fillId="43" borderId="0" applyNumberFormat="0" applyBorder="0" applyAlignment="0" applyProtection="0"/>
    <xf numFmtId="0" fontId="21" fillId="13" borderId="0" applyNumberFormat="0" applyBorder="0" applyAlignment="0" applyProtection="0"/>
    <xf numFmtId="0" fontId="22" fillId="44" borderId="11" applyNumberFormat="0" applyAlignment="0" applyProtection="0"/>
    <xf numFmtId="0" fontId="23" fillId="45" borderId="12" applyNumberFormat="0" applyAlignment="0" applyProtection="0"/>
    <xf numFmtId="41" fontId="2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 fillId="8" borderId="0" applyNumberFormat="0" applyAlignment="0">
      <alignment horizontal="right"/>
    </xf>
    <xf numFmtId="0" fontId="6" fillId="8" borderId="0" applyNumberFormat="0" applyAlignment="0">
      <alignment horizontal="right"/>
    </xf>
    <xf numFmtId="0" fontId="6" fillId="8" borderId="0" applyNumberFormat="0" applyAlignment="0">
      <alignment horizontal="right"/>
    </xf>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0" borderId="13" applyNumberFormat="0" applyFill="0" applyAlignment="0" applyProtection="0"/>
    <xf numFmtId="0" fontId="8" fillId="49" borderId="14">
      <alignment horizontal="left"/>
    </xf>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17" borderId="11" applyNumberFormat="0" applyAlignment="0" applyProtection="0"/>
    <xf numFmtId="0" fontId="38" fillId="0" borderId="17" applyNumberFormat="0" applyFill="0" applyAlignment="0" applyProtection="0"/>
    <xf numFmtId="0" fontId="39" fillId="50" borderId="0" applyNumberFormat="0" applyBorder="0" applyAlignment="0" applyProtection="0"/>
    <xf numFmtId="0" fontId="19" fillId="0" borderId="0"/>
    <xf numFmtId="0" fontId="6" fillId="0" borderId="0"/>
    <xf numFmtId="0" fontId="19" fillId="0" borderId="0"/>
    <xf numFmtId="0" fontId="19" fillId="0" borderId="0"/>
    <xf numFmtId="0" fontId="6" fillId="0" borderId="0"/>
    <xf numFmtId="0" fontId="6"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alignment readingOrder="1"/>
    </xf>
    <xf numFmtId="0" fontId="18"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19" fillId="0" borderId="0"/>
    <xf numFmtId="0" fontId="19" fillId="0" borderId="0"/>
    <xf numFmtId="0" fontId="18" fillId="0" borderId="0"/>
    <xf numFmtId="0" fontId="18" fillId="0" borderId="0"/>
    <xf numFmtId="0" fontId="18" fillId="0" borderId="0"/>
    <xf numFmtId="0" fontId="18" fillId="0" borderId="0"/>
    <xf numFmtId="0" fontId="6" fillId="0" borderId="0">
      <alignment readingOrder="1"/>
    </xf>
    <xf numFmtId="0" fontId="6" fillId="0" borderId="0">
      <alignment readingOrder="1"/>
    </xf>
    <xf numFmtId="0" fontId="6" fillId="0" borderId="0">
      <alignment readingOrder="1"/>
    </xf>
    <xf numFmtId="0" fontId="18" fillId="0" borderId="0"/>
    <xf numFmtId="0" fontId="18" fillId="0" borderId="0"/>
    <xf numFmtId="0" fontId="19" fillId="0" borderId="0"/>
    <xf numFmtId="0" fontId="6" fillId="0" borderId="0">
      <alignment readingOrder="1"/>
    </xf>
    <xf numFmtId="0" fontId="18" fillId="0" borderId="0"/>
    <xf numFmtId="0" fontId="6"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19" fillId="0" borderId="0"/>
    <xf numFmtId="0" fontId="18" fillId="0" borderId="0"/>
    <xf numFmtId="0" fontId="19" fillId="0" borderId="0"/>
    <xf numFmtId="0" fontId="18" fillId="0" borderId="0"/>
    <xf numFmtId="0" fontId="6" fillId="0" borderId="0" applyNumberFormat="0" applyFill="0" applyBorder="0" applyAlignment="0" applyProtection="0"/>
    <xf numFmtId="0" fontId="18" fillId="0" borderId="0"/>
    <xf numFmtId="0" fontId="18" fillId="0" borderId="0"/>
    <xf numFmtId="0" fontId="24" fillId="0" borderId="0"/>
    <xf numFmtId="0" fontId="18" fillId="0" borderId="0"/>
    <xf numFmtId="0" fontId="18" fillId="0" borderId="0"/>
    <xf numFmtId="0" fontId="6" fillId="0" borderId="0">
      <alignment readingOrder="1"/>
    </xf>
    <xf numFmtId="0" fontId="18" fillId="0" borderId="0"/>
    <xf numFmtId="0" fontId="18" fillId="0" borderId="0"/>
    <xf numFmtId="0" fontId="19" fillId="0" borderId="0"/>
    <xf numFmtId="0" fontId="19" fillId="0" borderId="0"/>
    <xf numFmtId="0" fontId="40" fillId="0" borderId="0"/>
    <xf numFmtId="0" fontId="19" fillId="0" borderId="0"/>
    <xf numFmtId="0" fontId="19" fillId="0" borderId="0"/>
    <xf numFmtId="0" fontId="19" fillId="0" borderId="0"/>
    <xf numFmtId="0" fontId="19" fillId="0" borderId="0"/>
    <xf numFmtId="0" fontId="6" fillId="0" borderId="0">
      <alignment readingOrder="1"/>
    </xf>
    <xf numFmtId="0" fontId="6" fillId="0" borderId="0">
      <alignment readingOrder="1"/>
    </xf>
    <xf numFmtId="0" fontId="19" fillId="51" borderId="18" applyNumberFormat="0" applyFont="0" applyAlignment="0" applyProtection="0"/>
    <xf numFmtId="0" fontId="19" fillId="51" borderId="18" applyNumberFormat="0" applyFont="0" applyAlignment="0" applyProtection="0"/>
    <xf numFmtId="0" fontId="41" fillId="44" borderId="19" applyNumberFormat="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2" fillId="0" borderId="0" applyNumberFormat="0" applyFill="0" applyBorder="0" applyAlignment="0" applyProtection="0"/>
    <xf numFmtId="0" fontId="43" fillId="0" borderId="0"/>
    <xf numFmtId="0" fontId="44" fillId="0" borderId="0"/>
    <xf numFmtId="0" fontId="42" fillId="0" borderId="0" applyNumberFormat="0" applyFill="0" applyBorder="0" applyAlignment="0" applyProtection="0"/>
    <xf numFmtId="0" fontId="45" fillId="0" borderId="20" applyNumberFormat="0" applyFill="0" applyAlignment="0" applyProtection="0"/>
    <xf numFmtId="0" fontId="46" fillId="0" borderId="0" applyNumberFormat="0" applyFill="0" applyBorder="0" applyAlignment="0" applyProtection="0"/>
    <xf numFmtId="0" fontId="6" fillId="0" borderId="0"/>
    <xf numFmtId="0" fontId="6" fillId="0" borderId="0"/>
    <xf numFmtId="0" fontId="51" fillId="0" borderId="0"/>
    <xf numFmtId="0" fontId="53" fillId="56" borderId="0" applyNumberFormat="0" applyBorder="0" applyAlignment="0" applyProtection="0"/>
    <xf numFmtId="0" fontId="53" fillId="17" borderId="0" applyNumberFormat="0" applyBorder="0" applyAlignment="0" applyProtection="0"/>
    <xf numFmtId="0" fontId="53" fillId="51" borderId="0" applyNumberFormat="0" applyBorder="0" applyAlignment="0" applyProtection="0"/>
    <xf numFmtId="0" fontId="53" fillId="56"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44" borderId="0" applyNumberFormat="0" applyBorder="0" applyAlignment="0" applyProtection="0"/>
    <xf numFmtId="0" fontId="53" fillId="19" borderId="0" applyNumberFormat="0" applyBorder="0" applyAlignment="0" applyProtection="0"/>
    <xf numFmtId="0" fontId="53" fillId="50" borderId="0" applyNumberFormat="0" applyBorder="0" applyAlignment="0" applyProtection="0"/>
    <xf numFmtId="0" fontId="53" fillId="44" borderId="0" applyNumberFormat="0" applyBorder="0" applyAlignment="0" applyProtection="0"/>
    <xf numFmtId="0" fontId="53" fillId="18" borderId="0" applyNumberFormat="0" applyBorder="0" applyAlignment="0" applyProtection="0"/>
    <xf numFmtId="0" fontId="53" fillId="17" borderId="0" applyNumberFormat="0" applyBorder="0" applyAlignment="0" applyProtection="0"/>
    <xf numFmtId="0" fontId="20" fillId="24" borderId="0" applyNumberFormat="0" applyBorder="0" applyAlignment="0" applyProtection="0"/>
    <xf numFmtId="0" fontId="20" fillId="19" borderId="0" applyNumberFormat="0" applyBorder="0" applyAlignment="0" applyProtection="0"/>
    <xf numFmtId="0" fontId="20" fillId="50" borderId="0" applyNumberFormat="0" applyBorder="0" applyAlignment="0" applyProtection="0"/>
    <xf numFmtId="0" fontId="20" fillId="44"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24" borderId="0" applyNumberFormat="0" applyBorder="0" applyAlignment="0" applyProtection="0"/>
    <xf numFmtId="0" fontId="20" fillId="32" borderId="0" applyNumberFormat="0" applyBorder="0" applyAlignment="0" applyProtection="0"/>
    <xf numFmtId="0" fontId="20" fillId="35" borderId="0" applyNumberFormat="0" applyBorder="0" applyAlignment="0" applyProtection="0"/>
    <xf numFmtId="0" fontId="20" fillId="57" borderId="0" applyNumberFormat="0" applyBorder="0" applyAlignment="0" applyProtection="0"/>
    <xf numFmtId="0" fontId="20" fillId="24" borderId="0" applyNumberFormat="0" applyBorder="0" applyAlignment="0" applyProtection="0"/>
    <xf numFmtId="0" fontId="20" fillId="43" borderId="0" applyNumberFormat="0" applyBorder="0" applyAlignment="0" applyProtection="0"/>
    <xf numFmtId="0" fontId="21" fillId="13" borderId="0" applyNumberFormat="0" applyBorder="0" applyAlignment="0" applyProtection="0"/>
    <xf numFmtId="0" fontId="22" fillId="58" borderId="11" applyNumberFormat="0" applyAlignment="0" applyProtection="0"/>
    <xf numFmtId="0" fontId="23" fillId="45" borderId="12" applyNumberFormat="0" applyAlignment="0" applyProtection="0"/>
    <xf numFmtId="0" fontId="26" fillId="0" borderId="0" applyNumberFormat="0" applyFill="0" applyBorder="0" applyAlignment="0" applyProtection="0"/>
    <xf numFmtId="0" fontId="27" fillId="14" borderId="0" applyNumberFormat="0" applyBorder="0" applyAlignment="0" applyProtection="0"/>
    <xf numFmtId="0" fontId="54" fillId="0" borderId="26" applyNumberFormat="0" applyFill="0" applyAlignment="0" applyProtection="0"/>
    <xf numFmtId="0" fontId="55" fillId="0" borderId="27" applyNumberFormat="0" applyFill="0" applyAlignment="0" applyProtection="0"/>
    <xf numFmtId="0" fontId="55" fillId="0" borderId="0" applyNumberFormat="0" applyFill="0" applyBorder="0" applyAlignment="0" applyProtection="0"/>
    <xf numFmtId="0" fontId="37" fillId="17" borderId="11" applyNumberFormat="0" applyAlignment="0" applyProtection="0"/>
    <xf numFmtId="0" fontId="38" fillId="0" borderId="17" applyNumberFormat="0" applyFill="0" applyAlignment="0" applyProtection="0"/>
    <xf numFmtId="0" fontId="39" fillId="50" borderId="0" applyNumberFormat="0" applyBorder="0" applyAlignment="0" applyProtection="0"/>
    <xf numFmtId="0" fontId="56" fillId="0" borderId="0"/>
    <xf numFmtId="0" fontId="56" fillId="0" borderId="0"/>
    <xf numFmtId="0" fontId="5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6" fillId="0" borderId="0"/>
    <xf numFmtId="0" fontId="18" fillId="0" borderId="0"/>
    <xf numFmtId="0" fontId="18" fillId="0" borderId="0"/>
    <xf numFmtId="0" fontId="6" fillId="0" borderId="0"/>
    <xf numFmtId="0" fontId="18" fillId="0" borderId="0"/>
    <xf numFmtId="0" fontId="41" fillId="58" borderId="19" applyNumberFormat="0" applyAlignment="0" applyProtection="0"/>
    <xf numFmtId="170" fontId="6" fillId="0" borderId="0" applyFill="0" applyBorder="0" applyAlignment="0" applyProtection="0">
      <alignment wrapText="1"/>
    </xf>
    <xf numFmtId="0" fontId="57" fillId="0" borderId="0" applyNumberFormat="0" applyFill="0" applyBorder="0" applyAlignment="0" applyProtection="0"/>
    <xf numFmtId="0" fontId="41" fillId="0" borderId="28" applyNumberFormat="0" applyFill="0" applyAlignment="0" applyProtection="0"/>
    <xf numFmtId="0" fontId="46" fillId="0" borderId="0" applyNumberFormat="0" applyFill="0" applyBorder="0" applyAlignment="0" applyProtection="0"/>
    <xf numFmtId="0" fontId="58" fillId="0" borderId="0">
      <alignment vertical="center"/>
    </xf>
    <xf numFmtId="44" fontId="6" fillId="0" borderId="0" applyFont="0" applyFill="0" applyBorder="0" applyAlignment="0" applyProtection="0"/>
    <xf numFmtId="0" fontId="6" fillId="0" borderId="0">
      <alignment readingOrder="1"/>
    </xf>
    <xf numFmtId="0" fontId="19" fillId="58" borderId="0" applyNumberFormat="0" applyBorder="0" applyAlignment="0" applyProtection="0"/>
    <xf numFmtId="0" fontId="19" fillId="13" borderId="0" applyNumberFormat="0" applyBorder="0" applyAlignment="0" applyProtection="0"/>
    <xf numFmtId="0" fontId="19" fillId="58" borderId="0" applyNumberFormat="0" applyBorder="0" applyAlignment="0" applyProtection="0"/>
    <xf numFmtId="0" fontId="19" fillId="44"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44" borderId="0" applyNumberFormat="0" applyBorder="0" applyAlignment="0" applyProtection="0"/>
    <xf numFmtId="0" fontId="19" fillId="17" borderId="0" applyNumberFormat="0" applyBorder="0" applyAlignment="0" applyProtection="0"/>
    <xf numFmtId="0" fontId="20" fillId="24"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44" borderId="0" applyNumberFormat="0" applyBorder="0" applyAlignment="0" applyProtection="0"/>
    <xf numFmtId="0" fontId="20" fillId="17" borderId="0" applyNumberFormat="0" applyBorder="0" applyAlignment="0" applyProtection="0"/>
    <xf numFmtId="0" fontId="20" fillId="24" borderId="0" applyNumberFormat="0" applyBorder="0" applyAlignment="0" applyProtection="0"/>
    <xf numFmtId="0" fontId="20" fillId="13" borderId="0" applyNumberFormat="0" applyBorder="0" applyAlignment="0" applyProtection="0"/>
    <xf numFmtId="0" fontId="20" fillId="57" borderId="0" applyNumberFormat="0" applyBorder="0" applyAlignment="0" applyProtection="0"/>
    <xf numFmtId="0" fontId="21" fillId="15" borderId="0" applyNumberFormat="0" applyBorder="0" applyAlignment="0" applyProtection="0"/>
    <xf numFmtId="0" fontId="22" fillId="58" borderId="11"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8" borderId="0" applyNumberFormat="0" applyAlignment="0">
      <alignment horizontal="right"/>
    </xf>
    <xf numFmtId="0" fontId="6" fillId="8" borderId="0" applyNumberFormat="0" applyAlignment="0">
      <alignment horizontal="right"/>
    </xf>
    <xf numFmtId="0" fontId="54" fillId="0" borderId="26" applyNumberFormat="0" applyFill="0" applyAlignment="0" applyProtection="0"/>
    <xf numFmtId="0" fontId="55" fillId="0" borderId="27" applyNumberFormat="0" applyFill="0" applyAlignment="0" applyProtection="0"/>
    <xf numFmtId="0" fontId="55" fillId="0" borderId="0" applyNumberFormat="0" applyFill="0" applyBorder="0" applyAlignment="0" applyProtection="0"/>
    <xf numFmtId="0" fontId="18" fillId="0" borderId="0"/>
    <xf numFmtId="0" fontId="6" fillId="0" borderId="0"/>
    <xf numFmtId="0" fontId="6" fillId="0" borderId="0"/>
    <xf numFmtId="0" fontId="6" fillId="0" borderId="0">
      <alignment readingOrder="1"/>
    </xf>
    <xf numFmtId="0" fontId="6" fillId="0" borderId="0"/>
    <xf numFmtId="0" fontId="18" fillId="0" borderId="0"/>
    <xf numFmtId="0" fontId="18" fillId="0" borderId="0"/>
    <xf numFmtId="0" fontId="18" fillId="0" borderId="0"/>
    <xf numFmtId="0" fontId="6" fillId="0" borderId="0">
      <alignment readingOrder="1"/>
    </xf>
    <xf numFmtId="0" fontId="6" fillId="51" borderId="18" applyNumberFormat="0" applyFont="0" applyAlignment="0" applyProtection="0"/>
    <xf numFmtId="0" fontId="41" fillId="58" borderId="1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7" fillId="0" borderId="0" applyNumberFormat="0" applyFill="0" applyBorder="0" applyAlignment="0" applyProtection="0"/>
    <xf numFmtId="0" fontId="45" fillId="0" borderId="28" applyNumberFormat="0" applyFill="0" applyAlignment="0" applyProtection="0"/>
    <xf numFmtId="0" fontId="2" fillId="0" borderId="0"/>
    <xf numFmtId="0" fontId="2" fillId="0" borderId="0"/>
    <xf numFmtId="43" fontId="6" fillId="0" borderId="0" applyFont="0" applyFill="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8" borderId="0" applyNumberFormat="0" applyAlignment="0">
      <alignment horizontal="right"/>
    </xf>
    <xf numFmtId="0" fontId="6" fillId="7" borderId="0" applyNumberFormat="0" applyAlignment="0"/>
    <xf numFmtId="0" fontId="6" fillId="7" borderId="0" applyNumberFormat="0" applyAlignment="0"/>
    <xf numFmtId="0" fontId="6" fillId="7" borderId="0" applyNumberFormat="0" applyAlignment="0"/>
    <xf numFmtId="0" fontId="6" fillId="7" borderId="0" applyNumberFormat="0" applyAlignment="0"/>
    <xf numFmtId="0" fontId="31" fillId="0" borderId="0" applyNumberFormat="0" applyFill="0" applyBorder="0" applyAlignment="0" applyProtection="0">
      <alignment vertical="top"/>
      <protection locked="0"/>
    </xf>
    <xf numFmtId="0" fontId="19" fillId="0" borderId="0"/>
    <xf numFmtId="0" fontId="19" fillId="0" borderId="0"/>
    <xf numFmtId="0" fontId="18" fillId="0" borderId="0"/>
    <xf numFmtId="0" fontId="18" fillId="0" borderId="0"/>
    <xf numFmtId="0" fontId="18" fillId="0" borderId="0"/>
    <xf numFmtId="0" fontId="18" fillId="0" borderId="0"/>
    <xf numFmtId="0" fontId="6" fillId="0" borderId="0">
      <alignment readingOrder="1"/>
    </xf>
    <xf numFmtId="0" fontId="18" fillId="0" borderId="0"/>
    <xf numFmtId="0" fontId="6" fillId="0" borderId="0"/>
    <xf numFmtId="0" fontId="6" fillId="0" borderId="0"/>
    <xf numFmtId="0" fontId="18" fillId="0" borderId="0"/>
    <xf numFmtId="0" fontId="19" fillId="0" borderId="0"/>
    <xf numFmtId="0" fontId="19" fillId="0" borderId="0"/>
    <xf numFmtId="0" fontId="19" fillId="0" borderId="0"/>
    <xf numFmtId="0" fontId="18" fillId="0" borderId="0"/>
    <xf numFmtId="0" fontId="18" fillId="0" borderId="0"/>
    <xf numFmtId="0" fontId="6" fillId="0" borderId="0"/>
    <xf numFmtId="0" fontId="6"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 fillId="0" borderId="0"/>
    <xf numFmtId="0" fontId="18" fillId="0" borderId="0"/>
    <xf numFmtId="0" fontId="18" fillId="0" borderId="0"/>
    <xf numFmtId="0" fontId="18" fillId="0" borderId="0"/>
    <xf numFmtId="0" fontId="40" fillId="0" borderId="0"/>
    <xf numFmtId="0" fontId="19" fillId="0" borderId="0"/>
    <xf numFmtId="0" fontId="19" fillId="0" borderId="0"/>
    <xf numFmtId="0" fontId="19" fillId="0" borderId="0"/>
    <xf numFmtId="0" fontId="19" fillId="0" borderId="0"/>
    <xf numFmtId="0" fontId="18" fillId="69" borderId="41" applyNumberFormat="0" applyFont="0" applyAlignment="0" applyProtection="0"/>
    <xf numFmtId="0" fontId="18" fillId="69" borderId="41" applyNumberFormat="0" applyFont="0" applyAlignment="0" applyProtection="0"/>
    <xf numFmtId="0" fontId="18" fillId="69" borderId="41" applyNumberFormat="0" applyFont="0" applyAlignment="0" applyProtection="0"/>
    <xf numFmtId="0" fontId="18" fillId="69" borderId="41" applyNumberFormat="0" applyFont="0" applyAlignment="0" applyProtection="0"/>
    <xf numFmtId="0" fontId="18" fillId="69" borderId="41" applyNumberFormat="0" applyFont="0" applyAlignment="0" applyProtection="0"/>
    <xf numFmtId="0" fontId="18" fillId="69" borderId="4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5" fillId="0" borderId="0" xfId="1" applyFont="1"/>
    <xf numFmtId="0" fontId="7" fillId="0" borderId="0" xfId="2" applyFont="1"/>
    <xf numFmtId="0" fontId="6" fillId="0" borderId="0" xfId="1" applyFont="1"/>
    <xf numFmtId="5" fontId="6" fillId="0" borderId="0" xfId="1" applyNumberFormat="1" applyFont="1"/>
    <xf numFmtId="164" fontId="6" fillId="0" borderId="0" xfId="1" applyNumberFormat="1" applyFont="1"/>
    <xf numFmtId="164" fontId="7" fillId="0" borderId="0" xfId="1" applyNumberFormat="1" applyFont="1"/>
    <xf numFmtId="0" fontId="0" fillId="0" borderId="0" xfId="0">
      <alignment readingOrder="1"/>
    </xf>
    <xf numFmtId="0" fontId="5" fillId="0" borderId="0" xfId="1"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6" fillId="0" borderId="0" xfId="1" applyFont="1" applyAlignment="1">
      <alignment horizontal="center"/>
    </xf>
    <xf numFmtId="0" fontId="8" fillId="2" borderId="1" xfId="1" applyFont="1" applyFill="1" applyBorder="1" applyAlignment="1">
      <alignment horizontal="centerContinuous"/>
    </xf>
    <xf numFmtId="0" fontId="9" fillId="2" borderId="1" xfId="1" applyFont="1" applyFill="1" applyBorder="1" applyAlignment="1">
      <alignment horizontal="centerContinuous"/>
    </xf>
    <xf numFmtId="0" fontId="9" fillId="2" borderId="2" xfId="1" applyFont="1" applyFill="1" applyBorder="1" applyAlignment="1">
      <alignment horizontal="centerContinuous"/>
    </xf>
    <xf numFmtId="0" fontId="10" fillId="2" borderId="3" xfId="1" applyFont="1" applyFill="1" applyBorder="1" applyAlignment="1">
      <alignment horizontal="centerContinuous"/>
    </xf>
    <xf numFmtId="0" fontId="11" fillId="5" borderId="5" xfId="1" applyFont="1" applyFill="1" applyBorder="1" applyAlignment="1">
      <alignment horizontal="center" wrapText="1"/>
    </xf>
    <xf numFmtId="0" fontId="11" fillId="5" borderId="5" xfId="0" applyFont="1" applyFill="1" applyBorder="1" applyAlignment="1">
      <alignment horizontal="center" wrapText="1"/>
    </xf>
    <xf numFmtId="0" fontId="13" fillId="6" borderId="6" xfId="0" applyFont="1" applyFill="1" applyBorder="1" applyAlignment="1">
      <alignment horizontal="left" readingOrder="1"/>
    </xf>
    <xf numFmtId="0" fontId="13" fillId="6" borderId="7" xfId="0" applyFont="1" applyFill="1" applyBorder="1" applyAlignment="1">
      <alignment horizontal="center" wrapText="1" readingOrder="1"/>
    </xf>
    <xf numFmtId="164" fontId="0" fillId="0" borderId="0" xfId="0" applyNumberFormat="1">
      <alignment readingOrder="1"/>
    </xf>
    <xf numFmtId="0" fontId="11" fillId="7" borderId="5" xfId="0" applyFont="1" applyFill="1" applyBorder="1" applyAlignment="1">
      <alignment horizontal="center" wrapText="1" readingOrder="1"/>
    </xf>
    <xf numFmtId="0" fontId="11" fillId="7" borderId="7" xfId="0" applyFont="1" applyFill="1" applyBorder="1" applyAlignment="1">
      <alignment horizontal="center" wrapText="1" readingOrder="1"/>
    </xf>
    <xf numFmtId="164" fontId="11" fillId="7" borderId="7" xfId="0" applyNumberFormat="1" applyFont="1" applyFill="1" applyBorder="1" applyAlignment="1">
      <alignment horizontal="center" wrapText="1" readingOrder="1"/>
    </xf>
    <xf numFmtId="164" fontId="10" fillId="0" borderId="0" xfId="0" applyNumberFormat="1" applyFont="1">
      <alignment readingOrder="1"/>
    </xf>
    <xf numFmtId="164" fontId="11" fillId="8" borderId="8" xfId="0" applyNumberFormat="1" applyFont="1" applyFill="1" applyBorder="1" applyAlignment="1">
      <alignment horizontal="centerContinuous" wrapText="1" readingOrder="1"/>
    </xf>
    <xf numFmtId="1" fontId="0" fillId="0" borderId="0" xfId="0" applyNumberFormat="1">
      <alignment readingOrder="1"/>
    </xf>
    <xf numFmtId="0" fontId="11" fillId="8" borderId="5" xfId="0" applyFont="1" applyFill="1" applyBorder="1" applyAlignment="1">
      <alignment horizontal="center" wrapText="1"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1" fillId="8" borderId="9" xfId="0" applyNumberFormat="1" applyFont="1" applyFill="1" applyBorder="1" applyAlignment="1">
      <alignment horizontal="centerContinuous" wrapText="1" readingOrder="1"/>
    </xf>
    <xf numFmtId="164" fontId="11" fillId="8" borderId="10" xfId="0" applyNumberFormat="1" applyFont="1" applyFill="1" applyBorder="1" applyAlignment="1">
      <alignment horizontal="centerContinuous" wrapText="1" readingOrder="1"/>
    </xf>
    <xf numFmtId="164" fontId="0" fillId="0" borderId="0" xfId="0" applyNumberFormat="1"/>
    <xf numFmtId="0" fontId="0" fillId="9" borderId="0" xfId="0" applyFill="1"/>
    <xf numFmtId="0" fontId="12" fillId="0" borderId="0" xfId="0" applyFont="1">
      <alignment readingOrder="1"/>
    </xf>
    <xf numFmtId="49" fontId="0" fillId="0" borderId="0" xfId="0" applyNumberFormat="1">
      <alignment readingOrder="1"/>
    </xf>
    <xf numFmtId="0" fontId="0" fillId="5" borderId="0" xfId="0" applyFill="1">
      <alignment readingOrder="1"/>
    </xf>
    <xf numFmtId="0" fontId="0" fillId="0" borderId="0" xfId="0" applyAlignment="1">
      <alignment horizontal="center" readingOrder="1"/>
    </xf>
    <xf numFmtId="0" fontId="0" fillId="0" borderId="0" xfId="0" applyFill="1" applyAlignment="1">
      <alignment horizontal="center" readingOrder="1"/>
    </xf>
    <xf numFmtId="0" fontId="0" fillId="0" borderId="0" xfId="0" applyFill="1">
      <alignment readingOrder="1"/>
    </xf>
    <xf numFmtId="0" fontId="0" fillId="0" borderId="0" xfId="0" applyFill="1" applyAlignment="1">
      <alignment vertical="center" wrapText="1" readingOrder="1"/>
    </xf>
    <xf numFmtId="9" fontId="12" fillId="10" borderId="0" xfId="0" applyNumberFormat="1" applyFont="1" applyFill="1">
      <alignment readingOrder="1"/>
    </xf>
    <xf numFmtId="0" fontId="0" fillId="10" borderId="0" xfId="0" applyFill="1">
      <alignment readingOrder="1"/>
    </xf>
    <xf numFmtId="1" fontId="0" fillId="10" borderId="0" xfId="0" applyNumberFormat="1" applyFill="1">
      <alignment readingOrder="1"/>
    </xf>
    <xf numFmtId="0" fontId="0" fillId="11" borderId="0" xfId="0" applyFill="1" applyAlignment="1">
      <alignment horizontal="center" wrapText="1" readingOrder="1"/>
    </xf>
    <xf numFmtId="164" fontId="0" fillId="0" borderId="0" xfId="0" applyNumberFormat="1" applyAlignment="1">
      <alignment horizontal="center" readingOrder="1"/>
    </xf>
    <xf numFmtId="1" fontId="0" fillId="0" borderId="0" xfId="0" applyNumberFormat="1" applyFill="1">
      <alignment readingOrder="1"/>
    </xf>
    <xf numFmtId="168" fontId="0" fillId="0" borderId="0" xfId="0" applyNumberFormat="1">
      <alignment readingOrder="1"/>
    </xf>
    <xf numFmtId="168" fontId="0" fillId="0" borderId="0" xfId="0" applyNumberFormat="1" applyFill="1">
      <alignment readingOrder="1"/>
    </xf>
    <xf numFmtId="0" fontId="48" fillId="55" borderId="0" xfId="0" applyFont="1" applyFill="1" applyAlignment="1"/>
    <xf numFmtId="0" fontId="47" fillId="53" borderId="0" xfId="0" applyFont="1" applyFill="1"/>
    <xf numFmtId="0" fontId="47" fillId="54" borderId="0" xfId="0" applyFont="1" applyFill="1" applyAlignment="1">
      <alignment horizontal="center"/>
    </xf>
    <xf numFmtId="0" fontId="47" fillId="54" borderId="0" xfId="0" applyFont="1" applyFill="1"/>
    <xf numFmtId="0" fontId="50" fillId="49" borderId="0" xfId="0" applyFont="1" applyFill="1" applyBorder="1" applyAlignment="1" applyProtection="1">
      <alignment horizontal="left"/>
      <protection locked="0"/>
    </xf>
    <xf numFmtId="0" fontId="50" fillId="49" borderId="0" xfId="0" applyFont="1" applyFill="1" applyBorder="1" applyAlignment="1" applyProtection="1">
      <alignment horizontal="centerContinuous"/>
      <protection locked="0"/>
    </xf>
    <xf numFmtId="0" fontId="48" fillId="55" borderId="0" xfId="0" applyFont="1" applyFill="1" applyAlignment="1">
      <alignment horizontal="left" indent="1"/>
    </xf>
    <xf numFmtId="1" fontId="47" fillId="55" borderId="0" xfId="0" applyNumberFormat="1" applyFont="1" applyFill="1" applyBorder="1" applyAlignment="1">
      <alignment horizontal="center"/>
    </xf>
    <xf numFmtId="0" fontId="49" fillId="55" borderId="0" xfId="0" applyFont="1" applyFill="1"/>
    <xf numFmtId="0" fontId="47" fillId="55" borderId="0" xfId="0" applyFont="1" applyFill="1"/>
    <xf numFmtId="2" fontId="47" fillId="55" borderId="0" xfId="0" applyNumberFormat="1" applyFont="1" applyFill="1" applyAlignment="1">
      <alignment horizontal="center"/>
    </xf>
    <xf numFmtId="0" fontId="48" fillId="54" borderId="0" xfId="0" applyFont="1" applyFill="1" applyBorder="1"/>
    <xf numFmtId="0" fontId="52" fillId="54" borderId="0" xfId="0" applyFont="1" applyFill="1" applyBorder="1"/>
    <xf numFmtId="0" fontId="49" fillId="54" borderId="0" xfId="0" applyFont="1" applyFill="1" applyAlignment="1">
      <alignment horizontal="center"/>
    </xf>
    <xf numFmtId="0" fontId="49" fillId="54" borderId="24" xfId="0" applyFont="1" applyFill="1" applyBorder="1" applyAlignment="1">
      <alignment horizontal="center"/>
    </xf>
    <xf numFmtId="0" fontId="49" fillId="54" borderId="2" xfId="0" applyFont="1" applyFill="1" applyBorder="1" applyAlignment="1">
      <alignment horizontal="center"/>
    </xf>
    <xf numFmtId="0" fontId="47" fillId="54" borderId="0" xfId="0" applyFont="1" applyFill="1" applyAlignment="1">
      <alignment horizontal="center" vertical="center"/>
    </xf>
    <xf numFmtId="0" fontId="47" fillId="52" borderId="0" xfId="0" applyFont="1" applyFill="1" applyAlignment="1">
      <alignment horizontal="center"/>
    </xf>
    <xf numFmtId="0" fontId="47" fillId="52" borderId="0" xfId="0" applyFont="1" applyFill="1"/>
    <xf numFmtId="0" fontId="47" fillId="52" borderId="0" xfId="0" applyFont="1" applyFill="1" applyAlignment="1">
      <alignment horizontal="center" vertical="center"/>
    </xf>
    <xf numFmtId="169" fontId="47" fillId="52" borderId="24" xfId="0" applyNumberFormat="1" applyFont="1" applyFill="1" applyBorder="1" applyAlignment="1">
      <alignment horizontal="center" vertical="center"/>
    </xf>
    <xf numFmtId="164" fontId="47" fillId="52" borderId="24" xfId="0" applyNumberFormat="1" applyFont="1" applyFill="1" applyBorder="1" applyAlignment="1">
      <alignment horizontal="center" vertical="center"/>
    </xf>
    <xf numFmtId="2" fontId="0" fillId="0" borderId="0" xfId="0" applyNumberFormat="1"/>
    <xf numFmtId="9" fontId="0" fillId="0" borderId="0" xfId="0" applyNumberFormat="1"/>
    <xf numFmtId="169" fontId="0" fillId="0" borderId="0" xfId="0" applyNumberFormat="1"/>
    <xf numFmtId="44" fontId="0" fillId="0" borderId="0" xfId="308" applyFont="1"/>
    <xf numFmtId="44" fontId="0" fillId="0" borderId="0" xfId="0" applyNumberFormat="1"/>
    <xf numFmtId="0" fontId="0" fillId="60" borderId="0" xfId="0" applyFill="1">
      <alignment readingOrder="1"/>
    </xf>
    <xf numFmtId="0" fontId="0" fillId="0" borderId="0" xfId="0" quotePrefix="1" applyFill="1">
      <alignment readingOrder="1"/>
    </xf>
    <xf numFmtId="0" fontId="59" fillId="61" borderId="2" xfId="0" applyFont="1" applyFill="1" applyBorder="1"/>
    <xf numFmtId="0" fontId="59" fillId="62" borderId="5" xfId="0" applyFont="1" applyFill="1" applyBorder="1"/>
    <xf numFmtId="9" fontId="6" fillId="63" borderId="0" xfId="7" applyFill="1" applyAlignment="1">
      <alignment horizontal="center" readingOrder="1"/>
    </xf>
    <xf numFmtId="0" fontId="59" fillId="64" borderId="5" xfId="0" applyFont="1" applyFill="1" applyBorder="1"/>
    <xf numFmtId="9" fontId="59" fillId="62" borderId="5" xfId="7" applyFont="1" applyFill="1" applyBorder="1"/>
    <xf numFmtId="0" fontId="59" fillId="62" borderId="2" xfId="0" applyFont="1" applyFill="1" applyBorder="1"/>
    <xf numFmtId="0" fontId="59" fillId="62" borderId="4" xfId="0" applyFont="1" applyFill="1" applyBorder="1"/>
    <xf numFmtId="0" fontId="59" fillId="62" borderId="3" xfId="0" applyFont="1" applyFill="1" applyBorder="1"/>
    <xf numFmtId="0" fontId="59" fillId="62" borderId="22" xfId="0" applyFont="1" applyFill="1" applyBorder="1"/>
    <xf numFmtId="0" fontId="59" fillId="62" borderId="23" xfId="0" applyFont="1" applyFill="1" applyBorder="1"/>
    <xf numFmtId="1" fontId="0" fillId="53" borderId="0" xfId="0" applyNumberFormat="1" applyFill="1" applyAlignment="1">
      <alignment horizontal="center" readingOrder="1"/>
    </xf>
    <xf numFmtId="164" fontId="0" fillId="64" borderId="0" xfId="0" applyNumberFormat="1" applyFill="1" applyAlignment="1">
      <alignment horizontal="center" readingOrder="1"/>
    </xf>
    <xf numFmtId="0" fontId="59" fillId="62" borderId="1" xfId="0" applyFont="1" applyFill="1" applyBorder="1"/>
    <xf numFmtId="0" fontId="59" fillId="62" borderId="29" xfId="0" applyFont="1" applyFill="1" applyBorder="1"/>
    <xf numFmtId="0" fontId="59" fillId="63" borderId="5" xfId="0" applyFont="1" applyFill="1" applyBorder="1"/>
    <xf numFmtId="164" fontId="59" fillId="63" borderId="5" xfId="0" applyNumberFormat="1" applyFont="1" applyFill="1" applyBorder="1"/>
    <xf numFmtId="1" fontId="6" fillId="5" borderId="0" xfId="7" applyNumberFormat="1" applyFill="1">
      <alignment readingOrder="1"/>
    </xf>
    <xf numFmtId="0" fontId="59" fillId="62" borderId="6" xfId="0" applyFont="1" applyFill="1" applyBorder="1"/>
    <xf numFmtId="0" fontId="59" fillId="62" borderId="14" xfId="0" applyFont="1" applyFill="1" applyBorder="1"/>
    <xf numFmtId="0" fontId="59" fillId="62" borderId="7" xfId="0" applyFont="1" applyFill="1" applyBorder="1"/>
    <xf numFmtId="0" fontId="59" fillId="61" borderId="5" xfId="0" applyFont="1" applyFill="1" applyBorder="1"/>
    <xf numFmtId="169" fontId="47" fillId="0" borderId="24" xfId="0" applyNumberFormat="1" applyFont="1" applyFill="1" applyBorder="1" applyAlignment="1">
      <alignment horizontal="center" vertical="center"/>
    </xf>
    <xf numFmtId="164" fontId="47" fillId="0" borderId="24" xfId="0" applyNumberFormat="1" applyFont="1" applyFill="1" applyBorder="1" applyAlignment="1">
      <alignment horizontal="center" vertical="center"/>
    </xf>
    <xf numFmtId="0" fontId="6" fillId="0" borderId="5" xfId="309" applyFont="1" applyFill="1" applyBorder="1" applyAlignment="1">
      <alignment horizontal="left" vertical="center" wrapText="1"/>
    </xf>
    <xf numFmtId="0" fontId="6" fillId="0" borderId="5" xfId="309" applyFont="1" applyBorder="1" applyAlignment="1">
      <alignment horizontal="left" vertical="center" wrapText="1" readingOrder="1"/>
    </xf>
    <xf numFmtId="0" fontId="6" fillId="0" borderId="5" xfId="309" applyNumberFormat="1" applyFont="1" applyBorder="1" applyAlignment="1">
      <alignment horizontal="left" vertical="center" wrapText="1" readingOrder="1"/>
    </xf>
    <xf numFmtId="0" fontId="18" fillId="0" borderId="0" xfId="0" applyFont="1"/>
    <xf numFmtId="0" fontId="60" fillId="59" borderId="30" xfId="0" applyFont="1" applyFill="1" applyBorder="1"/>
    <xf numFmtId="0" fontId="60" fillId="59" borderId="31" xfId="0" applyFont="1" applyFill="1" applyBorder="1"/>
    <xf numFmtId="0" fontId="60" fillId="59" borderId="8" xfId="0" applyFont="1" applyFill="1" applyBorder="1"/>
    <xf numFmtId="0" fontId="61" fillId="62" borderId="25" xfId="309" applyFont="1" applyFill="1" applyBorder="1" applyAlignment="1">
      <alignment horizontal="left" vertical="center" wrapText="1"/>
    </xf>
    <xf numFmtId="0" fontId="61" fillId="62" borderId="5" xfId="309" applyFont="1" applyFill="1" applyBorder="1" applyAlignment="1">
      <alignment horizontal="left" vertical="center" wrapText="1"/>
    </xf>
    <xf numFmtId="0" fontId="62" fillId="0" borderId="5" xfId="309" applyFont="1" applyFill="1" applyBorder="1" applyAlignment="1">
      <alignment horizontal="left" vertical="center" wrapText="1"/>
    </xf>
    <xf numFmtId="0" fontId="18" fillId="0" borderId="5" xfId="309" applyFont="1" applyFill="1" applyBorder="1" applyAlignment="1">
      <alignment horizontal="left" vertical="center" wrapText="1"/>
    </xf>
    <xf numFmtId="0" fontId="62" fillId="0" borderId="5" xfId="309" applyFont="1" applyBorder="1" applyAlignment="1">
      <alignment horizontal="left" vertical="center" wrapText="1" readingOrder="1"/>
    </xf>
    <xf numFmtId="0" fontId="62" fillId="0" borderId="5" xfId="309" applyFont="1" applyBorder="1" applyAlignment="1">
      <alignment vertical="center" wrapText="1" readingOrder="1"/>
    </xf>
    <xf numFmtId="0" fontId="62" fillId="0" borderId="5" xfId="309" applyFont="1" applyBorder="1" applyAlignment="1">
      <alignment wrapText="1" readingOrder="1"/>
    </xf>
    <xf numFmtId="0" fontId="62" fillId="0" borderId="5" xfId="309" applyNumberFormat="1" applyFont="1" applyBorder="1" applyAlignment="1">
      <alignment vertical="center" wrapText="1" readingOrder="1"/>
    </xf>
    <xf numFmtId="0" fontId="9" fillId="65" borderId="7" xfId="1" applyFont="1" applyFill="1" applyBorder="1" applyAlignment="1">
      <alignment horizontal="center"/>
    </xf>
    <xf numFmtId="0" fontId="11" fillId="53" borderId="7" xfId="1" applyFont="1" applyFill="1" applyBorder="1" applyAlignment="1">
      <alignment horizontal="center" wrapText="1"/>
    </xf>
    <xf numFmtId="0" fontId="11" fillId="53" borderId="5" xfId="1" applyFont="1" applyFill="1" applyBorder="1" applyAlignment="1">
      <alignment horizontal="center" wrapText="1"/>
    </xf>
    <xf numFmtId="0" fontId="0" fillId="0" borderId="0" xfId="364" applyNumberFormat="1" applyFont="1"/>
    <xf numFmtId="9" fontId="0" fillId="0" borderId="0" xfId="7" applyFont="1"/>
    <xf numFmtId="43" fontId="0" fillId="0" borderId="0" xfId="364" applyFont="1"/>
    <xf numFmtId="43" fontId="0" fillId="0" borderId="0" xfId="364" applyNumberFormat="1" applyFont="1"/>
    <xf numFmtId="0" fontId="13" fillId="67" borderId="6" xfId="0" applyFont="1" applyFill="1" applyBorder="1" applyAlignment="1">
      <alignment horizontal="left" wrapText="1" readingOrder="1"/>
    </xf>
    <xf numFmtId="0" fontId="13" fillId="67" borderId="7" xfId="0" applyFont="1" applyFill="1" applyBorder="1" applyAlignment="1">
      <alignment horizontal="center" wrapText="1" readingOrder="1"/>
    </xf>
    <xf numFmtId="0" fontId="13" fillId="6" borderId="14" xfId="0" applyFont="1" applyFill="1" applyBorder="1" applyAlignment="1">
      <alignment horizontal="center" wrapText="1" readingOrder="1"/>
    </xf>
    <xf numFmtId="0" fontId="0" fillId="0" borderId="32" xfId="0" applyBorder="1">
      <alignment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0" xfId="0" applyBorder="1">
      <alignment readingOrder="1"/>
    </xf>
    <xf numFmtId="0" fontId="0" fillId="0" borderId="36" xfId="0" applyBorder="1">
      <alignment readingOrder="1"/>
    </xf>
    <xf numFmtId="0" fontId="0" fillId="0" borderId="37" xfId="0" applyBorder="1">
      <alignment readingOrder="1"/>
    </xf>
    <xf numFmtId="0" fontId="0" fillId="0" borderId="38" xfId="0" applyBorder="1">
      <alignment readingOrder="1"/>
    </xf>
    <xf numFmtId="0" fontId="0" fillId="0" borderId="39" xfId="0" applyBorder="1">
      <alignment readingOrder="1"/>
    </xf>
    <xf numFmtId="0" fontId="11" fillId="68" borderId="30" xfId="0" applyFont="1" applyFill="1" applyBorder="1" applyAlignment="1">
      <alignment horizontal="centerContinuous" wrapText="1" readingOrder="1"/>
    </xf>
    <xf numFmtId="0" fontId="11" fillId="68" borderId="8" xfId="0" applyFont="1" applyFill="1" applyBorder="1" applyAlignment="1">
      <alignment horizontal="centerContinuous" wrapText="1" readingOrder="1"/>
    </xf>
    <xf numFmtId="164" fontId="11" fillId="68" borderId="30" xfId="0" applyNumberFormat="1" applyFont="1" applyFill="1" applyBorder="1" applyAlignment="1">
      <alignment horizontal="centerContinuous" wrapText="1" readingOrder="1"/>
    </xf>
    <xf numFmtId="164" fontId="11" fillId="68" borderId="31" xfId="0" applyNumberFormat="1" applyFont="1" applyFill="1" applyBorder="1" applyAlignment="1">
      <alignment horizontal="centerContinuous" wrapText="1" readingOrder="1"/>
    </xf>
    <xf numFmtId="164" fontId="11" fillId="68" borderId="8" xfId="0" applyNumberFormat="1" applyFont="1" applyFill="1" applyBorder="1" applyAlignment="1">
      <alignment horizontal="centerContinuous" wrapText="1" readingOrder="1"/>
    </xf>
    <xf numFmtId="164" fontId="11" fillId="68" borderId="14" xfId="0" applyNumberFormat="1" applyFont="1" applyFill="1" applyBorder="1" applyAlignment="1">
      <alignment horizontal="center" wrapText="1" readingOrder="1"/>
    </xf>
    <xf numFmtId="171" fontId="11" fillId="7" borderId="7" xfId="0" applyNumberFormat="1" applyFont="1" applyFill="1" applyBorder="1" applyAlignment="1">
      <alignment horizontal="center" wrapText="1" readingOrder="1"/>
    </xf>
    <xf numFmtId="164" fontId="63" fillId="0" borderId="0" xfId="0" applyNumberFormat="1" applyFont="1">
      <alignment readingOrder="1"/>
    </xf>
    <xf numFmtId="0" fontId="11" fillId="8" borderId="30" xfId="0" applyFont="1" applyFill="1" applyBorder="1" applyAlignment="1">
      <alignment horizontal="centerContinuous" wrapText="1" readingOrder="1"/>
    </xf>
    <xf numFmtId="0" fontId="11" fillId="8" borderId="31" xfId="0" applyFont="1" applyFill="1" applyBorder="1" applyAlignment="1">
      <alignment horizontal="centerContinuous" wrapText="1" readingOrder="1"/>
    </xf>
    <xf numFmtId="164" fontId="11" fillId="8" borderId="31" xfId="0" applyNumberFormat="1" applyFont="1" applyFill="1" applyBorder="1" applyAlignment="1">
      <alignment horizontal="centerContinuous" wrapText="1" readingOrder="1"/>
    </xf>
    <xf numFmtId="164" fontId="11" fillId="8" borderId="14" xfId="0" applyNumberFormat="1" applyFont="1" applyFill="1" applyBorder="1" applyAlignment="1">
      <alignment horizontal="center" wrapText="1" readingOrder="1"/>
    </xf>
    <xf numFmtId="164" fontId="11" fillId="8" borderId="30" xfId="0" applyNumberFormat="1" applyFont="1" applyFill="1" applyBorder="1" applyAlignment="1">
      <alignment horizontal="centerContinuous" wrapText="1" readingOrder="1"/>
    </xf>
    <xf numFmtId="164" fontId="12" fillId="0" borderId="0" xfId="0" applyNumberFormat="1" applyFont="1">
      <alignment readingOrder="1"/>
    </xf>
    <xf numFmtId="172" fontId="12" fillId="0" borderId="0" xfId="0" applyNumberFormat="1" applyFont="1">
      <alignment readingOrder="1"/>
    </xf>
    <xf numFmtId="172" fontId="0" fillId="0" borderId="0" xfId="0" applyNumberFormat="1">
      <alignment readingOrder="1"/>
    </xf>
    <xf numFmtId="172" fontId="63" fillId="0" borderId="0" xfId="0" applyNumberFormat="1" applyFont="1">
      <alignment readingOrder="1"/>
    </xf>
    <xf numFmtId="9" fontId="0" fillId="0" borderId="40" xfId="0" applyNumberFormat="1" applyBorder="1">
      <alignment readingOrder="1"/>
    </xf>
    <xf numFmtId="9" fontId="59" fillId="62" borderId="6" xfId="7" applyFont="1" applyFill="1" applyBorder="1"/>
    <xf numFmtId="2" fontId="0" fillId="53" borderId="0" xfId="0" applyNumberFormat="1" applyFill="1" applyAlignment="1">
      <alignment horizontal="center" readingOrder="1"/>
    </xf>
    <xf numFmtId="43" fontId="0" fillId="53" borderId="0" xfId="364" applyFont="1" applyFill="1" applyAlignment="1">
      <alignment horizontal="center" readingOrder="1"/>
    </xf>
    <xf numFmtId="0" fontId="0" fillId="62" borderId="0" xfId="0" applyFill="1">
      <alignment readingOrder="1"/>
    </xf>
    <xf numFmtId="0" fontId="0" fillId="62" borderId="0" xfId="0" applyFill="1" applyAlignment="1">
      <alignment vertical="center" wrapText="1" readingOrder="1"/>
    </xf>
    <xf numFmtId="164" fontId="0" fillId="60" borderId="0" xfId="0" applyNumberFormat="1" applyFill="1">
      <alignment readingOrder="1"/>
    </xf>
    <xf numFmtId="0" fontId="0" fillId="59" borderId="0" xfId="0" applyFill="1" applyAlignment="1">
      <alignment horizontal="left" vertical="center" readingOrder="1"/>
    </xf>
    <xf numFmtId="0" fontId="11" fillId="3" borderId="1" xfId="1" applyFont="1" applyFill="1" applyBorder="1" applyAlignment="1">
      <alignment horizontal="center"/>
    </xf>
    <xf numFmtId="0" fontId="11" fillId="3" borderId="4" xfId="1" applyFont="1" applyFill="1" applyBorder="1" applyAlignment="1">
      <alignment horizontal="center"/>
    </xf>
    <xf numFmtId="0" fontId="11" fillId="3" borderId="3" xfId="1"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6" borderId="5" xfId="1" applyFont="1" applyFill="1" applyBorder="1" applyAlignment="1">
      <alignment horizontal="center"/>
    </xf>
    <xf numFmtId="0" fontId="48" fillId="54" borderId="0" xfId="0" applyFont="1" applyFill="1" applyBorder="1" applyAlignment="1">
      <alignment horizontal="center" vertical="center" wrapText="1"/>
    </xf>
    <xf numFmtId="0" fontId="48" fillId="54" borderId="22" xfId="0" applyFont="1" applyFill="1" applyBorder="1" applyAlignment="1">
      <alignment horizontal="center" vertical="center" wrapText="1"/>
    </xf>
    <xf numFmtId="0" fontId="48" fillId="54" borderId="21" xfId="0" applyFont="1" applyFill="1" applyBorder="1" applyAlignment="1">
      <alignment horizontal="center" vertical="center" wrapText="1"/>
    </xf>
    <xf numFmtId="0" fontId="48" fillId="54" borderId="23" xfId="0" applyFont="1" applyFill="1" applyBorder="1" applyAlignment="1">
      <alignment horizontal="center" vertical="center" wrapText="1"/>
    </xf>
    <xf numFmtId="0" fontId="48" fillId="54" borderId="24" xfId="0" applyFont="1" applyFill="1" applyBorder="1" applyAlignment="1">
      <alignment horizontal="center" vertical="center" wrapText="1"/>
    </xf>
    <xf numFmtId="0" fontId="48" fillId="54" borderId="25" xfId="0" applyFont="1" applyFill="1" applyBorder="1" applyAlignment="1">
      <alignment horizontal="center" vertical="center" wrapText="1"/>
    </xf>
  </cellXfs>
  <cellStyles count="529">
    <cellStyle name="20% - Accent1 2" xfId="13"/>
    <cellStyle name="20% - Accent1 2 2" xfId="310"/>
    <cellStyle name="20% - Accent1 3" xfId="236"/>
    <cellStyle name="20% - Accent1 3 2" xfId="365"/>
    <cellStyle name="20% - Accent1 4" xfId="366"/>
    <cellStyle name="20% - Accent1 4 2" xfId="367"/>
    <cellStyle name="20% - Accent1 5" xfId="368"/>
    <cellStyle name="20% - Accent2 2" xfId="14"/>
    <cellStyle name="20% - Accent2 2 2" xfId="369"/>
    <cellStyle name="20% - Accent2 3" xfId="237"/>
    <cellStyle name="20% - Accent2 3 2" xfId="370"/>
    <cellStyle name="20% - Accent2 4" xfId="371"/>
    <cellStyle name="20% - Accent2 4 2" xfId="372"/>
    <cellStyle name="20% - Accent2 5" xfId="373"/>
    <cellStyle name="20% - Accent3 2" xfId="15"/>
    <cellStyle name="20% - Accent3 2 2" xfId="311"/>
    <cellStyle name="20% - Accent3 3" xfId="238"/>
    <cellStyle name="20% - Accent3 3 2" xfId="374"/>
    <cellStyle name="20% - Accent3 4" xfId="375"/>
    <cellStyle name="20% - Accent3 4 2" xfId="376"/>
    <cellStyle name="20% - Accent3 5" xfId="377"/>
    <cellStyle name="20% - Accent4 2" xfId="16"/>
    <cellStyle name="20% - Accent4 2 2" xfId="312"/>
    <cellStyle name="20% - Accent4 3" xfId="239"/>
    <cellStyle name="20% - Accent4 3 2" xfId="378"/>
    <cellStyle name="20% - Accent4 4" xfId="379"/>
    <cellStyle name="20% - Accent4 4 2" xfId="380"/>
    <cellStyle name="20% - Accent4 5" xfId="381"/>
    <cellStyle name="20% - Accent5 2" xfId="17"/>
    <cellStyle name="20% - Accent5 2 2" xfId="382"/>
    <cellStyle name="20% - Accent5 3" xfId="240"/>
    <cellStyle name="20% - Accent5 3 2" xfId="383"/>
    <cellStyle name="20% - Accent5 4" xfId="384"/>
    <cellStyle name="20% - Accent5 4 2" xfId="385"/>
    <cellStyle name="20% - Accent5 5" xfId="386"/>
    <cellStyle name="20% - Accent6 2" xfId="18"/>
    <cellStyle name="20% - Accent6 2 2" xfId="387"/>
    <cellStyle name="20% - Accent6 3" xfId="241"/>
    <cellStyle name="20% - Accent6 3 2" xfId="388"/>
    <cellStyle name="20% - Accent6 4" xfId="389"/>
    <cellStyle name="20% - Accent6 4 2" xfId="390"/>
    <cellStyle name="20% - Accent6 5" xfId="391"/>
    <cellStyle name="40% - Accent1 2" xfId="19"/>
    <cellStyle name="40% - Accent1 2 2" xfId="313"/>
    <cellStyle name="40% - Accent1 3" xfId="242"/>
    <cellStyle name="40% - Accent1 3 2" xfId="392"/>
    <cellStyle name="40% - Accent1 4" xfId="393"/>
    <cellStyle name="40% - Accent1 4 2" xfId="394"/>
    <cellStyle name="40% - Accent1 5" xfId="395"/>
    <cellStyle name="40% - Accent2 2" xfId="20"/>
    <cellStyle name="40% - Accent2 2 2" xfId="314"/>
    <cellStyle name="40% - Accent2 3" xfId="243"/>
    <cellStyle name="40% - Accent2 3 2" xfId="396"/>
    <cellStyle name="40% - Accent2 4" xfId="397"/>
    <cellStyle name="40% - Accent2 4 2" xfId="398"/>
    <cellStyle name="40% - Accent2 5" xfId="399"/>
    <cellStyle name="40% - Accent3 2" xfId="21"/>
    <cellStyle name="40% - Accent3 2 2" xfId="315"/>
    <cellStyle name="40% - Accent3 3" xfId="244"/>
    <cellStyle name="40% - Accent3 3 2" xfId="400"/>
    <cellStyle name="40% - Accent3 4" xfId="401"/>
    <cellStyle name="40% - Accent3 4 2" xfId="402"/>
    <cellStyle name="40% - Accent3 5" xfId="403"/>
    <cellStyle name="40% - Accent4 2" xfId="22"/>
    <cellStyle name="40% - Accent4 2 2" xfId="316"/>
    <cellStyle name="40% - Accent4 3" xfId="245"/>
    <cellStyle name="40% - Accent4 3 2" xfId="404"/>
    <cellStyle name="40% - Accent4 4" xfId="405"/>
    <cellStyle name="40% - Accent4 4 2" xfId="406"/>
    <cellStyle name="40% - Accent4 5" xfId="407"/>
    <cellStyle name="40% - Accent5 2" xfId="23"/>
    <cellStyle name="40% - Accent5 2 2" xfId="408"/>
    <cellStyle name="40% - Accent5 3" xfId="246"/>
    <cellStyle name="40% - Accent5 3 2" xfId="409"/>
    <cellStyle name="40% - Accent5 4" xfId="410"/>
    <cellStyle name="40% - Accent5 4 2" xfId="411"/>
    <cellStyle name="40% - Accent5 5" xfId="412"/>
    <cellStyle name="40% - Accent6 2" xfId="24"/>
    <cellStyle name="40% - Accent6 2 2" xfId="317"/>
    <cellStyle name="40% - Accent6 3" xfId="247"/>
    <cellStyle name="40% - Accent6 3 2" xfId="413"/>
    <cellStyle name="40% - Accent6 4" xfId="414"/>
    <cellStyle name="40% - Accent6 4 2" xfId="415"/>
    <cellStyle name="40% - Accent6 5" xfId="416"/>
    <cellStyle name="60% - Accent1 2" xfId="25"/>
    <cellStyle name="60% - Accent1 2 2" xfId="318"/>
    <cellStyle name="60% - Accent1 3" xfId="248"/>
    <cellStyle name="60% - Accent2 2" xfId="26"/>
    <cellStyle name="60% - Accent2 2 2" xfId="319"/>
    <cellStyle name="60% - Accent2 3" xfId="249"/>
    <cellStyle name="60% - Accent3 2" xfId="27"/>
    <cellStyle name="60% - Accent3 2 2" xfId="320"/>
    <cellStyle name="60% - Accent3 3" xfId="250"/>
    <cellStyle name="60% - Accent4 2" xfId="28"/>
    <cellStyle name="60% - Accent4 2 2" xfId="321"/>
    <cellStyle name="60% - Accent4 3" xfId="251"/>
    <cellStyle name="60% - Accent5 2" xfId="29"/>
    <cellStyle name="60% - Accent5 3" xfId="252"/>
    <cellStyle name="60% - Accent6 2" xfId="30"/>
    <cellStyle name="60% - Accent6 2 2" xfId="322"/>
    <cellStyle name="60% - Accent6 3" xfId="253"/>
    <cellStyle name="Accent1 - 20%" xfId="31"/>
    <cellStyle name="Accent1 - 40%" xfId="32"/>
    <cellStyle name="Accent1 - 60%" xfId="33"/>
    <cellStyle name="Accent1 2" xfId="34"/>
    <cellStyle name="Accent1 2 2" xfId="323"/>
    <cellStyle name="Accent1 3" xfId="254"/>
    <cellStyle name="Accent2 - 20%" xfId="35"/>
    <cellStyle name="Accent2 - 40%" xfId="36"/>
    <cellStyle name="Accent2 - 60%" xfId="37"/>
    <cellStyle name="Accent2 2" xfId="38"/>
    <cellStyle name="Accent2 3" xfId="255"/>
    <cellStyle name="Accent3 - 20%" xfId="39"/>
    <cellStyle name="Accent3 - 40%" xfId="40"/>
    <cellStyle name="Accent3 - 60%" xfId="41"/>
    <cellStyle name="Accent3 2" xfId="42"/>
    <cellStyle name="Accent3 2 2" xfId="324"/>
    <cellStyle name="Accent3 3" xfId="256"/>
    <cellStyle name="Accent4 - 20%" xfId="43"/>
    <cellStyle name="Accent4 - 40%" xfId="44"/>
    <cellStyle name="Accent4 - 60%" xfId="45"/>
    <cellStyle name="Accent4 2" xfId="46"/>
    <cellStyle name="Accent4 2 2" xfId="325"/>
    <cellStyle name="Accent4 3" xfId="257"/>
    <cellStyle name="Accent5 - 20%" xfId="47"/>
    <cellStyle name="Accent5 - 40%" xfId="48"/>
    <cellStyle name="Accent5 - 60%" xfId="49"/>
    <cellStyle name="Accent5 2" xfId="50"/>
    <cellStyle name="Accent5 3" xfId="258"/>
    <cellStyle name="Accent6 - 20%" xfId="51"/>
    <cellStyle name="Accent6 - 40%" xfId="52"/>
    <cellStyle name="Accent6 - 60%" xfId="53"/>
    <cellStyle name="Accent6 2" xfId="54"/>
    <cellStyle name="Accent6 3" xfId="259"/>
    <cellStyle name="Bad 2" xfId="55"/>
    <cellStyle name="Bad 2 2" xfId="326"/>
    <cellStyle name="Bad 3" xfId="260"/>
    <cellStyle name="Calculation 2" xfId="56"/>
    <cellStyle name="Calculation 2 2" xfId="327"/>
    <cellStyle name="Calculation 3" xfId="261"/>
    <cellStyle name="Check Cell 2" xfId="57"/>
    <cellStyle name="Check Cell 3" xfId="262"/>
    <cellStyle name="Comma" xfId="364" builtinId="3"/>
    <cellStyle name="Comma [0] 2" xfId="58"/>
    <cellStyle name="Comma 10" xfId="417"/>
    <cellStyle name="Comma 11" xfId="418"/>
    <cellStyle name="Comma 2" xfId="59"/>
    <cellStyle name="Comma 2 2" xfId="60"/>
    <cellStyle name="Comma 2 2 2" xfId="61"/>
    <cellStyle name="Comma 2 2 3" xfId="328"/>
    <cellStyle name="Comma 2 2 3 2" xfId="419"/>
    <cellStyle name="Comma 2 2 4" xfId="420"/>
    <cellStyle name="Comma 2 2 4 2" xfId="421"/>
    <cellStyle name="Comma 2 2 5" xfId="422"/>
    <cellStyle name="Comma 2 2 5 2" xfId="423"/>
    <cellStyle name="Comma 2 2 6" xfId="424"/>
    <cellStyle name="Comma 2 2 6 2" xfId="425"/>
    <cellStyle name="Comma 2 2 7" xfId="426"/>
    <cellStyle name="Comma 2 2 8" xfId="427"/>
    <cellStyle name="Comma 2 3" xfId="62"/>
    <cellStyle name="Comma 2 3 2" xfId="428"/>
    <cellStyle name="Comma 2 4" xfId="329"/>
    <cellStyle name="Comma 2 5" xfId="330"/>
    <cellStyle name="Comma 3" xfId="63"/>
    <cellStyle name="Comma 3 10" xfId="429"/>
    <cellStyle name="Comma 3 2" xfId="64"/>
    <cellStyle name="Comma 3 2 2" xfId="65"/>
    <cellStyle name="Comma 3 2 3" xfId="331"/>
    <cellStyle name="Comma 3 3" xfId="66"/>
    <cellStyle name="Comma 3 3 2" xfId="67"/>
    <cellStyle name="Comma 3 3 3" xfId="68"/>
    <cellStyle name="Comma 3 3 4" xfId="69"/>
    <cellStyle name="Comma 3 4" xfId="332"/>
    <cellStyle name="Comma 3 4 2" xfId="430"/>
    <cellStyle name="Comma 3 5" xfId="431"/>
    <cellStyle name="Comma 3 5 2" xfId="432"/>
    <cellStyle name="Comma 3 6" xfId="433"/>
    <cellStyle name="Comma 3 6 2" xfId="434"/>
    <cellStyle name="Comma 3 7" xfId="435"/>
    <cellStyle name="Comma 3 8" xfId="436"/>
    <cellStyle name="Comma 3 9" xfId="437"/>
    <cellStyle name="Comma 4" xfId="70"/>
    <cellStyle name="Comma 4 2" xfId="71"/>
    <cellStyle name="Comma 4 2 2" xfId="72"/>
    <cellStyle name="Comma 4 3" xfId="73"/>
    <cellStyle name="Comma 5" xfId="74"/>
    <cellStyle name="Comma 5 2" xfId="75"/>
    <cellStyle name="Comma 5 3" xfId="76"/>
    <cellStyle name="Comma 6" xfId="77"/>
    <cellStyle name="Comma 7" xfId="78"/>
    <cellStyle name="Comma 8" xfId="79"/>
    <cellStyle name="Comma 9" xfId="438"/>
    <cellStyle name="Currency" xfId="308" builtinId="4"/>
    <cellStyle name="Currency 2" xfId="80"/>
    <cellStyle name="Currency 2 2" xfId="81"/>
    <cellStyle name="Currency 2 2 2" xfId="82"/>
    <cellStyle name="Currency 2 2 3" xfId="333"/>
    <cellStyle name="Currency 2 3" xfId="83"/>
    <cellStyle name="Currency 2 4" xfId="334"/>
    <cellStyle name="Currency 2 5" xfId="335"/>
    <cellStyle name="Currency 3" xfId="84"/>
    <cellStyle name="Currency 3 2" xfId="85"/>
    <cellStyle name="Currency 3 2 2" xfId="86"/>
    <cellStyle name="Currency 3 2 3" xfId="336"/>
    <cellStyle name="Currency 3 3" xfId="87"/>
    <cellStyle name="Currency 3 4" xfId="337"/>
    <cellStyle name="Currency 3 5" xfId="439"/>
    <cellStyle name="Currency 4" xfId="88"/>
    <cellStyle name="Currency 4 2" xfId="440"/>
    <cellStyle name="Currency 4 3" xfId="441"/>
    <cellStyle name="Currency 5" xfId="89"/>
    <cellStyle name="Currency 5 2" xfId="90"/>
    <cellStyle name="Currency 5 2 2" xfId="91"/>
    <cellStyle name="Currency 5 3" xfId="92"/>
    <cellStyle name="Currency 6" xfId="93"/>
    <cellStyle name="Currency 6 2" xfId="94"/>
    <cellStyle name="Currency 7" xfId="95"/>
    <cellStyle name="Currency 7 2" xfId="96"/>
    <cellStyle name="Currency 8" xfId="97"/>
    <cellStyle name="Data Field" xfId="3"/>
    <cellStyle name="Data Field 2" xfId="98"/>
    <cellStyle name="Data Field 2 2" xfId="99"/>
    <cellStyle name="Data Field 2 3" xfId="338"/>
    <cellStyle name="Data Field 3" xfId="100"/>
    <cellStyle name="Data Field 4" xfId="339"/>
    <cellStyle name="Data Field 5" xfId="442"/>
    <cellStyle name="Data Name" xfId="4"/>
    <cellStyle name="Data Name 2" xfId="443"/>
    <cellStyle name="Data Name 2 2" xfId="444"/>
    <cellStyle name="Data Name 3" xfId="445"/>
    <cellStyle name="Data Name 4" xfId="446"/>
    <cellStyle name="Date/Time" xfId="5"/>
    <cellStyle name="Emphasis 1" xfId="101"/>
    <cellStyle name="Emphasis 2" xfId="102"/>
    <cellStyle name="Emphasis 3" xfId="103"/>
    <cellStyle name="Explanatory Text 2" xfId="104"/>
    <cellStyle name="Explanatory Text 3" xfId="263"/>
    <cellStyle name="Good 2" xfId="105"/>
    <cellStyle name="Good 3" xfId="264"/>
    <cellStyle name="Heading" xfId="6"/>
    <cellStyle name="Heading 1 2" xfId="106"/>
    <cellStyle name="Heading 1 2 2" xfId="340"/>
    <cellStyle name="Heading 1 3" xfId="265"/>
    <cellStyle name="Heading 2 2" xfId="107"/>
    <cellStyle name="Heading 2 3" xfId="108"/>
    <cellStyle name="Heading 3 2" xfId="109"/>
    <cellStyle name="Heading 3 2 2" xfId="341"/>
    <cellStyle name="Heading 3 3" xfId="266"/>
    <cellStyle name="Heading 4 2" xfId="110"/>
    <cellStyle name="Heading 4 2 2" xfId="342"/>
    <cellStyle name="Heading 4 3" xfId="267"/>
    <cellStyle name="Hyperlink 2" xfId="111"/>
    <cellStyle name="Hyperlink 2 2" xfId="112"/>
    <cellStyle name="Hyperlink 2 2 2" xfId="113"/>
    <cellStyle name="Hyperlink 2 3" xfId="447"/>
    <cellStyle name="Hyperlink 2_ResWXMF_FY10v2_0" xfId="114"/>
    <cellStyle name="Hyperlink 3" xfId="115"/>
    <cellStyle name="Hyperlink 3 2" xfId="116"/>
    <cellStyle name="Hyperlink 3 2 2" xfId="117"/>
    <cellStyle name="Hyperlink 4" xfId="118"/>
    <cellStyle name="Hyperlink 5" xfId="119"/>
    <cellStyle name="Hyperlink 6" xfId="120"/>
    <cellStyle name="Hyperlink 7" xfId="121"/>
    <cellStyle name="Hyperlink 8" xfId="122"/>
    <cellStyle name="Input 2" xfId="123"/>
    <cellStyle name="Input 3" xfId="268"/>
    <cellStyle name="Linked Cell 2" xfId="124"/>
    <cellStyle name="Linked Cell 3" xfId="269"/>
    <cellStyle name="Neutral 2" xfId="125"/>
    <cellStyle name="Neutral 3" xfId="270"/>
    <cellStyle name="Normal" xfId="0" builtinId="0"/>
    <cellStyle name="Normal 10" xfId="126"/>
    <cellStyle name="Normal 10 2" xfId="127"/>
    <cellStyle name="Normal 11" xfId="128"/>
    <cellStyle name="Normal 11 2" xfId="448"/>
    <cellStyle name="Normal 12" xfId="129"/>
    <cellStyle name="Normal 12 2" xfId="449"/>
    <cellStyle name="Normal 13" xfId="12"/>
    <cellStyle name="Normal 13 2" xfId="130"/>
    <cellStyle name="Normal 13 3" xfId="131"/>
    <cellStyle name="Normal 14" xfId="132"/>
    <cellStyle name="Normal 14 2" xfId="9"/>
    <cellStyle name="Normal 14 2 2" xfId="133"/>
    <cellStyle name="Normal 14 3" xfId="11"/>
    <cellStyle name="Normal 14 3 2" xfId="362"/>
    <cellStyle name="Normal 14 4" xfId="343"/>
    <cellStyle name="Normal 14 5" xfId="450"/>
    <cellStyle name="Normal 15" xfId="134"/>
    <cellStyle name="Normal 15 2" xfId="10"/>
    <cellStyle name="Normal 15 2 2" xfId="363"/>
    <cellStyle name="Normal 15 3" xfId="135"/>
    <cellStyle name="Normal 15 4" xfId="136"/>
    <cellStyle name="Normal 15 5" xfId="451"/>
    <cellStyle name="Normal 16" xfId="137"/>
    <cellStyle name="Normal 16 2" xfId="138"/>
    <cellStyle name="Normal 16 3" xfId="139"/>
    <cellStyle name="Normal 16 4" xfId="452"/>
    <cellStyle name="Normal 17" xfId="140"/>
    <cellStyle name="Normal 17 2" xfId="141"/>
    <cellStyle name="Normal 18" xfId="142"/>
    <cellStyle name="Normal 19" xfId="143"/>
    <cellStyle name="Normal 2" xfId="144"/>
    <cellStyle name="Normal 2 10" xfId="453"/>
    <cellStyle name="Normal 2 11" xfId="454"/>
    <cellStyle name="Normal 2 12" xfId="455"/>
    <cellStyle name="Normal 2 2" xfId="145"/>
    <cellStyle name="Normal 2 2 2" xfId="146"/>
    <cellStyle name="Normal 2 2 2 2" xfId="147"/>
    <cellStyle name="Normal 2 2 2 3" xfId="344"/>
    <cellStyle name="Normal 2 2 3" xfId="148"/>
    <cellStyle name="Normal 2 2 3 2" xfId="149"/>
    <cellStyle name="Normal 2 2 3 3" xfId="150"/>
    <cellStyle name="Normal 2 2 4" xfId="345"/>
    <cellStyle name="Normal 2 2 4 2" xfId="456"/>
    <cellStyle name="Normal 2 2 5" xfId="457"/>
    <cellStyle name="Normal 2 2 6" xfId="458"/>
    <cellStyle name="Normal 2 3" xfId="151"/>
    <cellStyle name="Normal 2 3 2" xfId="152"/>
    <cellStyle name="Normal 2 3 2 2" xfId="153"/>
    <cellStyle name="Normal 2 3 2 2 2" xfId="154"/>
    <cellStyle name="Normal 2 3 2 3" xfId="459"/>
    <cellStyle name="Normal 2 3 3" xfId="155"/>
    <cellStyle name="Normal 2 3 3 2" xfId="156"/>
    <cellStyle name="Normal 2 3 4" xfId="460"/>
    <cellStyle name="Normal 2 4" xfId="157"/>
    <cellStyle name="Normal 2 4 2" xfId="158"/>
    <cellStyle name="Normal 2 4 2 2" xfId="159"/>
    <cellStyle name="Normal 2 4 2 3" xfId="160"/>
    <cellStyle name="Normal 2 4 2 4" xfId="161"/>
    <cellStyle name="Normal 2 4 3" xfId="346"/>
    <cellStyle name="Normal 2 5" xfId="162"/>
    <cellStyle name="Normal 2 5 2" xfId="461"/>
    <cellStyle name="Normal 2 6" xfId="163"/>
    <cellStyle name="Normal 2 6 2" xfId="8"/>
    <cellStyle name="Normal 2 6 2 2" xfId="164"/>
    <cellStyle name="Normal 2 6 2 3" xfId="165"/>
    <cellStyle name="Normal 2 6 3" xfId="166"/>
    <cellStyle name="Normal 2 6 3 2" xfId="167"/>
    <cellStyle name="Normal 2 6 4" xfId="168"/>
    <cellStyle name="Normal 2 6 4 2" xfId="169"/>
    <cellStyle name="Normal 2 6 5" xfId="170"/>
    <cellStyle name="Normal 2 6 6" xfId="171"/>
    <cellStyle name="Normal 2 7" xfId="172"/>
    <cellStyle name="Normal 2 7 2" xfId="173"/>
    <cellStyle name="Normal 2 7 2 2" xfId="174"/>
    <cellStyle name="Normal 2 7 3" xfId="175"/>
    <cellStyle name="Normal 2 8" xfId="176"/>
    <cellStyle name="Normal 2 8 2" xfId="462"/>
    <cellStyle name="Normal 2 9" xfId="177"/>
    <cellStyle name="Normal 2 9 2" xfId="463"/>
    <cellStyle name="Normal 20" xfId="235"/>
    <cellStyle name="Normal 21" xfId="271"/>
    <cellStyle name="Normal 22" xfId="272"/>
    <cellStyle name="Normal 23" xfId="273"/>
    <cellStyle name="Normal 24" xfId="274"/>
    <cellStyle name="Normal 25" xfId="275"/>
    <cellStyle name="Normal 26" xfId="276"/>
    <cellStyle name="Normal 27" xfId="277"/>
    <cellStyle name="Normal 28" xfId="278"/>
    <cellStyle name="Normal 29" xfId="279"/>
    <cellStyle name="Normal 3" xfId="178"/>
    <cellStyle name="Normal 3 2" xfId="179"/>
    <cellStyle name="Normal 3 2 2" xfId="180"/>
    <cellStyle name="Normal 3 2 3" xfId="347"/>
    <cellStyle name="Normal 3 3" xfId="181"/>
    <cellStyle name="Normal 3 3 2" xfId="182"/>
    <cellStyle name="Normal 3 3 2 2" xfId="183"/>
    <cellStyle name="Normal 3 4" xfId="184"/>
    <cellStyle name="Normal 3 4 2" xfId="464"/>
    <cellStyle name="Normal 3 5" xfId="465"/>
    <cellStyle name="Normal 3 66" xfId="185"/>
    <cellStyle name="Normal 30" xfId="280"/>
    <cellStyle name="Normal 31" xfId="281"/>
    <cellStyle name="Normal 32" xfId="282"/>
    <cellStyle name="Normal 33" xfId="283"/>
    <cellStyle name="Normal 34" xfId="284"/>
    <cellStyle name="Normal 35" xfId="285"/>
    <cellStyle name="Normal 36" xfId="286"/>
    <cellStyle name="Normal 37" xfId="287"/>
    <cellStyle name="Normal 38" xfId="288"/>
    <cellStyle name="Normal 39" xfId="289"/>
    <cellStyle name="Normal 4" xfId="186"/>
    <cellStyle name="Normal 4 2" xfId="187"/>
    <cellStyle name="Normal 4 2 2" xfId="466"/>
    <cellStyle name="Normal 4 3" xfId="188"/>
    <cellStyle name="Normal 4 3 2" xfId="189"/>
    <cellStyle name="Normal 4 3 2 2" xfId="190"/>
    <cellStyle name="Normal 4 3 2 3" xfId="191"/>
    <cellStyle name="Normal 4 3 3" xfId="192"/>
    <cellStyle name="Normal 4 3 4" xfId="467"/>
    <cellStyle name="Normal 4 4" xfId="193"/>
    <cellStyle name="Normal 4 4 2" xfId="194"/>
    <cellStyle name="Normal 4 4 3" xfId="195"/>
    <cellStyle name="Normal 4 5" xfId="196"/>
    <cellStyle name="Normal 4 5 2" xfId="197"/>
    <cellStyle name="Normal 4 5 3" xfId="348"/>
    <cellStyle name="Normal 4 6" xfId="349"/>
    <cellStyle name="Normal 4 7" xfId="350"/>
    <cellStyle name="Normal 4 8" xfId="468"/>
    <cellStyle name="Normal 40" xfId="290"/>
    <cellStyle name="Normal 41" xfId="291"/>
    <cellStyle name="Normal 42" xfId="292"/>
    <cellStyle name="Normal 43" xfId="293"/>
    <cellStyle name="Normal 44" xfId="294"/>
    <cellStyle name="Normal 45" xfId="295"/>
    <cellStyle name="Normal 46" xfId="296"/>
    <cellStyle name="Normal 47" xfId="297"/>
    <cellStyle name="Normal 48" xfId="298"/>
    <cellStyle name="Normal 48 2" xfId="299"/>
    <cellStyle name="Normal 49" xfId="300"/>
    <cellStyle name="Normal 5" xfId="198"/>
    <cellStyle name="Normal 5 2" xfId="199"/>
    <cellStyle name="Normal 5 2 2" xfId="469"/>
    <cellStyle name="Normal 5 3" xfId="470"/>
    <cellStyle name="Normal 5 3 2" xfId="471"/>
    <cellStyle name="Normal 5 4" xfId="472"/>
    <cellStyle name="Normal 5 4 2" xfId="473"/>
    <cellStyle name="Normal 5 5" xfId="474"/>
    <cellStyle name="Normal 5 5 2" xfId="475"/>
    <cellStyle name="Normal 5 6" xfId="476"/>
    <cellStyle name="Normal 5 6 2" xfId="477"/>
    <cellStyle name="Normal 5 7" xfId="478"/>
    <cellStyle name="Normal 50" xfId="301"/>
    <cellStyle name="Normal 51" xfId="479"/>
    <cellStyle name="Normal 6" xfId="200"/>
    <cellStyle name="Normal 6 2" xfId="480"/>
    <cellStyle name="Normal 6 3" xfId="481"/>
    <cellStyle name="Normal 6 4" xfId="482"/>
    <cellStyle name="Normal 6 5" xfId="483"/>
    <cellStyle name="Normal 7" xfId="201"/>
    <cellStyle name="Normal 7 2" xfId="202"/>
    <cellStyle name="Normal 7 2 2" xfId="484"/>
    <cellStyle name="Normal 7 3" xfId="485"/>
    <cellStyle name="Normal 8" xfId="203"/>
    <cellStyle name="Normal 8 2" xfId="204"/>
    <cellStyle name="Normal 8 2 2" xfId="486"/>
    <cellStyle name="Normal 8 3" xfId="487"/>
    <cellStyle name="Normal 9" xfId="205"/>
    <cellStyle name="Normal 9 2" xfId="206"/>
    <cellStyle name="Normal 9 3" xfId="351"/>
    <cellStyle name="Normal_MTDUCT" xfId="1"/>
    <cellStyle name="Normal_PC-LPDPackage-6P-D14" xfId="309"/>
    <cellStyle name="Normal_ProCostFinAssumptions_Sector" xfId="2"/>
    <cellStyle name="Note 2" xfId="207"/>
    <cellStyle name="Note 2 2" xfId="352"/>
    <cellStyle name="Note 2 2 2" xfId="488"/>
    <cellStyle name="Note 2 3" xfId="489"/>
    <cellStyle name="Note 2 3 2" xfId="490"/>
    <cellStyle name="Note 2 4" xfId="491"/>
    <cellStyle name="Note 2 4 2" xfId="492"/>
    <cellStyle name="Note 2 5" xfId="493"/>
    <cellStyle name="Note 3" xfId="208"/>
    <cellStyle name="Output 2" xfId="209"/>
    <cellStyle name="Output 2 2" xfId="353"/>
    <cellStyle name="Output 3" xfId="302"/>
    <cellStyle name="Percent" xfId="7" builtinId="5"/>
    <cellStyle name="Percent 2" xfId="210"/>
    <cellStyle name="Percent 2 10" xfId="494"/>
    <cellStyle name="Percent 2 2" xfId="211"/>
    <cellStyle name="Percent 2 2 2" xfId="212"/>
    <cellStyle name="Percent 2 2 2 2" xfId="213"/>
    <cellStyle name="Percent 2 2 2 2 2" xfId="495"/>
    <cellStyle name="Percent 2 2 2 3" xfId="354"/>
    <cellStyle name="Percent 2 2 3" xfId="214"/>
    <cellStyle name="Percent 2 2 4" xfId="355"/>
    <cellStyle name="Percent 2 3" xfId="215"/>
    <cellStyle name="Percent 2 3 2" xfId="356"/>
    <cellStyle name="Percent 2 3 2 2" xfId="496"/>
    <cellStyle name="Percent 2 3 2 2 2" xfId="497"/>
    <cellStyle name="Percent 2 3 2 3" xfId="498"/>
    <cellStyle name="Percent 2 3 2 3 2" xfId="499"/>
    <cellStyle name="Percent 2 3 2 4" xfId="500"/>
    <cellStyle name="Percent 2 3 2 4 2" xfId="501"/>
    <cellStyle name="Percent 2 3 2 5" xfId="502"/>
    <cellStyle name="Percent 2 3 2 6" xfId="503"/>
    <cellStyle name="Percent 2 3 3" xfId="357"/>
    <cellStyle name="Percent 2 4" xfId="504"/>
    <cellStyle name="Percent 2 4 2" xfId="505"/>
    <cellStyle name="Percent 2 4 3" xfId="506"/>
    <cellStyle name="Percent 2 5" xfId="507"/>
    <cellStyle name="Percent 2 5 2" xfId="508"/>
    <cellStyle name="Percent 2 6" xfId="509"/>
    <cellStyle name="Percent 2 6 2" xfId="510"/>
    <cellStyle name="Percent 2 7" xfId="511"/>
    <cellStyle name="Percent 2 7 2" xfId="512"/>
    <cellStyle name="Percent 2 8" xfId="513"/>
    <cellStyle name="Percent 2 9" xfId="514"/>
    <cellStyle name="Percent 3" xfId="216"/>
    <cellStyle name="Percent 3 2" xfId="217"/>
    <cellStyle name="Percent 3 2 2" xfId="218"/>
    <cellStyle name="Percent 3 2 2 2" xfId="515"/>
    <cellStyle name="Percent 3 2 3" xfId="358"/>
    <cellStyle name="Percent 3 2 3 2" xfId="516"/>
    <cellStyle name="Percent 3 2 4" xfId="517"/>
    <cellStyle name="Percent 3 2 4 2" xfId="518"/>
    <cellStyle name="Percent 3 2 5" xfId="519"/>
    <cellStyle name="Percent 3 2 5 2" xfId="520"/>
    <cellStyle name="Percent 3 2 6" xfId="521"/>
    <cellStyle name="Percent 3 2 7" xfId="522"/>
    <cellStyle name="Percent 3 2 8" xfId="523"/>
    <cellStyle name="Percent 3 3" xfId="219"/>
    <cellStyle name="Percent 3 4" xfId="359"/>
    <cellStyle name="Percent 3 5" xfId="524"/>
    <cellStyle name="Percent 4" xfId="220"/>
    <cellStyle name="Percent 4 2" xfId="221"/>
    <cellStyle name="Percent 4 2 2" xfId="525"/>
    <cellStyle name="Percent 4 3" xfId="526"/>
    <cellStyle name="Percent 5" xfId="222"/>
    <cellStyle name="Percent 5 2" xfId="527"/>
    <cellStyle name="Percent 6" xfId="223"/>
    <cellStyle name="Percent 6 2" xfId="224"/>
    <cellStyle name="Percent 7" xfId="225"/>
    <cellStyle name="Percent 8" xfId="226"/>
    <cellStyle name="Percent 9" xfId="528"/>
    <cellStyle name="Sheet Title" xfId="227"/>
    <cellStyle name="Style 1" xfId="228"/>
    <cellStyle name="Style 1 2" xfId="229"/>
    <cellStyle name="Style 28" xfId="303"/>
    <cellStyle name="Title 2" xfId="230"/>
    <cellStyle name="Title 2 2" xfId="360"/>
    <cellStyle name="Title 3" xfId="304"/>
    <cellStyle name="Total 2" xfId="231"/>
    <cellStyle name="Total 2 2" xfId="361"/>
    <cellStyle name="Total 3" xfId="305"/>
    <cellStyle name="Warning Text 2" xfId="232"/>
    <cellStyle name="Warning Text 3" xfId="306"/>
    <cellStyle name="표준 2_WP-1 보고자료 (2009.06.03)" xfId="307"/>
    <cellStyle name="표준_ENERGY CONSUMP" xfId="233"/>
    <cellStyle name="常规_海外市场服务网站资料操作BOM" xfId="2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NewSat" refersTo="='SATS'!$B$87:$F$152"/>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row r="120">
          <cell r="B120" t="str">
            <v>List and links to measure-level files. Plus housekeeping and administrative functions.</v>
          </cell>
        </row>
        <row r="121">
          <cell r="B121" t="str">
            <v>Applicability factor for the measure bundle.  Fraction of stock the measure applies to.</v>
          </cell>
        </row>
        <row r="122">
          <cell r="B122" t="str">
            <v>Baseline penetration of measure bundles.  Estimated fraction of stock where the measure is already in place.</v>
          </cell>
        </row>
        <row r="123">
          <cell r="B123" t="str">
            <v>Vintage cohort for measure bundles.</v>
          </cell>
        </row>
        <row r="124">
          <cell r="B124" t="str">
            <v>Turnover rate for stock to which measure applies.</v>
          </cell>
        </row>
        <row r="125">
          <cell r="B125" t="str">
            <v>Achievable rate of acquisition for measure bundles by year</v>
          </cell>
        </row>
        <row r="126">
          <cell r="B126" t="str">
            <v>Tables developed to estimate regional baseline penetration for various elements of energy codes by jurisdiction</v>
          </cell>
        </row>
        <row r="127">
          <cell r="B127" t="str">
            <v xml:space="preserve">Key characteristics for stock by vintage cohort and building subtype.  Used to develop regional application of measures. </v>
          </cell>
        </row>
        <row r="128">
          <cell r="B128" t="str">
            <v>Floor area forecast summary used to develop data in CHAR</v>
          </cell>
        </row>
        <row r="129">
          <cell r="B129" t="str">
            <v>List of variables and definitions used in the CHAR tab and elsewhere in the files.</v>
          </cell>
        </row>
        <row r="130">
          <cell r="B130" t="str">
            <v>Map of building types labels from different sources.</v>
          </cell>
        </row>
        <row r="131">
          <cell r="B131" t="str">
            <v>Lookup table for vintage cohort</v>
          </cell>
        </row>
        <row r="132">
          <cell r="B132" t="str">
            <v xml:space="preserve">Reference UEC from various sources including RECS &amp; RBSA.  </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C1:F13"/>
  <sheetViews>
    <sheetView workbookViewId="0">
      <selection activeCell="D23" sqref="D23"/>
    </sheetView>
  </sheetViews>
  <sheetFormatPr defaultRowHeight="15"/>
  <cols>
    <col min="1" max="1" width="4" style="104" customWidth="1"/>
    <col min="2" max="2" width="4.28515625" style="104" customWidth="1"/>
    <col min="3" max="3" width="28.140625" style="104" customWidth="1"/>
    <col min="4" max="4" width="59" style="104" customWidth="1"/>
    <col min="5" max="5" width="47.85546875" style="104" customWidth="1"/>
    <col min="6" max="6" width="39.85546875" style="104" customWidth="1"/>
    <col min="7" max="16384" width="9.140625" style="104"/>
  </cols>
  <sheetData>
    <row r="1" spans="3:6" ht="15.75" thickBot="1"/>
    <row r="2" spans="3:6" ht="19.5" thickBot="1">
      <c r="C2" s="105" t="s">
        <v>208</v>
      </c>
      <c r="D2" s="106" t="s">
        <v>214</v>
      </c>
      <c r="E2" s="106"/>
      <c r="F2" s="107"/>
    </row>
    <row r="3" spans="3:6">
      <c r="C3" s="108" t="s">
        <v>193</v>
      </c>
      <c r="D3" s="108" t="s">
        <v>194</v>
      </c>
      <c r="E3" s="108" t="s">
        <v>195</v>
      </c>
      <c r="F3" s="108" t="s">
        <v>209</v>
      </c>
    </row>
    <row r="4" spans="3:6">
      <c r="C4" s="109" t="s">
        <v>196</v>
      </c>
      <c r="D4" s="101" t="s">
        <v>212</v>
      </c>
      <c r="E4" s="110" t="s">
        <v>213</v>
      </c>
      <c r="F4" s="111" t="s">
        <v>437</v>
      </c>
    </row>
    <row r="5" spans="3:6" ht="30">
      <c r="C5" s="109" t="s">
        <v>197</v>
      </c>
      <c r="D5" s="102" t="s">
        <v>440</v>
      </c>
      <c r="E5" s="103" t="s">
        <v>204</v>
      </c>
      <c r="F5" s="111" t="s">
        <v>437</v>
      </c>
    </row>
    <row r="6" spans="3:6">
      <c r="C6" s="109" t="s">
        <v>198</v>
      </c>
      <c r="D6" s="103" t="s">
        <v>205</v>
      </c>
      <c r="E6" s="112"/>
      <c r="F6" s="111"/>
    </row>
    <row r="7" spans="3:6">
      <c r="C7" s="109" t="s">
        <v>199</v>
      </c>
      <c r="D7" s="102" t="s">
        <v>206</v>
      </c>
      <c r="E7" s="112"/>
      <c r="F7" s="111"/>
    </row>
    <row r="8" spans="3:6">
      <c r="C8" s="109" t="s">
        <v>210</v>
      </c>
      <c r="D8" s="102" t="s">
        <v>207</v>
      </c>
      <c r="E8" s="113"/>
      <c r="F8" s="111"/>
    </row>
    <row r="9" spans="3:6">
      <c r="C9" s="109" t="s">
        <v>200</v>
      </c>
      <c r="D9" s="102" t="s">
        <v>447</v>
      </c>
      <c r="E9" s="113"/>
      <c r="F9" s="111"/>
    </row>
    <row r="10" spans="3:6">
      <c r="C10" s="109" t="s">
        <v>201</v>
      </c>
      <c r="D10" s="102" t="s">
        <v>192</v>
      </c>
      <c r="E10" s="112"/>
      <c r="F10" s="111"/>
    </row>
    <row r="11" spans="3:6">
      <c r="C11" s="109" t="s">
        <v>202</v>
      </c>
      <c r="D11" s="102" t="s">
        <v>192</v>
      </c>
      <c r="E11" s="113"/>
      <c r="F11" s="111"/>
    </row>
    <row r="12" spans="3:6">
      <c r="C12" s="109" t="s">
        <v>203</v>
      </c>
      <c r="D12" s="102" t="s">
        <v>438</v>
      </c>
      <c r="E12" s="115"/>
      <c r="F12" s="111" t="s">
        <v>439</v>
      </c>
    </row>
    <row r="13" spans="3:6" ht="30">
      <c r="C13" s="109" t="s">
        <v>211</v>
      </c>
      <c r="D13" s="114" t="s">
        <v>448</v>
      </c>
      <c r="E13" s="113" t="s">
        <v>449</v>
      </c>
      <c r="F13" s="1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10"/>
  <sheetViews>
    <sheetView workbookViewId="0">
      <selection activeCell="E16" sqref="E16"/>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79" t="s">
        <v>452</v>
      </c>
      <c r="B1" s="79" t="s">
        <v>453</v>
      </c>
      <c r="C1" s="79" t="s">
        <v>454</v>
      </c>
      <c r="D1" s="79" t="s">
        <v>455</v>
      </c>
      <c r="E1" s="79" t="s">
        <v>456</v>
      </c>
      <c r="F1" s="79" t="s">
        <v>457</v>
      </c>
      <c r="G1" s="79" t="s">
        <v>458</v>
      </c>
      <c r="H1" s="79" t="s">
        <v>459</v>
      </c>
      <c r="I1" s="79" t="s">
        <v>66</v>
      </c>
      <c r="J1" s="79" t="s">
        <v>67</v>
      </c>
      <c r="K1" s="90">
        <v>2016</v>
      </c>
      <c r="L1" s="84">
        <v>2017</v>
      </c>
      <c r="M1" s="84">
        <v>2018</v>
      </c>
      <c r="N1" s="84">
        <v>2019</v>
      </c>
      <c r="O1" s="84">
        <v>2020</v>
      </c>
      <c r="P1" s="84">
        <v>2021</v>
      </c>
      <c r="Q1" s="84">
        <v>2022</v>
      </c>
      <c r="R1" s="84">
        <v>2023</v>
      </c>
      <c r="S1" s="84">
        <v>2024</v>
      </c>
      <c r="T1" s="84">
        <v>2025</v>
      </c>
      <c r="U1" s="84">
        <v>2026</v>
      </c>
      <c r="V1" s="84">
        <v>2027</v>
      </c>
      <c r="W1" s="84">
        <v>2028</v>
      </c>
      <c r="X1" s="84">
        <v>2029</v>
      </c>
      <c r="Y1" s="84">
        <v>2030</v>
      </c>
      <c r="Z1" s="84">
        <v>2031</v>
      </c>
      <c r="AA1" s="84">
        <v>2032</v>
      </c>
      <c r="AB1" s="84">
        <v>2033</v>
      </c>
      <c r="AC1" s="84">
        <v>2034</v>
      </c>
      <c r="AD1" s="84">
        <v>2035</v>
      </c>
      <c r="AE1" s="85" t="s">
        <v>149</v>
      </c>
      <c r="AF1" s="30" t="s">
        <v>444</v>
      </c>
      <c r="AG1" s="31"/>
      <c r="AH1" s="31"/>
      <c r="AI1" s="31"/>
      <c r="AJ1" s="31"/>
      <c r="AK1" s="31"/>
      <c r="AL1" s="31"/>
      <c r="AM1" s="31"/>
      <c r="AN1" s="31"/>
      <c r="AO1" s="31"/>
      <c r="AP1" s="31"/>
      <c r="AQ1" s="25"/>
      <c r="AR1" s="29"/>
      <c r="AS1" s="30" t="s">
        <v>445</v>
      </c>
      <c r="AT1" s="31"/>
      <c r="AU1" s="31"/>
      <c r="AV1" s="31"/>
      <c r="AW1" s="31"/>
      <c r="AX1" s="31"/>
      <c r="AY1" s="31"/>
      <c r="AZ1" s="31"/>
      <c r="BA1" s="31"/>
      <c r="BB1" s="31"/>
      <c r="BC1" s="31"/>
      <c r="BD1" s="25"/>
    </row>
    <row r="2" spans="1:56" ht="15">
      <c r="A2" s="79"/>
      <c r="B2" s="79"/>
      <c r="C2" s="79"/>
      <c r="D2" s="79"/>
      <c r="E2" s="79"/>
      <c r="F2" s="79" t="s">
        <v>446</v>
      </c>
      <c r="G2" s="79" t="s">
        <v>46</v>
      </c>
      <c r="H2" s="79" t="s">
        <v>65</v>
      </c>
      <c r="I2" s="79">
        <v>1</v>
      </c>
      <c r="J2" s="79"/>
      <c r="K2" s="91" t="str">
        <f t="shared" ref="K2:AD2" si="0">CONCATENATE("aMW_",K$1)</f>
        <v>aMW_2016</v>
      </c>
      <c r="L2" s="86" t="str">
        <f t="shared" si="0"/>
        <v>aMW_2017</v>
      </c>
      <c r="M2" s="86" t="str">
        <f t="shared" si="0"/>
        <v>aMW_2018</v>
      </c>
      <c r="N2" s="86" t="str">
        <f t="shared" si="0"/>
        <v>aMW_2019</v>
      </c>
      <c r="O2" s="86" t="str">
        <f t="shared" si="0"/>
        <v>aMW_2020</v>
      </c>
      <c r="P2" s="86" t="str">
        <f t="shared" si="0"/>
        <v>aMW_2021</v>
      </c>
      <c r="Q2" s="86" t="str">
        <f t="shared" si="0"/>
        <v>aMW_2022</v>
      </c>
      <c r="R2" s="86" t="str">
        <f t="shared" si="0"/>
        <v>aMW_2023</v>
      </c>
      <c r="S2" s="86" t="str">
        <f t="shared" si="0"/>
        <v>aMW_2024</v>
      </c>
      <c r="T2" s="86" t="str">
        <f t="shared" si="0"/>
        <v>aMW_2025</v>
      </c>
      <c r="U2" s="86" t="str">
        <f t="shared" si="0"/>
        <v>aMW_2026</v>
      </c>
      <c r="V2" s="86" t="str">
        <f t="shared" si="0"/>
        <v>aMW_2027</v>
      </c>
      <c r="W2" s="86" t="str">
        <f t="shared" si="0"/>
        <v>aMW_2028</v>
      </c>
      <c r="X2" s="86" t="str">
        <f t="shared" si="0"/>
        <v>aMW_2029</v>
      </c>
      <c r="Y2" s="86" t="str">
        <f t="shared" si="0"/>
        <v>aMW_2030</v>
      </c>
      <c r="Z2" s="86" t="str">
        <f t="shared" si="0"/>
        <v>aMW_2031</v>
      </c>
      <c r="AA2" s="86" t="str">
        <f t="shared" si="0"/>
        <v>aMW_2032</v>
      </c>
      <c r="AB2" s="86" t="str">
        <f t="shared" si="0"/>
        <v>aMW_2033</v>
      </c>
      <c r="AC2" s="86" t="str">
        <f t="shared" si="0"/>
        <v>aMW_2034</v>
      </c>
      <c r="AD2" s="86" t="str">
        <f t="shared" si="0"/>
        <v>aMW_2035</v>
      </c>
      <c r="AE2" s="87" t="s">
        <v>149</v>
      </c>
      <c r="AF2" s="23" t="s">
        <v>33</v>
      </c>
      <c r="AG2" s="23" t="s">
        <v>34</v>
      </c>
      <c r="AH2" s="23" t="s">
        <v>35</v>
      </c>
      <c r="AI2" s="23" t="s">
        <v>36</v>
      </c>
      <c r="AJ2" s="23" t="s">
        <v>37</v>
      </c>
      <c r="AK2" s="23" t="s">
        <v>38</v>
      </c>
      <c r="AL2" s="23" t="s">
        <v>39</v>
      </c>
      <c r="AM2" s="23" t="s">
        <v>40</v>
      </c>
      <c r="AN2" s="23" t="s">
        <v>41</v>
      </c>
      <c r="AO2" s="23" t="s">
        <v>42</v>
      </c>
      <c r="AP2" s="23" t="s">
        <v>43</v>
      </c>
      <c r="AQ2" s="23" t="s">
        <v>44</v>
      </c>
      <c r="AR2" s="23"/>
      <c r="AS2" s="23" t="s">
        <v>33</v>
      </c>
      <c r="AT2" s="23" t="s">
        <v>34</v>
      </c>
      <c r="AU2" s="23" t="s">
        <v>35</v>
      </c>
      <c r="AV2" s="23" t="s">
        <v>36</v>
      </c>
      <c r="AW2" s="23" t="s">
        <v>37</v>
      </c>
      <c r="AX2" s="23" t="s">
        <v>38</v>
      </c>
      <c r="AY2" s="23" t="s">
        <v>39</v>
      </c>
      <c r="AZ2" s="23" t="s">
        <v>40</v>
      </c>
      <c r="BA2" s="23" t="s">
        <v>41</v>
      </c>
      <c r="BB2" s="23" t="s">
        <v>42</v>
      </c>
      <c r="BC2" s="23" t="s">
        <v>43</v>
      </c>
      <c r="BD2" s="23" t="s">
        <v>44</v>
      </c>
    </row>
    <row r="3" spans="1:56" ht="15">
      <c r="A3" s="98" t="str">
        <f>VLOOKUP(CONCATENATE($C3," - ",$B3),[2]ACHIEV!$B$12:$C$78,2,FALSE)</f>
        <v>LO12Med</v>
      </c>
      <c r="B3" s="98" t="str">
        <f>'SC-New'!$C$7</f>
        <v>New</v>
      </c>
      <c r="C3" s="98" t="str">
        <f>'SC-New'!$C$8</f>
        <v>Microwave</v>
      </c>
      <c r="D3" s="98" t="s">
        <v>460</v>
      </c>
      <c r="E3" s="98" t="str">
        <f>'SC-New'!$A$9</f>
        <v>Food Preparation</v>
      </c>
      <c r="F3" s="154">
        <f t="shared" ref="F3:F10" si="1">VLOOKUP($J3,MeasureOutput,14,FALSE)</f>
        <v>5.294096174250985E-3</v>
      </c>
      <c r="G3" s="88">
        <f>'SC-New'!A44</f>
        <v>9.1560045331478168</v>
      </c>
      <c r="H3" s="88">
        <f>'SC-New'!B44</f>
        <v>31.927809211436781</v>
      </c>
      <c r="I3" s="7" t="str">
        <f>'SC-New'!C44</f>
        <v>Single Family</v>
      </c>
      <c r="J3" s="7" t="str">
        <f>'SC-New'!D44</f>
        <v>Microwave Top Tier</v>
      </c>
      <c r="K3" s="20">
        <f ca="1">'SC-New'!E44</f>
        <v>5.8808767030914689E-3</v>
      </c>
      <c r="L3" s="20">
        <f ca="1">'SC-New'!F44</f>
        <v>1.1250652351797247E-2</v>
      </c>
      <c r="M3" s="20">
        <f ca="1">'SC-New'!G44</f>
        <v>1.5995681751928104E-2</v>
      </c>
      <c r="N3" s="20">
        <f ca="1">'SC-New'!H44</f>
        <v>2.0633786409362174E-2</v>
      </c>
      <c r="O3" s="20">
        <f ca="1">'SC-New'!I44</f>
        <v>2.5253714077173695E-2</v>
      </c>
      <c r="P3" s="20">
        <f ca="1">'SC-New'!J44</f>
        <v>2.8475422249835288E-2</v>
      </c>
      <c r="Q3" s="20">
        <f ca="1">'SC-New'!K44</f>
        <v>3.1060237979213003E-2</v>
      </c>
      <c r="R3" s="20">
        <f ca="1">'SC-New'!L44</f>
        <v>3.3601206469135801E-2</v>
      </c>
      <c r="S3" s="20">
        <f ca="1">'SC-New'!M44</f>
        <v>3.5384113046488523E-2</v>
      </c>
      <c r="T3" s="20">
        <f ca="1">'SC-New'!N44</f>
        <v>3.8310149209385011E-2</v>
      </c>
      <c r="U3" s="20">
        <f ca="1">'SC-New'!O44</f>
        <v>3.9995245653401595E-2</v>
      </c>
      <c r="V3" s="20">
        <f ca="1">'SC-New'!P44</f>
        <v>4.0601249707743474E-2</v>
      </c>
      <c r="W3" s="20">
        <f ca="1">'SC-New'!Q44</f>
        <v>4.0397510022731876E-2</v>
      </c>
      <c r="X3" s="20">
        <f ca="1">'SC-New'!R44</f>
        <v>4.1137513378207029E-2</v>
      </c>
      <c r="Y3" s="20">
        <f ca="1">'SC-New'!S44</f>
        <v>4.2134217982969943E-2</v>
      </c>
      <c r="Z3" s="20">
        <f ca="1">'SC-New'!T44</f>
        <v>4.2452786226608183E-2</v>
      </c>
      <c r="AA3" s="20">
        <f ca="1">'SC-New'!U44</f>
        <v>4.1453837698687108E-2</v>
      </c>
      <c r="AB3" s="20">
        <f ca="1">'SC-New'!V44</f>
        <v>4.138396752897467E-2</v>
      </c>
      <c r="AC3" s="20">
        <f ca="1">'SC-New'!W44</f>
        <v>4.1892240529753925E-2</v>
      </c>
      <c r="AD3" s="20">
        <f ca="1">'SC-New'!X44</f>
        <v>4.2176762895660948E-2</v>
      </c>
      <c r="AE3" s="20">
        <f ca="1">'SC-New'!Y44</f>
        <v>0.65947117187214921</v>
      </c>
      <c r="AF3" s="155">
        <f t="shared" ref="AF3:AF10" si="2">VLOOKUP($J3,MeasureOutput,15,FALSE)</f>
        <v>0.67735114691514542</v>
      </c>
      <c r="AG3" s="155">
        <f t="shared" ref="AG3:AG10" si="3">VLOOKUP($J3,MeasureOutput,16,FALSE)</f>
        <v>0.55809308462705853</v>
      </c>
      <c r="AH3" s="155">
        <f t="shared" ref="AH3:AH10" si="4">VLOOKUP($J3,MeasureOutput,17,FALSE)</f>
        <v>0.66648759634888699</v>
      </c>
      <c r="AI3" s="155">
        <f t="shared" ref="AI3:AI10" si="5">VLOOKUP($J3,MeasureOutput,18,FALSE)</f>
        <v>0.55743786685807306</v>
      </c>
      <c r="AJ3" s="155">
        <f t="shared" ref="AJ3:AJ10" si="6">VLOOKUP($J3,MeasureOutput,19,FALSE)</f>
        <v>0.49393986259942624</v>
      </c>
      <c r="AK3" s="155">
        <f t="shared" ref="AK3:AK10" si="7">VLOOKUP($J3,MeasureOutput,20,FALSE)</f>
        <v>0.53991642899762426</v>
      </c>
      <c r="AL3" s="155">
        <f t="shared" ref="AL3:AL10" si="8">VLOOKUP($J3,MeasureOutput,21,FALSE)</f>
        <v>0.49491686324196371</v>
      </c>
      <c r="AM3" s="155">
        <f t="shared" ref="AM3:AM10" si="9">VLOOKUP($J3,MeasureOutput,22,FALSE)</f>
        <v>0.56056521469557286</v>
      </c>
      <c r="AN3" s="155">
        <f t="shared" ref="AN3:AN10" si="10">VLOOKUP($J3,MeasureOutput,23,FALSE)</f>
        <v>0.53210646584705568</v>
      </c>
      <c r="AO3" s="155">
        <f t="shared" ref="AO3:AO10" si="11">VLOOKUP($J3,MeasureOutput,24,FALSE)</f>
        <v>0.71745952030879867</v>
      </c>
      <c r="AP3" s="155">
        <f t="shared" ref="AP3:AP10" si="12">VLOOKUP($J3,MeasureOutput,25,FALSE)</f>
        <v>0.64860011631050529</v>
      </c>
      <c r="AQ3" s="155">
        <f t="shared" ref="AQ3:AQ10" si="13">VLOOKUP($J3,MeasureOutput,26,FALSE)</f>
        <v>0.70450564240999369</v>
      </c>
      <c r="AR3" s="155"/>
      <c r="AS3" s="155">
        <f t="shared" ref="AS3:AS10" si="14">VLOOKUP($J3,MeasureOutput,28,FALSE)</f>
        <v>0.21643108833808006</v>
      </c>
      <c r="AT3" s="155">
        <f t="shared" ref="AT3:AT10" si="15">VLOOKUP($J3,MeasureOutput,29,FALSE)</f>
        <v>0.16356313758480187</v>
      </c>
      <c r="AU3" s="155">
        <f t="shared" ref="AU3:AU10" si="16">VLOOKUP($J3,MeasureOutput,30,FALSE)</f>
        <v>0.14009001341986893</v>
      </c>
      <c r="AV3" s="155">
        <f t="shared" ref="AV3:AV10" si="17">VLOOKUP($J3,MeasureOutput,31,FALSE)</f>
        <v>0.15735976471526114</v>
      </c>
      <c r="AW3" s="155">
        <f t="shared" ref="AW3:AW10" si="18">VLOOKUP($J3,MeasureOutput,32,FALSE)</f>
        <v>0.13595654878084235</v>
      </c>
      <c r="AX3" s="155">
        <f t="shared" ref="AX3:AX10" si="19">VLOOKUP($J3,MeasureOutput,33,FALSE)</f>
        <v>0.11811507730283408</v>
      </c>
      <c r="AY3" s="155">
        <f t="shared" ref="AY3:AY10" si="20">VLOOKUP($J3,MeasureOutput,34,FALSE)</f>
        <v>0.16292857985934348</v>
      </c>
      <c r="AZ3" s="155">
        <f t="shared" ref="AZ3:AZ10" si="21">VLOOKUP($J3,MeasureOutput,35,FALSE)</f>
        <v>0.12160233205698104</v>
      </c>
      <c r="BA3" s="155">
        <f t="shared" ref="BA3:BA10" si="22">VLOOKUP($J3,MeasureOutput,36,FALSE)</f>
        <v>0.17068425972670062</v>
      </c>
      <c r="BB3" s="155">
        <f t="shared" ref="BB3:BB10" si="23">VLOOKUP($J3,MeasureOutput,37,FALSE)</f>
        <v>0.15834254599950379</v>
      </c>
      <c r="BC3" s="155">
        <f t="shared" ref="BC3:BC10" si="24">VLOOKUP($J3,MeasureOutput,38,FALSE)</f>
        <v>0.2118918409286798</v>
      </c>
      <c r="BD3" s="155">
        <f t="shared" ref="BD3:BD10" si="25">VLOOKUP($J3,MeasureOutput,39,FALSE)</f>
        <v>0.24765953527481449</v>
      </c>
    </row>
    <row r="4" spans="1:56" ht="15">
      <c r="A4" s="98" t="str">
        <f>VLOOKUP(CONCATENATE($C4," - ",$B4),[2]ACHIEV!$B$12:$C$78,2,FALSE)</f>
        <v>LO12Med</v>
      </c>
      <c r="B4" s="98" t="str">
        <f>'SC-New'!$C$7</f>
        <v>New</v>
      </c>
      <c r="C4" s="98" t="str">
        <f>'SC-New'!$C$8</f>
        <v>Microwave</v>
      </c>
      <c r="D4" s="98" t="s">
        <v>460</v>
      </c>
      <c r="E4" s="98" t="str">
        <f>'SC-New'!$A$9</f>
        <v>Food Preparation</v>
      </c>
      <c r="F4" s="154">
        <f t="shared" si="1"/>
        <v>5.294096174250985E-3</v>
      </c>
      <c r="G4" s="88">
        <f>'SC-New'!A45</f>
        <v>9.1560045331478168</v>
      </c>
      <c r="H4" s="88">
        <f>'SC-New'!B45</f>
        <v>31.927809211436781</v>
      </c>
      <c r="I4" s="7" t="str">
        <f>'SC-New'!C45</f>
        <v>Multifamily - Low Rise</v>
      </c>
      <c r="J4" s="7" t="str">
        <f>'SC-New'!D45</f>
        <v>Microwave Top Tier</v>
      </c>
      <c r="K4" s="20">
        <f ca="1">'SC-New'!E45</f>
        <v>2.1840503024872469E-3</v>
      </c>
      <c r="L4" s="20">
        <f ca="1">'SC-New'!F45</f>
        <v>4.318767135135698E-3</v>
      </c>
      <c r="M4" s="20">
        <f ca="1">'SC-New'!G45</f>
        <v>6.4202265055338954E-3</v>
      </c>
      <c r="N4" s="20">
        <f ca="1">'SC-New'!H45</f>
        <v>8.2879782053846048E-3</v>
      </c>
      <c r="O4" s="20">
        <f ca="1">'SC-New'!I45</f>
        <v>9.8253214176491493E-3</v>
      </c>
      <c r="P4" s="20">
        <f ca="1">'SC-New'!J45</f>
        <v>1.1210017615863302E-2</v>
      </c>
      <c r="Q4" s="20">
        <f ca="1">'SC-New'!K45</f>
        <v>1.2463679796210617E-2</v>
      </c>
      <c r="R4" s="20">
        <f ca="1">'SC-New'!L45</f>
        <v>1.3800017995078394E-2</v>
      </c>
      <c r="S4" s="20">
        <f ca="1">'SC-New'!M45</f>
        <v>1.5040905185185922E-2</v>
      </c>
      <c r="T4" s="20">
        <f ca="1">'SC-New'!N45</f>
        <v>1.6435223011483049E-2</v>
      </c>
      <c r="U4" s="20">
        <f ca="1">'SC-New'!O45</f>
        <v>1.7110280768366865E-2</v>
      </c>
      <c r="V4" s="20">
        <f ca="1">'SC-New'!P45</f>
        <v>1.7600265440967707E-2</v>
      </c>
      <c r="W4" s="20">
        <f ca="1">'SC-New'!Q45</f>
        <v>1.8017264243434555E-2</v>
      </c>
      <c r="X4" s="20">
        <f ca="1">'SC-New'!R45</f>
        <v>1.8128783195019853E-2</v>
      </c>
      <c r="Y4" s="20">
        <f ca="1">'SC-New'!S45</f>
        <v>1.8132626521223397E-2</v>
      </c>
      <c r="Z4" s="20">
        <f ca="1">'SC-New'!T45</f>
        <v>1.7972579474209448E-2</v>
      </c>
      <c r="AA4" s="20">
        <f ca="1">'SC-New'!U45</f>
        <v>1.784065608671908E-2</v>
      </c>
      <c r="AB4" s="20">
        <f ca="1">'SC-New'!V45</f>
        <v>1.7614930206108406E-2</v>
      </c>
      <c r="AC4" s="20">
        <f ca="1">'SC-New'!W45</f>
        <v>1.7443655896455881E-2</v>
      </c>
      <c r="AD4" s="20">
        <f ca="1">'SC-New'!X45</f>
        <v>1.7377715089410949E-2</v>
      </c>
      <c r="AE4" s="20">
        <f ca="1">'SC-New'!Y45</f>
        <v>0.27722494409192799</v>
      </c>
      <c r="AF4" s="155">
        <f t="shared" si="2"/>
        <v>0.67735114691514542</v>
      </c>
      <c r="AG4" s="155">
        <f t="shared" si="3"/>
        <v>0.55809308462705853</v>
      </c>
      <c r="AH4" s="155">
        <f t="shared" si="4"/>
        <v>0.66648759634888699</v>
      </c>
      <c r="AI4" s="155">
        <f t="shared" si="5"/>
        <v>0.55743786685807306</v>
      </c>
      <c r="AJ4" s="155">
        <f t="shared" si="6"/>
        <v>0.49393986259942624</v>
      </c>
      <c r="AK4" s="155">
        <f t="shared" si="7"/>
        <v>0.53991642899762426</v>
      </c>
      <c r="AL4" s="155">
        <f t="shared" si="8"/>
        <v>0.49491686324196371</v>
      </c>
      <c r="AM4" s="155">
        <f t="shared" si="9"/>
        <v>0.56056521469557286</v>
      </c>
      <c r="AN4" s="155">
        <f t="shared" si="10"/>
        <v>0.53210646584705568</v>
      </c>
      <c r="AO4" s="155">
        <f t="shared" si="11"/>
        <v>0.71745952030879867</v>
      </c>
      <c r="AP4" s="155">
        <f t="shared" si="12"/>
        <v>0.64860011631050529</v>
      </c>
      <c r="AQ4" s="155">
        <f t="shared" si="13"/>
        <v>0.70450564240999369</v>
      </c>
      <c r="AR4" s="155"/>
      <c r="AS4" s="155">
        <f t="shared" si="14"/>
        <v>0.21643108833808006</v>
      </c>
      <c r="AT4" s="155">
        <f t="shared" si="15"/>
        <v>0.16356313758480187</v>
      </c>
      <c r="AU4" s="155">
        <f t="shared" si="16"/>
        <v>0.14009001341986893</v>
      </c>
      <c r="AV4" s="155">
        <f t="shared" si="17"/>
        <v>0.15735976471526114</v>
      </c>
      <c r="AW4" s="155">
        <f t="shared" si="18"/>
        <v>0.13595654878084235</v>
      </c>
      <c r="AX4" s="155">
        <f t="shared" si="19"/>
        <v>0.11811507730283408</v>
      </c>
      <c r="AY4" s="155">
        <f t="shared" si="20"/>
        <v>0.16292857985934348</v>
      </c>
      <c r="AZ4" s="155">
        <f t="shared" si="21"/>
        <v>0.12160233205698104</v>
      </c>
      <c r="BA4" s="155">
        <f t="shared" si="22"/>
        <v>0.17068425972670062</v>
      </c>
      <c r="BB4" s="155">
        <f t="shared" si="23"/>
        <v>0.15834254599950379</v>
      </c>
      <c r="BC4" s="155">
        <f t="shared" si="24"/>
        <v>0.2118918409286798</v>
      </c>
      <c r="BD4" s="155">
        <f t="shared" si="25"/>
        <v>0.24765953527481449</v>
      </c>
    </row>
    <row r="5" spans="1:56" ht="15">
      <c r="A5" s="98" t="str">
        <f>VLOOKUP(CONCATENATE($C5," - ",$B5),[2]ACHIEV!$B$12:$C$78,2,FALSE)</f>
        <v>LO12Med</v>
      </c>
      <c r="B5" s="98" t="str">
        <f>'SC-New'!$C$7</f>
        <v>New</v>
      </c>
      <c r="C5" s="98" t="str">
        <f>'SC-New'!$C$8</f>
        <v>Microwave</v>
      </c>
      <c r="D5" s="98" t="s">
        <v>460</v>
      </c>
      <c r="E5" s="98" t="str">
        <f>'SC-New'!$A$9</f>
        <v>Food Preparation</v>
      </c>
      <c r="F5" s="154">
        <f t="shared" si="1"/>
        <v>5.294096174250985E-3</v>
      </c>
      <c r="G5" s="88">
        <f>'SC-New'!A46</f>
        <v>9.1560045331478168</v>
      </c>
      <c r="H5" s="88">
        <f>'SC-New'!B46</f>
        <v>31.927809211436781</v>
      </c>
      <c r="I5" s="7" t="str">
        <f>'SC-New'!C46</f>
        <v>Multifamily - High Rise</v>
      </c>
      <c r="J5" s="7" t="str">
        <f>'SC-New'!D46</f>
        <v>Microwave Top Tier</v>
      </c>
      <c r="K5" s="20">
        <f ca="1">'SC-New'!E46</f>
        <v>4.9030060651669238E-4</v>
      </c>
      <c r="L5" s="20">
        <f ca="1">'SC-New'!F46</f>
        <v>9.8317444870885942E-4</v>
      </c>
      <c r="M5" s="20">
        <f ca="1">'SC-New'!G46</f>
        <v>1.483573213232621E-3</v>
      </c>
      <c r="N5" s="20">
        <f ca="1">'SC-New'!H46</f>
        <v>1.8710065506905374E-3</v>
      </c>
      <c r="O5" s="20">
        <f ca="1">'SC-New'!I46</f>
        <v>2.1750988385993422E-3</v>
      </c>
      <c r="P5" s="20">
        <f ca="1">'SC-New'!J46</f>
        <v>2.5188048487823156E-3</v>
      </c>
      <c r="Q5" s="20">
        <f ca="1">'SC-New'!K46</f>
        <v>2.8087137878841182E-3</v>
      </c>
      <c r="R5" s="20">
        <f ca="1">'SC-New'!L46</f>
        <v>3.1485174798207794E-3</v>
      </c>
      <c r="S5" s="20">
        <f ca="1">'SC-New'!M46</f>
        <v>3.4075043247816772E-3</v>
      </c>
      <c r="T5" s="20">
        <f ca="1">'SC-New'!N46</f>
        <v>3.7229962877395576E-3</v>
      </c>
      <c r="U5" s="20">
        <f ca="1">'SC-New'!O46</f>
        <v>3.8292564163967271E-3</v>
      </c>
      <c r="V5" s="20">
        <f ca="1">'SC-New'!P46</f>
        <v>3.9312939731854469E-3</v>
      </c>
      <c r="W5" s="20">
        <f ca="1">'SC-New'!Q46</f>
        <v>3.9897207905796985E-3</v>
      </c>
      <c r="X5" s="20">
        <f ca="1">'SC-New'!R46</f>
        <v>4.0458660664090661E-3</v>
      </c>
      <c r="Y5" s="20">
        <f ca="1">'SC-New'!S46</f>
        <v>4.0660015925264009E-3</v>
      </c>
      <c r="Z5" s="20">
        <f ca="1">'SC-New'!T46</f>
        <v>4.0272589561691149E-3</v>
      </c>
      <c r="AA5" s="20">
        <f ca="1">'SC-New'!U46</f>
        <v>4.002494370403854E-3</v>
      </c>
      <c r="AB5" s="20">
        <f ca="1">'SC-New'!V46</f>
        <v>3.9104095693511054E-3</v>
      </c>
      <c r="AC5" s="20">
        <f ca="1">'SC-New'!W46</f>
        <v>3.9333395759575448E-3</v>
      </c>
      <c r="AD5" s="20">
        <f ca="1">'SC-New'!X46</f>
        <v>3.9154317257870212E-3</v>
      </c>
      <c r="AE5" s="20">
        <f ca="1">'SC-New'!Y46</f>
        <v>6.2260763423522478E-2</v>
      </c>
      <c r="AF5" s="155">
        <f t="shared" si="2"/>
        <v>0.67735114691514542</v>
      </c>
      <c r="AG5" s="155">
        <f t="shared" si="3"/>
        <v>0.55809308462705853</v>
      </c>
      <c r="AH5" s="155">
        <f t="shared" si="4"/>
        <v>0.66648759634888699</v>
      </c>
      <c r="AI5" s="155">
        <f t="shared" si="5"/>
        <v>0.55743786685807306</v>
      </c>
      <c r="AJ5" s="155">
        <f t="shared" si="6"/>
        <v>0.49393986259942624</v>
      </c>
      <c r="AK5" s="155">
        <f t="shared" si="7"/>
        <v>0.53991642899762426</v>
      </c>
      <c r="AL5" s="155">
        <f t="shared" si="8"/>
        <v>0.49491686324196371</v>
      </c>
      <c r="AM5" s="155">
        <f t="shared" si="9"/>
        <v>0.56056521469557286</v>
      </c>
      <c r="AN5" s="155">
        <f t="shared" si="10"/>
        <v>0.53210646584705568</v>
      </c>
      <c r="AO5" s="155">
        <f t="shared" si="11"/>
        <v>0.71745952030879867</v>
      </c>
      <c r="AP5" s="155">
        <f t="shared" si="12"/>
        <v>0.64860011631050529</v>
      </c>
      <c r="AQ5" s="155">
        <f t="shared" si="13"/>
        <v>0.70450564240999369</v>
      </c>
      <c r="AR5" s="155"/>
      <c r="AS5" s="155">
        <f t="shared" si="14"/>
        <v>0.21643108833808006</v>
      </c>
      <c r="AT5" s="155">
        <f t="shared" si="15"/>
        <v>0.16356313758480187</v>
      </c>
      <c r="AU5" s="155">
        <f t="shared" si="16"/>
        <v>0.14009001341986893</v>
      </c>
      <c r="AV5" s="155">
        <f t="shared" si="17"/>
        <v>0.15735976471526114</v>
      </c>
      <c r="AW5" s="155">
        <f t="shared" si="18"/>
        <v>0.13595654878084235</v>
      </c>
      <c r="AX5" s="155">
        <f t="shared" si="19"/>
        <v>0.11811507730283408</v>
      </c>
      <c r="AY5" s="155">
        <f t="shared" si="20"/>
        <v>0.16292857985934348</v>
      </c>
      <c r="AZ5" s="155">
        <f t="shared" si="21"/>
        <v>0.12160233205698104</v>
      </c>
      <c r="BA5" s="155">
        <f t="shared" si="22"/>
        <v>0.17068425972670062</v>
      </c>
      <c r="BB5" s="155">
        <f t="shared" si="23"/>
        <v>0.15834254599950379</v>
      </c>
      <c r="BC5" s="155">
        <f t="shared" si="24"/>
        <v>0.2118918409286798</v>
      </c>
      <c r="BD5" s="155">
        <f t="shared" si="25"/>
        <v>0.24765953527481449</v>
      </c>
    </row>
    <row r="6" spans="1:56" ht="15">
      <c r="A6" s="98" t="str">
        <f>VLOOKUP(CONCATENATE($C6," - ",$B6),[2]ACHIEV!$B$12:$C$78,2,FALSE)</f>
        <v>LO12Med</v>
      </c>
      <c r="B6" s="98" t="str">
        <f>'SC-New'!$C$7</f>
        <v>New</v>
      </c>
      <c r="C6" s="98" t="str">
        <f>'SC-New'!$C$8</f>
        <v>Microwave</v>
      </c>
      <c r="D6" s="98" t="s">
        <v>460</v>
      </c>
      <c r="E6" s="98" t="str">
        <f>'SC-New'!$A$9</f>
        <v>Food Preparation</v>
      </c>
      <c r="F6" s="154">
        <f t="shared" si="1"/>
        <v>5.294096174250985E-3</v>
      </c>
      <c r="G6" s="88">
        <f>'SC-New'!A47</f>
        <v>9.1560045331478168</v>
      </c>
      <c r="H6" s="88">
        <f>'SC-New'!B47</f>
        <v>31.927809211436781</v>
      </c>
      <c r="I6" s="7" t="str">
        <f>'SC-New'!C47</f>
        <v>Manufactured</v>
      </c>
      <c r="J6" s="7" t="str">
        <f>'SC-New'!D47</f>
        <v>Microwave Top Tier</v>
      </c>
      <c r="K6" s="20">
        <f ca="1">'SC-New'!E47</f>
        <v>1.753945811596829E-4</v>
      </c>
      <c r="L6" s="20">
        <f ca="1">'SC-New'!F47</f>
        <v>3.5308217471129665E-4</v>
      </c>
      <c r="M6" s="20">
        <f ca="1">'SC-New'!G47</f>
        <v>5.4857516540153365E-4</v>
      </c>
      <c r="N6" s="20">
        <f ca="1">'SC-New'!H47</f>
        <v>7.5847572275432036E-4</v>
      </c>
      <c r="O6" s="20">
        <f ca="1">'SC-New'!I47</f>
        <v>9.2482049470531721E-4</v>
      </c>
      <c r="P6" s="20">
        <f ca="1">'SC-New'!J47</f>
        <v>1.0771836037467835E-3</v>
      </c>
      <c r="Q6" s="20">
        <f ca="1">'SC-New'!K47</f>
        <v>1.2126396703047765E-3</v>
      </c>
      <c r="R6" s="20">
        <f ca="1">'SC-New'!L47</f>
        <v>1.3255744078723721E-3</v>
      </c>
      <c r="S6" s="20">
        <f ca="1">'SC-New'!M47</f>
        <v>1.4181980263770269E-3</v>
      </c>
      <c r="T6" s="20">
        <f ca="1">'SC-New'!N47</f>
        <v>1.5096157914419883E-3</v>
      </c>
      <c r="U6" s="20">
        <f ca="1">'SC-New'!O47</f>
        <v>1.556639670933842E-3</v>
      </c>
      <c r="V6" s="20">
        <f ca="1">'SC-New'!P47</f>
        <v>1.5990937086385894E-3</v>
      </c>
      <c r="W6" s="20">
        <f ca="1">'SC-New'!Q47</f>
        <v>1.6366896474555677E-3</v>
      </c>
      <c r="X6" s="20">
        <f ca="1">'SC-New'!R47</f>
        <v>1.6667944649770316E-3</v>
      </c>
      <c r="Y6" s="20">
        <f ca="1">'SC-New'!S47</f>
        <v>1.6880983259198738E-3</v>
      </c>
      <c r="Z6" s="20">
        <f ca="1">'SC-New'!T47</f>
        <v>1.7073073346189802E-3</v>
      </c>
      <c r="AA6" s="20">
        <f ca="1">'SC-New'!U47</f>
        <v>1.7229975594490745E-3</v>
      </c>
      <c r="AB6" s="20">
        <f ca="1">'SC-New'!V47</f>
        <v>1.7232316769044478E-3</v>
      </c>
      <c r="AC6" s="20">
        <f ca="1">'SC-New'!W47</f>
        <v>1.7405058969135728E-3</v>
      </c>
      <c r="AD6" s="20">
        <f ca="1">'SC-New'!X47</f>
        <v>1.740716321166185E-3</v>
      </c>
      <c r="AE6" s="20">
        <f ca="1">'SC-New'!Y47</f>
        <v>2.6085634245452263E-2</v>
      </c>
      <c r="AF6" s="155">
        <f t="shared" si="2"/>
        <v>0.67735114691514542</v>
      </c>
      <c r="AG6" s="155">
        <f t="shared" si="3"/>
        <v>0.55809308462705853</v>
      </c>
      <c r="AH6" s="155">
        <f t="shared" si="4"/>
        <v>0.66648759634888699</v>
      </c>
      <c r="AI6" s="155">
        <f t="shared" si="5"/>
        <v>0.55743786685807306</v>
      </c>
      <c r="AJ6" s="155">
        <f t="shared" si="6"/>
        <v>0.49393986259942624</v>
      </c>
      <c r="AK6" s="155">
        <f t="shared" si="7"/>
        <v>0.53991642899762426</v>
      </c>
      <c r="AL6" s="155">
        <f t="shared" si="8"/>
        <v>0.49491686324196371</v>
      </c>
      <c r="AM6" s="155">
        <f t="shared" si="9"/>
        <v>0.56056521469557286</v>
      </c>
      <c r="AN6" s="155">
        <f t="shared" si="10"/>
        <v>0.53210646584705568</v>
      </c>
      <c r="AO6" s="155">
        <f t="shared" si="11"/>
        <v>0.71745952030879867</v>
      </c>
      <c r="AP6" s="155">
        <f t="shared" si="12"/>
        <v>0.64860011631050529</v>
      </c>
      <c r="AQ6" s="155">
        <f t="shared" si="13"/>
        <v>0.70450564240999369</v>
      </c>
      <c r="AR6" s="155"/>
      <c r="AS6" s="155">
        <f t="shared" si="14"/>
        <v>0.21643108833808006</v>
      </c>
      <c r="AT6" s="155">
        <f t="shared" si="15"/>
        <v>0.16356313758480187</v>
      </c>
      <c r="AU6" s="155">
        <f t="shared" si="16"/>
        <v>0.14009001341986893</v>
      </c>
      <c r="AV6" s="155">
        <f t="shared" si="17"/>
        <v>0.15735976471526114</v>
      </c>
      <c r="AW6" s="155">
        <f t="shared" si="18"/>
        <v>0.13595654878084235</v>
      </c>
      <c r="AX6" s="155">
        <f t="shared" si="19"/>
        <v>0.11811507730283408</v>
      </c>
      <c r="AY6" s="155">
        <f t="shared" si="20"/>
        <v>0.16292857985934348</v>
      </c>
      <c r="AZ6" s="155">
        <f t="shared" si="21"/>
        <v>0.12160233205698104</v>
      </c>
      <c r="BA6" s="155">
        <f t="shared" si="22"/>
        <v>0.17068425972670062</v>
      </c>
      <c r="BB6" s="155">
        <f t="shared" si="23"/>
        <v>0.15834254599950379</v>
      </c>
      <c r="BC6" s="155">
        <f t="shared" si="24"/>
        <v>0.2118918409286798</v>
      </c>
      <c r="BD6" s="155">
        <f t="shared" si="25"/>
        <v>0.24765953527481449</v>
      </c>
    </row>
    <row r="7" spans="1:56" ht="15">
      <c r="A7" s="98" t="str">
        <f>VLOOKUP(CONCATENATE($C7," - ",$B7),[2]ACHIEV!$B$12:$C$78,2,FALSE)</f>
        <v>LO12Med</v>
      </c>
      <c r="B7" s="98" t="str">
        <f>'SC-NR'!$C$7</f>
        <v>NR</v>
      </c>
      <c r="C7" s="98" t="str">
        <f>'SC-NR'!$C$8</f>
        <v>Microwave</v>
      </c>
      <c r="D7" s="98" t="s">
        <v>460</v>
      </c>
      <c r="E7" s="98" t="str">
        <f>'SC-NR'!$A$9</f>
        <v>Food Preparation</v>
      </c>
      <c r="F7" s="154">
        <f t="shared" si="1"/>
        <v>5.294096174250985E-3</v>
      </c>
      <c r="G7" s="88">
        <f>'SC-NR'!A81</f>
        <v>9.1560045331478168</v>
      </c>
      <c r="H7" s="88">
        <f>'SC-NR'!B81</f>
        <v>31.927809211436781</v>
      </c>
      <c r="I7" s="7" t="str">
        <f>'SC-NR'!C81</f>
        <v>Single Family</v>
      </c>
      <c r="J7" s="7" t="str">
        <f>'SC-NR'!D81</f>
        <v>Microwave Top Tier</v>
      </c>
      <c r="K7" s="20">
        <f ca="1">'SC-NR'!E81</f>
        <v>4.3817202716012839E-2</v>
      </c>
      <c r="L7" s="20">
        <f ca="1">'SC-NR'!F81</f>
        <v>8.7435406862776274E-2</v>
      </c>
      <c r="M7" s="20">
        <f ca="1">'SC-NR'!G81</f>
        <v>0.13085529026363557</v>
      </c>
      <c r="N7" s="20">
        <f ca="1">'SC-NR'!H81</f>
        <v>0.1740775286896844</v>
      </c>
      <c r="O7" s="20">
        <f ca="1">'SC-NR'!I81</f>
        <v>0.21844043688156836</v>
      </c>
      <c r="P7" s="20">
        <f ca="1">'SC-NR'!J81</f>
        <v>0.25792164826173225</v>
      </c>
      <c r="Q7" s="20">
        <f ca="1">'SC-NR'!K81</f>
        <v>0.28873967554044233</v>
      </c>
      <c r="R7" s="20">
        <f ca="1">'SC-NR'!L81</f>
        <v>0.31314993086438858</v>
      </c>
      <c r="S7" s="20">
        <f ca="1">'SC-NR'!M81</f>
        <v>0.33244603646299997</v>
      </c>
      <c r="T7" s="20">
        <f ca="1">'SC-NR'!N81</f>
        <v>0.39661883758728633</v>
      </c>
      <c r="U7" s="20">
        <f ca="1">'SC-NR'!O81</f>
        <v>0.40386192899239043</v>
      </c>
      <c r="V7" s="20">
        <f ca="1">'SC-NR'!P81</f>
        <v>0.40796155148197688</v>
      </c>
      <c r="W7" s="20">
        <f ca="1">'SC-NR'!Q81</f>
        <v>0.41061351431309856</v>
      </c>
      <c r="X7" s="20">
        <f ca="1">'SC-NR'!R81</f>
        <v>0.41158128262267502</v>
      </c>
      <c r="Y7" s="20">
        <f ca="1">'SC-NR'!S81</f>
        <v>0.41080769436655079</v>
      </c>
      <c r="Z7" s="20">
        <f ca="1">'SC-NR'!T81</f>
        <v>0.41126425817614787</v>
      </c>
      <c r="AA7" s="20">
        <f ca="1">'SC-NR'!U81</f>
        <v>0.41194731050148287</v>
      </c>
      <c r="AB7" s="20">
        <f ca="1">'SC-NR'!V81</f>
        <v>0.40901587619800994</v>
      </c>
      <c r="AC7" s="20">
        <f ca="1">'SC-NR'!W81</f>
        <v>0.41022283114001179</v>
      </c>
      <c r="AD7" s="20">
        <f ca="1">'SC-NR'!X81</f>
        <v>0.40810942048525761</v>
      </c>
      <c r="AE7" s="20">
        <f ca="1">'SC-NR'!Y81</f>
        <v>3.873202331403387</v>
      </c>
      <c r="AF7" s="155">
        <f t="shared" si="2"/>
        <v>0.67735114691514542</v>
      </c>
      <c r="AG7" s="155">
        <f t="shared" si="3"/>
        <v>0.55809308462705853</v>
      </c>
      <c r="AH7" s="155">
        <f t="shared" si="4"/>
        <v>0.66648759634888699</v>
      </c>
      <c r="AI7" s="155">
        <f t="shared" si="5"/>
        <v>0.55743786685807306</v>
      </c>
      <c r="AJ7" s="155">
        <f t="shared" si="6"/>
        <v>0.49393986259942624</v>
      </c>
      <c r="AK7" s="155">
        <f t="shared" si="7"/>
        <v>0.53991642899762426</v>
      </c>
      <c r="AL7" s="155">
        <f t="shared" si="8"/>
        <v>0.49491686324196371</v>
      </c>
      <c r="AM7" s="155">
        <f t="shared" si="9"/>
        <v>0.56056521469557286</v>
      </c>
      <c r="AN7" s="155">
        <f t="shared" si="10"/>
        <v>0.53210646584705568</v>
      </c>
      <c r="AO7" s="155">
        <f t="shared" si="11"/>
        <v>0.71745952030879867</v>
      </c>
      <c r="AP7" s="155">
        <f t="shared" si="12"/>
        <v>0.64860011631050529</v>
      </c>
      <c r="AQ7" s="155">
        <f t="shared" si="13"/>
        <v>0.70450564240999369</v>
      </c>
      <c r="AR7" s="155"/>
      <c r="AS7" s="155">
        <f t="shared" si="14"/>
        <v>0.21643108833808006</v>
      </c>
      <c r="AT7" s="155">
        <f t="shared" si="15"/>
        <v>0.16356313758480187</v>
      </c>
      <c r="AU7" s="155">
        <f t="shared" si="16"/>
        <v>0.14009001341986893</v>
      </c>
      <c r="AV7" s="155">
        <f t="shared" si="17"/>
        <v>0.15735976471526114</v>
      </c>
      <c r="AW7" s="155">
        <f t="shared" si="18"/>
        <v>0.13595654878084235</v>
      </c>
      <c r="AX7" s="155">
        <f t="shared" si="19"/>
        <v>0.11811507730283408</v>
      </c>
      <c r="AY7" s="155">
        <f t="shared" si="20"/>
        <v>0.16292857985934348</v>
      </c>
      <c r="AZ7" s="155">
        <f t="shared" si="21"/>
        <v>0.12160233205698104</v>
      </c>
      <c r="BA7" s="155">
        <f t="shared" si="22"/>
        <v>0.17068425972670062</v>
      </c>
      <c r="BB7" s="155">
        <f t="shared" si="23"/>
        <v>0.15834254599950379</v>
      </c>
      <c r="BC7" s="155">
        <f t="shared" si="24"/>
        <v>0.2118918409286798</v>
      </c>
      <c r="BD7" s="155">
        <f t="shared" si="25"/>
        <v>0.24765953527481449</v>
      </c>
    </row>
    <row r="8" spans="1:56" ht="15">
      <c r="A8" s="98" t="str">
        <f>VLOOKUP(CONCATENATE($C8," - ",$B8),[2]ACHIEV!$B$12:$C$78,2,FALSE)</f>
        <v>LO12Med</v>
      </c>
      <c r="B8" s="98" t="str">
        <f>'SC-NR'!$C$7</f>
        <v>NR</v>
      </c>
      <c r="C8" s="98" t="str">
        <f>'SC-NR'!$C$8</f>
        <v>Microwave</v>
      </c>
      <c r="D8" s="98" t="s">
        <v>460</v>
      </c>
      <c r="E8" s="98" t="str">
        <f>'SC-NR'!$A$9</f>
        <v>Food Preparation</v>
      </c>
      <c r="F8" s="154">
        <f t="shared" si="1"/>
        <v>5.294096174250985E-3</v>
      </c>
      <c r="G8" s="88">
        <f>'SC-NR'!A82</f>
        <v>9.1560045331478168</v>
      </c>
      <c r="H8" s="88">
        <f>'SC-NR'!B82</f>
        <v>31.927809211436781</v>
      </c>
      <c r="I8" s="7" t="str">
        <f>'SC-NR'!C82</f>
        <v>Multifamily - Low Rise</v>
      </c>
      <c r="J8" s="7" t="str">
        <f>'SC-NR'!D82</f>
        <v>Microwave Top Tier</v>
      </c>
      <c r="K8" s="20">
        <f ca="1">'SC-NR'!E82</f>
        <v>9.6550768521987459E-3</v>
      </c>
      <c r="L8" s="20">
        <f ca="1">'SC-NR'!F82</f>
        <v>1.9266303863436411E-2</v>
      </c>
      <c r="M8" s="20">
        <f ca="1">'SC-NR'!G82</f>
        <v>2.8833830396212779E-2</v>
      </c>
      <c r="N8" s="20">
        <f ca="1">'SC-NR'!H82</f>
        <v>3.8357805360794271E-2</v>
      </c>
      <c r="O8" s="20">
        <f ca="1">'SC-NR'!I82</f>
        <v>4.8133125035140271E-2</v>
      </c>
      <c r="P8" s="20">
        <f ca="1">'SC-NR'!J82</f>
        <v>5.6832767174454284E-2</v>
      </c>
      <c r="Q8" s="20">
        <f ca="1">'SC-NR'!K82</f>
        <v>6.3623485132560817E-2</v>
      </c>
      <c r="R8" s="20">
        <f ca="1">'SC-NR'!L82</f>
        <v>6.9002256805448636E-2</v>
      </c>
      <c r="S8" s="20">
        <f ca="1">'SC-NR'!M82</f>
        <v>7.3254130630807782E-2</v>
      </c>
      <c r="T8" s="20">
        <f ca="1">'SC-NR'!N82</f>
        <v>9.4005142264303315E-2</v>
      </c>
      <c r="U8" s="20">
        <f ca="1">'SC-NR'!O82</f>
        <v>9.5347661356752336E-2</v>
      </c>
      <c r="V8" s="20">
        <f ca="1">'SC-NR'!P82</f>
        <v>9.5954447093245659E-2</v>
      </c>
      <c r="W8" s="20">
        <f ca="1">'SC-NR'!Q82</f>
        <v>9.5689371984714403E-2</v>
      </c>
      <c r="X8" s="20">
        <f ca="1">'SC-NR'!R82</f>
        <v>9.4739993319698207E-2</v>
      </c>
      <c r="Y8" s="20">
        <f ca="1">'SC-NR'!S82</f>
        <v>9.3866351342545798E-2</v>
      </c>
      <c r="Z8" s="20">
        <f ca="1">'SC-NR'!T82</f>
        <v>9.3517710155818945E-2</v>
      </c>
      <c r="AA8" s="20">
        <f ca="1">'SC-NR'!U82</f>
        <v>9.3378529980470332E-2</v>
      </c>
      <c r="AB8" s="20">
        <f ca="1">'SC-NR'!V82</f>
        <v>9.2512321504434794E-2</v>
      </c>
      <c r="AC8" s="20">
        <f ca="1">'SC-NR'!W82</f>
        <v>9.2460304832330961E-2</v>
      </c>
      <c r="AD8" s="20">
        <f ca="1">'SC-NR'!X82</f>
        <v>9.1732654075399045E-2</v>
      </c>
      <c r="AE8" s="20">
        <f ca="1">'SC-NR'!Y82</f>
        <v>0.90002586168659959</v>
      </c>
      <c r="AF8" s="155">
        <f t="shared" si="2"/>
        <v>0.67735114691514542</v>
      </c>
      <c r="AG8" s="155">
        <f t="shared" si="3"/>
        <v>0.55809308462705853</v>
      </c>
      <c r="AH8" s="155">
        <f t="shared" si="4"/>
        <v>0.66648759634888699</v>
      </c>
      <c r="AI8" s="155">
        <f t="shared" si="5"/>
        <v>0.55743786685807306</v>
      </c>
      <c r="AJ8" s="155">
        <f t="shared" si="6"/>
        <v>0.49393986259942624</v>
      </c>
      <c r="AK8" s="155">
        <f t="shared" si="7"/>
        <v>0.53991642899762426</v>
      </c>
      <c r="AL8" s="155">
        <f t="shared" si="8"/>
        <v>0.49491686324196371</v>
      </c>
      <c r="AM8" s="155">
        <f t="shared" si="9"/>
        <v>0.56056521469557286</v>
      </c>
      <c r="AN8" s="155">
        <f t="shared" si="10"/>
        <v>0.53210646584705568</v>
      </c>
      <c r="AO8" s="155">
        <f t="shared" si="11"/>
        <v>0.71745952030879867</v>
      </c>
      <c r="AP8" s="155">
        <f t="shared" si="12"/>
        <v>0.64860011631050529</v>
      </c>
      <c r="AQ8" s="155">
        <f t="shared" si="13"/>
        <v>0.70450564240999369</v>
      </c>
      <c r="AR8" s="155"/>
      <c r="AS8" s="155">
        <f t="shared" si="14"/>
        <v>0.21643108833808006</v>
      </c>
      <c r="AT8" s="155">
        <f t="shared" si="15"/>
        <v>0.16356313758480187</v>
      </c>
      <c r="AU8" s="155">
        <f t="shared" si="16"/>
        <v>0.14009001341986893</v>
      </c>
      <c r="AV8" s="155">
        <f t="shared" si="17"/>
        <v>0.15735976471526114</v>
      </c>
      <c r="AW8" s="155">
        <f t="shared" si="18"/>
        <v>0.13595654878084235</v>
      </c>
      <c r="AX8" s="155">
        <f t="shared" si="19"/>
        <v>0.11811507730283408</v>
      </c>
      <c r="AY8" s="155">
        <f t="shared" si="20"/>
        <v>0.16292857985934348</v>
      </c>
      <c r="AZ8" s="155">
        <f t="shared" si="21"/>
        <v>0.12160233205698104</v>
      </c>
      <c r="BA8" s="155">
        <f t="shared" si="22"/>
        <v>0.17068425972670062</v>
      </c>
      <c r="BB8" s="155">
        <f t="shared" si="23"/>
        <v>0.15834254599950379</v>
      </c>
      <c r="BC8" s="155">
        <f t="shared" si="24"/>
        <v>0.2118918409286798</v>
      </c>
      <c r="BD8" s="155">
        <f t="shared" si="25"/>
        <v>0.24765953527481449</v>
      </c>
    </row>
    <row r="9" spans="1:56" ht="15">
      <c r="A9" s="98" t="str">
        <f>VLOOKUP(CONCATENATE($C9," - ",$B9),[2]ACHIEV!$B$12:$C$78,2,FALSE)</f>
        <v>LO12Med</v>
      </c>
      <c r="B9" s="98" t="str">
        <f>'SC-NR'!$C$7</f>
        <v>NR</v>
      </c>
      <c r="C9" s="98" t="str">
        <f>'SC-NR'!$C$8</f>
        <v>Microwave</v>
      </c>
      <c r="D9" s="98" t="s">
        <v>460</v>
      </c>
      <c r="E9" s="98" t="str">
        <f>'SC-NR'!$A$9</f>
        <v>Food Preparation</v>
      </c>
      <c r="F9" s="154">
        <f t="shared" si="1"/>
        <v>5.294096174250985E-3</v>
      </c>
      <c r="G9" s="88">
        <f>'SC-NR'!A83</f>
        <v>9.1560045331478168</v>
      </c>
      <c r="H9" s="88">
        <f>'SC-NR'!B83</f>
        <v>31.927809211436781</v>
      </c>
      <c r="I9" s="7" t="str">
        <f>'SC-NR'!C83</f>
        <v>Multifamily - High Rise</v>
      </c>
      <c r="J9" s="7" t="str">
        <f>'SC-NR'!D83</f>
        <v>Microwave Top Tier</v>
      </c>
      <c r="K9" s="20">
        <f ca="1">'SC-NR'!E83</f>
        <v>2.2013222630813097E-3</v>
      </c>
      <c r="L9" s="20">
        <f ca="1">'SC-NR'!F83</f>
        <v>4.3926469225580231E-3</v>
      </c>
      <c r="M9" s="20">
        <f ca="1">'SC-NR'!G83</f>
        <v>6.5740080325346366E-3</v>
      </c>
      <c r="N9" s="20">
        <f ca="1">'SC-NR'!H83</f>
        <v>8.7454395440080893E-3</v>
      </c>
      <c r="O9" s="20">
        <f ca="1">'SC-NR'!I83</f>
        <v>1.0974176731426142E-2</v>
      </c>
      <c r="P9" s="20">
        <f ca="1">'SC-NR'!J83</f>
        <v>1.2957663369106408E-2</v>
      </c>
      <c r="Q9" s="20">
        <f ca="1">'SC-NR'!K83</f>
        <v>1.4505922264640911E-2</v>
      </c>
      <c r="R9" s="20">
        <f ca="1">'SC-NR'!L83</f>
        <v>1.5732262563409493E-2</v>
      </c>
      <c r="S9" s="20">
        <f ca="1">'SC-NR'!M83</f>
        <v>1.6701674268241689E-2</v>
      </c>
      <c r="T9" s="20">
        <f ca="1">'SC-NR'!N83</f>
        <v>2.1375856462288824E-2</v>
      </c>
      <c r="U9" s="20">
        <f ca="1">'SC-NR'!O83</f>
        <v>2.1733774398491498E-2</v>
      </c>
      <c r="V9" s="20">
        <f ca="1">'SC-NR'!P83</f>
        <v>2.1918674119025622E-2</v>
      </c>
      <c r="W9" s="20">
        <f ca="1">'SC-NR'!Q83</f>
        <v>2.179088941496015E-2</v>
      </c>
      <c r="X9" s="20">
        <f ca="1">'SC-NR'!R83</f>
        <v>2.1538572837770362E-2</v>
      </c>
      <c r="Y9" s="20">
        <f ca="1">'SC-NR'!S83</f>
        <v>2.1376080373434487E-2</v>
      </c>
      <c r="Z9" s="20">
        <f ca="1">'SC-NR'!T83</f>
        <v>2.1304710417727545E-2</v>
      </c>
      <c r="AA9" s="20">
        <f ca="1">'SC-NR'!U83</f>
        <v>2.1290845573099636E-2</v>
      </c>
      <c r="AB9" s="20">
        <f ca="1">'SC-NR'!V83</f>
        <v>2.1085301529296104E-2</v>
      </c>
      <c r="AC9" s="20">
        <f ca="1">'SC-NR'!W83</f>
        <v>2.1074357221648632E-2</v>
      </c>
      <c r="AD9" s="20">
        <f ca="1">'SC-NR'!X83</f>
        <v>2.089907488684653E-2</v>
      </c>
      <c r="AE9" s="20">
        <f ca="1">'SC-NR'!Y83</f>
        <v>0.20501168832990696</v>
      </c>
      <c r="AF9" s="155">
        <f t="shared" si="2"/>
        <v>0.67735114691514542</v>
      </c>
      <c r="AG9" s="155">
        <f t="shared" si="3"/>
        <v>0.55809308462705853</v>
      </c>
      <c r="AH9" s="155">
        <f t="shared" si="4"/>
        <v>0.66648759634888699</v>
      </c>
      <c r="AI9" s="155">
        <f t="shared" si="5"/>
        <v>0.55743786685807306</v>
      </c>
      <c r="AJ9" s="155">
        <f t="shared" si="6"/>
        <v>0.49393986259942624</v>
      </c>
      <c r="AK9" s="155">
        <f t="shared" si="7"/>
        <v>0.53991642899762426</v>
      </c>
      <c r="AL9" s="155">
        <f t="shared" si="8"/>
        <v>0.49491686324196371</v>
      </c>
      <c r="AM9" s="155">
        <f t="shared" si="9"/>
        <v>0.56056521469557286</v>
      </c>
      <c r="AN9" s="155">
        <f t="shared" si="10"/>
        <v>0.53210646584705568</v>
      </c>
      <c r="AO9" s="155">
        <f t="shared" si="11"/>
        <v>0.71745952030879867</v>
      </c>
      <c r="AP9" s="155">
        <f t="shared" si="12"/>
        <v>0.64860011631050529</v>
      </c>
      <c r="AQ9" s="155">
        <f t="shared" si="13"/>
        <v>0.70450564240999369</v>
      </c>
      <c r="AR9" s="155"/>
      <c r="AS9" s="155">
        <f t="shared" si="14"/>
        <v>0.21643108833808006</v>
      </c>
      <c r="AT9" s="155">
        <f t="shared" si="15"/>
        <v>0.16356313758480187</v>
      </c>
      <c r="AU9" s="155">
        <f t="shared" si="16"/>
        <v>0.14009001341986893</v>
      </c>
      <c r="AV9" s="155">
        <f t="shared" si="17"/>
        <v>0.15735976471526114</v>
      </c>
      <c r="AW9" s="155">
        <f t="shared" si="18"/>
        <v>0.13595654878084235</v>
      </c>
      <c r="AX9" s="155">
        <f t="shared" si="19"/>
        <v>0.11811507730283408</v>
      </c>
      <c r="AY9" s="155">
        <f t="shared" si="20"/>
        <v>0.16292857985934348</v>
      </c>
      <c r="AZ9" s="155">
        <f t="shared" si="21"/>
        <v>0.12160233205698104</v>
      </c>
      <c r="BA9" s="155">
        <f t="shared" si="22"/>
        <v>0.17068425972670062</v>
      </c>
      <c r="BB9" s="155">
        <f t="shared" si="23"/>
        <v>0.15834254599950379</v>
      </c>
      <c r="BC9" s="155">
        <f t="shared" si="24"/>
        <v>0.2118918409286798</v>
      </c>
      <c r="BD9" s="155">
        <f t="shared" si="25"/>
        <v>0.24765953527481449</v>
      </c>
    </row>
    <row r="10" spans="1:56" ht="15">
      <c r="A10" s="98" t="str">
        <f>VLOOKUP(CONCATENATE($C10," - ",$B10),[2]ACHIEV!$B$12:$C$78,2,FALSE)</f>
        <v>LO12Med</v>
      </c>
      <c r="B10" s="98" t="str">
        <f>'SC-NR'!$C$7</f>
        <v>NR</v>
      </c>
      <c r="C10" s="98" t="str">
        <f>'SC-NR'!$C$8</f>
        <v>Microwave</v>
      </c>
      <c r="D10" s="98" t="s">
        <v>460</v>
      </c>
      <c r="E10" s="98" t="str">
        <f>'SC-NR'!$A$9</f>
        <v>Food Preparation</v>
      </c>
      <c r="F10" s="154">
        <f t="shared" si="1"/>
        <v>5.294096174250985E-3</v>
      </c>
      <c r="G10" s="88">
        <f>'SC-NR'!A84</f>
        <v>9.1560045331478168</v>
      </c>
      <c r="H10" s="88">
        <f>'SC-NR'!B84</f>
        <v>31.927809211436781</v>
      </c>
      <c r="I10" s="7" t="str">
        <f>'SC-NR'!C84</f>
        <v>Manufactured</v>
      </c>
      <c r="J10" s="7" t="str">
        <f>'SC-NR'!D84</f>
        <v>Microwave Top Tier</v>
      </c>
      <c r="K10" s="20">
        <f ca="1">'SC-NR'!E84</f>
        <v>5.962542797337155E-3</v>
      </c>
      <c r="L10" s="20">
        <f ca="1">'SC-NR'!F84</f>
        <v>1.179764236618196E-2</v>
      </c>
      <c r="M10" s="20">
        <f ca="1">'SC-NR'!G84</f>
        <v>1.7507341682623721E-2</v>
      </c>
      <c r="N10" s="20">
        <f ca="1">'SC-NR'!H84</f>
        <v>2.3093654611741298E-2</v>
      </c>
      <c r="O10" s="20">
        <f ca="1">'SC-NR'!I84</f>
        <v>2.8734524922371555E-2</v>
      </c>
      <c r="P10" s="20">
        <f ca="1">'SC-NR'!J84</f>
        <v>3.3641845447631151E-2</v>
      </c>
      <c r="Q10" s="20">
        <f ca="1">'SC-NR'!K84</f>
        <v>3.7343886205372996E-2</v>
      </c>
      <c r="R10" s="20">
        <f ca="1">'SC-NR'!L84</f>
        <v>4.0159324401612656E-2</v>
      </c>
      <c r="S10" s="20">
        <f ca="1">'SC-NR'!M84</f>
        <v>4.2274284760965924E-2</v>
      </c>
      <c r="T10" s="20">
        <f ca="1">'SC-NR'!N84</f>
        <v>4.5795733603901385E-2</v>
      </c>
      <c r="U10" s="20">
        <f ca="1">'SC-NR'!O84</f>
        <v>4.6852369313087915E-2</v>
      </c>
      <c r="V10" s="20">
        <f ca="1">'SC-NR'!P84</f>
        <v>4.7572905134655868E-2</v>
      </c>
      <c r="W10" s="20">
        <f ca="1">'SC-NR'!Q84</f>
        <v>4.7998166567789387E-2</v>
      </c>
      <c r="X10" s="20">
        <f ca="1">'SC-NR'!R84</f>
        <v>4.8120674479397642E-2</v>
      </c>
      <c r="Y10" s="20">
        <f ca="1">'SC-NR'!S84</f>
        <v>4.8047488911170527E-2</v>
      </c>
      <c r="Z10" s="20">
        <f ca="1">'SC-NR'!T84</f>
        <v>4.7992618122995025E-2</v>
      </c>
      <c r="AA10" s="20">
        <f ca="1">'SC-NR'!U84</f>
        <v>4.786448378902234E-2</v>
      </c>
      <c r="AB10" s="20">
        <f ca="1">'SC-NR'!V84</f>
        <v>4.7286906391207952E-2</v>
      </c>
      <c r="AC10" s="20">
        <f ca="1">'SC-NR'!W84</f>
        <v>4.7160094737994977E-2</v>
      </c>
      <c r="AD10" s="20">
        <f ca="1">'SC-NR'!X84</f>
        <v>4.6608679817595082E-2</v>
      </c>
      <c r="AE10" s="20">
        <f ca="1">'SC-NR'!Y84</f>
        <v>0.42705594233253763</v>
      </c>
      <c r="AF10" s="155">
        <f t="shared" si="2"/>
        <v>0.67735114691514542</v>
      </c>
      <c r="AG10" s="155">
        <f t="shared" si="3"/>
        <v>0.55809308462705853</v>
      </c>
      <c r="AH10" s="155">
        <f t="shared" si="4"/>
        <v>0.66648759634888699</v>
      </c>
      <c r="AI10" s="155">
        <f t="shared" si="5"/>
        <v>0.55743786685807306</v>
      </c>
      <c r="AJ10" s="155">
        <f t="shared" si="6"/>
        <v>0.49393986259942624</v>
      </c>
      <c r="AK10" s="155">
        <f t="shared" si="7"/>
        <v>0.53991642899762426</v>
      </c>
      <c r="AL10" s="155">
        <f t="shared" si="8"/>
        <v>0.49491686324196371</v>
      </c>
      <c r="AM10" s="155">
        <f t="shared" si="9"/>
        <v>0.56056521469557286</v>
      </c>
      <c r="AN10" s="155">
        <f t="shared" si="10"/>
        <v>0.53210646584705568</v>
      </c>
      <c r="AO10" s="155">
        <f t="shared" si="11"/>
        <v>0.71745952030879867</v>
      </c>
      <c r="AP10" s="155">
        <f t="shared" si="12"/>
        <v>0.64860011631050529</v>
      </c>
      <c r="AQ10" s="155">
        <f t="shared" si="13"/>
        <v>0.70450564240999369</v>
      </c>
      <c r="AR10" s="155"/>
      <c r="AS10" s="155">
        <f t="shared" si="14"/>
        <v>0.21643108833808006</v>
      </c>
      <c r="AT10" s="155">
        <f t="shared" si="15"/>
        <v>0.16356313758480187</v>
      </c>
      <c r="AU10" s="155">
        <f t="shared" si="16"/>
        <v>0.14009001341986893</v>
      </c>
      <c r="AV10" s="155">
        <f t="shared" si="17"/>
        <v>0.15735976471526114</v>
      </c>
      <c r="AW10" s="155">
        <f t="shared" si="18"/>
        <v>0.13595654878084235</v>
      </c>
      <c r="AX10" s="155">
        <f t="shared" si="19"/>
        <v>0.11811507730283408</v>
      </c>
      <c r="AY10" s="155">
        <f t="shared" si="20"/>
        <v>0.16292857985934348</v>
      </c>
      <c r="AZ10" s="155">
        <f t="shared" si="21"/>
        <v>0.12160233205698104</v>
      </c>
      <c r="BA10" s="155">
        <f t="shared" si="22"/>
        <v>0.17068425972670062</v>
      </c>
      <c r="BB10" s="155">
        <f t="shared" si="23"/>
        <v>0.15834254599950379</v>
      </c>
      <c r="BC10" s="155">
        <f t="shared" si="24"/>
        <v>0.2118918409286798</v>
      </c>
      <c r="BD10" s="155">
        <f t="shared" si="25"/>
        <v>0.24765953527481449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145"/>
  <sheetViews>
    <sheetView topLeftCell="B1" workbookViewId="0">
      <selection activeCell="E13" sqref="E13:X16"/>
    </sheetView>
  </sheetViews>
  <sheetFormatPr defaultRowHeight="12.75"/>
  <cols>
    <col min="1" max="1" width="35" style="7" customWidth="1"/>
    <col min="2" max="2" width="29.28515625" style="7" customWidth="1"/>
    <col min="3" max="4" width="19.8554687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34" t="s">
        <v>52</v>
      </c>
      <c r="B1" s="159" t="s">
        <v>53</v>
      </c>
      <c r="C1" s="159"/>
      <c r="D1" s="159"/>
      <c r="E1" s="159"/>
      <c r="F1" s="159"/>
      <c r="G1" s="159"/>
      <c r="H1" s="159"/>
      <c r="I1" s="159"/>
      <c r="J1" s="159"/>
      <c r="K1" s="159"/>
      <c r="L1" s="159"/>
      <c r="M1" s="159"/>
      <c r="N1" s="159"/>
      <c r="O1" s="159"/>
      <c r="P1" s="159"/>
      <c r="Q1" s="159"/>
      <c r="R1" s="159"/>
      <c r="S1" s="159"/>
      <c r="T1" s="159"/>
    </row>
    <row r="2" spans="1:69">
      <c r="A2" s="35" t="s">
        <v>190</v>
      </c>
      <c r="B2" s="159"/>
      <c r="C2" s="159"/>
      <c r="D2" s="159"/>
      <c r="E2" s="159"/>
      <c r="F2" s="159"/>
      <c r="G2" s="159"/>
      <c r="H2" s="159"/>
      <c r="I2" s="159"/>
      <c r="J2" s="159"/>
      <c r="K2" s="159"/>
      <c r="L2" s="159"/>
      <c r="M2" s="159"/>
      <c r="N2" s="159"/>
      <c r="O2" s="159"/>
      <c r="P2" s="159"/>
      <c r="Q2" s="159"/>
      <c r="R2" s="159"/>
      <c r="S2" s="159"/>
      <c r="T2" s="159"/>
    </row>
    <row r="3" spans="1:69">
      <c r="B3" s="159"/>
      <c r="C3" s="159"/>
      <c r="D3" s="159"/>
      <c r="E3" s="159"/>
      <c r="F3" s="159"/>
      <c r="G3" s="159"/>
      <c r="H3" s="159"/>
      <c r="I3" s="159"/>
      <c r="J3" s="159"/>
      <c r="K3" s="159"/>
      <c r="L3" s="159"/>
      <c r="M3" s="159"/>
      <c r="N3" s="159"/>
      <c r="O3" s="159"/>
      <c r="P3" s="159"/>
      <c r="Q3" s="159"/>
      <c r="R3" s="159"/>
      <c r="S3" s="159"/>
      <c r="T3" s="159"/>
    </row>
    <row r="4" spans="1:69">
      <c r="B4" s="159"/>
      <c r="C4" s="159"/>
      <c r="D4" s="159"/>
      <c r="E4" s="159"/>
      <c r="F4" s="159"/>
      <c r="G4" s="159"/>
      <c r="H4" s="159"/>
      <c r="I4" s="159"/>
      <c r="J4" s="159"/>
      <c r="K4" s="159"/>
      <c r="L4" s="159"/>
      <c r="M4" s="159"/>
      <c r="N4" s="159"/>
      <c r="O4" s="159"/>
      <c r="P4" s="159"/>
      <c r="Q4" s="159"/>
      <c r="R4" s="159"/>
      <c r="S4" s="159"/>
      <c r="T4" s="159"/>
    </row>
    <row r="5" spans="1:69">
      <c r="B5" s="159"/>
      <c r="C5" s="159"/>
      <c r="D5" s="159"/>
      <c r="E5" s="159"/>
      <c r="F5" s="159"/>
      <c r="G5" s="159"/>
      <c r="H5" s="159"/>
      <c r="I5" s="159"/>
      <c r="J5" s="159"/>
      <c r="K5" s="159"/>
      <c r="L5" s="159"/>
      <c r="M5" s="159"/>
      <c r="N5" s="159"/>
      <c r="O5" s="159"/>
      <c r="P5" s="159"/>
      <c r="Q5" s="159"/>
      <c r="R5" s="159"/>
      <c r="S5" s="159"/>
      <c r="T5" s="159"/>
    </row>
    <row r="6" spans="1:69">
      <c r="B6" s="159"/>
      <c r="C6" s="159"/>
      <c r="D6" s="159"/>
      <c r="E6" s="159"/>
      <c r="F6" s="159"/>
      <c r="G6" s="159"/>
      <c r="H6" s="159"/>
      <c r="I6" s="159"/>
      <c r="J6" s="159"/>
      <c r="K6" s="159"/>
      <c r="L6" s="159"/>
      <c r="M6" s="159"/>
      <c r="N6" s="159"/>
      <c r="O6" s="159"/>
      <c r="P6" s="159"/>
      <c r="Q6" s="159"/>
      <c r="R6" s="159"/>
      <c r="S6" s="159"/>
      <c r="T6" s="159"/>
    </row>
    <row r="7" spans="1:69">
      <c r="A7" s="156"/>
      <c r="B7" s="156" t="s">
        <v>47</v>
      </c>
      <c r="C7" s="76" t="s">
        <v>54</v>
      </c>
      <c r="D7" s="76" t="s">
        <v>54</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56" t="s">
        <v>461</v>
      </c>
      <c r="B8" s="156" t="s">
        <v>55</v>
      </c>
      <c r="C8" s="76" t="str">
        <f>[2]MLIST!$B$35</f>
        <v>Microwave</v>
      </c>
      <c r="D8" s="76"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56" t="str">
        <f>INDEX([2]ACHIEV!$A$19:$B$100,MATCH(CONCATENATE($C$8," - ",$C$7),[2]ACHIEV!$B$19:$B$100,0),1)</f>
        <v>Food Preparation</v>
      </c>
      <c r="B9" s="157" t="s">
        <v>56</v>
      </c>
      <c r="C9" s="76">
        <f>[2]FILES!$H$4</f>
        <v>2035</v>
      </c>
      <c r="D9" s="76" t="str">
        <f>[1]!switch_ForecastScenario</f>
        <v>Base</v>
      </c>
      <c r="E9" s="3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56"/>
      <c r="B10" s="156" t="s">
        <v>463</v>
      </c>
      <c r="C10" s="158">
        <f ca="1">MIN(SUM(E50:X50),Y50)</f>
        <v>1.0250425136330519</v>
      </c>
      <c r="D10" s="77"/>
      <c r="E10" s="39"/>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78" t="str">
        <f>CONCATENATE("# HOMES AVAILABLE FOR MEASURE -",$C$8)</f>
        <v># HOMES AVAILABLE FOR MEASURE -Microwave</v>
      </c>
      <c r="B11" s="78"/>
      <c r="C11" s="7" t="s">
        <v>57</v>
      </c>
      <c r="E11" s="90">
        <v>2016</v>
      </c>
      <c r="F11" s="84">
        <v>2017</v>
      </c>
      <c r="G11" s="84">
        <v>2018</v>
      </c>
      <c r="H11" s="84">
        <v>2019</v>
      </c>
      <c r="I11" s="84">
        <v>2020</v>
      </c>
      <c r="J11" s="84">
        <v>2021</v>
      </c>
      <c r="K11" s="84">
        <v>2022</v>
      </c>
      <c r="L11" s="84">
        <v>2023</v>
      </c>
      <c r="M11" s="84">
        <v>2024</v>
      </c>
      <c r="N11" s="84">
        <v>2025</v>
      </c>
      <c r="O11" s="84">
        <v>2026</v>
      </c>
      <c r="P11" s="84">
        <v>2027</v>
      </c>
      <c r="Q11" s="84">
        <v>2028</v>
      </c>
      <c r="R11" s="84">
        <v>2029</v>
      </c>
      <c r="S11" s="84">
        <v>2030</v>
      </c>
      <c r="T11" s="84">
        <v>2031</v>
      </c>
      <c r="U11" s="84">
        <v>2032</v>
      </c>
      <c r="V11" s="84">
        <v>2033</v>
      </c>
      <c r="W11" s="84">
        <v>2034</v>
      </c>
      <c r="X11" s="84">
        <v>2035</v>
      </c>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91" t="str">
        <f>CONCATENATE("Homes_",E11)</f>
        <v>Homes_2016</v>
      </c>
      <c r="F12" s="86" t="str">
        <f t="shared" ref="F12:X12" si="0">CONCATENATE("Homes_",F11)</f>
        <v>Homes_2017</v>
      </c>
      <c r="G12" s="86" t="str">
        <f t="shared" si="0"/>
        <v>Homes_2018</v>
      </c>
      <c r="H12" s="86" t="str">
        <f t="shared" si="0"/>
        <v>Homes_2019</v>
      </c>
      <c r="I12" s="86" t="str">
        <f t="shared" si="0"/>
        <v>Homes_2020</v>
      </c>
      <c r="J12" s="86" t="str">
        <f t="shared" si="0"/>
        <v>Homes_2021</v>
      </c>
      <c r="K12" s="86" t="str">
        <f t="shared" si="0"/>
        <v>Homes_2022</v>
      </c>
      <c r="L12" s="86" t="str">
        <f t="shared" si="0"/>
        <v>Homes_2023</v>
      </c>
      <c r="M12" s="86" t="str">
        <f t="shared" si="0"/>
        <v>Homes_2024</v>
      </c>
      <c r="N12" s="86" t="str">
        <f t="shared" si="0"/>
        <v>Homes_2025</v>
      </c>
      <c r="O12" s="86" t="str">
        <f t="shared" si="0"/>
        <v>Homes_2026</v>
      </c>
      <c r="P12" s="86" t="str">
        <f t="shared" si="0"/>
        <v>Homes_2027</v>
      </c>
      <c r="Q12" s="86" t="str">
        <f t="shared" si="0"/>
        <v>Homes_2028</v>
      </c>
      <c r="R12" s="86" t="str">
        <f t="shared" si="0"/>
        <v>Homes_2029</v>
      </c>
      <c r="S12" s="86" t="str">
        <f t="shared" si="0"/>
        <v>Homes_2030</v>
      </c>
      <c r="T12" s="86" t="str">
        <f t="shared" si="0"/>
        <v>Homes_2031</v>
      </c>
      <c r="U12" s="86" t="str">
        <f t="shared" si="0"/>
        <v>Homes_2032</v>
      </c>
      <c r="V12" s="86" t="str">
        <f t="shared" si="0"/>
        <v>Homes_2033</v>
      </c>
      <c r="W12" s="86" t="str">
        <f t="shared" si="0"/>
        <v>Homes_2034</v>
      </c>
      <c r="X12" s="86" t="str">
        <f t="shared" si="0"/>
        <v>Homes_2035</v>
      </c>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54</v>
      </c>
      <c r="C13" s="7" t="s">
        <v>48</v>
      </c>
      <c r="E13" s="26">
        <f ca="1">INDEX([1]!tbl_Forecast,MATCH($D$8&amp;$C13&amp;$D$7,[1]!rng_ForecastRowLookup,0),MATCH(E$11,[1]!rng_ForecastColumnLookup,0))</f>
        <v>62685.758999999998</v>
      </c>
      <c r="F13" s="26">
        <f ca="1">INDEX([1]!tbl_Forecast,MATCH($D$8&amp;$C13&amp;$D$7,[1]!rng_ForecastRowLookup,0),MATCH(F$11,[1]!rng_ForecastColumnLookup,0))</f>
        <v>59961.781000000003</v>
      </c>
      <c r="G13" s="26">
        <f ca="1">INDEX([1]!tbl_Forecast,MATCH($D$8&amp;$C13&amp;$D$7,[1]!rng_ForecastRowLookup,0),MATCH(G$11,[1]!rng_ForecastColumnLookup,0))</f>
        <v>56834.012000000002</v>
      </c>
      <c r="H13" s="26">
        <f ca="1">INDEX([1]!tbl_Forecast,MATCH($D$8&amp;$C13&amp;$D$7,[1]!rng_ForecastRowLookup,0),MATCH(H$11,[1]!rng_ForecastColumnLookup,0))</f>
        <v>54985.192999999999</v>
      </c>
      <c r="I13" s="26">
        <f ca="1">INDEX([1]!tbl_Forecast,MATCH($D$8&amp;$C13&amp;$D$7,[1]!rng_ForecastRowLookup,0),MATCH(I$11,[1]!rng_ForecastColumnLookup,0))</f>
        <v>53507.474000000002</v>
      </c>
      <c r="J13" s="26">
        <f ca="1">INDEX([1]!tbl_Forecast,MATCH($D$8&amp;$C13&amp;$D$7,[1]!rng_ForecastRowLookup,0),MATCH(J$11,[1]!rng_ForecastColumnLookup,0))</f>
        <v>50982.05</v>
      </c>
      <c r="K13" s="26">
        <f ca="1">INDEX([1]!tbl_Forecast,MATCH($D$8&amp;$C13&amp;$D$7,[1]!rng_ForecastRowLookup,0),MATCH(K$11,[1]!rng_ForecastColumnLookup,0))</f>
        <v>49561.669000000002</v>
      </c>
      <c r="L13" s="26">
        <f ca="1">INDEX([1]!tbl_Forecast,MATCH($D$8&amp;$C13&amp;$D$7,[1]!rng_ForecastRowLookup,0),MATCH(L$11,[1]!rng_ForecastColumnLookup,0))</f>
        <v>49324.517999999996</v>
      </c>
      <c r="M13" s="26">
        <f ca="1">INDEX([1]!tbl_Forecast,MATCH($D$8&amp;$C13&amp;$D$7,[1]!rng_ForecastRowLookup,0),MATCH(M$11,[1]!rng_ForecastColumnLookup,0))</f>
        <v>48815.77</v>
      </c>
      <c r="N13" s="26">
        <f ca="1">INDEX([1]!tbl_Forecast,MATCH($D$8&amp;$C13&amp;$D$7,[1]!rng_ForecastRowLookup,0),MATCH(N$11,[1]!rng_ForecastColumnLookup,0))</f>
        <v>49683.252</v>
      </c>
      <c r="O13" s="26">
        <f ca="1">INDEX([1]!tbl_Forecast,MATCH($D$8&amp;$C13&amp;$D$7,[1]!rng_ForecastRowLookup,0),MATCH(O$11,[1]!rng_ForecastColumnLookup,0))</f>
        <v>50030.137000000002</v>
      </c>
      <c r="P13" s="26">
        <f ca="1">INDEX([1]!tbl_Forecast,MATCH($D$8&amp;$C13&amp;$D$7,[1]!rng_ForecastRowLookup,0),MATCH(P$11,[1]!rng_ForecastColumnLookup,0))</f>
        <v>49387.762999999999</v>
      </c>
      <c r="Q13" s="26">
        <f ca="1">INDEX([1]!tbl_Forecast,MATCH($D$8&amp;$C13&amp;$D$7,[1]!rng_ForecastRowLookup,0),MATCH(Q$11,[1]!rng_ForecastColumnLookup,0))</f>
        <v>48079.345999999998</v>
      </c>
      <c r="R13" s="26">
        <f ca="1">INDEX([1]!tbl_Forecast,MATCH($D$8&amp;$C13&amp;$D$7,[1]!rng_ForecastRowLookup,0),MATCH(R$11,[1]!rng_ForecastColumnLookup,0))</f>
        <v>48129.050999999999</v>
      </c>
      <c r="S13" s="26">
        <f ca="1">INDEX([1]!tbl_Forecast,MATCH($D$8&amp;$C13&amp;$D$7,[1]!rng_ForecastRowLookup,0),MATCH(S$11,[1]!rng_ForecastColumnLookup,0))</f>
        <v>48690.569000000003</v>
      </c>
      <c r="T13" s="26">
        <f ca="1">INDEX([1]!tbl_Forecast,MATCH($D$8&amp;$C13&amp;$D$7,[1]!rng_ForecastRowLookup,0),MATCH(T$11,[1]!rng_ForecastColumnLookup,0))</f>
        <v>48482.864000000001</v>
      </c>
      <c r="U13" s="26">
        <f ca="1">INDEX([1]!tbl_Forecast,MATCH($D$8&amp;$C13&amp;$D$7,[1]!rng_ForecastRowLookup,0),MATCH(U$11,[1]!rng_ForecastColumnLookup,0))</f>
        <v>46879.000999999997</v>
      </c>
      <c r="V13" s="26">
        <f ca="1">INDEX([1]!tbl_Forecast,MATCH($D$8&amp;$C13&amp;$D$7,[1]!rng_ForecastRowLookup,0),MATCH(V$11,[1]!rng_ForecastColumnLookup,0))</f>
        <v>46798.777999999998</v>
      </c>
      <c r="W13" s="26">
        <f ca="1">INDEX([1]!tbl_Forecast,MATCH($D$8&amp;$C13&amp;$D$7,[1]!rng_ForecastRowLookup,0),MATCH(W$11,[1]!rng_ForecastColumnLookup,0))</f>
        <v>46917.627</v>
      </c>
      <c r="X13" s="26">
        <f ca="1">INDEX([1]!tbl_Forecast,MATCH($D$8&amp;$C13&amp;$D$7,[1]!rng_ForecastRowLookup,0),MATCH(X$11,[1]!rng_ForecastColumnLookup,0))</f>
        <v>47236.144999999997</v>
      </c>
      <c r="Y13" s="26"/>
      <c r="AA13" s="26">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54</v>
      </c>
      <c r="C14" s="7" t="s">
        <v>49</v>
      </c>
      <c r="E14" s="26">
        <f ca="1">INDEX([1]!tbl_Forecast,MATCH($D$8&amp;$C14&amp;$D$7,[1]!rng_ForecastRowLookup,0),MATCH(E$11,[1]!rng_ForecastColumnLookup,0))</f>
        <v>23280.347100904564</v>
      </c>
      <c r="F14" s="26">
        <f ca="1">INDEX([1]!tbl_Forecast,MATCH($D$8&amp;$C14&amp;$D$7,[1]!rng_ForecastRowLookup,0),MATCH(F$11,[1]!rng_ForecastColumnLookup,0))</f>
        <v>23017.418106038647</v>
      </c>
      <c r="G14" s="26">
        <f ca="1">INDEX([1]!tbl_Forecast,MATCH($D$8&amp;$C14&amp;$D$7,[1]!rng_ForecastRowLookup,0),MATCH(G$11,[1]!rng_ForecastColumnLookup,0))</f>
        <v>22811.60852767331</v>
      </c>
      <c r="H14" s="26">
        <f ca="1">INDEX([1]!tbl_Forecast,MATCH($D$8&amp;$C14&amp;$D$7,[1]!rng_ForecastRowLookup,0),MATCH(H$11,[1]!rng_ForecastColumnLookup,0))</f>
        <v>22085.916378202593</v>
      </c>
      <c r="I14" s="26">
        <f ca="1">INDEX([1]!tbl_Forecast,MATCH($D$8&amp;$C14&amp;$D$7,[1]!rng_ForecastRowLookup,0),MATCH(I$11,[1]!rng_ForecastColumnLookup,0))</f>
        <v>20817.853908138593</v>
      </c>
      <c r="J14" s="26">
        <f ca="1">INDEX([1]!tbl_Forecast,MATCH($D$8&amp;$C14&amp;$D$7,[1]!rng_ForecastRowLookup,0),MATCH(J$11,[1]!rng_ForecastColumnLookup,0))</f>
        <v>20070.279329962508</v>
      </c>
      <c r="K14" s="26">
        <f ca="1">INDEX([1]!tbl_Forecast,MATCH($D$8&amp;$C14&amp;$D$7,[1]!rng_ForecastRowLookup,0),MATCH(K$11,[1]!rng_ForecastColumnLookup,0))</f>
        <v>19887.831284331631</v>
      </c>
      <c r="L14" s="26">
        <f ca="1">INDEX([1]!tbl_Forecast,MATCH($D$8&amp;$C14&amp;$D$7,[1]!rng_ForecastRowLookup,0),MATCH(L$11,[1]!rng_ForecastColumnLookup,0))</f>
        <v>20257.583209811291</v>
      </c>
      <c r="M14" s="26">
        <f ca="1">INDEX([1]!tbl_Forecast,MATCH($D$8&amp;$C14&amp;$D$7,[1]!rng_ForecastRowLookup,0),MATCH(M$11,[1]!rng_ForecastColumnLookup,0))</f>
        <v>20750.368029493613</v>
      </c>
      <c r="N14" s="26">
        <f ca="1">INDEX([1]!tbl_Forecast,MATCH($D$8&amp;$C14&amp;$D$7,[1]!rng_ForecastRowLookup,0),MATCH(N$11,[1]!rng_ForecastColumnLookup,0))</f>
        <v>21314.334279744231</v>
      </c>
      <c r="O14" s="26">
        <f ca="1">INDEX([1]!tbl_Forecast,MATCH($D$8&amp;$C14&amp;$D$7,[1]!rng_ForecastRowLookup,0),MATCH(O$11,[1]!rng_ForecastColumnLookup,0))</f>
        <v>21403.286239774712</v>
      </c>
      <c r="P14" s="26">
        <f ca="1">INDEX([1]!tbl_Forecast,MATCH($D$8&amp;$C14&amp;$D$7,[1]!rng_ForecastRowLookup,0),MATCH(P$11,[1]!rng_ForecastColumnLookup,0))</f>
        <v>21409.137516518917</v>
      </c>
      <c r="Q14" s="26">
        <f ca="1">INDEX([1]!tbl_Forecast,MATCH($D$8&amp;$C14&amp;$D$7,[1]!rng_ForecastRowLookup,0),MATCH(Q$11,[1]!rng_ForecastColumnLookup,0))</f>
        <v>21443.358292282628</v>
      </c>
      <c r="R14" s="26">
        <f ca="1">INDEX([1]!tbl_Forecast,MATCH($D$8&amp;$C14&amp;$D$7,[1]!rng_ForecastRowLookup,0),MATCH(R$11,[1]!rng_ForecastColumnLookup,0))</f>
        <v>21209.865626522758</v>
      </c>
      <c r="S14" s="26">
        <f ca="1">INDEX([1]!tbl_Forecast,MATCH($D$8&amp;$C14&amp;$D$7,[1]!rng_ForecastRowLookup,0),MATCH(S$11,[1]!rng_ForecastColumnLookup,0))</f>
        <v>20954.17798283829</v>
      </c>
      <c r="T14" s="26">
        <f ca="1">INDEX([1]!tbl_Forecast,MATCH($D$8&amp;$C14&amp;$D$7,[1]!rng_ForecastRowLookup,0),MATCH(T$11,[1]!rng_ForecastColumnLookup,0))</f>
        <v>20525.44023202754</v>
      </c>
      <c r="U14" s="26">
        <f ca="1">INDEX([1]!tbl_Forecast,MATCH($D$8&amp;$C14&amp;$D$7,[1]!rng_ForecastRowLookup,0),MATCH(U$11,[1]!rng_ForecastColumnLookup,0))</f>
        <v>20175.505597554071</v>
      </c>
      <c r="V14" s="26">
        <f ca="1">INDEX([1]!tbl_Forecast,MATCH($D$8&amp;$C14&amp;$D$7,[1]!rng_ForecastRowLookup,0),MATCH(V$11,[1]!rng_ForecastColumnLookup,0))</f>
        <v>19919.723927484571</v>
      </c>
      <c r="W14" s="26">
        <f ca="1">INDEX([1]!tbl_Forecast,MATCH($D$8&amp;$C14&amp;$D$7,[1]!rng_ForecastRowLookup,0),MATCH(W$11,[1]!rng_ForecastColumnLookup,0))</f>
        <v>19536.194066416414</v>
      </c>
      <c r="X14" s="26">
        <f ca="1">INDEX([1]!tbl_Forecast,MATCH($D$8&amp;$C14&amp;$D$7,[1]!rng_ForecastRowLookup,0),MATCH(X$11,[1]!rng_ForecastColumnLookup,0))</f>
        <v>19462.287131015248</v>
      </c>
      <c r="Y14" s="26"/>
      <c r="AA14" s="26">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54</v>
      </c>
      <c r="C15" s="7" t="s">
        <v>50</v>
      </c>
      <c r="E15" s="26">
        <f ca="1">INDEX([1]!tbl_Forecast,MATCH($D$8&amp;$C15&amp;$D$7,[1]!rng_ForecastRowLookup,0),MATCH(E$11,[1]!rng_ForecastColumnLookup,0))</f>
        <v>5226.2387411561367</v>
      </c>
      <c r="F15" s="26">
        <f ca="1">INDEX([1]!tbl_Forecast,MATCH($D$8&amp;$C15&amp;$D$7,[1]!rng_ForecastRowLookup,0),MATCH(F$11,[1]!rng_ForecastColumnLookup,0))</f>
        <v>5239.95312759432</v>
      </c>
      <c r="G15" s="26">
        <f ca="1">INDEX([1]!tbl_Forecast,MATCH($D$8&amp;$C15&amp;$D$7,[1]!rng_ForecastRowLookup,0),MATCH(G$11,[1]!rng_ForecastColumnLookup,0))</f>
        <v>5271.2612760989568</v>
      </c>
      <c r="H15" s="26">
        <f ca="1">INDEX([1]!tbl_Forecast,MATCH($D$8&amp;$C15&amp;$D$7,[1]!rng_ForecastRowLookup,0),MATCH(H$11,[1]!rng_ForecastColumnLookup,0))</f>
        <v>4985.883552972361</v>
      </c>
      <c r="I15" s="26">
        <f ca="1">INDEX([1]!tbl_Forecast,MATCH($D$8&amp;$C15&amp;$D$7,[1]!rng_ForecastRowLookup,0),MATCH(I$11,[1]!rng_ForecastColumnLookup,0))</f>
        <v>4608.5912035798974</v>
      </c>
      <c r="J15" s="26">
        <f ca="1">INDEX([1]!tbl_Forecast,MATCH($D$8&amp;$C15&amp;$D$7,[1]!rng_ForecastRowLookup,0),MATCH(J$11,[1]!rng_ForecastColumnLookup,0))</f>
        <v>4509.6375960361838</v>
      </c>
      <c r="K15" s="26">
        <f ca="1">INDEX([1]!tbl_Forecast,MATCH($D$8&amp;$C15&amp;$D$7,[1]!rng_ForecastRowLookup,0),MATCH(K$11,[1]!rng_ForecastColumnLookup,0))</f>
        <v>4481.760351096189</v>
      </c>
      <c r="L15" s="26">
        <f ca="1">INDEX([1]!tbl_Forecast,MATCH($D$8&amp;$C15&amp;$D$7,[1]!rng_ForecastRowLookup,0),MATCH(L$11,[1]!rng_ForecastColumnLookup,0))</f>
        <v>4621.8312800578688</v>
      </c>
      <c r="M15" s="26">
        <f ca="1">INDEX([1]!tbl_Forecast,MATCH($D$8&amp;$C15&amp;$D$7,[1]!rng_ForecastRowLookup,0),MATCH(M$11,[1]!rng_ForecastColumnLookup,0))</f>
        <v>4700.9782942419988</v>
      </c>
      <c r="N15" s="26">
        <f ca="1">INDEX([1]!tbl_Forecast,MATCH($D$8&amp;$C15&amp;$D$7,[1]!rng_ForecastRowLookup,0),MATCH(N$11,[1]!rng_ForecastColumnLookup,0))</f>
        <v>4828.2391631488581</v>
      </c>
      <c r="O15" s="26">
        <f ca="1">INDEX([1]!tbl_Forecast,MATCH($D$8&amp;$C15&amp;$D$7,[1]!rng_ForecastRowLookup,0),MATCH(O$11,[1]!rng_ForecastColumnLookup,0))</f>
        <v>4790.0249139778334</v>
      </c>
      <c r="P15" s="26">
        <f ca="1">INDEX([1]!tbl_Forecast,MATCH($D$8&amp;$C15&amp;$D$7,[1]!rng_ForecastRowLookup,0),MATCH(P$11,[1]!rng_ForecastColumnLookup,0))</f>
        <v>4782.0649962402858</v>
      </c>
      <c r="Q15" s="26">
        <f ca="1">INDEX([1]!tbl_Forecast,MATCH($D$8&amp;$C15&amp;$D$7,[1]!rng_ForecastRowLookup,0),MATCH(Q$11,[1]!rng_ForecastColumnLookup,0))</f>
        <v>4748.3908346265653</v>
      </c>
      <c r="R15" s="26">
        <f ca="1">INDEX([1]!tbl_Forecast,MATCH($D$8&amp;$C15&amp;$D$7,[1]!rng_ForecastRowLookup,0),MATCH(R$11,[1]!rng_ForecastColumnLookup,0))</f>
        <v>4733.4823682495089</v>
      </c>
      <c r="S15" s="26">
        <f ca="1">INDEX([1]!tbl_Forecast,MATCH($D$8&amp;$C15&amp;$D$7,[1]!rng_ForecastRowLookup,0),MATCH(S$11,[1]!rng_ForecastColumnLookup,0))</f>
        <v>4698.697177079107</v>
      </c>
      <c r="T15" s="26">
        <f ca="1">INDEX([1]!tbl_Forecast,MATCH($D$8&amp;$C15&amp;$D$7,[1]!rng_ForecastRowLookup,0),MATCH(T$11,[1]!rng_ForecastColumnLookup,0))</f>
        <v>4599.2987885998937</v>
      </c>
      <c r="U15" s="26">
        <f ca="1">INDEX([1]!tbl_Forecast,MATCH($D$8&amp;$C15&amp;$D$7,[1]!rng_ForecastRowLookup,0),MATCH(U$11,[1]!rng_ForecastColumnLookup,0))</f>
        <v>4526.3104216428001</v>
      </c>
      <c r="V15" s="26">
        <f ca="1">INDEX([1]!tbl_Forecast,MATCH($D$8&amp;$C15&amp;$D$7,[1]!rng_ForecastRowLookup,0),MATCH(V$11,[1]!rng_ForecastColumnLookup,0))</f>
        <v>4422.0600452822764</v>
      </c>
      <c r="W15" s="26">
        <f ca="1">INDEX([1]!tbl_Forecast,MATCH($D$8&amp;$C15&amp;$D$7,[1]!rng_ForecastRowLookup,0),MATCH(W$11,[1]!rng_ForecastColumnLookup,0))</f>
        <v>4405.182362066379</v>
      </c>
      <c r="X15" s="26">
        <f ca="1">INDEX([1]!tbl_Forecast,MATCH($D$8&amp;$C15&amp;$D$7,[1]!rng_ForecastRowLookup,0),MATCH(X$11,[1]!rng_ForecastColumnLookup,0))</f>
        <v>4385.1136986120664</v>
      </c>
      <c r="Y15" s="26"/>
      <c r="AA15" s="26">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54</v>
      </c>
      <c r="C16" s="7" t="s">
        <v>51</v>
      </c>
      <c r="E16" s="26">
        <f ca="1">INDEX([1]!tbl_Forecast,MATCH($D$8&amp;$C16&amp;$D$7,[1]!rng_ForecastRowLookup,0),MATCH(E$11,[1]!rng_ForecastColumnLookup,0))</f>
        <v>1869.5754050925925</v>
      </c>
      <c r="F16" s="26">
        <f ca="1">INDEX([1]!tbl_Forecast,MATCH($D$8&amp;$C16&amp;$D$7,[1]!rng_ForecastRowLookup,0),MATCH(F$11,[1]!rng_ForecastColumnLookup,0))</f>
        <v>1881.796305941358</v>
      </c>
      <c r="G16" s="26">
        <f ca="1">INDEX([1]!tbl_Forecast,MATCH($D$8&amp;$C16&amp;$D$7,[1]!rng_ForecastRowLookup,0),MATCH(G$11,[1]!rng_ForecastColumnLookup,0))</f>
        <v>1949.1340235982509</v>
      </c>
      <c r="H16" s="26">
        <f ca="1">INDEX([1]!tbl_Forecast,MATCH($D$8&amp;$C16&amp;$D$7,[1]!rng_ForecastRowLookup,0),MATCH(H$11,[1]!rng_ForecastColumnLookup,0))</f>
        <v>2021.1963608646258</v>
      </c>
      <c r="I16" s="26">
        <f ca="1">INDEX([1]!tbl_Forecast,MATCH($D$8&amp;$C16&amp;$D$7,[1]!rng_ForecastRowLookup,0),MATCH(I$11,[1]!rng_ForecastColumnLookup,0))</f>
        <v>1959.5061710087307</v>
      </c>
      <c r="J16" s="26">
        <f ca="1">INDEX([1]!tbl_Forecast,MATCH($D$8&amp;$C16&amp;$D$7,[1]!rng_ForecastRowLookup,0),MATCH(J$11,[1]!rng_ForecastColumnLookup,0))</f>
        <v>1928.5764356212967</v>
      </c>
      <c r="K16" s="26">
        <f ca="1">INDEX([1]!tbl_Forecast,MATCH($D$8&amp;$C16&amp;$D$7,[1]!rng_ForecastRowLookup,0),MATCH(K$11,[1]!rng_ForecastColumnLookup,0))</f>
        <v>1934.9641170211423</v>
      </c>
      <c r="L16" s="26">
        <f ca="1">INDEX([1]!tbl_Forecast,MATCH($D$8&amp;$C16&amp;$D$7,[1]!rng_ForecastRowLookup,0),MATCH(L$11,[1]!rng_ForecastColumnLookup,0))</f>
        <v>1945.862235675901</v>
      </c>
      <c r="M16" s="26">
        <f ca="1">INDEX([1]!tbl_Forecast,MATCH($D$8&amp;$C16&amp;$D$7,[1]!rng_ForecastRowLookup,0),MATCH(M$11,[1]!rng_ForecastColumnLookup,0))</f>
        <v>1956.539890631658</v>
      </c>
      <c r="N16" s="26">
        <f ca="1">INDEX([1]!tbl_Forecast,MATCH($D$8&amp;$C16&amp;$D$7,[1]!rng_ForecastRowLookup,0),MATCH(N$11,[1]!rng_ForecastColumnLookup,0))</f>
        <v>1957.7742018038925</v>
      </c>
      <c r="O16" s="26">
        <f ca="1">INDEX([1]!tbl_Forecast,MATCH($D$8&amp;$C16&amp;$D$7,[1]!rng_ForecastRowLookup,0),MATCH(O$11,[1]!rng_ForecastColumnLookup,0))</f>
        <v>1947.2038419604366</v>
      </c>
      <c r="P16" s="26">
        <f ca="1">INDEX([1]!tbl_Forecast,MATCH($D$8&amp;$C16&amp;$D$7,[1]!rng_ForecastRowLookup,0),MATCH(P$11,[1]!rng_ForecastColumnLookup,0))</f>
        <v>1945.153453785721</v>
      </c>
      <c r="Q16" s="26">
        <f ca="1">INDEX([1]!tbl_Forecast,MATCH($D$8&amp;$C16&amp;$D$7,[1]!rng_ForecastRowLookup,0),MATCH(Q$11,[1]!rng_ForecastColumnLookup,0))</f>
        <v>1947.9162901464586</v>
      </c>
      <c r="R16" s="26">
        <f ca="1">INDEX([1]!tbl_Forecast,MATCH($D$8&amp;$C16&amp;$D$7,[1]!rng_ForecastRowLookup,0),MATCH(R$11,[1]!rng_ForecastColumnLookup,0))</f>
        <v>1950.0749856673444</v>
      </c>
      <c r="S16" s="26">
        <f ca="1">INDEX([1]!tbl_Forecast,MATCH($D$8&amp;$C16&amp;$D$7,[1]!rng_ForecastRowLookup,0),MATCH(S$11,[1]!rng_ForecastColumnLookup,0))</f>
        <v>1950.7771106659191</v>
      </c>
      <c r="T16" s="26">
        <f ca="1">INDEX([1]!tbl_Forecast,MATCH($D$8&amp;$C16&amp;$D$7,[1]!rng_ForecastRowLookup,0),MATCH(T$11,[1]!rng_ForecastColumnLookup,0))</f>
        <v>1949.8166473382953</v>
      </c>
      <c r="U16" s="26">
        <f ca="1">INDEX([1]!tbl_Forecast,MATCH($D$8&amp;$C16&amp;$D$7,[1]!rng_ForecastRowLookup,0),MATCH(U$11,[1]!rng_ForecastColumnLookup,0))</f>
        <v>1948.4903882606959</v>
      </c>
      <c r="V16" s="26">
        <f ca="1">INDEX([1]!tbl_Forecast,MATCH($D$8&amp;$C16&amp;$D$7,[1]!rng_ForecastRowLookup,0),MATCH(V$11,[1]!rng_ForecastColumnLookup,0))</f>
        <v>1948.7048126440727</v>
      </c>
      <c r="W16" s="26">
        <f ca="1">INDEX([1]!tbl_Forecast,MATCH($D$8&amp;$C16&amp;$D$7,[1]!rng_ForecastRowLookup,0),MATCH(W$11,[1]!rng_ForecastColumnLookup,0))</f>
        <v>1949.296705787131</v>
      </c>
      <c r="X16" s="26">
        <f ca="1">INDEX([1]!tbl_Forecast,MATCH($D$8&amp;$C16&amp;$D$7,[1]!rng_ForecastRowLookup,0),MATCH(X$11,[1]!rng_ForecastColumnLookup,0))</f>
        <v>1949.5267750605763</v>
      </c>
      <c r="Y16" s="26"/>
      <c r="AA16" s="26">
        <f t="shared" ca="1" si="1"/>
        <v>38891.88615857609</v>
      </c>
    </row>
    <row r="17" spans="1:27">
      <c r="E17" s="26"/>
      <c r="F17" s="26"/>
      <c r="G17" s="26"/>
      <c r="H17" s="26"/>
      <c r="I17" s="26"/>
      <c r="J17" s="26"/>
      <c r="K17" s="26"/>
      <c r="L17" s="26"/>
      <c r="M17" s="26"/>
      <c r="N17" s="26"/>
      <c r="O17" s="26"/>
      <c r="P17" s="26"/>
      <c r="Q17" s="26"/>
      <c r="R17" s="26"/>
      <c r="S17" s="26"/>
      <c r="T17" s="26"/>
      <c r="U17" s="26"/>
      <c r="V17" s="26"/>
      <c r="W17" s="26"/>
      <c r="X17" s="26"/>
      <c r="Y17" s="26"/>
    </row>
    <row r="18" spans="1:27">
      <c r="B18" s="7" t="s">
        <v>58</v>
      </c>
      <c r="C18" s="7" t="s">
        <v>59</v>
      </c>
      <c r="E18" s="26">
        <f t="shared" ref="E18:X18" ca="1" si="2">SUM(E13:E16)</f>
        <v>93061.920247153292</v>
      </c>
      <c r="F18" s="26">
        <f t="shared" ca="1" si="2"/>
        <v>90100.948539574325</v>
      </c>
      <c r="G18" s="26">
        <f t="shared" ca="1" si="2"/>
        <v>86866.015827370516</v>
      </c>
      <c r="H18" s="26">
        <f t="shared" ca="1" si="2"/>
        <v>84078.189292039577</v>
      </c>
      <c r="I18" s="26">
        <f t="shared" ca="1" si="2"/>
        <v>80893.425282727228</v>
      </c>
      <c r="J18" s="26">
        <f t="shared" ca="1" si="2"/>
        <v>77490.543361619988</v>
      </c>
      <c r="K18" s="26">
        <f t="shared" ca="1" si="2"/>
        <v>75866.224752448965</v>
      </c>
      <c r="L18" s="26">
        <f t="shared" ca="1" si="2"/>
        <v>76149.794725545056</v>
      </c>
      <c r="M18" s="26">
        <f t="shared" ca="1" si="2"/>
        <v>76223.656214367264</v>
      </c>
      <c r="N18" s="26">
        <f t="shared" ca="1" si="2"/>
        <v>77783.59964469698</v>
      </c>
      <c r="O18" s="26">
        <f t="shared" ca="1" si="2"/>
        <v>78170.651995712979</v>
      </c>
      <c r="P18" s="26">
        <f t="shared" ca="1" si="2"/>
        <v>77524.11896654492</v>
      </c>
      <c r="Q18" s="26">
        <f t="shared" ca="1" si="2"/>
        <v>76219.011417055648</v>
      </c>
      <c r="R18" s="26">
        <f t="shared" ca="1" si="2"/>
        <v>76022.473980439609</v>
      </c>
      <c r="S18" s="26">
        <f t="shared" ca="1" si="2"/>
        <v>76294.221270583323</v>
      </c>
      <c r="T18" s="26">
        <f t="shared" ca="1" si="2"/>
        <v>75557.419667965733</v>
      </c>
      <c r="U18" s="26">
        <f t="shared" ca="1" si="2"/>
        <v>73529.307407457556</v>
      </c>
      <c r="V18" s="26">
        <f t="shared" ca="1" si="2"/>
        <v>73089.266785410931</v>
      </c>
      <c r="W18" s="26">
        <f t="shared" ca="1" si="2"/>
        <v>72808.300134269928</v>
      </c>
      <c r="X18" s="26">
        <f t="shared" ca="1" si="2"/>
        <v>73033.072604687884</v>
      </c>
      <c r="Y18" s="26"/>
      <c r="AA18" s="26">
        <f ca="1">SUM(E18:Y18)</f>
        <v>1570762.1621176719</v>
      </c>
    </row>
    <row r="19" spans="1:27">
      <c r="E19" s="26"/>
      <c r="F19" s="26"/>
      <c r="G19" s="26"/>
      <c r="H19" s="26"/>
      <c r="I19" s="26"/>
      <c r="J19" s="26"/>
      <c r="K19" s="26"/>
      <c r="L19" s="26"/>
      <c r="M19" s="26"/>
      <c r="N19" s="26"/>
      <c r="O19" s="26"/>
      <c r="P19" s="26"/>
      <c r="Q19" s="26"/>
      <c r="R19" s="26"/>
      <c r="S19" s="26"/>
      <c r="T19" s="26"/>
      <c r="U19" s="26"/>
      <c r="V19" s="26"/>
      <c r="W19" s="26"/>
      <c r="X19" s="26"/>
      <c r="Y19" s="26"/>
    </row>
    <row r="20" spans="1:27">
      <c r="E20" s="26"/>
      <c r="F20" s="26"/>
      <c r="G20" s="26"/>
      <c r="H20" s="26"/>
      <c r="I20" s="26"/>
      <c r="J20" s="26"/>
      <c r="K20" s="26"/>
      <c r="L20" s="26"/>
      <c r="M20" s="26"/>
      <c r="N20" s="26"/>
      <c r="O20" s="26"/>
      <c r="P20" s="26"/>
      <c r="Q20" s="26"/>
      <c r="R20" s="26"/>
      <c r="S20" s="26"/>
      <c r="T20" s="26"/>
      <c r="U20" s="26"/>
      <c r="V20" s="26"/>
      <c r="W20" s="26"/>
      <c r="X20" s="26"/>
      <c r="Y20" s="26"/>
    </row>
    <row r="21" spans="1:27" ht="15">
      <c r="A21" s="78" t="str">
        <f>CONCATENATE("# HOMES APPLICABLE BY YEAR FOR MEASURE - ",C22)</f>
        <v># HOMES APPLICABLE BY YEAR FOR MEASURE - Microwave - New</v>
      </c>
      <c r="B21" s="78"/>
      <c r="E21" s="26"/>
      <c r="F21" s="26"/>
      <c r="G21" s="26"/>
      <c r="H21" s="26"/>
      <c r="I21" s="26"/>
      <c r="J21" s="26"/>
      <c r="K21" s="26"/>
      <c r="L21" s="26"/>
      <c r="M21" s="26"/>
      <c r="N21" s="26"/>
      <c r="O21" s="26"/>
      <c r="P21" s="26"/>
      <c r="Q21" s="26"/>
      <c r="R21" s="26"/>
      <c r="S21" s="26"/>
      <c r="T21" s="26"/>
      <c r="U21" s="26"/>
      <c r="V21" s="26"/>
      <c r="W21" s="26"/>
      <c r="X21" s="26"/>
      <c r="Y21" s="26"/>
    </row>
    <row r="22" spans="1:27" ht="15">
      <c r="A22" s="79" t="s">
        <v>60</v>
      </c>
      <c r="B22" s="79" t="s">
        <v>151</v>
      </c>
      <c r="C22" s="79" t="str">
        <f>CONCATENATE(C8," - ",C7)</f>
        <v>Microwave - New</v>
      </c>
      <c r="D22" s="79"/>
      <c r="E22" s="7">
        <v>1</v>
      </c>
      <c r="F22" s="7">
        <v>2</v>
      </c>
      <c r="G22" s="7">
        <v>3</v>
      </c>
      <c r="H22" s="7">
        <v>4</v>
      </c>
      <c r="I22" s="7">
        <v>5</v>
      </c>
      <c r="J22" s="7">
        <v>6</v>
      </c>
      <c r="K22" s="7">
        <v>7</v>
      </c>
      <c r="L22" s="7">
        <v>8</v>
      </c>
      <c r="M22" s="7">
        <v>9</v>
      </c>
      <c r="N22" s="7">
        <v>10</v>
      </c>
      <c r="O22" s="7">
        <v>11</v>
      </c>
      <c r="P22" s="7">
        <v>12</v>
      </c>
      <c r="Q22" s="7">
        <v>13</v>
      </c>
      <c r="R22" s="7">
        <v>14</v>
      </c>
      <c r="S22" s="7">
        <v>15</v>
      </c>
      <c r="T22" s="7">
        <v>16</v>
      </c>
      <c r="U22" s="7">
        <v>17</v>
      </c>
      <c r="V22" s="7">
        <v>18</v>
      </c>
      <c r="W22" s="7">
        <v>19</v>
      </c>
      <c r="X22" s="7">
        <v>20</v>
      </c>
    </row>
    <row r="23" spans="1:27">
      <c r="A23" s="80">
        <f>INDEX([2]!ResApplic,MATCH($C$22,[2]APPLIC!$B$9:$B$120,0)+1,MATCH($C23,[2]APPLIC!$C$8:$F$8,0)+1)</f>
        <v>1</v>
      </c>
      <c r="B23" s="80">
        <f>VLOOKUP($C$8,[2]!NewSat,MATCH($C23,[2]SATS!$C$10:$F$10,0)+1,FALSE)</f>
        <v>0.95</v>
      </c>
      <c r="C23" s="7" t="str">
        <f>C13</f>
        <v>Single Family</v>
      </c>
      <c r="E23" s="26">
        <f ca="1">E13*$A23*$B23*INDEX('# of Units'!$B$10:$U$10,'SC-New'!E$22)</f>
        <v>60520.819347497389</v>
      </c>
      <c r="F23" s="26">
        <f ca="1">F13*$A23*$B23*INDEX('# of Units'!$B$10:$U$10,'SC-New'!F$22)</f>
        <v>57890.917706766573</v>
      </c>
      <c r="G23" s="26">
        <f ca="1">G13*$A23*$B23*INDEX('# of Units'!$B$10:$U$10,'SC-New'!G$22)</f>
        <v>54871.170548409558</v>
      </c>
      <c r="H23" s="26">
        <f ca="1">H13*$A23*$B23*INDEX('# of Units'!$B$10:$U$10,'SC-New'!H$22)</f>
        <v>53086.203077484926</v>
      </c>
      <c r="I23" s="26">
        <f ca="1">I13*$A23*$B23*INDEX('# of Units'!$B$10:$U$10,'SC-New'!I$22)</f>
        <v>51977.810271537986</v>
      </c>
      <c r="J23" s="26">
        <f ca="1">J13*$A23*$B23*INDEX('# of Units'!$B$10:$U$10,'SC-New'!J$22)</f>
        <v>49668.481874999998</v>
      </c>
      <c r="K23" s="26">
        <f ca="1">K13*$A23*$B23*INDEX('# of Units'!$B$10:$U$10,'SC-New'!K$22)</f>
        <v>48284.697426275503</v>
      </c>
      <c r="L23" s="26">
        <f ca="1">L13*$A23*$B23*INDEX('# of Units'!$B$10:$U$10,'SC-New'!L$22)</f>
        <v>48053.656694387748</v>
      </c>
      <c r="M23" s="26">
        <f ca="1">M13*$A23*$B23*INDEX('# of Units'!$B$10:$U$10,'SC-New'!M$22)</f>
        <v>47558.016742346932</v>
      </c>
      <c r="N23" s="26">
        <f ca="1">N13*$A23*$B23*INDEX('# of Units'!$B$10:$U$10,'SC-New'!N$22)</f>
        <v>49125.582844897959</v>
      </c>
      <c r="O23" s="26">
        <f ca="1">O13*$A23*$B23*INDEX('# of Units'!$B$10:$U$10,'SC-New'!O$22)</f>
        <v>49468.5742377551</v>
      </c>
      <c r="P23" s="26">
        <f ca="1">P13*$A23*$B23*INDEX('# of Units'!$B$10:$U$10,'SC-New'!P$22)</f>
        <v>48833.410558163268</v>
      </c>
      <c r="Q23" s="26">
        <f ca="1">Q13*$A23*$B23*INDEX('# of Units'!$B$10:$U$10,'SC-New'!Q$22)</f>
        <v>47539.679871428569</v>
      </c>
      <c r="R23" s="26">
        <f ca="1">R13*$A23*$B23*INDEX('# of Units'!$B$10:$U$10,'SC-New'!R$22)</f>
        <v>47588.826958163263</v>
      </c>
      <c r="S23" s="26">
        <f ca="1">S13*$A23*$B23*INDEX('# of Units'!$B$10:$U$10,'SC-New'!S$22)</f>
        <v>48088.856097139527</v>
      </c>
      <c r="T23" s="26">
        <f ca="1">T13*$A23*$B23*INDEX('# of Units'!$B$10:$U$10,'SC-New'!T$22)</f>
        <v>47938.668587755106</v>
      </c>
      <c r="U23" s="26">
        <f ca="1">U13*$A23*$B23*INDEX('# of Units'!$B$10:$U$10,'SC-New'!U$22)</f>
        <v>46807.247427040813</v>
      </c>
      <c r="V23" s="26">
        <f ca="1">V13*$A23*$B23*INDEX('# of Units'!$B$10:$U$10,'SC-New'!V$22)</f>
        <v>46727.14721734693</v>
      </c>
      <c r="W23" s="26">
        <f ca="1">W13*$A23*$B23*INDEX('# of Units'!$B$10:$U$10,'SC-New'!W$22)</f>
        <v>47300.628036734692</v>
      </c>
      <c r="X23" s="26">
        <f ca="1">X13*$A23*$B23*INDEX('# of Units'!$B$10:$U$10,'SC-New'!X$22)</f>
        <v>47621.746183673466</v>
      </c>
      <c r="Y23" s="26"/>
      <c r="AA23" s="26">
        <f t="shared" ref="AA23:AA26" ca="1" si="3">SUM(E23:Y23)</f>
        <v>998952.14170980535</v>
      </c>
    </row>
    <row r="24" spans="1:27">
      <c r="A24" s="80">
        <f>INDEX([2]!ResApplic,MATCH($C$22,[2]APPLIC!$B$9:$B$120,0)+1,MATCH($C24,[2]APPLIC!$C$8:$F$8,0)+1)</f>
        <v>1</v>
      </c>
      <c r="B24" s="80">
        <f>VLOOKUP($C$8,[2]!NewSat,MATCH($C24,[2]SATS!$C$10:$F$10,0)+1,FALSE)</f>
        <v>0.95</v>
      </c>
      <c r="C24" s="7" t="str">
        <f>C14</f>
        <v>Multifamily - Low Rise</v>
      </c>
      <c r="E24" s="26">
        <f ca="1">E14*$A24*$B24*INDEX('# of Units'!$B$10:$U$10,'SC-New'!E$22)</f>
        <v>22476.328016398107</v>
      </c>
      <c r="F24" s="26">
        <f ca="1">F14*$A24*$B24*INDEX('# of Units'!$B$10:$U$10,'SC-New'!F$22)</f>
        <v>22222.479639137506</v>
      </c>
      <c r="G24" s="26">
        <f ca="1">G14*$A24*$B24*INDEX('# of Units'!$B$10:$U$10,'SC-New'!G$22)</f>
        <v>22023.777980085517</v>
      </c>
      <c r="H24" s="26">
        <f ca="1">H14*$A24*$B24*INDEX('# of Units'!$B$10:$U$10,'SC-New'!H$22)</f>
        <v>21323.148615766673</v>
      </c>
      <c r="I24" s="26">
        <f ca="1">I14*$A24*$B24*INDEX('# of Units'!$B$10:$U$10,'SC-New'!I$22)</f>
        <v>20222.716189103288</v>
      </c>
      <c r="J24" s="26">
        <f ca="1">J14*$A24*$B24*INDEX('# of Units'!$B$10:$U$10,'SC-New'!J$22)</f>
        <v>19553.162439062962</v>
      </c>
      <c r="K24" s="26">
        <f ca="1">K14*$A24*$B24*INDEX('# of Units'!$B$10:$U$10,'SC-New'!K$22)</f>
        <v>19375.415223179207</v>
      </c>
      <c r="L24" s="26">
        <f ca="1">L14*$A24*$B24*INDEX('# of Units'!$B$10:$U$10,'SC-New'!L$22)</f>
        <v>19735.640377109521</v>
      </c>
      <c r="M24" s="26">
        <f ca="1">M14*$A24*$B24*INDEX('# of Units'!$B$10:$U$10,'SC-New'!M$22)</f>
        <v>20215.728445060231</v>
      </c>
      <c r="N24" s="26">
        <f ca="1">N14*$A24*$B24*INDEX('# of Units'!$B$10:$U$10,'SC-New'!N$22)</f>
        <v>21075.091752114451</v>
      </c>
      <c r="O24" s="26">
        <f ca="1">O14*$A24*$B24*INDEX('# of Units'!$B$10:$U$10,'SC-New'!O$22)</f>
        <v>21163.045271777239</v>
      </c>
      <c r="P24" s="26">
        <f ca="1">P14*$A24*$B24*INDEX('# of Units'!$B$10:$U$10,'SC-New'!P$22)</f>
        <v>21168.830870925336</v>
      </c>
      <c r="Q24" s="26">
        <f ca="1">Q14*$A24*$B24*INDEX('# of Units'!$B$10:$U$10,'SC-New'!Q$22)</f>
        <v>21202.66753594068</v>
      </c>
      <c r="R24" s="26">
        <f ca="1">R14*$A24*$B24*INDEX('# of Units'!$B$10:$U$10,'SC-New'!R$22)</f>
        <v>20971.795706225053</v>
      </c>
      <c r="S24" s="26">
        <f ca="1">S14*$A24*$B24*INDEX('# of Units'!$B$10:$U$10,'SC-New'!S$22)</f>
        <v>20695.228467150588</v>
      </c>
      <c r="T24" s="26">
        <f ca="1">T14*$A24*$B24*INDEX('# of Units'!$B$10:$U$10,'SC-New'!T$22)</f>
        <v>20295.052637586417</v>
      </c>
      <c r="U24" s="26">
        <f ca="1">U14*$A24*$B24*INDEX('# of Units'!$B$10:$U$10,'SC-New'!U$22)</f>
        <v>20144.624721639448</v>
      </c>
      <c r="V24" s="26">
        <f ca="1">V14*$A24*$B24*INDEX('# of Units'!$B$10:$U$10,'SC-New'!V$22)</f>
        <v>19889.234554126175</v>
      </c>
      <c r="W24" s="26">
        <f ca="1">W14*$A24*$B24*INDEX('# of Units'!$B$10:$U$10,'SC-New'!W$22)</f>
        <v>19695.673201652466</v>
      </c>
      <c r="X24" s="26">
        <f ca="1">X14*$A24*$B24*INDEX('# of Units'!$B$10:$U$10,'SC-New'!X$22)</f>
        <v>19621.162944329659</v>
      </c>
      <c r="Y24" s="26"/>
      <c r="AA24" s="26">
        <f t="shared" ca="1" si="3"/>
        <v>413070.80458837049</v>
      </c>
    </row>
    <row r="25" spans="1:27">
      <c r="A25" s="80">
        <f>INDEX([2]!ResApplic,MATCH($C$22,[2]APPLIC!$B$9:$B$120,0)+1,MATCH($C25,[2]APPLIC!$C$8:$F$8,0)+1)</f>
        <v>1</v>
      </c>
      <c r="B25" s="80">
        <f>VLOOKUP($C$8,[2]!NewSat,MATCH($C25,[2]SATS!$C$10:$F$10,0)+1,FALSE)</f>
        <v>0.95</v>
      </c>
      <c r="C25" s="7" t="str">
        <f>C15</f>
        <v>Multifamily - High Rise</v>
      </c>
      <c r="E25" s="26">
        <f ca="1">E15*$A25*$B25*INDEX('# of Units'!$B$10:$U$10,'SC-New'!E$22)</f>
        <v>5045.7433357455675</v>
      </c>
      <c r="F25" s="26">
        <f ca="1">F15*$A25*$B25*INDEX('# of Units'!$B$10:$U$10,'SC-New'!F$22)</f>
        <v>5058.9840768218155</v>
      </c>
      <c r="G25" s="26">
        <f ca="1">G15*$A25*$B25*INDEX('# of Units'!$B$10:$U$10,'SC-New'!G$22)</f>
        <v>5089.2109549833094</v>
      </c>
      <c r="H25" s="26">
        <f ca="1">H15*$A25*$B25*INDEX('# of Units'!$B$10:$U$10,'SC-New'!H$22)</f>
        <v>4813.6891474361619</v>
      </c>
      <c r="I25" s="26">
        <f ca="1">I15*$A25*$B25*INDEX('# of Units'!$B$10:$U$10,'SC-New'!I$22)</f>
        <v>4476.8414819723084</v>
      </c>
      <c r="J25" s="26">
        <f ca="1">J15*$A25*$B25*INDEX('# of Units'!$B$10:$U$10,'SC-New'!J$22)</f>
        <v>4393.4454028730061</v>
      </c>
      <c r="K25" s="26">
        <f ca="1">K15*$A25*$B25*INDEX('# of Units'!$B$10:$U$10,'SC-New'!K$22)</f>
        <v>4366.2864236827409</v>
      </c>
      <c r="L25" s="26">
        <f ca="1">L15*$A25*$B25*INDEX('# of Units'!$B$10:$U$10,'SC-New'!L$22)</f>
        <v>4502.7483822808672</v>
      </c>
      <c r="M25" s="26">
        <f ca="1">M15*$A25*$B25*INDEX('# of Units'!$B$10:$U$10,'SC-New'!M$22)</f>
        <v>4579.8561494158657</v>
      </c>
      <c r="N25" s="26">
        <f ca="1">N15*$A25*$B25*INDEX('# of Units'!$B$10:$U$10,'SC-New'!N$22)</f>
        <v>4774.0446419298405</v>
      </c>
      <c r="O25" s="26">
        <f ca="1">O15*$A25*$B25*INDEX('# of Units'!$B$10:$U$10,'SC-New'!O$22)</f>
        <v>4736.2593282086946</v>
      </c>
      <c r="P25" s="26">
        <f ca="1">P15*$A25*$B25*INDEX('# of Units'!$B$10:$U$10,'SC-New'!P$22)</f>
        <v>4728.3887564865681</v>
      </c>
      <c r="Q25" s="26">
        <f ca="1">Q15*$A25*$B25*INDEX('# of Units'!$B$10:$U$10,'SC-New'!Q$22)</f>
        <v>4695.0925701562674</v>
      </c>
      <c r="R25" s="26">
        <f ca="1">R15*$A25*$B25*INDEX('# of Units'!$B$10:$U$10,'SC-New'!R$22)</f>
        <v>4680.351443707933</v>
      </c>
      <c r="S25" s="26">
        <f ca="1">S15*$A25*$B25*INDEX('# of Units'!$B$10:$U$10,'SC-New'!S$22)</f>
        <v>4640.6311742340276</v>
      </c>
      <c r="T25" s="26">
        <f ca="1">T15*$A25*$B25*INDEX('# of Units'!$B$10:$U$10,'SC-New'!T$22)</f>
        <v>4547.674006278874</v>
      </c>
      <c r="U25" s="26">
        <f ca="1">U15*$A25*$B25*INDEX('# of Units'!$B$10:$U$10,'SC-New'!U$22)</f>
        <v>4519.3823954872232</v>
      </c>
      <c r="V25" s="26">
        <f ca="1">V15*$A25*$B25*INDEX('# of Units'!$B$10:$U$10,'SC-New'!V$22)</f>
        <v>4415.2915860292924</v>
      </c>
      <c r="W25" s="26">
        <f ca="1">W15*$A25*$B25*INDEX('# of Units'!$B$10:$U$10,'SC-New'!W$22)</f>
        <v>4441.143034409778</v>
      </c>
      <c r="X25" s="26">
        <f ca="1">X15*$A25*$B25*INDEX('# of Units'!$B$10:$U$10,'SC-New'!X$22)</f>
        <v>4420.910545131348</v>
      </c>
      <c r="Y25" s="26"/>
      <c r="AA25" s="26">
        <f t="shared" ca="1" si="3"/>
        <v>92925.974837271497</v>
      </c>
    </row>
    <row r="26" spans="1:27">
      <c r="A26" s="80">
        <f>INDEX([2]!ResApplic,MATCH($C$22,[2]APPLIC!$B$9:$B$120,0)+1,MATCH($C26,[2]APPLIC!$C$8:$F$8,0)+1)</f>
        <v>1</v>
      </c>
      <c r="B26" s="80">
        <f>VLOOKUP($C$8,[2]!NewSat,MATCH($C26,[2]SATS!$C$10:$F$10,0)+1,FALSE)</f>
        <v>0.95</v>
      </c>
      <c r="C26" t="s">
        <v>51</v>
      </c>
      <c r="D26"/>
      <c r="E26" s="26">
        <f ca="1">E16*$A26*$B26*INDEX('# of Units'!$B$10:$U$10,'SC-New'!E$22)</f>
        <v>1805.0070247714964</v>
      </c>
      <c r="F26" s="26">
        <f ca="1">F16*$A26*$B26*INDEX('# of Units'!$B$10:$U$10,'SC-New'!F$22)</f>
        <v>1816.8058598551047</v>
      </c>
      <c r="G26" s="26">
        <f ca="1">G16*$A26*$B26*INDEX('# of Units'!$B$10:$U$10,'SC-New'!G$22)</f>
        <v>1881.8179760135067</v>
      </c>
      <c r="H26" s="26">
        <f ca="1">H16*$A26*$B26*INDEX('# of Units'!$B$10:$U$10,'SC-New'!H$22)</f>
        <v>1951.3915404886009</v>
      </c>
      <c r="I26" s="26">
        <f ca="1">I16*$A26*$B26*INDEX('# of Units'!$B$10:$U$10,'SC-New'!I$22)</f>
        <v>1903.4880992999158</v>
      </c>
      <c r="J26" s="26">
        <f ca="1">J16*$A26*$B26*INDEX('# of Units'!$B$10:$U$10,'SC-New'!J$22)</f>
        <v>1878.8860733769723</v>
      </c>
      <c r="K26" s="26">
        <f ca="1">K16*$A26*$B26*INDEX('# of Units'!$B$10:$U$10,'SC-New'!K$22)</f>
        <v>1885.1091742101382</v>
      </c>
      <c r="L26" s="26">
        <f ca="1">L16*$A26*$B26*INDEX('# of Units'!$B$10:$U$10,'SC-New'!L$22)</f>
        <v>1895.7264995015983</v>
      </c>
      <c r="M26" s="26">
        <f ca="1">M16*$A26*$B26*INDEX('# of Units'!$B$10:$U$10,'SC-New'!M$22)</f>
        <v>1906.1290414087503</v>
      </c>
      <c r="N26" s="26">
        <f ca="1">N16*$A26*$B26*INDEX('# of Units'!$B$10:$U$10,'SC-New'!N$22)</f>
        <v>1935.7991852530324</v>
      </c>
      <c r="O26" s="26">
        <f ca="1">O16*$A26*$B26*INDEX('# of Units'!$B$10:$U$10,'SC-New'!O$22)</f>
        <v>1925.3474723057786</v>
      </c>
      <c r="P26" s="26">
        <f ca="1">P16*$A26*$B26*INDEX('# of Units'!$B$10:$U$10,'SC-New'!P$22)</f>
        <v>1923.3200986922077</v>
      </c>
      <c r="Q26" s="26">
        <f ca="1">Q16*$A26*$B26*INDEX('# of Units'!$B$10:$U$10,'SC-New'!Q$22)</f>
        <v>1926.0519236244065</v>
      </c>
      <c r="R26" s="26">
        <f ca="1">R16*$A26*$B26*INDEX('# of Units'!$B$10:$U$10,'SC-New'!R$22)</f>
        <v>1928.1863888894457</v>
      </c>
      <c r="S26" s="26">
        <f ca="1">S16*$A26*$B26*INDEX('# of Units'!$B$10:$U$10,'SC-New'!S$22)</f>
        <v>1926.6696134195313</v>
      </c>
      <c r="T26" s="26">
        <f ca="1">T16*$A26*$B26*INDEX('# of Units'!$B$10:$U$10,'SC-New'!T$22)</f>
        <v>1927.9309502763347</v>
      </c>
      <c r="U26" s="26">
        <f ca="1">U16*$A26*$B26*INDEX('# of Units'!$B$10:$U$10,'SC-New'!U$22)</f>
        <v>1945.5080050133579</v>
      </c>
      <c r="V26" s="26">
        <f ca="1">V16*$A26*$B26*INDEX('# of Units'!$B$10:$U$10,'SC-New'!V$22)</f>
        <v>1945.7221011961481</v>
      </c>
      <c r="W26" s="26">
        <f ca="1">W16*$A26*$B26*INDEX('# of Units'!$B$10:$U$10,'SC-New'!W$22)</f>
        <v>1965.2093319568219</v>
      </c>
      <c r="X26" s="26">
        <f ca="1">X16*$A26*$B26*INDEX('# of Units'!$B$10:$U$10,'SC-New'!X$22)</f>
        <v>1965.4412793467852</v>
      </c>
      <c r="Y26" s="26"/>
      <c r="AA26" s="26">
        <f t="shared" ca="1" si="3"/>
        <v>38239.54763889993</v>
      </c>
    </row>
    <row r="27" spans="1:27">
      <c r="E27" s="26"/>
      <c r="F27" s="26"/>
      <c r="G27" s="26"/>
      <c r="H27" s="26"/>
      <c r="I27" s="26"/>
      <c r="J27" s="26"/>
      <c r="K27" s="26"/>
      <c r="L27" s="26"/>
      <c r="M27" s="26"/>
      <c r="N27" s="26"/>
      <c r="O27" s="26"/>
      <c r="P27" s="26"/>
      <c r="Q27" s="26"/>
      <c r="R27" s="26"/>
      <c r="S27" s="26"/>
      <c r="T27" s="26"/>
      <c r="U27" s="26"/>
      <c r="V27" s="26"/>
      <c r="W27" s="26"/>
      <c r="X27" s="26"/>
      <c r="Y27" s="26"/>
    </row>
    <row r="28" spans="1:27">
      <c r="E28" s="26">
        <f t="shared" ref="E28:X28" ca="1" si="4">SUM(E23:E26)</f>
        <v>89847.897724412556</v>
      </c>
      <c r="F28" s="26">
        <f t="shared" ca="1" si="4"/>
        <v>86989.187282580999</v>
      </c>
      <c r="G28" s="26">
        <f t="shared" ca="1" si="4"/>
        <v>83865.9774594919</v>
      </c>
      <c r="H28" s="26">
        <f t="shared" ca="1" si="4"/>
        <v>81174.432381176375</v>
      </c>
      <c r="I28" s="26">
        <f t="shared" ca="1" si="4"/>
        <v>78580.856041913488</v>
      </c>
      <c r="J28" s="26">
        <f t="shared" ca="1" si="4"/>
        <v>75493.975790312936</v>
      </c>
      <c r="K28" s="26">
        <f t="shared" ca="1" si="4"/>
        <v>73911.508247347592</v>
      </c>
      <c r="L28" s="26">
        <f t="shared" ca="1" si="4"/>
        <v>74187.771953279749</v>
      </c>
      <c r="M28" s="26">
        <f t="shared" ca="1" si="4"/>
        <v>74259.730378231776</v>
      </c>
      <c r="N28" s="26">
        <f t="shared" ca="1" si="4"/>
        <v>76910.518424195281</v>
      </c>
      <c r="O28" s="26">
        <f t="shared" ca="1" si="4"/>
        <v>77293.226310046797</v>
      </c>
      <c r="P28" s="26">
        <f t="shared" ca="1" si="4"/>
        <v>76653.950284267383</v>
      </c>
      <c r="Q28" s="26">
        <f t="shared" ca="1" si="4"/>
        <v>75363.491901149915</v>
      </c>
      <c r="R28" s="26">
        <f t="shared" ca="1" si="4"/>
        <v>75169.160496985685</v>
      </c>
      <c r="S28" s="26">
        <f t="shared" ca="1" si="4"/>
        <v>75351.385351943682</v>
      </c>
      <c r="T28" s="26">
        <f t="shared" ca="1" si="4"/>
        <v>74709.326181896729</v>
      </c>
      <c r="U28" s="26">
        <f t="shared" ca="1" si="4"/>
        <v>73416.762549180843</v>
      </c>
      <c r="V28" s="26">
        <f t="shared" ca="1" si="4"/>
        <v>72977.395458698535</v>
      </c>
      <c r="W28" s="26">
        <f t="shared" ca="1" si="4"/>
        <v>73402.653604753752</v>
      </c>
      <c r="X28" s="26">
        <f t="shared" ca="1" si="4"/>
        <v>73629.260952481258</v>
      </c>
      <c r="Y28" s="26"/>
      <c r="AA28" s="26">
        <f ca="1">SUM(E28:Y28)</f>
        <v>1543188.4687743473</v>
      </c>
    </row>
    <row r="29" spans="1:27">
      <c r="E29" s="26"/>
      <c r="F29" s="26"/>
      <c r="G29" s="26"/>
      <c r="H29" s="26"/>
      <c r="I29" s="26"/>
      <c r="J29" s="26"/>
      <c r="K29" s="26"/>
      <c r="L29" s="26"/>
      <c r="M29" s="26"/>
      <c r="N29" s="26"/>
      <c r="O29" s="26"/>
      <c r="P29" s="26"/>
      <c r="Q29" s="26"/>
      <c r="R29" s="26"/>
      <c r="S29" s="26"/>
      <c r="T29" s="26"/>
      <c r="U29" s="26"/>
      <c r="V29" s="26"/>
      <c r="W29" s="26"/>
      <c r="X29" s="26"/>
      <c r="Y29" s="26"/>
    </row>
    <row r="31" spans="1:27" ht="15.75" thickBot="1">
      <c r="A31" s="7" t="str">
        <f>CONCATENATE("# UNITS ACHIEVABLE BY YEAR FOR MEASURE - ",C32)</f>
        <v># UNITS ACHIEVABLE BY YEAR FOR MEASURE - Microwave - New</v>
      </c>
      <c r="D31" s="81" t="s">
        <v>61</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79" t="str">
        <f>CONCATENATE(C8," - ",C7)</f>
        <v>Microwave - New</v>
      </c>
      <c r="D32" s="79"/>
      <c r="E32" s="82">
        <f>VLOOKUP($C$32,[2]ACHIEV!$B$9:$X$100,MATCH(E$11,$E$11:$Y$11,0)+2,FALSE)</f>
        <v>0.10937459468255628</v>
      </c>
      <c r="F32" s="82">
        <f>VLOOKUP($C$32,[2]ACHIEV!$B$9:$X$100,MATCH(F$11,$E$11:$Y$11,0)+2,FALSE)</f>
        <v>0.21874918936511256</v>
      </c>
      <c r="G32" s="82">
        <f>VLOOKUP($C$32,[2]ACHIEV!$B$9:$X$100,MATCH(G$11,$E$11:$Y$11,0)+2,FALSE)</f>
        <v>0.32812378404766884</v>
      </c>
      <c r="H32" s="82">
        <f>VLOOKUP($C$32,[2]ACHIEV!$B$9:$X$100,MATCH(H$11,$E$11:$Y$11,0)+2,FALSE)</f>
        <v>0.43749837873022512</v>
      </c>
      <c r="I32" s="82">
        <f>VLOOKUP($C$32,[2]ACHIEV!$B$9:$X$100,MATCH(I$11,$E$11:$Y$11,0)+2,FALSE)</f>
        <v>0.5468729734127814</v>
      </c>
      <c r="J32" s="82">
        <f>VLOOKUP($C$32,[2]ACHIEV!$B$9:$X$100,MATCH(J$11,$E$11:$Y$11,0)+2,FALSE)</f>
        <v>0.64531010862708205</v>
      </c>
      <c r="K32" s="82">
        <f>VLOOKUP($C$32,[2]ACHIEV!$B$9:$X$100,MATCH(K$11,$E$11:$Y$11,0)+2,FALSE)</f>
        <v>0.7240598167985226</v>
      </c>
      <c r="L32" s="82">
        <f>VLOOKUP($C$32,[2]ACHIEV!$B$9:$X$100,MATCH(L$11,$E$11:$Y$11,0)+2,FALSE)</f>
        <v>0.78705958333567505</v>
      </c>
      <c r="M32" s="82">
        <f>VLOOKUP($C$32,[2]ACHIEV!$B$9:$X$100,MATCH(M$11,$E$11:$Y$11,0)+2,FALSE)</f>
        <v>0.83745939656539703</v>
      </c>
      <c r="N32" s="82">
        <f>VLOOKUP($C$32,[2]ACHIEV!$B$9:$X$100,MATCH(N$11,$E$11:$Y$11,0)+2,FALSE)</f>
        <v>0.87777924714917455</v>
      </c>
      <c r="O32" s="82">
        <f>VLOOKUP($C$32,[2]ACHIEV!$B$9:$X$100,MATCH(O$11,$E$11:$Y$11,0)+2,FALSE)</f>
        <v>0.91003512761619654</v>
      </c>
      <c r="P32" s="82">
        <f>VLOOKUP($C$32,[2]ACHIEV!$B$9:$X$100,MATCH(P$11,$E$11:$Y$11,0)+2,FALSE)</f>
        <v>0.93583983198981413</v>
      </c>
      <c r="Q32" s="82">
        <f>VLOOKUP($C$32,[2]ACHIEV!$B$9:$X$100,MATCH(Q$11,$E$11:$Y$11,0)+2,FALSE)</f>
        <v>0.9564835954887082</v>
      </c>
      <c r="R32" s="82">
        <f>VLOOKUP($C$32,[2]ACHIEV!$B$9:$X$100,MATCH(R$11,$E$11:$Y$11,0)+2,FALSE)</f>
        <v>0.97299860628782353</v>
      </c>
      <c r="S32" s="82">
        <f>VLOOKUP($C$32,[2]ACHIEV!$B$9:$X$100,MATCH(S$11,$E$11:$Y$11,0)+2,FALSE)</f>
        <v>0.9862106149271157</v>
      </c>
      <c r="T32" s="82">
        <f>VLOOKUP($C$32,[2]ACHIEV!$B$9:$X$100,MATCH(T$11,$E$11:$Y$11,0)+2,FALSE)</f>
        <v>0.99678022183854953</v>
      </c>
      <c r="U32" s="82">
        <f>VLOOKUP($C$32,[2]ACHIEV!$B$9:$X$100,MATCH(U$11,$E$11:$Y$11,0)+2,FALSE)</f>
        <v>0.99685231466234414</v>
      </c>
      <c r="V32" s="82">
        <f>VLOOKUP($C$32,[2]ACHIEV!$B$9:$X$100,MATCH(V$11,$E$11:$Y$11,0)+2,FALSE)</f>
        <v>0.99687806209941365</v>
      </c>
      <c r="W32" s="82">
        <f>VLOOKUP($C$32,[2]ACHIEV!$B$9:$X$100,MATCH(W$11,$E$11:$Y$11,0)+2,FALSE)</f>
        <v>0.99688683963477831</v>
      </c>
      <c r="X32" s="82">
        <f>VLOOKUP($C$32,[2]ACHIEV!$B$9:$X$100,MATCH(X$11,$E$11:$Y$11,0)+2,FALSE)</f>
        <v>0.99688970187457115</v>
      </c>
      <c r="Y32" s="82"/>
      <c r="AA32" s="152">
        <v>0.85</v>
      </c>
    </row>
    <row r="33" spans="1:80">
      <c r="C33" s="7" t="str">
        <f>C23</f>
        <v>Single Family</v>
      </c>
      <c r="E33" s="26">
        <f ca="1">E23*E$32*$AA$32</f>
        <v>5626.524073090427</v>
      </c>
      <c r="F33" s="26">
        <f t="shared" ref="F33:X33" ca="1" si="5">F23*F$32*$AA$32</f>
        <v>10764.052621963985</v>
      </c>
      <c r="G33" s="26">
        <f t="shared" ca="1" si="5"/>
        <v>15303.855698148773</v>
      </c>
      <c r="H33" s="26">
        <f t="shared" ca="1" si="5"/>
        <v>19741.358612441672</v>
      </c>
      <c r="I33" s="26">
        <f t="shared" ca="1" si="5"/>
        <v>24161.47070647918</v>
      </c>
      <c r="J33" s="26">
        <f t="shared" ca="1" si="5"/>
        <v>27243.837418983727</v>
      </c>
      <c r="K33" s="26">
        <f t="shared" ca="1" si="5"/>
        <v>29716.857796744964</v>
      </c>
      <c r="L33" s="26">
        <f t="shared" ca="1" si="5"/>
        <v>32147.927363294333</v>
      </c>
      <c r="M33" s="26">
        <f t="shared" ca="1" si="5"/>
        <v>33853.721802458975</v>
      </c>
      <c r="N33" s="26">
        <f t="shared" ca="1" si="5"/>
        <v>36653.204556555094</v>
      </c>
      <c r="O33" s="26">
        <f t="shared" ca="1" si="5"/>
        <v>38265.419229029743</v>
      </c>
      <c r="P33" s="26">
        <f t="shared" ca="1" si="5"/>
        <v>38845.213122404959</v>
      </c>
      <c r="Q33" s="26">
        <f t="shared" ca="1" si="5"/>
        <v>38650.28534203524</v>
      </c>
      <c r="R33" s="26">
        <f t="shared" ca="1" si="5"/>
        <v>39358.282959390468</v>
      </c>
      <c r="S33" s="26">
        <f t="shared" ca="1" si="5"/>
        <v>40311.879291296318</v>
      </c>
      <c r="T33" s="26">
        <f t="shared" ca="1" si="5"/>
        <v>40616.669203115154</v>
      </c>
      <c r="U33" s="26">
        <f t="shared" ca="1" si="5"/>
        <v>39660.925999525884</v>
      </c>
      <c r="V33" s="26">
        <f t="shared" ca="1" si="5"/>
        <v>39594.077770643395</v>
      </c>
      <c r="W33" s="26">
        <f t="shared" ca="1" si="5"/>
        <v>40080.367556838544</v>
      </c>
      <c r="X33" s="26">
        <f t="shared" ca="1" si="5"/>
        <v>40352.584102420427</v>
      </c>
      <c r="Y33" s="26"/>
      <c r="AA33" s="26">
        <f t="shared" ref="AA33:AA36" ca="1" si="6">SUM(E33:Y33)</f>
        <v>630948.51522686123</v>
      </c>
    </row>
    <row r="34" spans="1:80">
      <c r="C34" s="7" t="str">
        <f>C24</f>
        <v>Multifamily - Low Rise</v>
      </c>
      <c r="E34" s="26">
        <f t="shared" ref="E34:X34" ca="1" si="7">E24*E$32*$AA$32</f>
        <v>2089.5883767338678</v>
      </c>
      <c r="F34" s="26">
        <f t="shared" ca="1" si="7"/>
        <v>4131.9769957324406</v>
      </c>
      <c r="G34" s="26">
        <f t="shared" ca="1" si="7"/>
        <v>6142.5465643736761</v>
      </c>
      <c r="H34" s="26">
        <f t="shared" ca="1" si="7"/>
        <v>7929.5165064983294</v>
      </c>
      <c r="I34" s="26">
        <f t="shared" ca="1" si="7"/>
        <v>9400.3683928950504</v>
      </c>
      <c r="J34" s="26">
        <f t="shared" ca="1" si="7"/>
        <v>10725.175370921495</v>
      </c>
      <c r="K34" s="26">
        <f t="shared" ca="1" si="7"/>
        <v>11924.615657356877</v>
      </c>
      <c r="L34" s="26">
        <f t="shared" ca="1" si="7"/>
        <v>13203.156158259962</v>
      </c>
      <c r="M34" s="26">
        <f t="shared" ca="1" si="7"/>
        <v>14390.373983020561</v>
      </c>
      <c r="N34" s="26">
        <f t="shared" ca="1" si="7"/>
        <v>15724.386446005181</v>
      </c>
      <c r="O34" s="26">
        <f t="shared" ca="1" si="7"/>
        <v>16370.247413951773</v>
      </c>
      <c r="P34" s="26">
        <f t="shared" ca="1" si="7"/>
        <v>16839.039856817424</v>
      </c>
      <c r="Q34" s="26">
        <f t="shared" ca="1" si="7"/>
        <v>17238.003126919015</v>
      </c>
      <c r="R34" s="26">
        <f t="shared" ca="1" si="7"/>
        <v>17344.698794483447</v>
      </c>
      <c r="S34" s="26">
        <f t="shared" ca="1" si="7"/>
        <v>17348.375893748871</v>
      </c>
      <c r="T34" s="26">
        <f t="shared" ca="1" si="7"/>
        <v>17195.251009770665</v>
      </c>
      <c r="U34" s="26">
        <f t="shared" ca="1" si="7"/>
        <v>17069.033414504978</v>
      </c>
      <c r="V34" s="26">
        <f t="shared" ca="1" si="7"/>
        <v>16853.070359114299</v>
      </c>
      <c r="W34" s="26">
        <f t="shared" ca="1" si="7"/>
        <v>16689.203800603511</v>
      </c>
      <c r="X34" s="26">
        <f t="shared" ca="1" si="7"/>
        <v>16626.114986304397</v>
      </c>
      <c r="Y34" s="26"/>
      <c r="AA34" s="26">
        <f t="shared" ca="1" si="6"/>
        <v>265234.74310801586</v>
      </c>
    </row>
    <row r="35" spans="1:80">
      <c r="C35" s="7" t="s">
        <v>50</v>
      </c>
      <c r="E35" s="26">
        <f t="shared" ref="E35:X35" ca="1" si="8">E25*E$32*$AA$32</f>
        <v>469.09471238647376</v>
      </c>
      <c r="F35" s="26">
        <f t="shared" ca="1" si="8"/>
        <v>940.65136594341675</v>
      </c>
      <c r="G35" s="26">
        <f t="shared" ca="1" si="8"/>
        <v>1419.4074829110778</v>
      </c>
      <c r="H35" s="26">
        <f t="shared" ca="1" si="8"/>
        <v>1790.0840180574103</v>
      </c>
      <c r="I35" s="26">
        <f t="shared" ca="1" si="8"/>
        <v>2081.0240708322972</v>
      </c>
      <c r="J35" s="26">
        <f t="shared" ca="1" si="8"/>
        <v>2409.8645206488636</v>
      </c>
      <c r="K35" s="26">
        <f t="shared" ca="1" si="8"/>
        <v>2687.2346658183615</v>
      </c>
      <c r="L35" s="26">
        <f t="shared" ca="1" si="8"/>
        <v>3012.3415757798593</v>
      </c>
      <c r="M35" s="26">
        <f t="shared" ca="1" si="8"/>
        <v>3260.1270321592133</v>
      </c>
      <c r="N35" s="26">
        <f t="shared" ca="1" si="8"/>
        <v>3561.9737149022671</v>
      </c>
      <c r="O35" s="26">
        <f t="shared" ca="1" si="8"/>
        <v>3663.6380078443308</v>
      </c>
      <c r="P35" s="26">
        <f t="shared" ca="1" si="8"/>
        <v>3761.2623585349788</v>
      </c>
      <c r="Q35" s="26">
        <f t="shared" ca="1" si="8"/>
        <v>3817.1621692570779</v>
      </c>
      <c r="R35" s="26">
        <f t="shared" ca="1" si="8"/>
        <v>3870.8791169152682</v>
      </c>
      <c r="S35" s="26">
        <f t="shared" ca="1" si="8"/>
        <v>3890.1437653925905</v>
      </c>
      <c r="T35" s="26">
        <f t="shared" ca="1" si="8"/>
        <v>3853.0767791038515</v>
      </c>
      <c r="U35" s="26">
        <f t="shared" ca="1" si="8"/>
        <v>3829.3832815178348</v>
      </c>
      <c r="V35" s="26">
        <f t="shared" ca="1" si="8"/>
        <v>3741.2812219020184</v>
      </c>
      <c r="W35" s="26">
        <f t="shared" ca="1" si="8"/>
        <v>3763.2194873479571</v>
      </c>
      <c r="X35" s="26">
        <f t="shared" ca="1" si="8"/>
        <v>3746.0861660476171</v>
      </c>
      <c r="Y35" s="26"/>
      <c r="AA35" s="26">
        <f t="shared" ca="1" si="6"/>
        <v>59567.935513302764</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7" t="str">
        <f>C26</f>
        <v>Manufactured</v>
      </c>
      <c r="E36" s="26">
        <f t="shared" ref="E36:X36" ca="1" si="9">E26*E$32*$AA$32</f>
        <v>167.80862497351686</v>
      </c>
      <c r="F36" s="26">
        <f t="shared" ca="1" si="9"/>
        <v>337.81108771552687</v>
      </c>
      <c r="G36" s="26">
        <f t="shared" ca="1" si="9"/>
        <v>524.84884990170553</v>
      </c>
      <c r="H36" s="26">
        <f t="shared" ca="1" si="9"/>
        <v>725.67103994689342</v>
      </c>
      <c r="I36" s="26">
        <f t="shared" ca="1" si="9"/>
        <v>884.82126721199029</v>
      </c>
      <c r="J36" s="26">
        <f t="shared" ca="1" si="9"/>
        <v>1030.5945496924846</v>
      </c>
      <c r="K36" s="26">
        <f t="shared" ca="1" si="9"/>
        <v>1160.1920328252359</v>
      </c>
      <c r="L36" s="26">
        <f t="shared" ca="1" si="9"/>
        <v>1268.2422524937069</v>
      </c>
      <c r="M36" s="26">
        <f t="shared" ca="1" si="9"/>
        <v>1356.8598252748579</v>
      </c>
      <c r="N36" s="26">
        <f t="shared" ca="1" si="9"/>
        <v>1444.3236987438834</v>
      </c>
      <c r="O36" s="26">
        <f t="shared" ca="1" si="9"/>
        <v>1489.3137577655139</v>
      </c>
      <c r="P36" s="26">
        <f t="shared" ca="1" si="9"/>
        <v>1529.9316243193362</v>
      </c>
      <c r="Q36" s="26">
        <f t="shared" ca="1" si="9"/>
        <v>1565.9015086552827</v>
      </c>
      <c r="R36" s="26">
        <f t="shared" ca="1" si="9"/>
        <v>1594.7042686946945</v>
      </c>
      <c r="S36" s="26">
        <f t="shared" ca="1" si="9"/>
        <v>1615.0867205800846</v>
      </c>
      <c r="T36" s="26">
        <f t="shared" ca="1" si="9"/>
        <v>1633.464924259973</v>
      </c>
      <c r="U36" s="26">
        <f t="shared" ca="1" si="9"/>
        <v>1648.4765342929325</v>
      </c>
      <c r="V36" s="26">
        <f t="shared" ca="1" si="9"/>
        <v>1648.7005259807529</v>
      </c>
      <c r="W36" s="26">
        <f t="shared" ca="1" si="9"/>
        <v>1665.2276221319285</v>
      </c>
      <c r="X36" s="26">
        <f t="shared" ca="1" si="9"/>
        <v>1665.4289453669935</v>
      </c>
      <c r="Y36" s="26"/>
      <c r="AA36" s="26">
        <f t="shared" ca="1" si="6"/>
        <v>24957.409660827296</v>
      </c>
    </row>
    <row r="37" spans="1:80">
      <c r="E37" s="26"/>
      <c r="F37" s="26"/>
      <c r="G37" s="26"/>
      <c r="H37" s="26"/>
      <c r="I37" s="26"/>
      <c r="J37" s="26"/>
      <c r="K37" s="26"/>
      <c r="L37" s="26"/>
      <c r="M37" s="26"/>
      <c r="N37" s="26"/>
      <c r="O37" s="26"/>
      <c r="P37" s="26"/>
      <c r="Q37" s="26"/>
      <c r="R37" s="26"/>
      <c r="S37" s="26"/>
      <c r="T37" s="26"/>
      <c r="U37" s="26"/>
      <c r="V37" s="26"/>
      <c r="W37" s="26"/>
      <c r="X37" s="26"/>
      <c r="Y37" s="26"/>
    </row>
    <row r="38" spans="1:80">
      <c r="E38" s="26">
        <f t="shared" ref="E38:X38" ca="1" si="10">SUM(E33:E36)</f>
        <v>8353.0157871842857</v>
      </c>
      <c r="F38" s="26">
        <f t="shared" ca="1" si="10"/>
        <v>16174.492071355369</v>
      </c>
      <c r="G38" s="26">
        <f t="shared" ca="1" si="10"/>
        <v>23390.658595335233</v>
      </c>
      <c r="H38" s="26">
        <f t="shared" ca="1" si="10"/>
        <v>30186.630176944305</v>
      </c>
      <c r="I38" s="26">
        <f t="shared" ca="1" si="10"/>
        <v>36527.684437418517</v>
      </c>
      <c r="J38" s="26">
        <f t="shared" ca="1" si="10"/>
        <v>41409.471860246573</v>
      </c>
      <c r="K38" s="26">
        <f t="shared" ca="1" si="10"/>
        <v>45488.900152745438</v>
      </c>
      <c r="L38" s="26">
        <f t="shared" ca="1" si="10"/>
        <v>49631.667349827861</v>
      </c>
      <c r="M38" s="26">
        <f t="shared" ca="1" si="10"/>
        <v>52861.082642913607</v>
      </c>
      <c r="N38" s="26">
        <f t="shared" ca="1" si="10"/>
        <v>57383.888416206435</v>
      </c>
      <c r="O38" s="26">
        <f t="shared" ca="1" si="10"/>
        <v>59788.618408591363</v>
      </c>
      <c r="P38" s="26">
        <f t="shared" ca="1" si="10"/>
        <v>60975.446962076698</v>
      </c>
      <c r="Q38" s="26">
        <f t="shared" ca="1" si="10"/>
        <v>61271.352146866615</v>
      </c>
      <c r="R38" s="26">
        <f t="shared" ca="1" si="10"/>
        <v>62168.565139483879</v>
      </c>
      <c r="S38" s="26">
        <f t="shared" ca="1" si="10"/>
        <v>63165.485671017857</v>
      </c>
      <c r="T38" s="26">
        <f t="shared" ca="1" si="10"/>
        <v>63298.461916249638</v>
      </c>
      <c r="U38" s="26">
        <f t="shared" ca="1" si="10"/>
        <v>62207.819229841625</v>
      </c>
      <c r="V38" s="26">
        <f t="shared" ca="1" si="10"/>
        <v>61837.129877640473</v>
      </c>
      <c r="W38" s="26">
        <f t="shared" ca="1" si="10"/>
        <v>62198.018466921938</v>
      </c>
      <c r="X38" s="26">
        <f t="shared" ca="1" si="10"/>
        <v>62390.214200139431</v>
      </c>
      <c r="Y38" s="26"/>
      <c r="AA38" s="26">
        <f ca="1">SUM(E38:Y38)</f>
        <v>980708.60350900714</v>
      </c>
    </row>
    <row r="40" spans="1:80">
      <c r="AA40"/>
      <c r="AB40"/>
      <c r="AC40"/>
      <c r="AD40"/>
    </row>
    <row r="41" spans="1:80" ht="15">
      <c r="A41" s="78" t="s">
        <v>62</v>
      </c>
      <c r="C41" s="83" t="str">
        <f>C8</f>
        <v>Microwave</v>
      </c>
      <c r="D41" s="83"/>
      <c r="E41" s="83" t="s">
        <v>63</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79" t="s">
        <v>64</v>
      </c>
      <c r="B42" s="79" t="s">
        <v>24</v>
      </c>
      <c r="C42" s="79">
        <v>1</v>
      </c>
      <c r="D42" s="79"/>
      <c r="E42" s="84">
        <f t="shared" ref="E42:X42" si="11">E11</f>
        <v>2016</v>
      </c>
      <c r="F42" s="84">
        <f t="shared" si="11"/>
        <v>2017</v>
      </c>
      <c r="G42" s="84">
        <f t="shared" si="11"/>
        <v>2018</v>
      </c>
      <c r="H42" s="84">
        <f t="shared" si="11"/>
        <v>2019</v>
      </c>
      <c r="I42" s="84">
        <f t="shared" si="11"/>
        <v>2020</v>
      </c>
      <c r="J42" s="84">
        <f t="shared" si="11"/>
        <v>2021</v>
      </c>
      <c r="K42" s="84">
        <f t="shared" si="11"/>
        <v>2022</v>
      </c>
      <c r="L42" s="84">
        <f t="shared" si="11"/>
        <v>2023</v>
      </c>
      <c r="M42" s="84">
        <f t="shared" si="11"/>
        <v>2024</v>
      </c>
      <c r="N42" s="84">
        <f t="shared" si="11"/>
        <v>2025</v>
      </c>
      <c r="O42" s="84">
        <f t="shared" si="11"/>
        <v>2026</v>
      </c>
      <c r="P42" s="84">
        <f t="shared" si="11"/>
        <v>2027</v>
      </c>
      <c r="Q42" s="84">
        <f t="shared" si="11"/>
        <v>2028</v>
      </c>
      <c r="R42" s="84">
        <f t="shared" si="11"/>
        <v>2029</v>
      </c>
      <c r="S42" s="84">
        <f t="shared" si="11"/>
        <v>2030</v>
      </c>
      <c r="T42" s="84">
        <f t="shared" si="11"/>
        <v>2031</v>
      </c>
      <c r="U42" s="84">
        <f t="shared" si="11"/>
        <v>2032</v>
      </c>
      <c r="V42" s="84">
        <f t="shared" si="11"/>
        <v>2033</v>
      </c>
      <c r="W42" s="84">
        <f t="shared" si="11"/>
        <v>2034</v>
      </c>
      <c r="X42" s="84">
        <f t="shared" si="11"/>
        <v>2035</v>
      </c>
      <c r="Y42" s="85" t="s">
        <v>149</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79" t="s">
        <v>46</v>
      </c>
      <c r="B43" s="79" t="s">
        <v>65</v>
      </c>
      <c r="C43" s="79" t="s">
        <v>66</v>
      </c>
      <c r="D43" s="79" t="s">
        <v>67</v>
      </c>
      <c r="E43" s="86" t="str">
        <f>CONCATENATE("aMW_",E42)</f>
        <v>aMW_2016</v>
      </c>
      <c r="F43" s="86" t="str">
        <f t="shared" ref="F43:X43" si="12">CONCATENATE("aMW_",F42)</f>
        <v>aMW_2017</v>
      </c>
      <c r="G43" s="86" t="str">
        <f t="shared" si="12"/>
        <v>aMW_2018</v>
      </c>
      <c r="H43" s="86" t="str">
        <f t="shared" si="12"/>
        <v>aMW_2019</v>
      </c>
      <c r="I43" s="86" t="str">
        <f t="shared" si="12"/>
        <v>aMW_2020</v>
      </c>
      <c r="J43" s="86" t="str">
        <f t="shared" si="12"/>
        <v>aMW_2021</v>
      </c>
      <c r="K43" s="86" t="str">
        <f t="shared" si="12"/>
        <v>aMW_2022</v>
      </c>
      <c r="L43" s="86" t="str">
        <f t="shared" si="12"/>
        <v>aMW_2023</v>
      </c>
      <c r="M43" s="86" t="str">
        <f t="shared" si="12"/>
        <v>aMW_2024</v>
      </c>
      <c r="N43" s="86" t="str">
        <f t="shared" si="12"/>
        <v>aMW_2025</v>
      </c>
      <c r="O43" s="86" t="str">
        <f t="shared" si="12"/>
        <v>aMW_2026</v>
      </c>
      <c r="P43" s="86" t="str">
        <f t="shared" si="12"/>
        <v>aMW_2027</v>
      </c>
      <c r="Q43" s="86" t="str">
        <f t="shared" si="12"/>
        <v>aMW_2028</v>
      </c>
      <c r="R43" s="86" t="str">
        <f t="shared" si="12"/>
        <v>aMW_2029</v>
      </c>
      <c r="S43" s="86" t="str">
        <f t="shared" si="12"/>
        <v>aMW_2030</v>
      </c>
      <c r="T43" s="86" t="str">
        <f t="shared" si="12"/>
        <v>aMW_2031</v>
      </c>
      <c r="U43" s="86" t="str">
        <f t="shared" si="12"/>
        <v>aMW_2032</v>
      </c>
      <c r="V43" s="86" t="str">
        <f t="shared" si="12"/>
        <v>aMW_2033</v>
      </c>
      <c r="W43" s="86" t="str">
        <f t="shared" si="12"/>
        <v>aMW_2034</v>
      </c>
      <c r="X43" s="86" t="str">
        <f t="shared" si="12"/>
        <v>aMW_2035</v>
      </c>
      <c r="Y43" s="87"/>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88">
        <f>VLOOKUP($D44,MeasureOutput,3,FALSE)</f>
        <v>9.1560045331478168</v>
      </c>
      <c r="B44" s="88">
        <f>VLOOKUP($D44,MeasureOutput,11,FALSE)</f>
        <v>31.927809211436781</v>
      </c>
      <c r="C44" s="7" t="str">
        <f>C23</f>
        <v>Single Family</v>
      </c>
      <c r="D44" s="7" t="s">
        <v>182</v>
      </c>
      <c r="E44" s="20">
        <f ca="1">VLOOKUP($C44,$C$33:$Y$36,E$31,FALSE)*$C$42*$A44/8760/1000</f>
        <v>5.8808767030914689E-3</v>
      </c>
      <c r="F44" s="20">
        <f t="shared" ref="F44:U47" ca="1" si="13">VLOOKUP($C44,$C$33:$Y$36,F$31,FALSE)*$C$42*$A44/8760/1000</f>
        <v>1.1250652351797247E-2</v>
      </c>
      <c r="G44" s="20">
        <f t="shared" ca="1" si="13"/>
        <v>1.5995681751928104E-2</v>
      </c>
      <c r="H44" s="20">
        <f t="shared" ca="1" si="13"/>
        <v>2.0633786409362174E-2</v>
      </c>
      <c r="I44" s="20">
        <f t="shared" ca="1" si="13"/>
        <v>2.5253714077173695E-2</v>
      </c>
      <c r="J44" s="20">
        <f t="shared" ca="1" si="13"/>
        <v>2.8475422249835288E-2</v>
      </c>
      <c r="K44" s="20">
        <f t="shared" ca="1" si="13"/>
        <v>3.1060237979213003E-2</v>
      </c>
      <c r="L44" s="20">
        <f t="shared" ca="1" si="13"/>
        <v>3.3601206469135801E-2</v>
      </c>
      <c r="M44" s="20">
        <f t="shared" ca="1" si="13"/>
        <v>3.5384113046488523E-2</v>
      </c>
      <c r="N44" s="20">
        <f t="shared" ca="1" si="13"/>
        <v>3.8310149209385011E-2</v>
      </c>
      <c r="O44" s="20">
        <f t="shared" ca="1" si="13"/>
        <v>3.9995245653401595E-2</v>
      </c>
      <c r="P44" s="20">
        <f t="shared" ca="1" si="13"/>
        <v>4.0601249707743474E-2</v>
      </c>
      <c r="Q44" s="20">
        <f t="shared" ca="1" si="13"/>
        <v>4.0397510022731876E-2</v>
      </c>
      <c r="R44" s="20">
        <f t="shared" ca="1" si="13"/>
        <v>4.1137513378207029E-2</v>
      </c>
      <c r="S44" s="20">
        <f t="shared" ca="1" si="13"/>
        <v>4.2134217982969943E-2</v>
      </c>
      <c r="T44" s="20">
        <f t="shared" ca="1" si="13"/>
        <v>4.2452786226608183E-2</v>
      </c>
      <c r="U44" s="20">
        <f t="shared" ca="1" si="13"/>
        <v>4.1453837698687108E-2</v>
      </c>
      <c r="V44" s="20">
        <f t="shared" ref="V44:X47" ca="1" si="14">VLOOKUP($C44,$C$33:$Y$36,V$31,FALSE)*$C$42*$A44/8760/1000</f>
        <v>4.138396752897467E-2</v>
      </c>
      <c r="W44" s="20">
        <f t="shared" ca="1" si="14"/>
        <v>4.1892240529753925E-2</v>
      </c>
      <c r="X44" s="20">
        <f t="shared" ca="1" si="14"/>
        <v>4.2176762895660948E-2</v>
      </c>
      <c r="Y44" s="20">
        <f ca="1">SUM(E44:X44)</f>
        <v>0.65947117187214921</v>
      </c>
      <c r="AA44" s="26">
        <f t="shared" ref="AA44:AA50" ca="1" si="15">SUM(E44:Y44)</f>
        <v>1.3189423437442984</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88">
        <f>VLOOKUP($D45,MeasureOutput,3,FALSE)</f>
        <v>9.1560045331478168</v>
      </c>
      <c r="B45" s="88">
        <f>VLOOKUP($D45,MeasureOutput,11,FALSE)</f>
        <v>31.927809211436781</v>
      </c>
      <c r="C45" s="7" t="str">
        <f t="shared" ref="C45:C47" si="16">C24</f>
        <v>Multifamily - Low Rise</v>
      </c>
      <c r="D45" s="7" t="s">
        <v>182</v>
      </c>
      <c r="E45" s="20">
        <f t="shared" ref="E45:E47" ca="1" si="17">VLOOKUP($C45,$C$33:$Y$36,E$31,FALSE)*$C$42*$A45/8760/1000</f>
        <v>2.1840503024872469E-3</v>
      </c>
      <c r="F45" s="20">
        <f t="shared" ca="1" si="13"/>
        <v>4.318767135135698E-3</v>
      </c>
      <c r="G45" s="20">
        <f t="shared" ca="1" si="13"/>
        <v>6.4202265055338954E-3</v>
      </c>
      <c r="H45" s="20">
        <f t="shared" ca="1" si="13"/>
        <v>8.2879782053846048E-3</v>
      </c>
      <c r="I45" s="20">
        <f t="shared" ca="1" si="13"/>
        <v>9.8253214176491493E-3</v>
      </c>
      <c r="J45" s="20">
        <f t="shared" ca="1" si="13"/>
        <v>1.1210017615863302E-2</v>
      </c>
      <c r="K45" s="20">
        <f t="shared" ca="1" si="13"/>
        <v>1.2463679796210617E-2</v>
      </c>
      <c r="L45" s="20">
        <f t="shared" ca="1" si="13"/>
        <v>1.3800017995078394E-2</v>
      </c>
      <c r="M45" s="20">
        <f t="shared" ca="1" si="13"/>
        <v>1.5040905185185922E-2</v>
      </c>
      <c r="N45" s="20">
        <f t="shared" ca="1" si="13"/>
        <v>1.6435223011483049E-2</v>
      </c>
      <c r="O45" s="20">
        <f t="shared" ca="1" si="13"/>
        <v>1.7110280768366865E-2</v>
      </c>
      <c r="P45" s="20">
        <f t="shared" ca="1" si="13"/>
        <v>1.7600265440967707E-2</v>
      </c>
      <c r="Q45" s="20">
        <f t="shared" ca="1" si="13"/>
        <v>1.8017264243434555E-2</v>
      </c>
      <c r="R45" s="20">
        <f t="shared" ca="1" si="13"/>
        <v>1.8128783195019853E-2</v>
      </c>
      <c r="S45" s="20">
        <f t="shared" ca="1" si="13"/>
        <v>1.8132626521223397E-2</v>
      </c>
      <c r="T45" s="20">
        <f t="shared" ca="1" si="13"/>
        <v>1.7972579474209448E-2</v>
      </c>
      <c r="U45" s="20">
        <f t="shared" ca="1" si="13"/>
        <v>1.784065608671908E-2</v>
      </c>
      <c r="V45" s="20">
        <f t="shared" ca="1" si="14"/>
        <v>1.7614930206108406E-2</v>
      </c>
      <c r="W45" s="20">
        <f t="shared" ca="1" si="14"/>
        <v>1.7443655896455881E-2</v>
      </c>
      <c r="X45" s="20">
        <f t="shared" ca="1" si="14"/>
        <v>1.7377715089410949E-2</v>
      </c>
      <c r="Y45" s="20">
        <f t="shared" ref="Y45:Y47" ca="1" si="18">SUM(E45:X45)</f>
        <v>0.27722494409192799</v>
      </c>
      <c r="AA45" s="26">
        <f t="shared" ca="1" si="15"/>
        <v>0.55444988818385599</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88">
        <f>VLOOKUP($D46,MeasureOutput,3,FALSE)</f>
        <v>9.1560045331478168</v>
      </c>
      <c r="B46" s="88">
        <f>VLOOKUP($D46,MeasureOutput,11,FALSE)</f>
        <v>31.927809211436781</v>
      </c>
      <c r="C46" s="7" t="str">
        <f t="shared" si="16"/>
        <v>Multifamily - High Rise</v>
      </c>
      <c r="D46" s="7" t="s">
        <v>182</v>
      </c>
      <c r="E46" s="20">
        <f t="shared" ca="1" si="17"/>
        <v>4.9030060651669238E-4</v>
      </c>
      <c r="F46" s="20">
        <f t="shared" ca="1" si="13"/>
        <v>9.8317444870885942E-4</v>
      </c>
      <c r="G46" s="20">
        <f t="shared" ca="1" si="13"/>
        <v>1.483573213232621E-3</v>
      </c>
      <c r="H46" s="20">
        <f t="shared" ca="1" si="13"/>
        <v>1.8710065506905374E-3</v>
      </c>
      <c r="I46" s="20">
        <f t="shared" ca="1" si="13"/>
        <v>2.1750988385993422E-3</v>
      </c>
      <c r="J46" s="20">
        <f t="shared" ca="1" si="13"/>
        <v>2.5188048487823156E-3</v>
      </c>
      <c r="K46" s="20">
        <f t="shared" ca="1" si="13"/>
        <v>2.8087137878841182E-3</v>
      </c>
      <c r="L46" s="20">
        <f t="shared" ca="1" si="13"/>
        <v>3.1485174798207794E-3</v>
      </c>
      <c r="M46" s="20">
        <f t="shared" ca="1" si="13"/>
        <v>3.4075043247816772E-3</v>
      </c>
      <c r="N46" s="20">
        <f t="shared" ca="1" si="13"/>
        <v>3.7229962877395576E-3</v>
      </c>
      <c r="O46" s="20">
        <f t="shared" ca="1" si="13"/>
        <v>3.8292564163967271E-3</v>
      </c>
      <c r="P46" s="20">
        <f t="shared" ca="1" si="13"/>
        <v>3.9312939731854469E-3</v>
      </c>
      <c r="Q46" s="20">
        <f t="shared" ca="1" si="13"/>
        <v>3.9897207905796985E-3</v>
      </c>
      <c r="R46" s="20">
        <f t="shared" ca="1" si="13"/>
        <v>4.0458660664090661E-3</v>
      </c>
      <c r="S46" s="20">
        <f t="shared" ca="1" si="13"/>
        <v>4.0660015925264009E-3</v>
      </c>
      <c r="T46" s="20">
        <f t="shared" ca="1" si="13"/>
        <v>4.0272589561691149E-3</v>
      </c>
      <c r="U46" s="20">
        <f t="shared" ca="1" si="13"/>
        <v>4.002494370403854E-3</v>
      </c>
      <c r="V46" s="20">
        <f t="shared" ca="1" si="14"/>
        <v>3.9104095693511054E-3</v>
      </c>
      <c r="W46" s="20">
        <f t="shared" ca="1" si="14"/>
        <v>3.9333395759575448E-3</v>
      </c>
      <c r="X46" s="20">
        <f t="shared" ca="1" si="14"/>
        <v>3.9154317257870212E-3</v>
      </c>
      <c r="Y46" s="20">
        <f t="shared" ca="1" si="18"/>
        <v>6.2260763423522478E-2</v>
      </c>
      <c r="AA46" s="26">
        <f t="shared" ca="1" si="15"/>
        <v>0.12452152684704496</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88">
        <f>VLOOKUP($D47,MeasureOutput,3,FALSE)</f>
        <v>9.1560045331478168</v>
      </c>
      <c r="B47" s="88">
        <f>VLOOKUP($D47,MeasureOutput,11,FALSE)</f>
        <v>31.927809211436781</v>
      </c>
      <c r="C47" s="7" t="str">
        <f t="shared" si="16"/>
        <v>Manufactured</v>
      </c>
      <c r="D47" s="7" t="s">
        <v>182</v>
      </c>
      <c r="E47" s="20">
        <f t="shared" ca="1" si="17"/>
        <v>1.753945811596829E-4</v>
      </c>
      <c r="F47" s="20">
        <f t="shared" ca="1" si="13"/>
        <v>3.5308217471129665E-4</v>
      </c>
      <c r="G47" s="20">
        <f t="shared" ca="1" si="13"/>
        <v>5.4857516540153365E-4</v>
      </c>
      <c r="H47" s="20">
        <f t="shared" ca="1" si="13"/>
        <v>7.5847572275432036E-4</v>
      </c>
      <c r="I47" s="20">
        <f t="shared" ca="1" si="13"/>
        <v>9.2482049470531721E-4</v>
      </c>
      <c r="J47" s="20">
        <f t="shared" ca="1" si="13"/>
        <v>1.0771836037467835E-3</v>
      </c>
      <c r="K47" s="20">
        <f t="shared" ca="1" si="13"/>
        <v>1.2126396703047765E-3</v>
      </c>
      <c r="L47" s="20">
        <f t="shared" ca="1" si="13"/>
        <v>1.3255744078723721E-3</v>
      </c>
      <c r="M47" s="20">
        <f t="shared" ca="1" si="13"/>
        <v>1.4181980263770269E-3</v>
      </c>
      <c r="N47" s="20">
        <f t="shared" ca="1" si="13"/>
        <v>1.5096157914419883E-3</v>
      </c>
      <c r="O47" s="20">
        <f t="shared" ca="1" si="13"/>
        <v>1.556639670933842E-3</v>
      </c>
      <c r="P47" s="20">
        <f t="shared" ca="1" si="13"/>
        <v>1.5990937086385894E-3</v>
      </c>
      <c r="Q47" s="20">
        <f t="shared" ca="1" si="13"/>
        <v>1.6366896474555677E-3</v>
      </c>
      <c r="R47" s="20">
        <f t="shared" ca="1" si="13"/>
        <v>1.6667944649770316E-3</v>
      </c>
      <c r="S47" s="20">
        <f t="shared" ca="1" si="13"/>
        <v>1.6880983259198738E-3</v>
      </c>
      <c r="T47" s="20">
        <f t="shared" ca="1" si="13"/>
        <v>1.7073073346189802E-3</v>
      </c>
      <c r="U47" s="20">
        <f t="shared" ca="1" si="13"/>
        <v>1.7229975594490745E-3</v>
      </c>
      <c r="V47" s="20">
        <f t="shared" ca="1" si="14"/>
        <v>1.7232316769044478E-3</v>
      </c>
      <c r="W47" s="20">
        <f t="shared" ca="1" si="14"/>
        <v>1.7405058969135728E-3</v>
      </c>
      <c r="X47" s="20">
        <f t="shared" ca="1" si="14"/>
        <v>1.740716321166185E-3</v>
      </c>
      <c r="Y47" s="20">
        <f t="shared" ca="1" si="18"/>
        <v>2.6085634245452263E-2</v>
      </c>
      <c r="AA47" s="26">
        <f t="shared" ca="1" si="15"/>
        <v>5.2171268490904525E-2</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E48" s="20"/>
      <c r="F48" s="20"/>
      <c r="G48" s="20"/>
      <c r="H48" s="20"/>
      <c r="I48" s="20"/>
      <c r="J48" s="20"/>
      <c r="K48" s="20"/>
      <c r="L48" s="20"/>
      <c r="M48" s="20"/>
      <c r="N48" s="20"/>
      <c r="O48" s="20"/>
      <c r="P48" s="20"/>
      <c r="Q48" s="20"/>
      <c r="R48" s="20"/>
      <c r="S48" s="20"/>
      <c r="T48" s="20"/>
      <c r="U48" s="20"/>
      <c r="V48" s="20"/>
      <c r="W48" s="20"/>
      <c r="X48" s="20"/>
      <c r="Y48" s="20"/>
      <c r="AA48" s="26"/>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E49" s="20"/>
      <c r="F49" s="20"/>
      <c r="G49" s="20"/>
      <c r="H49" s="20"/>
      <c r="I49" s="20"/>
      <c r="J49" s="20"/>
      <c r="K49" s="20"/>
      <c r="L49" s="20"/>
      <c r="M49" s="20"/>
      <c r="N49" s="20"/>
      <c r="O49" s="20"/>
      <c r="P49" s="20"/>
      <c r="Q49" s="20"/>
      <c r="R49" s="20"/>
      <c r="S49" s="20"/>
      <c r="T49" s="20"/>
      <c r="U49" s="20"/>
      <c r="V49" s="20"/>
      <c r="W49" s="20"/>
      <c r="X49" s="20"/>
      <c r="Y49" s="20"/>
      <c r="AA49" s="26"/>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89">
        <f ca="1">SUMPRODUCT(B44:B48,AA44:AA48)/SUM(AA44:AA48)</f>
        <v>31.927809211436781</v>
      </c>
      <c r="E50" s="20">
        <f ca="1">SUM(E44:E47)</f>
        <v>8.7306221932550911E-3</v>
      </c>
      <c r="F50" s="20">
        <f t="shared" ref="F50:X50" ca="1" si="19">SUM(F44:F47)</f>
        <v>1.69056761103531E-2</v>
      </c>
      <c r="G50" s="20">
        <f t="shared" ca="1" si="19"/>
        <v>2.4448056636096158E-2</v>
      </c>
      <c r="H50" s="20">
        <f t="shared" ca="1" si="19"/>
        <v>3.1551246888191636E-2</v>
      </c>
      <c r="I50" s="20">
        <f t="shared" ca="1" si="19"/>
        <v>3.8178954828127505E-2</v>
      </c>
      <c r="J50" s="20">
        <f t="shared" ca="1" si="19"/>
        <v>4.3281428318227691E-2</v>
      </c>
      <c r="K50" s="20">
        <f t="shared" ca="1" si="19"/>
        <v>4.7545271233612518E-2</v>
      </c>
      <c r="L50" s="20">
        <f t="shared" ca="1" si="19"/>
        <v>5.1875316351907341E-2</v>
      </c>
      <c r="M50" s="20">
        <f t="shared" ca="1" si="19"/>
        <v>5.5250720582833153E-2</v>
      </c>
      <c r="N50" s="20">
        <f t="shared" ca="1" si="19"/>
        <v>5.9977984300049608E-2</v>
      </c>
      <c r="O50" s="20">
        <f t="shared" ca="1" si="19"/>
        <v>6.2491422509099025E-2</v>
      </c>
      <c r="P50" s="20">
        <f t="shared" ca="1" si="19"/>
        <v>6.3731902830535217E-2</v>
      </c>
      <c r="Q50" s="20">
        <f t="shared" ca="1" si="19"/>
        <v>6.4041184704201698E-2</v>
      </c>
      <c r="R50" s="20">
        <f t="shared" ca="1" si="19"/>
        <v>6.4978957104612975E-2</v>
      </c>
      <c r="S50" s="20">
        <f t="shared" ca="1" si="19"/>
        <v>6.6020944422639616E-2</v>
      </c>
      <c r="T50" s="20">
        <f t="shared" ca="1" si="19"/>
        <v>6.6159931991605733E-2</v>
      </c>
      <c r="U50" s="20">
        <f t="shared" ca="1" si="19"/>
        <v>6.5019985715259118E-2</v>
      </c>
      <c r="V50" s="20">
        <f t="shared" ca="1" si="19"/>
        <v>6.4632538981338639E-2</v>
      </c>
      <c r="W50" s="20">
        <f t="shared" ca="1" si="19"/>
        <v>6.5009741899080917E-2</v>
      </c>
      <c r="X50" s="20">
        <f t="shared" ca="1" si="19"/>
        <v>6.5210626032025099E-2</v>
      </c>
      <c r="Y50" s="20">
        <f ca="1">SUM(Y44:Y47)</f>
        <v>1.0250425136330519</v>
      </c>
      <c r="AA50" s="26">
        <f t="shared" ca="1" si="15"/>
        <v>2.0500850272661038</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E51" s="20"/>
      <c r="F51" s="20"/>
      <c r="G51" s="20"/>
      <c r="H51" s="20"/>
      <c r="I51" s="20"/>
      <c r="J51" s="20"/>
      <c r="K51" s="20"/>
      <c r="L51" s="20"/>
      <c r="M51" s="20"/>
      <c r="N51" s="20"/>
      <c r="O51" s="20"/>
      <c r="P51" s="20"/>
      <c r="Q51" s="20"/>
      <c r="R51" s="20"/>
      <c r="S51" s="20"/>
      <c r="T51" s="20"/>
      <c r="U51" s="20"/>
      <c r="V51" s="20"/>
      <c r="W51" s="20"/>
      <c r="X51" s="20"/>
      <c r="Y51" s="20"/>
      <c r="AA51" s="26"/>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E52" s="20"/>
      <c r="F52" s="20"/>
      <c r="G52" s="20"/>
      <c r="H52" s="20"/>
      <c r="I52" s="20"/>
      <c r="J52" s="20"/>
      <c r="K52" s="20"/>
      <c r="L52" s="20"/>
      <c r="M52" s="20"/>
      <c r="N52" s="20"/>
      <c r="O52" s="20"/>
      <c r="P52" s="20"/>
      <c r="Q52" s="20"/>
      <c r="R52" s="20"/>
      <c r="S52" s="20"/>
      <c r="T52" s="20"/>
      <c r="U52" s="20"/>
      <c r="V52" s="20"/>
      <c r="W52" s="20"/>
      <c r="X52" s="20"/>
      <c r="Y52" s="20"/>
      <c r="AA52" s="26"/>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A53" s="79" t="s">
        <v>68</v>
      </c>
      <c r="B53" s="79"/>
      <c r="AA53" s="26"/>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E54" s="90">
        <f t="shared" ref="E54:X54" si="20">E11</f>
        <v>2016</v>
      </c>
      <c r="F54" s="84">
        <f t="shared" si="20"/>
        <v>2017</v>
      </c>
      <c r="G54" s="84">
        <f t="shared" si="20"/>
        <v>2018</v>
      </c>
      <c r="H54" s="84">
        <f t="shared" si="20"/>
        <v>2019</v>
      </c>
      <c r="I54" s="84">
        <f t="shared" si="20"/>
        <v>2020</v>
      </c>
      <c r="J54" s="84">
        <f t="shared" si="20"/>
        <v>2021</v>
      </c>
      <c r="K54" s="84">
        <f t="shared" si="20"/>
        <v>2022</v>
      </c>
      <c r="L54" s="84">
        <f t="shared" si="20"/>
        <v>2023</v>
      </c>
      <c r="M54" s="84">
        <f t="shared" si="20"/>
        <v>2024</v>
      </c>
      <c r="N54" s="84">
        <f t="shared" si="20"/>
        <v>2025</v>
      </c>
      <c r="O54" s="84">
        <f t="shared" si="20"/>
        <v>2026</v>
      </c>
      <c r="P54" s="84">
        <f t="shared" si="20"/>
        <v>2027</v>
      </c>
      <c r="Q54" s="84">
        <f t="shared" si="20"/>
        <v>2028</v>
      </c>
      <c r="R54" s="84">
        <f t="shared" si="20"/>
        <v>2029</v>
      </c>
      <c r="S54" s="84">
        <f t="shared" si="20"/>
        <v>2030</v>
      </c>
      <c r="T54" s="84">
        <f t="shared" si="20"/>
        <v>2031</v>
      </c>
      <c r="U54" s="84">
        <f t="shared" si="20"/>
        <v>2032</v>
      </c>
      <c r="V54" s="84">
        <f t="shared" si="20"/>
        <v>2033</v>
      </c>
      <c r="W54" s="84">
        <f t="shared" si="20"/>
        <v>2034</v>
      </c>
      <c r="X54" s="84">
        <f t="shared" si="20"/>
        <v>2035</v>
      </c>
      <c r="Y54" s="85"/>
      <c r="AA54" s="26"/>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C55" s="7" t="s">
        <v>65</v>
      </c>
      <c r="D55" s="7" t="s">
        <v>65</v>
      </c>
      <c r="E55" s="91" t="str">
        <f>CONCATENATE("aMW_",E54)</f>
        <v>aMW_2016</v>
      </c>
      <c r="F55" s="86" t="str">
        <f t="shared" ref="F55" si="21">CONCATENATE("aMW_",F54)</f>
        <v>aMW_2017</v>
      </c>
      <c r="G55" s="86" t="str">
        <f t="shared" ref="G55" si="22">CONCATENATE("aMW_",G54)</f>
        <v>aMW_2018</v>
      </c>
      <c r="H55" s="86" t="str">
        <f t="shared" ref="H55" si="23">CONCATENATE("aMW_",H54)</f>
        <v>aMW_2019</v>
      </c>
      <c r="I55" s="86" t="str">
        <f t="shared" ref="I55" si="24">CONCATENATE("aMW_",I54)</f>
        <v>aMW_2020</v>
      </c>
      <c r="J55" s="86" t="str">
        <f t="shared" ref="J55" si="25">CONCATENATE("aMW_",J54)</f>
        <v>aMW_2021</v>
      </c>
      <c r="K55" s="86" t="str">
        <f t="shared" ref="K55" si="26">CONCATENATE("aMW_",K54)</f>
        <v>aMW_2022</v>
      </c>
      <c r="L55" s="86" t="str">
        <f t="shared" ref="L55" si="27">CONCATENATE("aMW_",L54)</f>
        <v>aMW_2023</v>
      </c>
      <c r="M55" s="86" t="str">
        <f t="shared" ref="M55" si="28">CONCATENATE("aMW_",M54)</f>
        <v>aMW_2024</v>
      </c>
      <c r="N55" s="86" t="str">
        <f t="shared" ref="N55" si="29">CONCATENATE("aMW_",N54)</f>
        <v>aMW_2025</v>
      </c>
      <c r="O55" s="86" t="str">
        <f t="shared" ref="O55" si="30">CONCATENATE("aMW_",O54)</f>
        <v>aMW_2026</v>
      </c>
      <c r="P55" s="86" t="str">
        <f t="shared" ref="P55" si="31">CONCATENATE("aMW_",P54)</f>
        <v>aMW_2027</v>
      </c>
      <c r="Q55" s="86" t="str">
        <f t="shared" ref="Q55" si="32">CONCATENATE("aMW_",Q54)</f>
        <v>aMW_2028</v>
      </c>
      <c r="R55" s="86" t="str">
        <f t="shared" ref="R55" si="33">CONCATENATE("aMW_",R54)</f>
        <v>aMW_2029</v>
      </c>
      <c r="S55" s="86" t="str">
        <f t="shared" ref="S55" si="34">CONCATENATE("aMW_",S54)</f>
        <v>aMW_2030</v>
      </c>
      <c r="T55" s="86" t="str">
        <f t="shared" ref="T55" si="35">CONCATENATE("aMW_",T54)</f>
        <v>aMW_2031</v>
      </c>
      <c r="U55" s="86" t="str">
        <f t="shared" ref="U55" si="36">CONCATENATE("aMW_",U54)</f>
        <v>aMW_2032</v>
      </c>
      <c r="V55" s="86" t="str">
        <f t="shared" ref="V55" si="37">CONCATENATE("aMW_",V54)</f>
        <v>aMW_2033</v>
      </c>
      <c r="W55" s="86" t="str">
        <f t="shared" ref="W55" si="38">CONCATENATE("aMW_",W54)</f>
        <v>aMW_2034</v>
      </c>
      <c r="X55" s="86" t="str">
        <f t="shared" ref="X55" si="39">CONCATENATE("aMW_",X54)</f>
        <v>aMW_2035</v>
      </c>
      <c r="Y55" s="87"/>
      <c r="AA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7" t="s">
        <v>69</v>
      </c>
      <c r="C56" s="37" t="s">
        <v>70</v>
      </c>
      <c r="D56" s="37" t="s">
        <v>71</v>
      </c>
      <c r="E56" s="20">
        <f>DSUM($B$43:$X$48,E$43,$C$55:$D56)</f>
        <v>0</v>
      </c>
      <c r="F56" s="20">
        <f>DSUM($B$43:$X$48,F$43,$C$55:$D56)</f>
        <v>0</v>
      </c>
      <c r="G56" s="20">
        <f>DSUM($B$43:$X$48,G$43,$C$55:$D56)</f>
        <v>0</v>
      </c>
      <c r="H56" s="20">
        <f>DSUM($B$43:$X$48,H$43,$C$55:$D56)</f>
        <v>0</v>
      </c>
      <c r="I56" s="20">
        <f>DSUM($B$43:$X$48,I$43,$C$55:$D56)</f>
        <v>0</v>
      </c>
      <c r="J56" s="20">
        <f>DSUM($B$43:$X$48,J$43,$C$55:$D56)</f>
        <v>0</v>
      </c>
      <c r="K56" s="20">
        <f>DSUM($B$43:$X$48,K$43,$C$55:$D56)</f>
        <v>0</v>
      </c>
      <c r="L56" s="20">
        <f>DSUM($B$43:$X$48,L$43,$C$55:$D56)</f>
        <v>0</v>
      </c>
      <c r="M56" s="20">
        <f>DSUM($B$43:$X$48,M$43,$C$55:$D56)</f>
        <v>0</v>
      </c>
      <c r="N56" s="20">
        <f>DSUM($B$43:$X$48,N$43,$C$55:$D56)</f>
        <v>0</v>
      </c>
      <c r="O56" s="20">
        <f>DSUM($B$43:$X$48,O$43,$C$55:$D56)</f>
        <v>0</v>
      </c>
      <c r="P56" s="20">
        <f>DSUM($B$43:$X$48,P$43,$C$55:$D56)</f>
        <v>0</v>
      </c>
      <c r="Q56" s="20">
        <f>DSUM($B$43:$X$48,Q$43,$C$55:$D56)</f>
        <v>0</v>
      </c>
      <c r="R56" s="20">
        <f>DSUM($B$43:$X$48,R$43,$C$55:$D56)</f>
        <v>0</v>
      </c>
      <c r="S56" s="20">
        <f>DSUM($B$43:$X$48,S$43,$C$55:$D56)</f>
        <v>0</v>
      </c>
      <c r="T56" s="20">
        <f>DSUM($B$43:$X$48,T$43,$C$55:$D56)</f>
        <v>0</v>
      </c>
      <c r="U56" s="20">
        <f>DSUM($B$43:$X$48,U$43,$C$55:$D56)</f>
        <v>0</v>
      </c>
      <c r="V56" s="20">
        <f>DSUM($B$43:$X$48,V$43,$C$55:$D56)</f>
        <v>0</v>
      </c>
      <c r="W56" s="20">
        <f>DSUM($B$43:$X$48,W$43,$C$55:$D56)</f>
        <v>0</v>
      </c>
      <c r="X56" s="20">
        <f>DSUM($B$43:$X$48,X$43,$C$55:$D56)</f>
        <v>0</v>
      </c>
      <c r="AA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7" t="s">
        <v>450</v>
      </c>
      <c r="C57" s="38" t="s">
        <v>73</v>
      </c>
      <c r="D57" s="38" t="s">
        <v>74</v>
      </c>
      <c r="E57" s="20">
        <f>DSUM($B$43:$X$48,E$43,$C$55:$D57)</f>
        <v>0</v>
      </c>
      <c r="F57" s="20">
        <f>DSUM($B$43:$X$48,F$43,$C$55:$D57)</f>
        <v>0</v>
      </c>
      <c r="G57" s="20">
        <f>DSUM($B$43:$X$48,G$43,$C$55:$D57)</f>
        <v>0</v>
      </c>
      <c r="H57" s="20">
        <f>DSUM($B$43:$X$48,H$43,$C$55:$D57)</f>
        <v>0</v>
      </c>
      <c r="I57" s="20">
        <f>DSUM($B$43:$X$48,I$43,$C$55:$D57)</f>
        <v>0</v>
      </c>
      <c r="J57" s="20">
        <f>DSUM($B$43:$X$48,J$43,$C$55:$D57)</f>
        <v>0</v>
      </c>
      <c r="K57" s="20">
        <f>DSUM($B$43:$X$48,K$43,$C$55:$D57)</f>
        <v>0</v>
      </c>
      <c r="L57" s="20">
        <f>DSUM($B$43:$X$48,L$43,$C$55:$D57)</f>
        <v>0</v>
      </c>
      <c r="M57" s="20">
        <f>DSUM($B$43:$X$48,M$43,$C$55:$D57)</f>
        <v>0</v>
      </c>
      <c r="N57" s="20">
        <f>DSUM($B$43:$X$48,N$43,$C$55:$D57)</f>
        <v>0</v>
      </c>
      <c r="O57" s="20">
        <f>DSUM($B$43:$X$48,O$43,$C$55:$D57)</f>
        <v>0</v>
      </c>
      <c r="P57" s="20">
        <f>DSUM($B$43:$X$48,P$43,$C$55:$D57)</f>
        <v>0</v>
      </c>
      <c r="Q57" s="20">
        <f>DSUM($B$43:$X$48,Q$43,$C$55:$D57)</f>
        <v>0</v>
      </c>
      <c r="R57" s="20">
        <f>DSUM($B$43:$X$48,R$43,$C$55:$D57)</f>
        <v>0</v>
      </c>
      <c r="S57" s="20">
        <f>DSUM($B$43:$X$48,S$43,$C$55:$D57)</f>
        <v>0</v>
      </c>
      <c r="T57" s="20">
        <f>DSUM($B$43:$X$48,T$43,$C$55:$D57)</f>
        <v>0</v>
      </c>
      <c r="U57" s="20">
        <f>DSUM($B$43:$X$48,U$43,$C$55:$D57)</f>
        <v>0</v>
      </c>
      <c r="V57" s="20">
        <f>DSUM($B$43:$X$48,V$43,$C$55:$D57)</f>
        <v>0</v>
      </c>
      <c r="W57" s="20">
        <f>DSUM($B$43:$X$48,W$43,$C$55:$D57)</f>
        <v>0</v>
      </c>
      <c r="X57" s="20">
        <f>DSUM($B$43:$X$48,X$43,$C$55:$D57)</f>
        <v>0</v>
      </c>
      <c r="Y57" s="20"/>
      <c r="AA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7" t="s">
        <v>75</v>
      </c>
      <c r="C58" s="38" t="s">
        <v>76</v>
      </c>
      <c r="D58" s="38" t="s">
        <v>77</v>
      </c>
      <c r="E58" s="20">
        <f>DSUM($B$43:$X$48,E$43,$C$55:$D58)</f>
        <v>0</v>
      </c>
      <c r="F58" s="20">
        <f>DSUM($B$43:$X$48,F$43,$C$55:$D58)</f>
        <v>0</v>
      </c>
      <c r="G58" s="20">
        <f>DSUM($B$43:$X$48,G$43,$C$55:$D58)</f>
        <v>0</v>
      </c>
      <c r="H58" s="20">
        <f>DSUM($B$43:$X$48,H$43,$C$55:$D58)</f>
        <v>0</v>
      </c>
      <c r="I58" s="20">
        <f>DSUM($B$43:$X$48,I$43,$C$55:$D58)</f>
        <v>0</v>
      </c>
      <c r="J58" s="20">
        <f>DSUM($B$43:$X$48,J$43,$C$55:$D58)</f>
        <v>0</v>
      </c>
      <c r="K58" s="20">
        <f>DSUM($B$43:$X$48,K$43,$C$55:$D58)</f>
        <v>0</v>
      </c>
      <c r="L58" s="20">
        <f>DSUM($B$43:$X$48,L$43,$C$55:$D58)</f>
        <v>0</v>
      </c>
      <c r="M58" s="20">
        <f>DSUM($B$43:$X$48,M$43,$C$55:$D58)</f>
        <v>0</v>
      </c>
      <c r="N58" s="20">
        <f>DSUM($B$43:$X$48,N$43,$C$55:$D58)</f>
        <v>0</v>
      </c>
      <c r="O58" s="20">
        <f>DSUM($B$43:$X$48,O$43,$C$55:$D58)</f>
        <v>0</v>
      </c>
      <c r="P58" s="20">
        <f>DSUM($B$43:$X$48,P$43,$C$55:$D58)</f>
        <v>0</v>
      </c>
      <c r="Q58" s="20">
        <f>DSUM($B$43:$X$48,Q$43,$C$55:$D58)</f>
        <v>0</v>
      </c>
      <c r="R58" s="20">
        <f>DSUM($B$43:$X$48,R$43,$C$55:$D58)</f>
        <v>0</v>
      </c>
      <c r="S58" s="20">
        <f>DSUM($B$43:$X$48,S$43,$C$55:$D58)</f>
        <v>0</v>
      </c>
      <c r="T58" s="20">
        <f>DSUM($B$43:$X$48,T$43,$C$55:$D58)</f>
        <v>0</v>
      </c>
      <c r="U58" s="20">
        <f>DSUM($B$43:$X$48,U$43,$C$55:$D58)</f>
        <v>0</v>
      </c>
      <c r="V58" s="20">
        <f>DSUM($B$43:$X$48,V$43,$C$55:$D58)</f>
        <v>0</v>
      </c>
      <c r="W58" s="20">
        <f>DSUM($B$43:$X$48,W$43,$C$55:$D58)</f>
        <v>0</v>
      </c>
      <c r="X58" s="20">
        <f>DSUM($B$43:$X$48,X$43,$C$55:$D58)</f>
        <v>0</v>
      </c>
      <c r="Y58" s="20"/>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7" t="s">
        <v>78</v>
      </c>
      <c r="C59" s="37" t="s">
        <v>79</v>
      </c>
      <c r="D59" s="37" t="s">
        <v>80</v>
      </c>
      <c r="E59" s="20">
        <f>DSUM($B$43:$X$48,E$43,$C$55:$D59)</f>
        <v>0</v>
      </c>
      <c r="F59" s="20">
        <f>DSUM($B$43:$X$48,F$43,$C$55:$D59)</f>
        <v>0</v>
      </c>
      <c r="G59" s="20">
        <f>DSUM($B$43:$X$48,G$43,$C$55:$D59)</f>
        <v>0</v>
      </c>
      <c r="H59" s="20">
        <f>DSUM($B$43:$X$48,H$43,$C$55:$D59)</f>
        <v>0</v>
      </c>
      <c r="I59" s="20">
        <f>DSUM($B$43:$X$48,I$43,$C$55:$D59)</f>
        <v>0</v>
      </c>
      <c r="J59" s="20">
        <f>DSUM($B$43:$X$48,J$43,$C$55:$D59)</f>
        <v>0</v>
      </c>
      <c r="K59" s="20">
        <f>DSUM($B$43:$X$48,K$43,$C$55:$D59)</f>
        <v>0</v>
      </c>
      <c r="L59" s="20">
        <f>DSUM($B$43:$X$48,L$43,$C$55:$D59)</f>
        <v>0</v>
      </c>
      <c r="M59" s="20">
        <f>DSUM($B$43:$X$48,M$43,$C$55:$D59)</f>
        <v>0</v>
      </c>
      <c r="N59" s="20">
        <f>DSUM($B$43:$X$48,N$43,$C$55:$D59)</f>
        <v>0</v>
      </c>
      <c r="O59" s="20">
        <f>DSUM($B$43:$X$48,O$43,$C$55:$D59)</f>
        <v>0</v>
      </c>
      <c r="P59" s="20">
        <f>DSUM($B$43:$X$48,P$43,$C$55:$D59)</f>
        <v>0</v>
      </c>
      <c r="Q59" s="20">
        <f>DSUM($B$43:$X$48,Q$43,$C$55:$D59)</f>
        <v>0</v>
      </c>
      <c r="R59" s="20">
        <f>DSUM($B$43:$X$48,R$43,$C$55:$D59)</f>
        <v>0</v>
      </c>
      <c r="S59" s="20">
        <f>DSUM($B$43:$X$48,S$43,$C$55:$D59)</f>
        <v>0</v>
      </c>
      <c r="T59" s="20">
        <f>DSUM($B$43:$X$48,T$43,$C$55:$D59)</f>
        <v>0</v>
      </c>
      <c r="U59" s="20">
        <f>DSUM($B$43:$X$48,U$43,$C$55:$D59)</f>
        <v>0</v>
      </c>
      <c r="V59" s="20">
        <f>DSUM($B$43:$X$48,V$43,$C$55:$D59)</f>
        <v>0</v>
      </c>
      <c r="W59" s="20">
        <f>DSUM($B$43:$X$48,W$43,$C$55:$D59)</f>
        <v>0</v>
      </c>
      <c r="X59" s="20">
        <f>DSUM($B$43:$X$48,X$43,$C$55:$D59)</f>
        <v>0</v>
      </c>
      <c r="Y59" s="20"/>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7" t="s">
        <v>81</v>
      </c>
      <c r="C60" s="38" t="s">
        <v>82</v>
      </c>
      <c r="D60" s="38" t="s">
        <v>83</v>
      </c>
      <c r="E60" s="20">
        <f ca="1">DSUM($B$43:$X$48,E$43,$C$55:$D60)</f>
        <v>8.7306221932550911E-3</v>
      </c>
      <c r="F60" s="20">
        <f ca="1">DSUM($B$43:$X$48,F$43,$C$55:$D60)</f>
        <v>1.69056761103531E-2</v>
      </c>
      <c r="G60" s="20">
        <f ca="1">DSUM($B$43:$X$48,G$43,$C$55:$D60)</f>
        <v>2.4448056636096158E-2</v>
      </c>
      <c r="H60" s="20">
        <f ca="1">DSUM($B$43:$X$48,H$43,$C$55:$D60)</f>
        <v>3.1551246888191636E-2</v>
      </c>
      <c r="I60" s="20">
        <f ca="1">DSUM($B$43:$X$48,I$43,$C$55:$D60)</f>
        <v>3.8178954828127505E-2</v>
      </c>
      <c r="J60" s="20">
        <f ca="1">DSUM($B$43:$X$48,J$43,$C$55:$D60)</f>
        <v>4.3281428318227691E-2</v>
      </c>
      <c r="K60" s="20">
        <f ca="1">DSUM($B$43:$X$48,K$43,$C$55:$D60)</f>
        <v>4.7545271233612518E-2</v>
      </c>
      <c r="L60" s="20">
        <f ca="1">DSUM($B$43:$X$48,L$43,$C$55:$D60)</f>
        <v>5.1875316351907341E-2</v>
      </c>
      <c r="M60" s="20">
        <f ca="1">DSUM($B$43:$X$48,M$43,$C$55:$D60)</f>
        <v>5.5250720582833153E-2</v>
      </c>
      <c r="N60" s="20">
        <f ca="1">DSUM($B$43:$X$48,N$43,$C$55:$D60)</f>
        <v>5.9977984300049608E-2</v>
      </c>
      <c r="O60" s="20">
        <f ca="1">DSUM($B$43:$X$48,O$43,$C$55:$D60)</f>
        <v>6.2491422509099025E-2</v>
      </c>
      <c r="P60" s="20">
        <f ca="1">DSUM($B$43:$X$48,P$43,$C$55:$D60)</f>
        <v>6.3731902830535217E-2</v>
      </c>
      <c r="Q60" s="20">
        <f ca="1">DSUM($B$43:$X$48,Q$43,$C$55:$D60)</f>
        <v>6.4041184704201698E-2</v>
      </c>
      <c r="R60" s="20">
        <f ca="1">DSUM($B$43:$X$48,R$43,$C$55:$D60)</f>
        <v>6.4978957104612975E-2</v>
      </c>
      <c r="S60" s="20">
        <f ca="1">DSUM($B$43:$X$48,S$43,$C$55:$D60)</f>
        <v>6.6020944422639616E-2</v>
      </c>
      <c r="T60" s="20">
        <f ca="1">DSUM($B$43:$X$48,T$43,$C$55:$D60)</f>
        <v>6.6159931991605733E-2</v>
      </c>
      <c r="U60" s="20">
        <f ca="1">DSUM($B$43:$X$48,U$43,$C$55:$D60)</f>
        <v>6.5019985715259118E-2</v>
      </c>
      <c r="V60" s="20">
        <f ca="1">DSUM($B$43:$X$48,V$43,$C$55:$D60)</f>
        <v>6.4632538981338639E-2</v>
      </c>
      <c r="W60" s="20">
        <f ca="1">DSUM($B$43:$X$48,W$43,$C$55:$D60)</f>
        <v>6.5009741899080917E-2</v>
      </c>
      <c r="X60" s="20">
        <f ca="1">DSUM($B$43:$X$48,X$43,$C$55:$D60)</f>
        <v>6.5210626032025099E-2</v>
      </c>
      <c r="Y60" s="2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7" t="s">
        <v>84</v>
      </c>
      <c r="C61" s="38" t="s">
        <v>85</v>
      </c>
      <c r="D61" s="38" t="s">
        <v>86</v>
      </c>
      <c r="E61" s="20">
        <f ca="1">DSUM($B$43:$X$48,E$43,$C$55:$D61)</f>
        <v>8.7306221932550911E-3</v>
      </c>
      <c r="F61" s="20">
        <f ca="1">DSUM($B$43:$X$48,F$43,$C$55:$D61)</f>
        <v>1.69056761103531E-2</v>
      </c>
      <c r="G61" s="20">
        <f ca="1">DSUM($B$43:$X$48,G$43,$C$55:$D61)</f>
        <v>2.4448056636096158E-2</v>
      </c>
      <c r="H61" s="20">
        <f ca="1">DSUM($B$43:$X$48,H$43,$C$55:$D61)</f>
        <v>3.1551246888191636E-2</v>
      </c>
      <c r="I61" s="20">
        <f ca="1">DSUM($B$43:$X$48,I$43,$C$55:$D61)</f>
        <v>3.8178954828127505E-2</v>
      </c>
      <c r="J61" s="20">
        <f ca="1">DSUM($B$43:$X$48,J$43,$C$55:$D61)</f>
        <v>4.3281428318227691E-2</v>
      </c>
      <c r="K61" s="20">
        <f ca="1">DSUM($B$43:$X$48,K$43,$C$55:$D61)</f>
        <v>4.7545271233612518E-2</v>
      </c>
      <c r="L61" s="20">
        <f ca="1">DSUM($B$43:$X$48,L$43,$C$55:$D61)</f>
        <v>5.1875316351907341E-2</v>
      </c>
      <c r="M61" s="20">
        <f ca="1">DSUM($B$43:$X$48,M$43,$C$55:$D61)</f>
        <v>5.5250720582833153E-2</v>
      </c>
      <c r="N61" s="20">
        <f ca="1">DSUM($B$43:$X$48,N$43,$C$55:$D61)</f>
        <v>5.9977984300049608E-2</v>
      </c>
      <c r="O61" s="20">
        <f ca="1">DSUM($B$43:$X$48,O$43,$C$55:$D61)</f>
        <v>6.2491422509099025E-2</v>
      </c>
      <c r="P61" s="20">
        <f ca="1">DSUM($B$43:$X$48,P$43,$C$55:$D61)</f>
        <v>6.3731902830535217E-2</v>
      </c>
      <c r="Q61" s="20">
        <f ca="1">DSUM($B$43:$X$48,Q$43,$C$55:$D61)</f>
        <v>6.4041184704201698E-2</v>
      </c>
      <c r="R61" s="20">
        <f ca="1">DSUM($B$43:$X$48,R$43,$C$55:$D61)</f>
        <v>6.4978957104612975E-2</v>
      </c>
      <c r="S61" s="20">
        <f ca="1">DSUM($B$43:$X$48,S$43,$C$55:$D61)</f>
        <v>6.6020944422639616E-2</v>
      </c>
      <c r="T61" s="20">
        <f ca="1">DSUM($B$43:$X$48,T$43,$C$55:$D61)</f>
        <v>6.6159931991605733E-2</v>
      </c>
      <c r="U61" s="20">
        <f ca="1">DSUM($B$43:$X$48,U$43,$C$55:$D61)</f>
        <v>6.5019985715259118E-2</v>
      </c>
      <c r="V61" s="20">
        <f ca="1">DSUM($B$43:$X$48,V$43,$C$55:$D61)</f>
        <v>6.4632538981338639E-2</v>
      </c>
      <c r="W61" s="20">
        <f ca="1">DSUM($B$43:$X$48,W$43,$C$55:$D61)</f>
        <v>6.5009741899080917E-2</v>
      </c>
      <c r="X61" s="20">
        <f ca="1">DSUM($B$43:$X$48,X$43,$C$55:$D61)</f>
        <v>6.5210626032025099E-2</v>
      </c>
      <c r="Y61" s="20"/>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7" t="s">
        <v>87</v>
      </c>
      <c r="C62" s="38" t="s">
        <v>88</v>
      </c>
      <c r="D62" s="38" t="s">
        <v>89</v>
      </c>
      <c r="E62" s="20">
        <f ca="1">DSUM($B$43:$X$48,E$43,$C$55:$D62)</f>
        <v>8.7306221932550911E-3</v>
      </c>
      <c r="F62" s="20">
        <f ca="1">DSUM($B$43:$X$48,F$43,$C$55:$D62)</f>
        <v>1.69056761103531E-2</v>
      </c>
      <c r="G62" s="20">
        <f ca="1">DSUM($B$43:$X$48,G$43,$C$55:$D62)</f>
        <v>2.4448056636096158E-2</v>
      </c>
      <c r="H62" s="20">
        <f ca="1">DSUM($B$43:$X$48,H$43,$C$55:$D62)</f>
        <v>3.1551246888191636E-2</v>
      </c>
      <c r="I62" s="20">
        <f ca="1">DSUM($B$43:$X$48,I$43,$C$55:$D62)</f>
        <v>3.8178954828127505E-2</v>
      </c>
      <c r="J62" s="20">
        <f ca="1">DSUM($B$43:$X$48,J$43,$C$55:$D62)</f>
        <v>4.3281428318227691E-2</v>
      </c>
      <c r="K62" s="20">
        <f ca="1">DSUM($B$43:$X$48,K$43,$C$55:$D62)</f>
        <v>4.7545271233612518E-2</v>
      </c>
      <c r="L62" s="20">
        <f ca="1">DSUM($B$43:$X$48,L$43,$C$55:$D62)</f>
        <v>5.1875316351907341E-2</v>
      </c>
      <c r="M62" s="20">
        <f ca="1">DSUM($B$43:$X$48,M$43,$C$55:$D62)</f>
        <v>5.5250720582833153E-2</v>
      </c>
      <c r="N62" s="20">
        <f ca="1">DSUM($B$43:$X$48,N$43,$C$55:$D62)</f>
        <v>5.9977984300049608E-2</v>
      </c>
      <c r="O62" s="20">
        <f ca="1">DSUM($B$43:$X$48,O$43,$C$55:$D62)</f>
        <v>6.2491422509099025E-2</v>
      </c>
      <c r="P62" s="20">
        <f ca="1">DSUM($B$43:$X$48,P$43,$C$55:$D62)</f>
        <v>6.3731902830535217E-2</v>
      </c>
      <c r="Q62" s="20">
        <f ca="1">DSUM($B$43:$X$48,Q$43,$C$55:$D62)</f>
        <v>6.4041184704201698E-2</v>
      </c>
      <c r="R62" s="20">
        <f ca="1">DSUM($B$43:$X$48,R$43,$C$55:$D62)</f>
        <v>6.4978957104612975E-2</v>
      </c>
      <c r="S62" s="20">
        <f ca="1">DSUM($B$43:$X$48,S$43,$C$55:$D62)</f>
        <v>6.6020944422639616E-2</v>
      </c>
      <c r="T62" s="20">
        <f ca="1">DSUM($B$43:$X$48,T$43,$C$55:$D62)</f>
        <v>6.6159931991605733E-2</v>
      </c>
      <c r="U62" s="20">
        <f ca="1">DSUM($B$43:$X$48,U$43,$C$55:$D62)</f>
        <v>6.5019985715259118E-2</v>
      </c>
      <c r="V62" s="20">
        <f ca="1">DSUM($B$43:$X$48,V$43,$C$55:$D62)</f>
        <v>6.4632538981338639E-2</v>
      </c>
      <c r="W62" s="20">
        <f ca="1">DSUM($B$43:$X$48,W$43,$C$55:$D62)</f>
        <v>6.5009741899080917E-2</v>
      </c>
      <c r="X62" s="20">
        <f ca="1">DSUM($B$43:$X$48,X$43,$C$55:$D62)</f>
        <v>6.5210626032025099E-2</v>
      </c>
      <c r="Y62" s="20"/>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7" t="s">
        <v>90</v>
      </c>
      <c r="C63" s="38" t="s">
        <v>91</v>
      </c>
      <c r="D63" s="38" t="s">
        <v>92</v>
      </c>
      <c r="E63" s="20">
        <f ca="1">DSUM($B$43:$X$48,E$43,$C$55:$D63)</f>
        <v>8.7306221932550911E-3</v>
      </c>
      <c r="F63" s="20">
        <f ca="1">DSUM($B$43:$X$48,F$43,$C$55:$D63)</f>
        <v>1.69056761103531E-2</v>
      </c>
      <c r="G63" s="20">
        <f ca="1">DSUM($B$43:$X$48,G$43,$C$55:$D63)</f>
        <v>2.4448056636096158E-2</v>
      </c>
      <c r="H63" s="20">
        <f ca="1">DSUM($B$43:$X$48,H$43,$C$55:$D63)</f>
        <v>3.1551246888191636E-2</v>
      </c>
      <c r="I63" s="20">
        <f ca="1">DSUM($B$43:$X$48,I$43,$C$55:$D63)</f>
        <v>3.8178954828127505E-2</v>
      </c>
      <c r="J63" s="20">
        <f ca="1">DSUM($B$43:$X$48,J$43,$C$55:$D63)</f>
        <v>4.3281428318227691E-2</v>
      </c>
      <c r="K63" s="20">
        <f ca="1">DSUM($B$43:$X$48,K$43,$C$55:$D63)</f>
        <v>4.7545271233612518E-2</v>
      </c>
      <c r="L63" s="20">
        <f ca="1">DSUM($B$43:$X$48,L$43,$C$55:$D63)</f>
        <v>5.1875316351907341E-2</v>
      </c>
      <c r="M63" s="20">
        <f ca="1">DSUM($B$43:$X$48,M$43,$C$55:$D63)</f>
        <v>5.5250720582833153E-2</v>
      </c>
      <c r="N63" s="20">
        <f ca="1">DSUM($B$43:$X$48,N$43,$C$55:$D63)</f>
        <v>5.9977984300049608E-2</v>
      </c>
      <c r="O63" s="20">
        <f ca="1">DSUM($B$43:$X$48,O$43,$C$55:$D63)</f>
        <v>6.2491422509099025E-2</v>
      </c>
      <c r="P63" s="20">
        <f ca="1">DSUM($B$43:$X$48,P$43,$C$55:$D63)</f>
        <v>6.3731902830535217E-2</v>
      </c>
      <c r="Q63" s="20">
        <f ca="1">DSUM($B$43:$X$48,Q$43,$C$55:$D63)</f>
        <v>6.4041184704201698E-2</v>
      </c>
      <c r="R63" s="20">
        <f ca="1">DSUM($B$43:$X$48,R$43,$C$55:$D63)</f>
        <v>6.4978957104612975E-2</v>
      </c>
      <c r="S63" s="20">
        <f ca="1">DSUM($B$43:$X$48,S$43,$C$55:$D63)</f>
        <v>6.6020944422639616E-2</v>
      </c>
      <c r="T63" s="20">
        <f ca="1">DSUM($B$43:$X$48,T$43,$C$55:$D63)</f>
        <v>6.6159931991605733E-2</v>
      </c>
      <c r="U63" s="20">
        <f ca="1">DSUM($B$43:$X$48,U$43,$C$55:$D63)</f>
        <v>6.5019985715259118E-2</v>
      </c>
      <c r="V63" s="20">
        <f ca="1">DSUM($B$43:$X$48,V$43,$C$55:$D63)</f>
        <v>6.4632538981338639E-2</v>
      </c>
      <c r="W63" s="20">
        <f ca="1">DSUM($B$43:$X$48,W$43,$C$55:$D63)</f>
        <v>6.5009741899080917E-2</v>
      </c>
      <c r="X63" s="20">
        <f ca="1">DSUM($B$43:$X$48,X$43,$C$55:$D63)</f>
        <v>6.5210626032025099E-2</v>
      </c>
      <c r="Y63" s="20"/>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7" t="s">
        <v>93</v>
      </c>
      <c r="C64" s="38" t="s">
        <v>94</v>
      </c>
      <c r="D64" s="38" t="s">
        <v>95</v>
      </c>
      <c r="E64" s="20">
        <f ca="1">DSUM($B$43:$X$48,E$43,$C$55:$D64)</f>
        <v>8.7306221932550911E-3</v>
      </c>
      <c r="F64" s="20">
        <f ca="1">DSUM($B$43:$X$48,F$43,$C$55:$D64)</f>
        <v>1.69056761103531E-2</v>
      </c>
      <c r="G64" s="20">
        <f ca="1">DSUM($B$43:$X$48,G$43,$C$55:$D64)</f>
        <v>2.4448056636096158E-2</v>
      </c>
      <c r="H64" s="20">
        <f ca="1">DSUM($B$43:$X$48,H$43,$C$55:$D64)</f>
        <v>3.1551246888191636E-2</v>
      </c>
      <c r="I64" s="20">
        <f ca="1">DSUM($B$43:$X$48,I$43,$C$55:$D64)</f>
        <v>3.8178954828127505E-2</v>
      </c>
      <c r="J64" s="20">
        <f ca="1">DSUM($B$43:$X$48,J$43,$C$55:$D64)</f>
        <v>4.3281428318227691E-2</v>
      </c>
      <c r="K64" s="20">
        <f ca="1">DSUM($B$43:$X$48,K$43,$C$55:$D64)</f>
        <v>4.7545271233612518E-2</v>
      </c>
      <c r="L64" s="20">
        <f ca="1">DSUM($B$43:$X$48,L$43,$C$55:$D64)</f>
        <v>5.1875316351907341E-2</v>
      </c>
      <c r="M64" s="20">
        <f ca="1">DSUM($B$43:$X$48,M$43,$C$55:$D64)</f>
        <v>5.5250720582833153E-2</v>
      </c>
      <c r="N64" s="20">
        <f ca="1">DSUM($B$43:$X$48,N$43,$C$55:$D64)</f>
        <v>5.9977984300049608E-2</v>
      </c>
      <c r="O64" s="20">
        <f ca="1">DSUM($B$43:$X$48,O$43,$C$55:$D64)</f>
        <v>6.2491422509099025E-2</v>
      </c>
      <c r="P64" s="20">
        <f ca="1">DSUM($B$43:$X$48,P$43,$C$55:$D64)</f>
        <v>6.3731902830535217E-2</v>
      </c>
      <c r="Q64" s="20">
        <f ca="1">DSUM($B$43:$X$48,Q$43,$C$55:$D64)</f>
        <v>6.4041184704201698E-2</v>
      </c>
      <c r="R64" s="20">
        <f ca="1">DSUM($B$43:$X$48,R$43,$C$55:$D64)</f>
        <v>6.4978957104612975E-2</v>
      </c>
      <c r="S64" s="20">
        <f ca="1">DSUM($B$43:$X$48,S$43,$C$55:$D64)</f>
        <v>6.6020944422639616E-2</v>
      </c>
      <c r="T64" s="20">
        <f ca="1">DSUM($B$43:$X$48,T$43,$C$55:$D64)</f>
        <v>6.6159931991605733E-2</v>
      </c>
      <c r="U64" s="20">
        <f ca="1">DSUM($B$43:$X$48,U$43,$C$55:$D64)</f>
        <v>6.5019985715259118E-2</v>
      </c>
      <c r="V64" s="20">
        <f ca="1">DSUM($B$43:$X$48,V$43,$C$55:$D64)</f>
        <v>6.4632538981338639E-2</v>
      </c>
      <c r="W64" s="20">
        <f ca="1">DSUM($B$43:$X$48,W$43,$C$55:$D64)</f>
        <v>6.5009741899080917E-2</v>
      </c>
      <c r="X64" s="20">
        <f ca="1">DSUM($B$43:$X$48,X$43,$C$55:$D64)</f>
        <v>6.5210626032025099E-2</v>
      </c>
      <c r="Y64" s="20"/>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B65" s="7" t="s">
        <v>96</v>
      </c>
      <c r="C65" s="38" t="s">
        <v>97</v>
      </c>
      <c r="D65" s="38" t="s">
        <v>98</v>
      </c>
      <c r="E65" s="20">
        <f ca="1">DSUM($B$43:$X$48,E$43,$C$55:$D65)</f>
        <v>8.7306221932550911E-3</v>
      </c>
      <c r="F65" s="20">
        <f ca="1">DSUM($B$43:$X$48,F$43,$C$55:$D65)</f>
        <v>1.69056761103531E-2</v>
      </c>
      <c r="G65" s="20">
        <f ca="1">DSUM($B$43:$X$48,G$43,$C$55:$D65)</f>
        <v>2.4448056636096158E-2</v>
      </c>
      <c r="H65" s="20">
        <f ca="1">DSUM($B$43:$X$48,H$43,$C$55:$D65)</f>
        <v>3.1551246888191636E-2</v>
      </c>
      <c r="I65" s="20">
        <f ca="1">DSUM($B$43:$X$48,I$43,$C$55:$D65)</f>
        <v>3.8178954828127505E-2</v>
      </c>
      <c r="J65" s="20">
        <f ca="1">DSUM($B$43:$X$48,J$43,$C$55:$D65)</f>
        <v>4.3281428318227691E-2</v>
      </c>
      <c r="K65" s="20">
        <f ca="1">DSUM($B$43:$X$48,K$43,$C$55:$D65)</f>
        <v>4.7545271233612518E-2</v>
      </c>
      <c r="L65" s="20">
        <f ca="1">DSUM($B$43:$X$48,L$43,$C$55:$D65)</f>
        <v>5.1875316351907341E-2</v>
      </c>
      <c r="M65" s="20">
        <f ca="1">DSUM($B$43:$X$48,M$43,$C$55:$D65)</f>
        <v>5.5250720582833153E-2</v>
      </c>
      <c r="N65" s="20">
        <f ca="1">DSUM($B$43:$X$48,N$43,$C$55:$D65)</f>
        <v>5.9977984300049608E-2</v>
      </c>
      <c r="O65" s="20">
        <f ca="1">DSUM($B$43:$X$48,O$43,$C$55:$D65)</f>
        <v>6.2491422509099025E-2</v>
      </c>
      <c r="P65" s="20">
        <f ca="1">DSUM($B$43:$X$48,P$43,$C$55:$D65)</f>
        <v>6.3731902830535217E-2</v>
      </c>
      <c r="Q65" s="20">
        <f ca="1">DSUM($B$43:$X$48,Q$43,$C$55:$D65)</f>
        <v>6.4041184704201698E-2</v>
      </c>
      <c r="R65" s="20">
        <f ca="1">DSUM($B$43:$X$48,R$43,$C$55:$D65)</f>
        <v>6.4978957104612975E-2</v>
      </c>
      <c r="S65" s="20">
        <f ca="1">DSUM($B$43:$X$48,S$43,$C$55:$D65)</f>
        <v>6.6020944422639616E-2</v>
      </c>
      <c r="T65" s="20">
        <f ca="1">DSUM($B$43:$X$48,T$43,$C$55:$D65)</f>
        <v>6.6159931991605733E-2</v>
      </c>
      <c r="U65" s="20">
        <f ca="1">DSUM($B$43:$X$48,U$43,$C$55:$D65)</f>
        <v>6.5019985715259118E-2</v>
      </c>
      <c r="V65" s="20">
        <f ca="1">DSUM($B$43:$X$48,V$43,$C$55:$D65)</f>
        <v>6.4632538981338639E-2</v>
      </c>
      <c r="W65" s="20">
        <f ca="1">DSUM($B$43:$X$48,W$43,$C$55:$D65)</f>
        <v>6.5009741899080917E-2</v>
      </c>
      <c r="X65" s="20">
        <f ca="1">DSUM($B$43:$X$48,X$43,$C$55:$D65)</f>
        <v>6.5210626032025099E-2</v>
      </c>
      <c r="Y65" s="20"/>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B66" s="7" t="s">
        <v>99</v>
      </c>
      <c r="C66" s="38" t="s">
        <v>100</v>
      </c>
      <c r="D66" s="38" t="s">
        <v>101</v>
      </c>
      <c r="E66" s="20">
        <f ca="1">DSUM($B$43:$X$48,E$43,$C$55:$D66)</f>
        <v>8.7306221932550911E-3</v>
      </c>
      <c r="F66" s="20">
        <f ca="1">DSUM($B$43:$X$48,F$43,$C$55:$D66)</f>
        <v>1.69056761103531E-2</v>
      </c>
      <c r="G66" s="20">
        <f ca="1">DSUM($B$43:$X$48,G$43,$C$55:$D66)</f>
        <v>2.4448056636096158E-2</v>
      </c>
      <c r="H66" s="20">
        <f ca="1">DSUM($B$43:$X$48,H$43,$C$55:$D66)</f>
        <v>3.1551246888191636E-2</v>
      </c>
      <c r="I66" s="20">
        <f ca="1">DSUM($B$43:$X$48,I$43,$C$55:$D66)</f>
        <v>3.8178954828127505E-2</v>
      </c>
      <c r="J66" s="20">
        <f ca="1">DSUM($B$43:$X$48,J$43,$C$55:$D66)</f>
        <v>4.3281428318227691E-2</v>
      </c>
      <c r="K66" s="20">
        <f ca="1">DSUM($B$43:$X$48,K$43,$C$55:$D66)</f>
        <v>4.7545271233612518E-2</v>
      </c>
      <c r="L66" s="20">
        <f ca="1">DSUM($B$43:$X$48,L$43,$C$55:$D66)</f>
        <v>5.1875316351907341E-2</v>
      </c>
      <c r="M66" s="20">
        <f ca="1">DSUM($B$43:$X$48,M$43,$C$55:$D66)</f>
        <v>5.5250720582833153E-2</v>
      </c>
      <c r="N66" s="20">
        <f ca="1">DSUM($B$43:$X$48,N$43,$C$55:$D66)</f>
        <v>5.9977984300049608E-2</v>
      </c>
      <c r="O66" s="20">
        <f ca="1">DSUM($B$43:$X$48,O$43,$C$55:$D66)</f>
        <v>6.2491422509099025E-2</v>
      </c>
      <c r="P66" s="20">
        <f ca="1">DSUM($B$43:$X$48,P$43,$C$55:$D66)</f>
        <v>6.3731902830535217E-2</v>
      </c>
      <c r="Q66" s="20">
        <f ca="1">DSUM($B$43:$X$48,Q$43,$C$55:$D66)</f>
        <v>6.4041184704201698E-2</v>
      </c>
      <c r="R66" s="20">
        <f ca="1">DSUM($B$43:$X$48,R$43,$C$55:$D66)</f>
        <v>6.4978957104612975E-2</v>
      </c>
      <c r="S66" s="20">
        <f ca="1">DSUM($B$43:$X$48,S$43,$C$55:$D66)</f>
        <v>6.6020944422639616E-2</v>
      </c>
      <c r="T66" s="20">
        <f ca="1">DSUM($B$43:$X$48,T$43,$C$55:$D66)</f>
        <v>6.6159931991605733E-2</v>
      </c>
      <c r="U66" s="20">
        <f ca="1">DSUM($B$43:$X$48,U$43,$C$55:$D66)</f>
        <v>6.5019985715259118E-2</v>
      </c>
      <c r="V66" s="20">
        <f ca="1">DSUM($B$43:$X$48,V$43,$C$55:$D66)</f>
        <v>6.4632538981338639E-2</v>
      </c>
      <c r="W66" s="20">
        <f ca="1">DSUM($B$43:$X$48,W$43,$C$55:$D66)</f>
        <v>6.5009741899080917E-2</v>
      </c>
      <c r="X66" s="20">
        <f ca="1">DSUM($B$43:$X$48,X$43,$C$55:$D66)</f>
        <v>6.5210626032025099E-2</v>
      </c>
      <c r="Y66" s="20"/>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7" t="s">
        <v>102</v>
      </c>
      <c r="C67" s="38" t="s">
        <v>103</v>
      </c>
      <c r="D67" s="38" t="s">
        <v>104</v>
      </c>
      <c r="E67" s="20">
        <f ca="1">DSUM($B$43:$X$48,E$43,$C$55:$D67)</f>
        <v>8.7306221932550911E-3</v>
      </c>
      <c r="F67" s="20">
        <f ca="1">DSUM($B$43:$X$48,F$43,$C$55:$D67)</f>
        <v>1.69056761103531E-2</v>
      </c>
      <c r="G67" s="20">
        <f ca="1">DSUM($B$43:$X$48,G$43,$C$55:$D67)</f>
        <v>2.4448056636096158E-2</v>
      </c>
      <c r="H67" s="20">
        <f ca="1">DSUM($B$43:$X$48,H$43,$C$55:$D67)</f>
        <v>3.1551246888191636E-2</v>
      </c>
      <c r="I67" s="20">
        <f ca="1">DSUM($B$43:$X$48,I$43,$C$55:$D67)</f>
        <v>3.8178954828127505E-2</v>
      </c>
      <c r="J67" s="20">
        <f ca="1">DSUM($B$43:$X$48,J$43,$C$55:$D67)</f>
        <v>4.3281428318227691E-2</v>
      </c>
      <c r="K67" s="20">
        <f ca="1">DSUM($B$43:$X$48,K$43,$C$55:$D67)</f>
        <v>4.7545271233612518E-2</v>
      </c>
      <c r="L67" s="20">
        <f ca="1">DSUM($B$43:$X$48,L$43,$C$55:$D67)</f>
        <v>5.1875316351907341E-2</v>
      </c>
      <c r="M67" s="20">
        <f ca="1">DSUM($B$43:$X$48,M$43,$C$55:$D67)</f>
        <v>5.5250720582833153E-2</v>
      </c>
      <c r="N67" s="20">
        <f ca="1">DSUM($B$43:$X$48,N$43,$C$55:$D67)</f>
        <v>5.9977984300049608E-2</v>
      </c>
      <c r="O67" s="20">
        <f ca="1">DSUM($B$43:$X$48,O$43,$C$55:$D67)</f>
        <v>6.2491422509099025E-2</v>
      </c>
      <c r="P67" s="20">
        <f ca="1">DSUM($B$43:$X$48,P$43,$C$55:$D67)</f>
        <v>6.3731902830535217E-2</v>
      </c>
      <c r="Q67" s="20">
        <f ca="1">DSUM($B$43:$X$48,Q$43,$C$55:$D67)</f>
        <v>6.4041184704201698E-2</v>
      </c>
      <c r="R67" s="20">
        <f ca="1">DSUM($B$43:$X$48,R$43,$C$55:$D67)</f>
        <v>6.4978957104612975E-2</v>
      </c>
      <c r="S67" s="20">
        <f ca="1">DSUM($B$43:$X$48,S$43,$C$55:$D67)</f>
        <v>6.6020944422639616E-2</v>
      </c>
      <c r="T67" s="20">
        <f ca="1">DSUM($B$43:$X$48,T$43,$C$55:$D67)</f>
        <v>6.6159931991605733E-2</v>
      </c>
      <c r="U67" s="20">
        <f ca="1">DSUM($B$43:$X$48,U$43,$C$55:$D67)</f>
        <v>6.5019985715259118E-2</v>
      </c>
      <c r="V67" s="20">
        <f ca="1">DSUM($B$43:$X$48,V$43,$C$55:$D67)</f>
        <v>6.4632538981338639E-2</v>
      </c>
      <c r="W67" s="20">
        <f ca="1">DSUM($B$43:$X$48,W$43,$C$55:$D67)</f>
        <v>6.5009741899080917E-2</v>
      </c>
      <c r="X67" s="20">
        <f ca="1">DSUM($B$43:$X$48,X$43,$C$55:$D67)</f>
        <v>6.5210626032025099E-2</v>
      </c>
      <c r="Y67" s="20"/>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B68" s="7" t="s">
        <v>105</v>
      </c>
      <c r="C68" s="38" t="s">
        <v>106</v>
      </c>
      <c r="D68" s="38" t="s">
        <v>107</v>
      </c>
      <c r="E68" s="20">
        <f ca="1">DSUM($B$43:$X$48,E$43,$C$55:$D68)</f>
        <v>8.7306221932550911E-3</v>
      </c>
      <c r="F68" s="20">
        <f ca="1">DSUM($B$43:$X$48,F$43,$C$55:$D68)</f>
        <v>1.69056761103531E-2</v>
      </c>
      <c r="G68" s="20">
        <f ca="1">DSUM($B$43:$X$48,G$43,$C$55:$D68)</f>
        <v>2.4448056636096158E-2</v>
      </c>
      <c r="H68" s="20">
        <f ca="1">DSUM($B$43:$X$48,H$43,$C$55:$D68)</f>
        <v>3.1551246888191636E-2</v>
      </c>
      <c r="I68" s="20">
        <f ca="1">DSUM($B$43:$X$48,I$43,$C$55:$D68)</f>
        <v>3.8178954828127505E-2</v>
      </c>
      <c r="J68" s="20">
        <f ca="1">DSUM($B$43:$X$48,J$43,$C$55:$D68)</f>
        <v>4.3281428318227691E-2</v>
      </c>
      <c r="K68" s="20">
        <f ca="1">DSUM($B$43:$X$48,K$43,$C$55:$D68)</f>
        <v>4.7545271233612518E-2</v>
      </c>
      <c r="L68" s="20">
        <f ca="1">DSUM($B$43:$X$48,L$43,$C$55:$D68)</f>
        <v>5.1875316351907341E-2</v>
      </c>
      <c r="M68" s="20">
        <f ca="1">DSUM($B$43:$X$48,M$43,$C$55:$D68)</f>
        <v>5.5250720582833153E-2</v>
      </c>
      <c r="N68" s="20">
        <f ca="1">DSUM($B$43:$X$48,N$43,$C$55:$D68)</f>
        <v>5.9977984300049608E-2</v>
      </c>
      <c r="O68" s="20">
        <f ca="1">DSUM($B$43:$X$48,O$43,$C$55:$D68)</f>
        <v>6.2491422509099025E-2</v>
      </c>
      <c r="P68" s="20">
        <f ca="1">DSUM($B$43:$X$48,P$43,$C$55:$D68)</f>
        <v>6.3731902830535217E-2</v>
      </c>
      <c r="Q68" s="20">
        <f ca="1">DSUM($B$43:$X$48,Q$43,$C$55:$D68)</f>
        <v>6.4041184704201698E-2</v>
      </c>
      <c r="R68" s="20">
        <f ca="1">DSUM($B$43:$X$48,R$43,$C$55:$D68)</f>
        <v>6.4978957104612975E-2</v>
      </c>
      <c r="S68" s="20">
        <f ca="1">DSUM($B$43:$X$48,S$43,$C$55:$D68)</f>
        <v>6.6020944422639616E-2</v>
      </c>
      <c r="T68" s="20">
        <f ca="1">DSUM($B$43:$X$48,T$43,$C$55:$D68)</f>
        <v>6.6159931991605733E-2</v>
      </c>
      <c r="U68" s="20">
        <f ca="1">DSUM($B$43:$X$48,U$43,$C$55:$D68)</f>
        <v>6.5019985715259118E-2</v>
      </c>
      <c r="V68" s="20">
        <f ca="1">DSUM($B$43:$X$48,V$43,$C$55:$D68)</f>
        <v>6.4632538981338639E-2</v>
      </c>
      <c r="W68" s="20">
        <f ca="1">DSUM($B$43:$X$48,W$43,$C$55:$D68)</f>
        <v>6.5009741899080917E-2</v>
      </c>
      <c r="X68" s="20">
        <f ca="1">DSUM($B$43:$X$48,X$43,$C$55:$D68)</f>
        <v>6.5210626032025099E-2</v>
      </c>
      <c r="Y68" s="20"/>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B69" s="7" t="s">
        <v>108</v>
      </c>
      <c r="C69" s="38" t="s">
        <v>109</v>
      </c>
      <c r="D69" s="38" t="s">
        <v>110</v>
      </c>
      <c r="E69" s="20">
        <f ca="1">DSUM($B$43:$X$48,E$43,$C$55:$D69)</f>
        <v>8.7306221932550911E-3</v>
      </c>
      <c r="F69" s="20">
        <f ca="1">DSUM($B$43:$X$48,F$43,$C$55:$D69)</f>
        <v>1.69056761103531E-2</v>
      </c>
      <c r="G69" s="20">
        <f ca="1">DSUM($B$43:$X$48,G$43,$C$55:$D69)</f>
        <v>2.4448056636096158E-2</v>
      </c>
      <c r="H69" s="20">
        <f ca="1">DSUM($B$43:$X$48,H$43,$C$55:$D69)</f>
        <v>3.1551246888191636E-2</v>
      </c>
      <c r="I69" s="20">
        <f ca="1">DSUM($B$43:$X$48,I$43,$C$55:$D69)</f>
        <v>3.8178954828127505E-2</v>
      </c>
      <c r="J69" s="20">
        <f ca="1">DSUM($B$43:$X$48,J$43,$C$55:$D69)</f>
        <v>4.3281428318227691E-2</v>
      </c>
      <c r="K69" s="20">
        <f ca="1">DSUM($B$43:$X$48,K$43,$C$55:$D69)</f>
        <v>4.7545271233612518E-2</v>
      </c>
      <c r="L69" s="20">
        <f ca="1">DSUM($B$43:$X$48,L$43,$C$55:$D69)</f>
        <v>5.1875316351907341E-2</v>
      </c>
      <c r="M69" s="20">
        <f ca="1">DSUM($B$43:$X$48,M$43,$C$55:$D69)</f>
        <v>5.5250720582833153E-2</v>
      </c>
      <c r="N69" s="20">
        <f ca="1">DSUM($B$43:$X$48,N$43,$C$55:$D69)</f>
        <v>5.9977984300049608E-2</v>
      </c>
      <c r="O69" s="20">
        <f ca="1">DSUM($B$43:$X$48,O$43,$C$55:$D69)</f>
        <v>6.2491422509099025E-2</v>
      </c>
      <c r="P69" s="20">
        <f ca="1">DSUM($B$43:$X$48,P$43,$C$55:$D69)</f>
        <v>6.3731902830535217E-2</v>
      </c>
      <c r="Q69" s="20">
        <f ca="1">DSUM($B$43:$X$48,Q$43,$C$55:$D69)</f>
        <v>6.4041184704201698E-2</v>
      </c>
      <c r="R69" s="20">
        <f ca="1">DSUM($B$43:$X$48,R$43,$C$55:$D69)</f>
        <v>6.4978957104612975E-2</v>
      </c>
      <c r="S69" s="20">
        <f ca="1">DSUM($B$43:$X$48,S$43,$C$55:$D69)</f>
        <v>6.6020944422639616E-2</v>
      </c>
      <c r="T69" s="20">
        <f ca="1">DSUM($B$43:$X$48,T$43,$C$55:$D69)</f>
        <v>6.6159931991605733E-2</v>
      </c>
      <c r="U69" s="20">
        <f ca="1">DSUM($B$43:$X$48,U$43,$C$55:$D69)</f>
        <v>6.5019985715259118E-2</v>
      </c>
      <c r="V69" s="20">
        <f ca="1">DSUM($B$43:$X$48,V$43,$C$55:$D69)</f>
        <v>6.4632538981338639E-2</v>
      </c>
      <c r="W69" s="20">
        <f ca="1">DSUM($B$43:$X$48,W$43,$C$55:$D69)</f>
        <v>6.5009741899080917E-2</v>
      </c>
      <c r="X69" s="20">
        <f ca="1">DSUM($B$43:$X$48,X$43,$C$55:$D69)</f>
        <v>6.5210626032025099E-2</v>
      </c>
      <c r="Y69" s="20"/>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B70" s="7" t="s">
        <v>111</v>
      </c>
      <c r="C70" s="38" t="s">
        <v>112</v>
      </c>
      <c r="D70" s="38" t="s">
        <v>113</v>
      </c>
      <c r="E70" s="20">
        <f ca="1">DSUM($B$43:$X$48,E$43,$C$55:$D70)</f>
        <v>8.7306221932550911E-3</v>
      </c>
      <c r="F70" s="20">
        <f ca="1">DSUM($B$43:$X$48,F$43,$C$55:$D70)</f>
        <v>1.69056761103531E-2</v>
      </c>
      <c r="G70" s="20">
        <f ca="1">DSUM($B$43:$X$48,G$43,$C$55:$D70)</f>
        <v>2.4448056636096158E-2</v>
      </c>
      <c r="H70" s="20">
        <f ca="1">DSUM($B$43:$X$48,H$43,$C$55:$D70)</f>
        <v>3.1551246888191636E-2</v>
      </c>
      <c r="I70" s="20">
        <f ca="1">DSUM($B$43:$X$48,I$43,$C$55:$D70)</f>
        <v>3.8178954828127505E-2</v>
      </c>
      <c r="J70" s="20">
        <f ca="1">DSUM($B$43:$X$48,J$43,$C$55:$D70)</f>
        <v>4.3281428318227691E-2</v>
      </c>
      <c r="K70" s="20">
        <f ca="1">DSUM($B$43:$X$48,K$43,$C$55:$D70)</f>
        <v>4.7545271233612518E-2</v>
      </c>
      <c r="L70" s="20">
        <f ca="1">DSUM($B$43:$X$48,L$43,$C$55:$D70)</f>
        <v>5.1875316351907341E-2</v>
      </c>
      <c r="M70" s="20">
        <f ca="1">DSUM($B$43:$X$48,M$43,$C$55:$D70)</f>
        <v>5.5250720582833153E-2</v>
      </c>
      <c r="N70" s="20">
        <f ca="1">DSUM($B$43:$X$48,N$43,$C$55:$D70)</f>
        <v>5.9977984300049608E-2</v>
      </c>
      <c r="O70" s="20">
        <f ca="1">DSUM($B$43:$X$48,O$43,$C$55:$D70)</f>
        <v>6.2491422509099025E-2</v>
      </c>
      <c r="P70" s="20">
        <f ca="1">DSUM($B$43:$X$48,P$43,$C$55:$D70)</f>
        <v>6.3731902830535217E-2</v>
      </c>
      <c r="Q70" s="20">
        <f ca="1">DSUM($B$43:$X$48,Q$43,$C$55:$D70)</f>
        <v>6.4041184704201698E-2</v>
      </c>
      <c r="R70" s="20">
        <f ca="1">DSUM($B$43:$X$48,R$43,$C$55:$D70)</f>
        <v>6.4978957104612975E-2</v>
      </c>
      <c r="S70" s="20">
        <f ca="1">DSUM($B$43:$X$48,S$43,$C$55:$D70)</f>
        <v>6.6020944422639616E-2</v>
      </c>
      <c r="T70" s="20">
        <f ca="1">DSUM($B$43:$X$48,T$43,$C$55:$D70)</f>
        <v>6.6159931991605733E-2</v>
      </c>
      <c r="U70" s="20">
        <f ca="1">DSUM($B$43:$X$48,U$43,$C$55:$D70)</f>
        <v>6.5019985715259118E-2</v>
      </c>
      <c r="V70" s="20">
        <f ca="1">DSUM($B$43:$X$48,V$43,$C$55:$D70)</f>
        <v>6.4632538981338639E-2</v>
      </c>
      <c r="W70" s="20">
        <f ca="1">DSUM($B$43:$X$48,W$43,$C$55:$D70)</f>
        <v>6.5009741899080917E-2</v>
      </c>
      <c r="X70" s="20">
        <f ca="1">DSUM($B$43:$X$48,X$43,$C$55:$D70)</f>
        <v>6.5210626032025099E-2</v>
      </c>
      <c r="Y70" s="2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7" t="s">
        <v>114</v>
      </c>
      <c r="C71" s="38" t="s">
        <v>115</v>
      </c>
      <c r="D71" s="38" t="s">
        <v>116</v>
      </c>
      <c r="E71" s="20">
        <f ca="1">DSUM($B$43:$X$48,E$43,$C$55:$D71)</f>
        <v>8.7306221932550911E-3</v>
      </c>
      <c r="F71" s="20">
        <f ca="1">DSUM($B$43:$X$48,F$43,$C$55:$D71)</f>
        <v>1.69056761103531E-2</v>
      </c>
      <c r="G71" s="20">
        <f ca="1">DSUM($B$43:$X$48,G$43,$C$55:$D71)</f>
        <v>2.4448056636096158E-2</v>
      </c>
      <c r="H71" s="20">
        <f ca="1">DSUM($B$43:$X$48,H$43,$C$55:$D71)</f>
        <v>3.1551246888191636E-2</v>
      </c>
      <c r="I71" s="20">
        <f ca="1">DSUM($B$43:$X$48,I$43,$C$55:$D71)</f>
        <v>3.8178954828127505E-2</v>
      </c>
      <c r="J71" s="20">
        <f ca="1">DSUM($B$43:$X$48,J$43,$C$55:$D71)</f>
        <v>4.3281428318227691E-2</v>
      </c>
      <c r="K71" s="20">
        <f ca="1">DSUM($B$43:$X$48,K$43,$C$55:$D71)</f>
        <v>4.7545271233612518E-2</v>
      </c>
      <c r="L71" s="20">
        <f ca="1">DSUM($B$43:$X$48,L$43,$C$55:$D71)</f>
        <v>5.1875316351907341E-2</v>
      </c>
      <c r="M71" s="20">
        <f ca="1">DSUM($B$43:$X$48,M$43,$C$55:$D71)</f>
        <v>5.5250720582833153E-2</v>
      </c>
      <c r="N71" s="20">
        <f ca="1">DSUM($B$43:$X$48,N$43,$C$55:$D71)</f>
        <v>5.9977984300049608E-2</v>
      </c>
      <c r="O71" s="20">
        <f ca="1">DSUM($B$43:$X$48,O$43,$C$55:$D71)</f>
        <v>6.2491422509099025E-2</v>
      </c>
      <c r="P71" s="20">
        <f ca="1">DSUM($B$43:$X$48,P$43,$C$55:$D71)</f>
        <v>6.3731902830535217E-2</v>
      </c>
      <c r="Q71" s="20">
        <f ca="1">DSUM($B$43:$X$48,Q$43,$C$55:$D71)</f>
        <v>6.4041184704201698E-2</v>
      </c>
      <c r="R71" s="20">
        <f ca="1">DSUM($B$43:$X$48,R$43,$C$55:$D71)</f>
        <v>6.4978957104612975E-2</v>
      </c>
      <c r="S71" s="20">
        <f ca="1">DSUM($B$43:$X$48,S$43,$C$55:$D71)</f>
        <v>6.6020944422639616E-2</v>
      </c>
      <c r="T71" s="20">
        <f ca="1">DSUM($B$43:$X$48,T$43,$C$55:$D71)</f>
        <v>6.6159931991605733E-2</v>
      </c>
      <c r="U71" s="20">
        <f ca="1">DSUM($B$43:$X$48,U$43,$C$55:$D71)</f>
        <v>6.5019985715259118E-2</v>
      </c>
      <c r="V71" s="20">
        <f ca="1">DSUM($B$43:$X$48,V$43,$C$55:$D71)</f>
        <v>6.4632538981338639E-2</v>
      </c>
      <c r="W71" s="20">
        <f ca="1">DSUM($B$43:$X$48,W$43,$C$55:$D71)</f>
        <v>6.5009741899080917E-2</v>
      </c>
      <c r="X71" s="20">
        <f ca="1">DSUM($B$43:$X$48,X$43,$C$55:$D71)</f>
        <v>6.5210626032025099E-2</v>
      </c>
      <c r="Y71" s="20"/>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B72" s="7" t="s">
        <v>117</v>
      </c>
      <c r="C72" s="38" t="s">
        <v>118</v>
      </c>
      <c r="D72" s="38" t="s">
        <v>119</v>
      </c>
      <c r="E72" s="20">
        <f ca="1">DSUM($B$43:$X$48,E$43,$C$55:$D72)</f>
        <v>8.7306221932550911E-3</v>
      </c>
      <c r="F72" s="20">
        <f ca="1">DSUM($B$43:$X$48,F$43,$C$55:$D72)</f>
        <v>1.69056761103531E-2</v>
      </c>
      <c r="G72" s="20">
        <f ca="1">DSUM($B$43:$X$48,G$43,$C$55:$D72)</f>
        <v>2.4448056636096158E-2</v>
      </c>
      <c r="H72" s="20">
        <f ca="1">DSUM($B$43:$X$48,H$43,$C$55:$D72)</f>
        <v>3.1551246888191636E-2</v>
      </c>
      <c r="I72" s="20">
        <f ca="1">DSUM($B$43:$X$48,I$43,$C$55:$D72)</f>
        <v>3.8178954828127505E-2</v>
      </c>
      <c r="J72" s="20">
        <f ca="1">DSUM($B$43:$X$48,J$43,$C$55:$D72)</f>
        <v>4.3281428318227691E-2</v>
      </c>
      <c r="K72" s="20">
        <f ca="1">DSUM($B$43:$X$48,K$43,$C$55:$D72)</f>
        <v>4.7545271233612518E-2</v>
      </c>
      <c r="L72" s="20">
        <f ca="1">DSUM($B$43:$X$48,L$43,$C$55:$D72)</f>
        <v>5.1875316351907341E-2</v>
      </c>
      <c r="M72" s="20">
        <f ca="1">DSUM($B$43:$X$48,M$43,$C$55:$D72)</f>
        <v>5.5250720582833153E-2</v>
      </c>
      <c r="N72" s="20">
        <f ca="1">DSUM($B$43:$X$48,N$43,$C$55:$D72)</f>
        <v>5.9977984300049608E-2</v>
      </c>
      <c r="O72" s="20">
        <f ca="1">DSUM($B$43:$X$48,O$43,$C$55:$D72)</f>
        <v>6.2491422509099025E-2</v>
      </c>
      <c r="P72" s="20">
        <f ca="1">DSUM($B$43:$X$48,P$43,$C$55:$D72)</f>
        <v>6.3731902830535217E-2</v>
      </c>
      <c r="Q72" s="20">
        <f ca="1">DSUM($B$43:$X$48,Q$43,$C$55:$D72)</f>
        <v>6.4041184704201698E-2</v>
      </c>
      <c r="R72" s="20">
        <f ca="1">DSUM($B$43:$X$48,R$43,$C$55:$D72)</f>
        <v>6.4978957104612975E-2</v>
      </c>
      <c r="S72" s="20">
        <f ca="1">DSUM($B$43:$X$48,S$43,$C$55:$D72)</f>
        <v>6.6020944422639616E-2</v>
      </c>
      <c r="T72" s="20">
        <f ca="1">DSUM($B$43:$X$48,T$43,$C$55:$D72)</f>
        <v>6.6159931991605733E-2</v>
      </c>
      <c r="U72" s="20">
        <f ca="1">DSUM($B$43:$X$48,U$43,$C$55:$D72)</f>
        <v>6.5019985715259118E-2</v>
      </c>
      <c r="V72" s="20">
        <f ca="1">DSUM($B$43:$X$48,V$43,$C$55:$D72)</f>
        <v>6.4632538981338639E-2</v>
      </c>
      <c r="W72" s="20">
        <f ca="1">DSUM($B$43:$X$48,W$43,$C$55:$D72)</f>
        <v>6.5009741899080917E-2</v>
      </c>
      <c r="X72" s="20">
        <f ca="1">DSUM($B$43:$X$48,X$43,$C$55:$D72)</f>
        <v>6.5210626032025099E-2</v>
      </c>
      <c r="Y72" s="20"/>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7" t="s">
        <v>120</v>
      </c>
      <c r="C73" s="38" t="s">
        <v>121</v>
      </c>
      <c r="D73" s="38" t="s">
        <v>122</v>
      </c>
      <c r="E73" s="20">
        <f ca="1">DSUM($B$43:$X$48,E$43,$C$55:$D73)</f>
        <v>8.7306221932550911E-3</v>
      </c>
      <c r="F73" s="20">
        <f ca="1">DSUM($B$43:$X$48,F$43,$C$55:$D73)</f>
        <v>1.69056761103531E-2</v>
      </c>
      <c r="G73" s="20">
        <f ca="1">DSUM($B$43:$X$48,G$43,$C$55:$D73)</f>
        <v>2.4448056636096158E-2</v>
      </c>
      <c r="H73" s="20">
        <f ca="1">DSUM($B$43:$X$48,H$43,$C$55:$D73)</f>
        <v>3.1551246888191636E-2</v>
      </c>
      <c r="I73" s="20">
        <f ca="1">DSUM($B$43:$X$48,I$43,$C$55:$D73)</f>
        <v>3.8178954828127505E-2</v>
      </c>
      <c r="J73" s="20">
        <f ca="1">DSUM($B$43:$X$48,J$43,$C$55:$D73)</f>
        <v>4.3281428318227691E-2</v>
      </c>
      <c r="K73" s="20">
        <f ca="1">DSUM($B$43:$X$48,K$43,$C$55:$D73)</f>
        <v>4.7545271233612518E-2</v>
      </c>
      <c r="L73" s="20">
        <f ca="1">DSUM($B$43:$X$48,L$43,$C$55:$D73)</f>
        <v>5.1875316351907341E-2</v>
      </c>
      <c r="M73" s="20">
        <f ca="1">DSUM($B$43:$X$48,M$43,$C$55:$D73)</f>
        <v>5.5250720582833153E-2</v>
      </c>
      <c r="N73" s="20">
        <f ca="1">DSUM($B$43:$X$48,N$43,$C$55:$D73)</f>
        <v>5.9977984300049608E-2</v>
      </c>
      <c r="O73" s="20">
        <f ca="1">DSUM($B$43:$X$48,O$43,$C$55:$D73)</f>
        <v>6.2491422509099025E-2</v>
      </c>
      <c r="P73" s="20">
        <f ca="1">DSUM($B$43:$X$48,P$43,$C$55:$D73)</f>
        <v>6.3731902830535217E-2</v>
      </c>
      <c r="Q73" s="20">
        <f ca="1">DSUM($B$43:$X$48,Q$43,$C$55:$D73)</f>
        <v>6.4041184704201698E-2</v>
      </c>
      <c r="R73" s="20">
        <f ca="1">DSUM($B$43:$X$48,R$43,$C$55:$D73)</f>
        <v>6.4978957104612975E-2</v>
      </c>
      <c r="S73" s="20">
        <f ca="1">DSUM($B$43:$X$48,S$43,$C$55:$D73)</f>
        <v>6.6020944422639616E-2</v>
      </c>
      <c r="T73" s="20">
        <f ca="1">DSUM($B$43:$X$48,T$43,$C$55:$D73)</f>
        <v>6.6159931991605733E-2</v>
      </c>
      <c r="U73" s="20">
        <f ca="1">DSUM($B$43:$X$48,U$43,$C$55:$D73)</f>
        <v>6.5019985715259118E-2</v>
      </c>
      <c r="V73" s="20">
        <f ca="1">DSUM($B$43:$X$48,V$43,$C$55:$D73)</f>
        <v>6.4632538981338639E-2</v>
      </c>
      <c r="W73" s="20">
        <f ca="1">DSUM($B$43:$X$48,W$43,$C$55:$D73)</f>
        <v>6.5009741899080917E-2</v>
      </c>
      <c r="X73" s="20">
        <f ca="1">DSUM($B$43:$X$48,X$43,$C$55:$D73)</f>
        <v>6.5210626032025099E-2</v>
      </c>
      <c r="Y73" s="20"/>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7" t="s">
        <v>123</v>
      </c>
      <c r="C74" s="38" t="s">
        <v>124</v>
      </c>
      <c r="D74" s="38" t="s">
        <v>125</v>
      </c>
      <c r="E74" s="20">
        <f ca="1">DSUM($B$43:$X$48,E$43,$C$55:$D74)</f>
        <v>8.7306221932550911E-3</v>
      </c>
      <c r="F74" s="20">
        <f ca="1">DSUM($B$43:$X$48,F$43,$C$55:$D74)</f>
        <v>1.69056761103531E-2</v>
      </c>
      <c r="G74" s="20">
        <f ca="1">DSUM($B$43:$X$48,G$43,$C$55:$D74)</f>
        <v>2.4448056636096158E-2</v>
      </c>
      <c r="H74" s="20">
        <f ca="1">DSUM($B$43:$X$48,H$43,$C$55:$D74)</f>
        <v>3.1551246888191636E-2</v>
      </c>
      <c r="I74" s="20">
        <f ca="1">DSUM($B$43:$X$48,I$43,$C$55:$D74)</f>
        <v>3.8178954828127505E-2</v>
      </c>
      <c r="J74" s="20">
        <f ca="1">DSUM($B$43:$X$48,J$43,$C$55:$D74)</f>
        <v>4.3281428318227691E-2</v>
      </c>
      <c r="K74" s="20">
        <f ca="1">DSUM($B$43:$X$48,K$43,$C$55:$D74)</f>
        <v>4.7545271233612518E-2</v>
      </c>
      <c r="L74" s="20">
        <f ca="1">DSUM($B$43:$X$48,L$43,$C$55:$D74)</f>
        <v>5.1875316351907341E-2</v>
      </c>
      <c r="M74" s="20">
        <f ca="1">DSUM($B$43:$X$48,M$43,$C$55:$D74)</f>
        <v>5.5250720582833153E-2</v>
      </c>
      <c r="N74" s="20">
        <f ca="1">DSUM($B$43:$X$48,N$43,$C$55:$D74)</f>
        <v>5.9977984300049608E-2</v>
      </c>
      <c r="O74" s="20">
        <f ca="1">DSUM($B$43:$X$48,O$43,$C$55:$D74)</f>
        <v>6.2491422509099025E-2</v>
      </c>
      <c r="P74" s="20">
        <f ca="1">DSUM($B$43:$X$48,P$43,$C$55:$D74)</f>
        <v>6.3731902830535217E-2</v>
      </c>
      <c r="Q74" s="20">
        <f ca="1">DSUM($B$43:$X$48,Q$43,$C$55:$D74)</f>
        <v>6.4041184704201698E-2</v>
      </c>
      <c r="R74" s="20">
        <f ca="1">DSUM($B$43:$X$48,R$43,$C$55:$D74)</f>
        <v>6.4978957104612975E-2</v>
      </c>
      <c r="S74" s="20">
        <f ca="1">DSUM($B$43:$X$48,S$43,$C$55:$D74)</f>
        <v>6.6020944422639616E-2</v>
      </c>
      <c r="T74" s="20">
        <f ca="1">DSUM($B$43:$X$48,T$43,$C$55:$D74)</f>
        <v>6.6159931991605733E-2</v>
      </c>
      <c r="U74" s="20">
        <f ca="1">DSUM($B$43:$X$48,U$43,$C$55:$D74)</f>
        <v>6.5019985715259118E-2</v>
      </c>
      <c r="V74" s="20">
        <f ca="1">DSUM($B$43:$X$48,V$43,$C$55:$D74)</f>
        <v>6.4632538981338639E-2</v>
      </c>
      <c r="W74" s="20">
        <f ca="1">DSUM($B$43:$X$48,W$43,$C$55:$D74)</f>
        <v>6.5009741899080917E-2</v>
      </c>
      <c r="X74" s="20">
        <f ca="1">DSUM($B$43:$X$48,X$43,$C$55:$D74)</f>
        <v>6.5210626032025099E-2</v>
      </c>
      <c r="Y74" s="20"/>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7" t="s">
        <v>126</v>
      </c>
      <c r="C75" s="38" t="s">
        <v>127</v>
      </c>
      <c r="D75" s="38" t="s">
        <v>128</v>
      </c>
      <c r="E75" s="20">
        <f ca="1">DSUM($B$43:$X$48,E$43,$C$55:$D75)</f>
        <v>8.7306221932550911E-3</v>
      </c>
      <c r="F75" s="20">
        <f ca="1">DSUM($B$43:$X$48,F$43,$C$55:$D75)</f>
        <v>1.69056761103531E-2</v>
      </c>
      <c r="G75" s="20">
        <f ca="1">DSUM($B$43:$X$48,G$43,$C$55:$D75)</f>
        <v>2.4448056636096158E-2</v>
      </c>
      <c r="H75" s="20">
        <f ca="1">DSUM($B$43:$X$48,H$43,$C$55:$D75)</f>
        <v>3.1551246888191636E-2</v>
      </c>
      <c r="I75" s="20">
        <f ca="1">DSUM($B$43:$X$48,I$43,$C$55:$D75)</f>
        <v>3.8178954828127505E-2</v>
      </c>
      <c r="J75" s="20">
        <f ca="1">DSUM($B$43:$X$48,J$43,$C$55:$D75)</f>
        <v>4.3281428318227691E-2</v>
      </c>
      <c r="K75" s="20">
        <f ca="1">DSUM($B$43:$X$48,K$43,$C$55:$D75)</f>
        <v>4.7545271233612518E-2</v>
      </c>
      <c r="L75" s="20">
        <f ca="1">DSUM($B$43:$X$48,L$43,$C$55:$D75)</f>
        <v>5.1875316351907341E-2</v>
      </c>
      <c r="M75" s="20">
        <f ca="1">DSUM($B$43:$X$48,M$43,$C$55:$D75)</f>
        <v>5.5250720582833153E-2</v>
      </c>
      <c r="N75" s="20">
        <f ca="1">DSUM($B$43:$X$48,N$43,$C$55:$D75)</f>
        <v>5.9977984300049608E-2</v>
      </c>
      <c r="O75" s="20">
        <f ca="1">DSUM($B$43:$X$48,O$43,$C$55:$D75)</f>
        <v>6.2491422509099025E-2</v>
      </c>
      <c r="P75" s="20">
        <f ca="1">DSUM($B$43:$X$48,P$43,$C$55:$D75)</f>
        <v>6.3731902830535217E-2</v>
      </c>
      <c r="Q75" s="20">
        <f ca="1">DSUM($B$43:$X$48,Q$43,$C$55:$D75)</f>
        <v>6.4041184704201698E-2</v>
      </c>
      <c r="R75" s="20">
        <f ca="1">DSUM($B$43:$X$48,R$43,$C$55:$D75)</f>
        <v>6.4978957104612975E-2</v>
      </c>
      <c r="S75" s="20">
        <f ca="1">DSUM($B$43:$X$48,S$43,$C$55:$D75)</f>
        <v>6.6020944422639616E-2</v>
      </c>
      <c r="T75" s="20">
        <f ca="1">DSUM($B$43:$X$48,T$43,$C$55:$D75)</f>
        <v>6.6159931991605733E-2</v>
      </c>
      <c r="U75" s="20">
        <f ca="1">DSUM($B$43:$X$48,U$43,$C$55:$D75)</f>
        <v>6.5019985715259118E-2</v>
      </c>
      <c r="V75" s="20">
        <f ca="1">DSUM($B$43:$X$48,V$43,$C$55:$D75)</f>
        <v>6.4632538981338639E-2</v>
      </c>
      <c r="W75" s="20">
        <f ca="1">DSUM($B$43:$X$48,W$43,$C$55:$D75)</f>
        <v>6.5009741899080917E-2</v>
      </c>
      <c r="X75" s="20">
        <f ca="1">DSUM($B$43:$X$48,X$43,$C$55:$D75)</f>
        <v>6.5210626032025099E-2</v>
      </c>
      <c r="Y75" s="20"/>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7" t="s">
        <v>129</v>
      </c>
      <c r="C76" s="38" t="s">
        <v>130</v>
      </c>
      <c r="D76" s="38" t="s">
        <v>131</v>
      </c>
      <c r="E76" s="20">
        <f ca="1">DSUM($B$43:$X$48,E$43,$C$55:$D76)</f>
        <v>8.7306221932550911E-3</v>
      </c>
      <c r="F76" s="20">
        <f ca="1">DSUM($B$43:$X$48,F$43,$C$55:$D76)</f>
        <v>1.69056761103531E-2</v>
      </c>
      <c r="G76" s="20">
        <f ca="1">DSUM($B$43:$X$48,G$43,$C$55:$D76)</f>
        <v>2.4448056636096158E-2</v>
      </c>
      <c r="H76" s="20">
        <f ca="1">DSUM($B$43:$X$48,H$43,$C$55:$D76)</f>
        <v>3.1551246888191636E-2</v>
      </c>
      <c r="I76" s="20">
        <f ca="1">DSUM($B$43:$X$48,I$43,$C$55:$D76)</f>
        <v>3.8178954828127505E-2</v>
      </c>
      <c r="J76" s="20">
        <f ca="1">DSUM($B$43:$X$48,J$43,$C$55:$D76)</f>
        <v>4.3281428318227691E-2</v>
      </c>
      <c r="K76" s="20">
        <f ca="1">DSUM($B$43:$X$48,K$43,$C$55:$D76)</f>
        <v>4.7545271233612518E-2</v>
      </c>
      <c r="L76" s="20">
        <f ca="1">DSUM($B$43:$X$48,L$43,$C$55:$D76)</f>
        <v>5.1875316351907341E-2</v>
      </c>
      <c r="M76" s="20">
        <f ca="1">DSUM($B$43:$X$48,M$43,$C$55:$D76)</f>
        <v>5.5250720582833153E-2</v>
      </c>
      <c r="N76" s="20">
        <f ca="1">DSUM($B$43:$X$48,N$43,$C$55:$D76)</f>
        <v>5.9977984300049608E-2</v>
      </c>
      <c r="O76" s="20">
        <f ca="1">DSUM($B$43:$X$48,O$43,$C$55:$D76)</f>
        <v>6.2491422509099025E-2</v>
      </c>
      <c r="P76" s="20">
        <f ca="1">DSUM($B$43:$X$48,P$43,$C$55:$D76)</f>
        <v>6.3731902830535217E-2</v>
      </c>
      <c r="Q76" s="20">
        <f ca="1">DSUM($B$43:$X$48,Q$43,$C$55:$D76)</f>
        <v>6.4041184704201698E-2</v>
      </c>
      <c r="R76" s="20">
        <f ca="1">DSUM($B$43:$X$48,R$43,$C$55:$D76)</f>
        <v>6.4978957104612975E-2</v>
      </c>
      <c r="S76" s="20">
        <f ca="1">DSUM($B$43:$X$48,S$43,$C$55:$D76)</f>
        <v>6.6020944422639616E-2</v>
      </c>
      <c r="T76" s="20">
        <f ca="1">DSUM($B$43:$X$48,T$43,$C$55:$D76)</f>
        <v>6.6159931991605733E-2</v>
      </c>
      <c r="U76" s="20">
        <f ca="1">DSUM($B$43:$X$48,U$43,$C$55:$D76)</f>
        <v>6.5019985715259118E-2</v>
      </c>
      <c r="V76" s="20">
        <f ca="1">DSUM($B$43:$X$48,V$43,$C$55:$D76)</f>
        <v>6.4632538981338639E-2</v>
      </c>
      <c r="W76" s="20">
        <f ca="1">DSUM($B$43:$X$48,W$43,$C$55:$D76)</f>
        <v>6.5009741899080917E-2</v>
      </c>
      <c r="X76" s="20">
        <f ca="1">DSUM($B$43:$X$48,X$43,$C$55:$D76)</f>
        <v>6.5210626032025099E-2</v>
      </c>
      <c r="Y76" s="20"/>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7" t="s">
        <v>406</v>
      </c>
      <c r="C77" s="38" t="s">
        <v>133</v>
      </c>
      <c r="D77" s="38" t="s">
        <v>427</v>
      </c>
      <c r="E77" s="20">
        <f ca="1">DSUM($B$43:$X$48,E$43,$C$55:$D77)</f>
        <v>8.7306221932550911E-3</v>
      </c>
      <c r="F77" s="20">
        <f ca="1">DSUM($B$43:$X$48,F$43,$C$55:$D77)</f>
        <v>1.69056761103531E-2</v>
      </c>
      <c r="G77" s="20">
        <f ca="1">DSUM($B$43:$X$48,G$43,$C$55:$D77)</f>
        <v>2.4448056636096158E-2</v>
      </c>
      <c r="H77" s="20">
        <f ca="1">DSUM($B$43:$X$48,H$43,$C$55:$D77)</f>
        <v>3.1551246888191636E-2</v>
      </c>
      <c r="I77" s="20">
        <f ca="1">DSUM($B$43:$X$48,I$43,$C$55:$D77)</f>
        <v>3.8178954828127505E-2</v>
      </c>
      <c r="J77" s="20">
        <f ca="1">DSUM($B$43:$X$48,J$43,$C$55:$D77)</f>
        <v>4.3281428318227691E-2</v>
      </c>
      <c r="K77" s="20">
        <f ca="1">DSUM($B$43:$X$48,K$43,$C$55:$D77)</f>
        <v>4.7545271233612518E-2</v>
      </c>
      <c r="L77" s="20">
        <f ca="1">DSUM($B$43:$X$48,L$43,$C$55:$D77)</f>
        <v>5.1875316351907341E-2</v>
      </c>
      <c r="M77" s="20">
        <f ca="1">DSUM($B$43:$X$48,M$43,$C$55:$D77)</f>
        <v>5.5250720582833153E-2</v>
      </c>
      <c r="N77" s="20">
        <f ca="1">DSUM($B$43:$X$48,N$43,$C$55:$D77)</f>
        <v>5.9977984300049608E-2</v>
      </c>
      <c r="O77" s="20">
        <f ca="1">DSUM($B$43:$X$48,O$43,$C$55:$D77)</f>
        <v>6.2491422509099025E-2</v>
      </c>
      <c r="P77" s="20">
        <f ca="1">DSUM($B$43:$X$48,P$43,$C$55:$D77)</f>
        <v>6.3731902830535217E-2</v>
      </c>
      <c r="Q77" s="20">
        <f ca="1">DSUM($B$43:$X$48,Q$43,$C$55:$D77)</f>
        <v>6.4041184704201698E-2</v>
      </c>
      <c r="R77" s="20">
        <f ca="1">DSUM($B$43:$X$48,R$43,$C$55:$D77)</f>
        <v>6.4978957104612975E-2</v>
      </c>
      <c r="S77" s="20">
        <f ca="1">DSUM($B$43:$X$48,S$43,$C$55:$D77)</f>
        <v>6.6020944422639616E-2</v>
      </c>
      <c r="T77" s="20">
        <f ca="1">DSUM($B$43:$X$48,T$43,$C$55:$D77)</f>
        <v>6.6159931991605733E-2</v>
      </c>
      <c r="U77" s="20">
        <f ca="1">DSUM($B$43:$X$48,U$43,$C$55:$D77)</f>
        <v>6.5019985715259118E-2</v>
      </c>
      <c r="V77" s="20">
        <f ca="1">DSUM($B$43:$X$48,V$43,$C$55:$D77)</f>
        <v>6.4632538981338639E-2</v>
      </c>
      <c r="W77" s="20">
        <f ca="1">DSUM($B$43:$X$48,W$43,$C$55:$D77)</f>
        <v>6.5009741899080917E-2</v>
      </c>
      <c r="X77" s="20">
        <f ca="1">DSUM($B$43:$X$48,X$43,$C$55:$D77)</f>
        <v>6.5210626032025099E-2</v>
      </c>
      <c r="Y77" s="20"/>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ustomFormat="1">
      <c r="A78" s="7"/>
      <c r="B78" s="7" t="s">
        <v>407</v>
      </c>
      <c r="C78" s="38" t="s">
        <v>417</v>
      </c>
      <c r="D78" s="38" t="s">
        <v>428</v>
      </c>
      <c r="E78" s="20">
        <f ca="1">DSUM($B$43:$X$48,E$43,$C$55:$D78)</f>
        <v>8.7306221932550911E-3</v>
      </c>
      <c r="F78" s="20">
        <f ca="1">DSUM($B$43:$X$48,F$43,$C$55:$D78)</f>
        <v>1.69056761103531E-2</v>
      </c>
      <c r="G78" s="20">
        <f ca="1">DSUM($B$43:$X$48,G$43,$C$55:$D78)</f>
        <v>2.4448056636096158E-2</v>
      </c>
      <c r="H78" s="20">
        <f ca="1">DSUM($B$43:$X$48,H$43,$C$55:$D78)</f>
        <v>3.1551246888191636E-2</v>
      </c>
      <c r="I78" s="20">
        <f ca="1">DSUM($B$43:$X$48,I$43,$C$55:$D78)</f>
        <v>3.8178954828127505E-2</v>
      </c>
      <c r="J78" s="20">
        <f ca="1">DSUM($B$43:$X$48,J$43,$C$55:$D78)</f>
        <v>4.3281428318227691E-2</v>
      </c>
      <c r="K78" s="20">
        <f ca="1">DSUM($B$43:$X$48,K$43,$C$55:$D78)</f>
        <v>4.7545271233612518E-2</v>
      </c>
      <c r="L78" s="20">
        <f ca="1">DSUM($B$43:$X$48,L$43,$C$55:$D78)</f>
        <v>5.1875316351907341E-2</v>
      </c>
      <c r="M78" s="20">
        <f ca="1">DSUM($B$43:$X$48,M$43,$C$55:$D78)</f>
        <v>5.5250720582833153E-2</v>
      </c>
      <c r="N78" s="20">
        <f ca="1">DSUM($B$43:$X$48,N$43,$C$55:$D78)</f>
        <v>5.9977984300049608E-2</v>
      </c>
      <c r="O78" s="20">
        <f ca="1">DSUM($B$43:$X$48,O$43,$C$55:$D78)</f>
        <v>6.2491422509099025E-2</v>
      </c>
      <c r="P78" s="20">
        <f ca="1">DSUM($B$43:$X$48,P$43,$C$55:$D78)</f>
        <v>6.3731902830535217E-2</v>
      </c>
      <c r="Q78" s="20">
        <f ca="1">DSUM($B$43:$X$48,Q$43,$C$55:$D78)</f>
        <v>6.4041184704201698E-2</v>
      </c>
      <c r="R78" s="20">
        <f ca="1">DSUM($B$43:$X$48,R$43,$C$55:$D78)</f>
        <v>6.4978957104612975E-2</v>
      </c>
      <c r="S78" s="20">
        <f ca="1">DSUM($B$43:$X$48,S$43,$C$55:$D78)</f>
        <v>6.6020944422639616E-2</v>
      </c>
      <c r="T78" s="20">
        <f ca="1">DSUM($B$43:$X$48,T$43,$C$55:$D78)</f>
        <v>6.6159931991605733E-2</v>
      </c>
      <c r="U78" s="20">
        <f ca="1">DSUM($B$43:$X$48,U$43,$C$55:$D78)</f>
        <v>6.5019985715259118E-2</v>
      </c>
      <c r="V78" s="20">
        <f ca="1">DSUM($B$43:$X$48,V$43,$C$55:$D78)</f>
        <v>6.4632538981338639E-2</v>
      </c>
      <c r="W78" s="20">
        <f ca="1">DSUM($B$43:$X$48,W$43,$C$55:$D78)</f>
        <v>6.5009741899080917E-2</v>
      </c>
      <c r="X78" s="20">
        <f ca="1">DSUM($B$43:$X$48,X$43,$C$55:$D78)</f>
        <v>6.5210626032025099E-2</v>
      </c>
      <c r="Y78" s="26"/>
      <c r="Z78" s="7"/>
      <c r="AA78" s="7"/>
      <c r="AB78" s="7"/>
      <c r="AC78" s="7"/>
    </row>
    <row r="79" spans="1:80" customFormat="1">
      <c r="A79" s="7"/>
      <c r="B79" s="7" t="s">
        <v>408</v>
      </c>
      <c r="C79" s="38" t="s">
        <v>418</v>
      </c>
      <c r="D79" s="38" t="s">
        <v>429</v>
      </c>
      <c r="E79" s="20">
        <f ca="1">DSUM($B$43:$X$48,E$43,$C$55:$D79)</f>
        <v>8.7306221932550911E-3</v>
      </c>
      <c r="F79" s="20">
        <f ca="1">DSUM($B$43:$X$48,F$43,$C$55:$D79)</f>
        <v>1.69056761103531E-2</v>
      </c>
      <c r="G79" s="20">
        <f ca="1">DSUM($B$43:$X$48,G$43,$C$55:$D79)</f>
        <v>2.4448056636096158E-2</v>
      </c>
      <c r="H79" s="20">
        <f ca="1">DSUM($B$43:$X$48,H$43,$C$55:$D79)</f>
        <v>3.1551246888191636E-2</v>
      </c>
      <c r="I79" s="20">
        <f ca="1">DSUM($B$43:$X$48,I$43,$C$55:$D79)</f>
        <v>3.8178954828127505E-2</v>
      </c>
      <c r="J79" s="20">
        <f ca="1">DSUM($B$43:$X$48,J$43,$C$55:$D79)</f>
        <v>4.3281428318227691E-2</v>
      </c>
      <c r="K79" s="20">
        <f ca="1">DSUM($B$43:$X$48,K$43,$C$55:$D79)</f>
        <v>4.7545271233612518E-2</v>
      </c>
      <c r="L79" s="20">
        <f ca="1">DSUM($B$43:$X$48,L$43,$C$55:$D79)</f>
        <v>5.1875316351907341E-2</v>
      </c>
      <c r="M79" s="20">
        <f ca="1">DSUM($B$43:$X$48,M$43,$C$55:$D79)</f>
        <v>5.5250720582833153E-2</v>
      </c>
      <c r="N79" s="20">
        <f ca="1">DSUM($B$43:$X$48,N$43,$C$55:$D79)</f>
        <v>5.9977984300049608E-2</v>
      </c>
      <c r="O79" s="20">
        <f ca="1">DSUM($B$43:$X$48,O$43,$C$55:$D79)</f>
        <v>6.2491422509099025E-2</v>
      </c>
      <c r="P79" s="20">
        <f ca="1">DSUM($B$43:$X$48,P$43,$C$55:$D79)</f>
        <v>6.3731902830535217E-2</v>
      </c>
      <c r="Q79" s="20">
        <f ca="1">DSUM($B$43:$X$48,Q$43,$C$55:$D79)</f>
        <v>6.4041184704201698E-2</v>
      </c>
      <c r="R79" s="20">
        <f ca="1">DSUM($B$43:$X$48,R$43,$C$55:$D79)</f>
        <v>6.4978957104612975E-2</v>
      </c>
      <c r="S79" s="20">
        <f ca="1">DSUM($B$43:$X$48,S$43,$C$55:$D79)</f>
        <v>6.6020944422639616E-2</v>
      </c>
      <c r="T79" s="20">
        <f ca="1">DSUM($B$43:$X$48,T$43,$C$55:$D79)</f>
        <v>6.6159931991605733E-2</v>
      </c>
      <c r="U79" s="20">
        <f ca="1">DSUM($B$43:$X$48,U$43,$C$55:$D79)</f>
        <v>6.5019985715259118E-2</v>
      </c>
      <c r="V79" s="20">
        <f ca="1">DSUM($B$43:$X$48,V$43,$C$55:$D79)</f>
        <v>6.4632538981338639E-2</v>
      </c>
      <c r="W79" s="20">
        <f ca="1">DSUM($B$43:$X$48,W$43,$C$55:$D79)</f>
        <v>6.5009741899080917E-2</v>
      </c>
      <c r="X79" s="20">
        <f ca="1">DSUM($B$43:$X$48,X$43,$C$55:$D79)</f>
        <v>6.5210626032025099E-2</v>
      </c>
      <c r="Y79" s="26"/>
      <c r="Z79" s="7"/>
      <c r="AA79" s="7"/>
      <c r="AB79" s="7"/>
      <c r="AC79" s="7"/>
    </row>
    <row r="80" spans="1:80" customFormat="1">
      <c r="A80" s="7"/>
      <c r="B80" s="7" t="s">
        <v>409</v>
      </c>
      <c r="C80" s="38" t="s">
        <v>419</v>
      </c>
      <c r="D80" s="38" t="s">
        <v>430</v>
      </c>
      <c r="E80" s="20">
        <f ca="1">DSUM($B$43:$X$48,E$43,$C$55:$D80)</f>
        <v>8.7306221932550911E-3</v>
      </c>
      <c r="F80" s="20">
        <f ca="1">DSUM($B$43:$X$48,F$43,$C$55:$D80)</f>
        <v>1.69056761103531E-2</v>
      </c>
      <c r="G80" s="20">
        <f ca="1">DSUM($B$43:$X$48,G$43,$C$55:$D80)</f>
        <v>2.4448056636096158E-2</v>
      </c>
      <c r="H80" s="20">
        <f ca="1">DSUM($B$43:$X$48,H$43,$C$55:$D80)</f>
        <v>3.1551246888191636E-2</v>
      </c>
      <c r="I80" s="20">
        <f ca="1">DSUM($B$43:$X$48,I$43,$C$55:$D80)</f>
        <v>3.8178954828127505E-2</v>
      </c>
      <c r="J80" s="20">
        <f ca="1">DSUM($B$43:$X$48,J$43,$C$55:$D80)</f>
        <v>4.3281428318227691E-2</v>
      </c>
      <c r="K80" s="20">
        <f ca="1">DSUM($B$43:$X$48,K$43,$C$55:$D80)</f>
        <v>4.7545271233612518E-2</v>
      </c>
      <c r="L80" s="20">
        <f ca="1">DSUM($B$43:$X$48,L$43,$C$55:$D80)</f>
        <v>5.1875316351907341E-2</v>
      </c>
      <c r="M80" s="20">
        <f ca="1">DSUM($B$43:$X$48,M$43,$C$55:$D80)</f>
        <v>5.5250720582833153E-2</v>
      </c>
      <c r="N80" s="20">
        <f ca="1">DSUM($B$43:$X$48,N$43,$C$55:$D80)</f>
        <v>5.9977984300049608E-2</v>
      </c>
      <c r="O80" s="20">
        <f ca="1">DSUM($B$43:$X$48,O$43,$C$55:$D80)</f>
        <v>6.2491422509099025E-2</v>
      </c>
      <c r="P80" s="20">
        <f ca="1">DSUM($B$43:$X$48,P$43,$C$55:$D80)</f>
        <v>6.3731902830535217E-2</v>
      </c>
      <c r="Q80" s="20">
        <f ca="1">DSUM($B$43:$X$48,Q$43,$C$55:$D80)</f>
        <v>6.4041184704201698E-2</v>
      </c>
      <c r="R80" s="20">
        <f ca="1">DSUM($B$43:$X$48,R$43,$C$55:$D80)</f>
        <v>6.4978957104612975E-2</v>
      </c>
      <c r="S80" s="20">
        <f ca="1">DSUM($B$43:$X$48,S$43,$C$55:$D80)</f>
        <v>6.6020944422639616E-2</v>
      </c>
      <c r="T80" s="20">
        <f ca="1">DSUM($B$43:$X$48,T$43,$C$55:$D80)</f>
        <v>6.6159931991605733E-2</v>
      </c>
      <c r="U80" s="20">
        <f ca="1">DSUM($B$43:$X$48,U$43,$C$55:$D80)</f>
        <v>6.5019985715259118E-2</v>
      </c>
      <c r="V80" s="20">
        <f ca="1">DSUM($B$43:$X$48,V$43,$C$55:$D80)</f>
        <v>6.4632538981338639E-2</v>
      </c>
      <c r="W80" s="20">
        <f ca="1">DSUM($B$43:$X$48,W$43,$C$55:$D80)</f>
        <v>6.5009741899080917E-2</v>
      </c>
      <c r="X80" s="20">
        <f ca="1">DSUM($B$43:$X$48,X$43,$C$55:$D80)</f>
        <v>6.5210626032025099E-2</v>
      </c>
      <c r="Y80" s="26"/>
      <c r="Z80" s="7"/>
      <c r="AA80" s="7"/>
      <c r="AB80" s="7"/>
      <c r="AC80" s="7"/>
    </row>
    <row r="81" spans="1:80" customFormat="1">
      <c r="A81" s="7"/>
      <c r="B81" s="7" t="s">
        <v>410</v>
      </c>
      <c r="C81" s="38" t="s">
        <v>420</v>
      </c>
      <c r="D81" s="38" t="s">
        <v>431</v>
      </c>
      <c r="E81" s="20">
        <f ca="1">DSUM($B$43:$X$48,E$43,$C$55:$D81)</f>
        <v>8.7306221932550911E-3</v>
      </c>
      <c r="F81" s="20">
        <f ca="1">DSUM($B$43:$X$48,F$43,$C$55:$D81)</f>
        <v>1.69056761103531E-2</v>
      </c>
      <c r="G81" s="20">
        <f ca="1">DSUM($B$43:$X$48,G$43,$C$55:$D81)</f>
        <v>2.4448056636096158E-2</v>
      </c>
      <c r="H81" s="20">
        <f ca="1">DSUM($B$43:$X$48,H$43,$C$55:$D81)</f>
        <v>3.1551246888191636E-2</v>
      </c>
      <c r="I81" s="20">
        <f ca="1">DSUM($B$43:$X$48,I$43,$C$55:$D81)</f>
        <v>3.8178954828127505E-2</v>
      </c>
      <c r="J81" s="20">
        <f ca="1">DSUM($B$43:$X$48,J$43,$C$55:$D81)</f>
        <v>4.3281428318227691E-2</v>
      </c>
      <c r="K81" s="20">
        <f ca="1">DSUM($B$43:$X$48,K$43,$C$55:$D81)</f>
        <v>4.7545271233612518E-2</v>
      </c>
      <c r="L81" s="20">
        <f ca="1">DSUM($B$43:$X$48,L$43,$C$55:$D81)</f>
        <v>5.1875316351907341E-2</v>
      </c>
      <c r="M81" s="20">
        <f ca="1">DSUM($B$43:$X$48,M$43,$C$55:$D81)</f>
        <v>5.5250720582833153E-2</v>
      </c>
      <c r="N81" s="20">
        <f ca="1">DSUM($B$43:$X$48,N$43,$C$55:$D81)</f>
        <v>5.9977984300049608E-2</v>
      </c>
      <c r="O81" s="20">
        <f ca="1">DSUM($B$43:$X$48,O$43,$C$55:$D81)</f>
        <v>6.2491422509099025E-2</v>
      </c>
      <c r="P81" s="20">
        <f ca="1">DSUM($B$43:$X$48,P$43,$C$55:$D81)</f>
        <v>6.3731902830535217E-2</v>
      </c>
      <c r="Q81" s="20">
        <f ca="1">DSUM($B$43:$X$48,Q$43,$C$55:$D81)</f>
        <v>6.4041184704201698E-2</v>
      </c>
      <c r="R81" s="20">
        <f ca="1">DSUM($B$43:$X$48,R$43,$C$55:$D81)</f>
        <v>6.4978957104612975E-2</v>
      </c>
      <c r="S81" s="20">
        <f ca="1">DSUM($B$43:$X$48,S$43,$C$55:$D81)</f>
        <v>6.6020944422639616E-2</v>
      </c>
      <c r="T81" s="20">
        <f ca="1">DSUM($B$43:$X$48,T$43,$C$55:$D81)</f>
        <v>6.6159931991605733E-2</v>
      </c>
      <c r="U81" s="20">
        <f ca="1">DSUM($B$43:$X$48,U$43,$C$55:$D81)</f>
        <v>6.5019985715259118E-2</v>
      </c>
      <c r="V81" s="20">
        <f ca="1">DSUM($B$43:$X$48,V$43,$C$55:$D81)</f>
        <v>6.4632538981338639E-2</v>
      </c>
      <c r="W81" s="20">
        <f ca="1">DSUM($B$43:$X$48,W$43,$C$55:$D81)</f>
        <v>6.5009741899080917E-2</v>
      </c>
      <c r="X81" s="20">
        <f ca="1">DSUM($B$43:$X$48,X$43,$C$55:$D81)</f>
        <v>6.5210626032025099E-2</v>
      </c>
      <c r="Y81" s="26"/>
      <c r="Z81" s="7"/>
      <c r="AA81" s="7"/>
      <c r="AB81" s="7"/>
      <c r="AC81" s="7"/>
    </row>
    <row r="82" spans="1:80" customFormat="1">
      <c r="A82" s="7"/>
      <c r="B82" s="7" t="s">
        <v>411</v>
      </c>
      <c r="C82" s="38" t="s">
        <v>421</v>
      </c>
      <c r="D82" s="38" t="s">
        <v>432</v>
      </c>
      <c r="E82" s="20">
        <f ca="1">DSUM($B$43:$X$48,E$43,$C$55:$D82)</f>
        <v>8.7306221932550911E-3</v>
      </c>
      <c r="F82" s="20">
        <f ca="1">DSUM($B$43:$X$48,F$43,$C$55:$D82)</f>
        <v>1.69056761103531E-2</v>
      </c>
      <c r="G82" s="20">
        <f ca="1">DSUM($B$43:$X$48,G$43,$C$55:$D82)</f>
        <v>2.4448056636096158E-2</v>
      </c>
      <c r="H82" s="20">
        <f ca="1">DSUM($B$43:$X$48,H$43,$C$55:$D82)</f>
        <v>3.1551246888191636E-2</v>
      </c>
      <c r="I82" s="20">
        <f ca="1">DSUM($B$43:$X$48,I$43,$C$55:$D82)</f>
        <v>3.8178954828127505E-2</v>
      </c>
      <c r="J82" s="20">
        <f ca="1">DSUM($B$43:$X$48,J$43,$C$55:$D82)</f>
        <v>4.3281428318227691E-2</v>
      </c>
      <c r="K82" s="20">
        <f ca="1">DSUM($B$43:$X$48,K$43,$C$55:$D82)</f>
        <v>4.7545271233612518E-2</v>
      </c>
      <c r="L82" s="20">
        <f ca="1">DSUM($B$43:$X$48,L$43,$C$55:$D82)</f>
        <v>5.1875316351907341E-2</v>
      </c>
      <c r="M82" s="20">
        <f ca="1">DSUM($B$43:$X$48,M$43,$C$55:$D82)</f>
        <v>5.5250720582833153E-2</v>
      </c>
      <c r="N82" s="20">
        <f ca="1">DSUM($B$43:$X$48,N$43,$C$55:$D82)</f>
        <v>5.9977984300049608E-2</v>
      </c>
      <c r="O82" s="20">
        <f ca="1">DSUM($B$43:$X$48,O$43,$C$55:$D82)</f>
        <v>6.2491422509099025E-2</v>
      </c>
      <c r="P82" s="20">
        <f ca="1">DSUM($B$43:$X$48,P$43,$C$55:$D82)</f>
        <v>6.3731902830535217E-2</v>
      </c>
      <c r="Q82" s="20">
        <f ca="1">DSUM($B$43:$X$48,Q$43,$C$55:$D82)</f>
        <v>6.4041184704201698E-2</v>
      </c>
      <c r="R82" s="20">
        <f ca="1">DSUM($B$43:$X$48,R$43,$C$55:$D82)</f>
        <v>6.4978957104612975E-2</v>
      </c>
      <c r="S82" s="20">
        <f ca="1">DSUM($B$43:$X$48,S$43,$C$55:$D82)</f>
        <v>6.6020944422639616E-2</v>
      </c>
      <c r="T82" s="20">
        <f ca="1">DSUM($B$43:$X$48,T$43,$C$55:$D82)</f>
        <v>6.6159931991605733E-2</v>
      </c>
      <c r="U82" s="20">
        <f ca="1">DSUM($B$43:$X$48,U$43,$C$55:$D82)</f>
        <v>6.5019985715259118E-2</v>
      </c>
      <c r="V82" s="20">
        <f ca="1">DSUM($B$43:$X$48,V$43,$C$55:$D82)</f>
        <v>6.4632538981338639E-2</v>
      </c>
      <c r="W82" s="20">
        <f ca="1">DSUM($B$43:$X$48,W$43,$C$55:$D82)</f>
        <v>6.5009741899080917E-2</v>
      </c>
      <c r="X82" s="20">
        <f ca="1">DSUM($B$43:$X$48,X$43,$C$55:$D82)</f>
        <v>6.5210626032025099E-2</v>
      </c>
      <c r="Y82" s="26"/>
      <c r="Z82" s="7"/>
      <c r="AA82" s="7"/>
      <c r="AB82" s="7"/>
      <c r="AC82" s="7"/>
    </row>
    <row r="83" spans="1:80" customFormat="1">
      <c r="A83" s="7"/>
      <c r="B83" s="7" t="s">
        <v>412</v>
      </c>
      <c r="C83" s="38" t="s">
        <v>422</v>
      </c>
      <c r="D83" s="38" t="s">
        <v>433</v>
      </c>
      <c r="E83" s="20">
        <f ca="1">DSUM($B$43:$X$48,E$43,$C$55:$D83)</f>
        <v>8.7306221932550911E-3</v>
      </c>
      <c r="F83" s="20">
        <f ca="1">DSUM($B$43:$X$48,F$43,$C$55:$D83)</f>
        <v>1.69056761103531E-2</v>
      </c>
      <c r="G83" s="20">
        <f ca="1">DSUM($B$43:$X$48,G$43,$C$55:$D83)</f>
        <v>2.4448056636096158E-2</v>
      </c>
      <c r="H83" s="20">
        <f ca="1">DSUM($B$43:$X$48,H$43,$C$55:$D83)</f>
        <v>3.1551246888191636E-2</v>
      </c>
      <c r="I83" s="20">
        <f ca="1">DSUM($B$43:$X$48,I$43,$C$55:$D83)</f>
        <v>3.8178954828127505E-2</v>
      </c>
      <c r="J83" s="20">
        <f ca="1">DSUM($B$43:$X$48,J$43,$C$55:$D83)</f>
        <v>4.3281428318227691E-2</v>
      </c>
      <c r="K83" s="20">
        <f ca="1">DSUM($B$43:$X$48,K$43,$C$55:$D83)</f>
        <v>4.7545271233612518E-2</v>
      </c>
      <c r="L83" s="20">
        <f ca="1">DSUM($B$43:$X$48,L$43,$C$55:$D83)</f>
        <v>5.1875316351907341E-2</v>
      </c>
      <c r="M83" s="20">
        <f ca="1">DSUM($B$43:$X$48,M$43,$C$55:$D83)</f>
        <v>5.5250720582833153E-2</v>
      </c>
      <c r="N83" s="20">
        <f ca="1">DSUM($B$43:$X$48,N$43,$C$55:$D83)</f>
        <v>5.9977984300049608E-2</v>
      </c>
      <c r="O83" s="20">
        <f ca="1">DSUM($B$43:$X$48,O$43,$C$55:$D83)</f>
        <v>6.2491422509099025E-2</v>
      </c>
      <c r="P83" s="20">
        <f ca="1">DSUM($B$43:$X$48,P$43,$C$55:$D83)</f>
        <v>6.3731902830535217E-2</v>
      </c>
      <c r="Q83" s="20">
        <f ca="1">DSUM($B$43:$X$48,Q$43,$C$55:$D83)</f>
        <v>6.4041184704201698E-2</v>
      </c>
      <c r="R83" s="20">
        <f ca="1">DSUM($B$43:$X$48,R$43,$C$55:$D83)</f>
        <v>6.4978957104612975E-2</v>
      </c>
      <c r="S83" s="20">
        <f ca="1">DSUM($B$43:$X$48,S$43,$C$55:$D83)</f>
        <v>6.6020944422639616E-2</v>
      </c>
      <c r="T83" s="20">
        <f ca="1">DSUM($B$43:$X$48,T$43,$C$55:$D83)</f>
        <v>6.6159931991605733E-2</v>
      </c>
      <c r="U83" s="20">
        <f ca="1">DSUM($B$43:$X$48,U$43,$C$55:$D83)</f>
        <v>6.5019985715259118E-2</v>
      </c>
      <c r="V83" s="20">
        <f ca="1">DSUM($B$43:$X$48,V$43,$C$55:$D83)</f>
        <v>6.4632538981338639E-2</v>
      </c>
      <c r="W83" s="20">
        <f ca="1">DSUM($B$43:$X$48,W$43,$C$55:$D83)</f>
        <v>6.5009741899080917E-2</v>
      </c>
      <c r="X83" s="20">
        <f ca="1">DSUM($B$43:$X$48,X$43,$C$55:$D83)</f>
        <v>6.5210626032025099E-2</v>
      </c>
      <c r="Y83" s="26"/>
      <c r="Z83" s="7"/>
      <c r="AA83" s="7"/>
      <c r="AB83" s="7"/>
      <c r="AC83" s="7"/>
    </row>
    <row r="84" spans="1:80" customFormat="1">
      <c r="A84" s="7"/>
      <c r="B84" s="7" t="s">
        <v>413</v>
      </c>
      <c r="C84" s="38" t="s">
        <v>423</v>
      </c>
      <c r="D84" s="38" t="s">
        <v>434</v>
      </c>
      <c r="E84" s="20">
        <f ca="1">DSUM($B$43:$X$48,E$43,$C$55:$D84)</f>
        <v>8.7306221932550911E-3</v>
      </c>
      <c r="F84" s="20">
        <f ca="1">DSUM($B$43:$X$48,F$43,$C$55:$D84)</f>
        <v>1.69056761103531E-2</v>
      </c>
      <c r="G84" s="20">
        <f ca="1">DSUM($B$43:$X$48,G$43,$C$55:$D84)</f>
        <v>2.4448056636096158E-2</v>
      </c>
      <c r="H84" s="20">
        <f ca="1">DSUM($B$43:$X$48,H$43,$C$55:$D84)</f>
        <v>3.1551246888191636E-2</v>
      </c>
      <c r="I84" s="20">
        <f ca="1">DSUM($B$43:$X$48,I$43,$C$55:$D84)</f>
        <v>3.8178954828127505E-2</v>
      </c>
      <c r="J84" s="20">
        <f ca="1">DSUM($B$43:$X$48,J$43,$C$55:$D84)</f>
        <v>4.3281428318227691E-2</v>
      </c>
      <c r="K84" s="20">
        <f ca="1">DSUM($B$43:$X$48,K$43,$C$55:$D84)</f>
        <v>4.7545271233612518E-2</v>
      </c>
      <c r="L84" s="20">
        <f ca="1">DSUM($B$43:$X$48,L$43,$C$55:$D84)</f>
        <v>5.1875316351907341E-2</v>
      </c>
      <c r="M84" s="20">
        <f ca="1">DSUM($B$43:$X$48,M$43,$C$55:$D84)</f>
        <v>5.5250720582833153E-2</v>
      </c>
      <c r="N84" s="20">
        <f ca="1">DSUM($B$43:$X$48,N$43,$C$55:$D84)</f>
        <v>5.9977984300049608E-2</v>
      </c>
      <c r="O84" s="20">
        <f ca="1">DSUM($B$43:$X$48,O$43,$C$55:$D84)</f>
        <v>6.2491422509099025E-2</v>
      </c>
      <c r="P84" s="20">
        <f ca="1">DSUM($B$43:$X$48,P$43,$C$55:$D84)</f>
        <v>6.3731902830535217E-2</v>
      </c>
      <c r="Q84" s="20">
        <f ca="1">DSUM($B$43:$X$48,Q$43,$C$55:$D84)</f>
        <v>6.4041184704201698E-2</v>
      </c>
      <c r="R84" s="20">
        <f ca="1">DSUM($B$43:$X$48,R$43,$C$55:$D84)</f>
        <v>6.4978957104612975E-2</v>
      </c>
      <c r="S84" s="20">
        <f ca="1">DSUM($B$43:$X$48,S$43,$C$55:$D84)</f>
        <v>6.6020944422639616E-2</v>
      </c>
      <c r="T84" s="20">
        <f ca="1">DSUM($B$43:$X$48,T$43,$C$55:$D84)</f>
        <v>6.6159931991605733E-2</v>
      </c>
      <c r="U84" s="20">
        <f ca="1">DSUM($B$43:$X$48,U$43,$C$55:$D84)</f>
        <v>6.5019985715259118E-2</v>
      </c>
      <c r="V84" s="20">
        <f ca="1">DSUM($B$43:$X$48,V$43,$C$55:$D84)</f>
        <v>6.4632538981338639E-2</v>
      </c>
      <c r="W84" s="20">
        <f ca="1">DSUM($B$43:$X$48,W$43,$C$55:$D84)</f>
        <v>6.5009741899080917E-2</v>
      </c>
      <c r="X84" s="20">
        <f ca="1">DSUM($B$43:$X$48,X$43,$C$55:$D84)</f>
        <v>6.5210626032025099E-2</v>
      </c>
      <c r="Y84" s="26"/>
      <c r="Z84" s="7"/>
      <c r="AA84" s="7"/>
      <c r="AB84" s="7"/>
      <c r="AC84" s="7"/>
    </row>
    <row r="85" spans="1:80" customFormat="1">
      <c r="A85" s="7"/>
      <c r="B85" s="7" t="s">
        <v>414</v>
      </c>
      <c r="C85" s="38" t="s">
        <v>424</v>
      </c>
      <c r="D85" s="38" t="s">
        <v>435</v>
      </c>
      <c r="E85" s="20">
        <f ca="1">DSUM($B$43:$X$48,E$43,$C$55:$D85)</f>
        <v>8.7306221932550911E-3</v>
      </c>
      <c r="F85" s="20">
        <f ca="1">DSUM($B$43:$X$48,F$43,$C$55:$D85)</f>
        <v>1.69056761103531E-2</v>
      </c>
      <c r="G85" s="20">
        <f ca="1">DSUM($B$43:$X$48,G$43,$C$55:$D85)</f>
        <v>2.4448056636096158E-2</v>
      </c>
      <c r="H85" s="20">
        <f ca="1">DSUM($B$43:$X$48,H$43,$C$55:$D85)</f>
        <v>3.1551246888191636E-2</v>
      </c>
      <c r="I85" s="20">
        <f ca="1">DSUM($B$43:$X$48,I$43,$C$55:$D85)</f>
        <v>3.8178954828127505E-2</v>
      </c>
      <c r="J85" s="20">
        <f ca="1">DSUM($B$43:$X$48,J$43,$C$55:$D85)</f>
        <v>4.3281428318227691E-2</v>
      </c>
      <c r="K85" s="20">
        <f ca="1">DSUM($B$43:$X$48,K$43,$C$55:$D85)</f>
        <v>4.7545271233612518E-2</v>
      </c>
      <c r="L85" s="20">
        <f ca="1">DSUM($B$43:$X$48,L$43,$C$55:$D85)</f>
        <v>5.1875316351907341E-2</v>
      </c>
      <c r="M85" s="20">
        <f ca="1">DSUM($B$43:$X$48,M$43,$C$55:$D85)</f>
        <v>5.5250720582833153E-2</v>
      </c>
      <c r="N85" s="20">
        <f ca="1">DSUM($B$43:$X$48,N$43,$C$55:$D85)</f>
        <v>5.9977984300049608E-2</v>
      </c>
      <c r="O85" s="20">
        <f ca="1">DSUM($B$43:$X$48,O$43,$C$55:$D85)</f>
        <v>6.2491422509099025E-2</v>
      </c>
      <c r="P85" s="20">
        <f ca="1">DSUM($B$43:$X$48,P$43,$C$55:$D85)</f>
        <v>6.3731902830535217E-2</v>
      </c>
      <c r="Q85" s="20">
        <f ca="1">DSUM($B$43:$X$48,Q$43,$C$55:$D85)</f>
        <v>6.4041184704201698E-2</v>
      </c>
      <c r="R85" s="20">
        <f ca="1">DSUM($B$43:$X$48,R$43,$C$55:$D85)</f>
        <v>6.4978957104612975E-2</v>
      </c>
      <c r="S85" s="20">
        <f ca="1">DSUM($B$43:$X$48,S$43,$C$55:$D85)</f>
        <v>6.6020944422639616E-2</v>
      </c>
      <c r="T85" s="20">
        <f ca="1">DSUM($B$43:$X$48,T$43,$C$55:$D85)</f>
        <v>6.6159931991605733E-2</v>
      </c>
      <c r="U85" s="20">
        <f ca="1">DSUM($B$43:$X$48,U$43,$C$55:$D85)</f>
        <v>6.5019985715259118E-2</v>
      </c>
      <c r="V85" s="20">
        <f ca="1">DSUM($B$43:$X$48,V$43,$C$55:$D85)</f>
        <v>6.4632538981338639E-2</v>
      </c>
      <c r="W85" s="20">
        <f ca="1">DSUM($B$43:$X$48,W$43,$C$55:$D85)</f>
        <v>6.5009741899080917E-2</v>
      </c>
      <c r="X85" s="20">
        <f ca="1">DSUM($B$43:$X$48,X$43,$C$55:$D85)</f>
        <v>6.5210626032025099E-2</v>
      </c>
      <c r="Y85" s="26"/>
      <c r="Z85" s="7"/>
      <c r="AA85" s="7"/>
      <c r="AB85" s="7"/>
      <c r="AC85" s="7"/>
    </row>
    <row r="86" spans="1:80" customFormat="1">
      <c r="A86" s="7"/>
      <c r="B86" s="7" t="s">
        <v>415</v>
      </c>
      <c r="C86" s="38" t="s">
        <v>425</v>
      </c>
      <c r="D86" s="38" t="s">
        <v>436</v>
      </c>
      <c r="E86" s="20">
        <f ca="1">DSUM($B$43:$X$48,E$43,$C$55:$D86)</f>
        <v>8.7306221932550911E-3</v>
      </c>
      <c r="F86" s="20">
        <f ca="1">DSUM($B$43:$X$48,F$43,$C$55:$D86)</f>
        <v>1.69056761103531E-2</v>
      </c>
      <c r="G86" s="20">
        <f ca="1">DSUM($B$43:$X$48,G$43,$C$55:$D86)</f>
        <v>2.4448056636096158E-2</v>
      </c>
      <c r="H86" s="20">
        <f ca="1">DSUM($B$43:$X$48,H$43,$C$55:$D86)</f>
        <v>3.1551246888191636E-2</v>
      </c>
      <c r="I86" s="20">
        <f ca="1">DSUM($B$43:$X$48,I$43,$C$55:$D86)</f>
        <v>3.8178954828127505E-2</v>
      </c>
      <c r="J86" s="20">
        <f ca="1">DSUM($B$43:$X$48,J$43,$C$55:$D86)</f>
        <v>4.3281428318227691E-2</v>
      </c>
      <c r="K86" s="20">
        <f ca="1">DSUM($B$43:$X$48,K$43,$C$55:$D86)</f>
        <v>4.7545271233612518E-2</v>
      </c>
      <c r="L86" s="20">
        <f ca="1">DSUM($B$43:$X$48,L$43,$C$55:$D86)</f>
        <v>5.1875316351907341E-2</v>
      </c>
      <c r="M86" s="20">
        <f ca="1">DSUM($B$43:$X$48,M$43,$C$55:$D86)</f>
        <v>5.5250720582833153E-2</v>
      </c>
      <c r="N86" s="20">
        <f ca="1">DSUM($B$43:$X$48,N$43,$C$55:$D86)</f>
        <v>5.9977984300049608E-2</v>
      </c>
      <c r="O86" s="20">
        <f ca="1">DSUM($B$43:$X$48,O$43,$C$55:$D86)</f>
        <v>6.2491422509099025E-2</v>
      </c>
      <c r="P86" s="20">
        <f ca="1">DSUM($B$43:$X$48,P$43,$C$55:$D86)</f>
        <v>6.3731902830535217E-2</v>
      </c>
      <c r="Q86" s="20">
        <f ca="1">DSUM($B$43:$X$48,Q$43,$C$55:$D86)</f>
        <v>6.4041184704201698E-2</v>
      </c>
      <c r="R86" s="20">
        <f ca="1">DSUM($B$43:$X$48,R$43,$C$55:$D86)</f>
        <v>6.4978957104612975E-2</v>
      </c>
      <c r="S86" s="20">
        <f ca="1">DSUM($B$43:$X$48,S$43,$C$55:$D86)</f>
        <v>6.6020944422639616E-2</v>
      </c>
      <c r="T86" s="20">
        <f ca="1">DSUM($B$43:$X$48,T$43,$C$55:$D86)</f>
        <v>6.6159931991605733E-2</v>
      </c>
      <c r="U86" s="20">
        <f ca="1">DSUM($B$43:$X$48,U$43,$C$55:$D86)</f>
        <v>6.5019985715259118E-2</v>
      </c>
      <c r="V86" s="20">
        <f ca="1">DSUM($B$43:$X$48,V$43,$C$55:$D86)</f>
        <v>6.4632538981338639E-2</v>
      </c>
      <c r="W86" s="20">
        <f ca="1">DSUM($B$43:$X$48,W$43,$C$55:$D86)</f>
        <v>6.5009741899080917E-2</v>
      </c>
      <c r="X86" s="20">
        <f ca="1">DSUM($B$43:$X$48,X$43,$C$55:$D86)</f>
        <v>6.5210626032025099E-2</v>
      </c>
      <c r="Y86" s="26"/>
      <c r="Z86" s="7"/>
      <c r="AA86" s="7"/>
      <c r="AB86" s="7"/>
      <c r="AC86" s="7"/>
    </row>
    <row r="87" spans="1:80" customFormat="1">
      <c r="A87" s="7"/>
      <c r="B87" s="7" t="s">
        <v>416</v>
      </c>
      <c r="C87" s="38" t="s">
        <v>426</v>
      </c>
      <c r="D87" s="38" t="s">
        <v>134</v>
      </c>
      <c r="E87" s="20">
        <f ca="1">DSUM($B$43:$X$48,E$43,$C$55:$D87)</f>
        <v>8.7306221932550911E-3</v>
      </c>
      <c r="F87" s="20">
        <f ca="1">DSUM($B$43:$X$48,F$43,$C$55:$D87)</f>
        <v>1.69056761103531E-2</v>
      </c>
      <c r="G87" s="20">
        <f ca="1">DSUM($B$43:$X$48,G$43,$C$55:$D87)</f>
        <v>2.4448056636096158E-2</v>
      </c>
      <c r="H87" s="20">
        <f ca="1">DSUM($B$43:$X$48,H$43,$C$55:$D87)</f>
        <v>3.1551246888191636E-2</v>
      </c>
      <c r="I87" s="20">
        <f ca="1">DSUM($B$43:$X$48,I$43,$C$55:$D87)</f>
        <v>3.8178954828127505E-2</v>
      </c>
      <c r="J87" s="20">
        <f ca="1">DSUM($B$43:$X$48,J$43,$C$55:$D87)</f>
        <v>4.3281428318227691E-2</v>
      </c>
      <c r="K87" s="20">
        <f ca="1">DSUM($B$43:$X$48,K$43,$C$55:$D87)</f>
        <v>4.7545271233612518E-2</v>
      </c>
      <c r="L87" s="20">
        <f ca="1">DSUM($B$43:$X$48,L$43,$C$55:$D87)</f>
        <v>5.1875316351907341E-2</v>
      </c>
      <c r="M87" s="20">
        <f ca="1">DSUM($B$43:$X$48,M$43,$C$55:$D87)</f>
        <v>5.5250720582833153E-2</v>
      </c>
      <c r="N87" s="20">
        <f ca="1">DSUM($B$43:$X$48,N$43,$C$55:$D87)</f>
        <v>5.9977984300049608E-2</v>
      </c>
      <c r="O87" s="20">
        <f ca="1">DSUM($B$43:$X$48,O$43,$C$55:$D87)</f>
        <v>6.2491422509099025E-2</v>
      </c>
      <c r="P87" s="20">
        <f ca="1">DSUM($B$43:$X$48,P$43,$C$55:$D87)</f>
        <v>6.3731902830535217E-2</v>
      </c>
      <c r="Q87" s="20">
        <f ca="1">DSUM($B$43:$X$48,Q$43,$C$55:$D87)</f>
        <v>6.4041184704201698E-2</v>
      </c>
      <c r="R87" s="20">
        <f ca="1">DSUM($B$43:$X$48,R$43,$C$55:$D87)</f>
        <v>6.4978957104612975E-2</v>
      </c>
      <c r="S87" s="20">
        <f ca="1">DSUM($B$43:$X$48,S$43,$C$55:$D87)</f>
        <v>6.6020944422639616E-2</v>
      </c>
      <c r="T87" s="20">
        <f ca="1">DSUM($B$43:$X$48,T$43,$C$55:$D87)</f>
        <v>6.6159931991605733E-2</v>
      </c>
      <c r="U87" s="20">
        <f ca="1">DSUM($B$43:$X$48,U$43,$C$55:$D87)</f>
        <v>6.5019985715259118E-2</v>
      </c>
      <c r="V87" s="20">
        <f ca="1">DSUM($B$43:$X$48,V$43,$C$55:$D87)</f>
        <v>6.4632538981338639E-2</v>
      </c>
      <c r="W87" s="20">
        <f ca="1">DSUM($B$43:$X$48,W$43,$C$55:$D87)</f>
        <v>6.5009741899080917E-2</v>
      </c>
      <c r="X87" s="20">
        <f ca="1">DSUM($B$43:$X$48,X$43,$C$55:$D87)</f>
        <v>6.5210626032025099E-2</v>
      </c>
      <c r="Y87" s="26"/>
      <c r="Z87" s="7"/>
      <c r="AA87" s="7"/>
      <c r="AB87" s="7"/>
      <c r="AC87" s="7"/>
    </row>
    <row r="88" spans="1:80">
      <c r="C88" s="38"/>
      <c r="D88" s="38"/>
      <c r="E88" s="20"/>
      <c r="F88" s="20"/>
      <c r="G88" s="20"/>
      <c r="H88" s="20"/>
      <c r="I88" s="20"/>
      <c r="J88" s="20"/>
      <c r="K88" s="20"/>
      <c r="L88" s="20"/>
      <c r="M88" s="20"/>
      <c r="N88" s="20"/>
      <c r="O88" s="20"/>
      <c r="P88" s="20"/>
      <c r="Q88" s="20"/>
      <c r="R88" s="20"/>
      <c r="S88" s="20"/>
      <c r="T88" s="20"/>
      <c r="U88" s="20"/>
      <c r="V88" s="20"/>
      <c r="W88" s="20"/>
      <c r="X88" s="20"/>
      <c r="Y88" s="20"/>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C89" s="38"/>
      <c r="D89" s="38"/>
      <c r="E89" s="20"/>
      <c r="F89" s="20"/>
      <c r="G89" s="20"/>
      <c r="H89" s="20"/>
      <c r="I89" s="20"/>
      <c r="J89" s="20"/>
      <c r="K89" s="20"/>
      <c r="L89" s="20"/>
      <c r="M89" s="20"/>
      <c r="N89" s="20"/>
      <c r="O89" s="20"/>
      <c r="P89" s="20"/>
      <c r="Q89" s="20"/>
      <c r="R89" s="20"/>
      <c r="S89" s="20"/>
      <c r="T89" s="20"/>
      <c r="U89" s="20"/>
      <c r="V89" s="20"/>
      <c r="W89" s="20"/>
      <c r="X89" s="20"/>
      <c r="Y89" s="20"/>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A90" s="79" t="s">
        <v>135</v>
      </c>
      <c r="B90" s="79"/>
      <c r="C90" s="38"/>
      <c r="D90" s="38"/>
      <c r="E90" s="20"/>
      <c r="F90" s="20"/>
      <c r="G90" s="20"/>
      <c r="H90" s="20"/>
      <c r="I90" s="20"/>
      <c r="J90" s="20"/>
      <c r="K90" s="20"/>
      <c r="L90" s="20"/>
      <c r="M90" s="20"/>
      <c r="N90" s="20"/>
      <c r="O90" s="20"/>
      <c r="P90" s="20"/>
      <c r="Q90" s="20"/>
      <c r="R90" s="20"/>
      <c r="S90" s="20"/>
      <c r="T90" s="20"/>
      <c r="U90" s="20"/>
      <c r="V90" s="20"/>
      <c r="W90" s="20"/>
      <c r="X90" s="20"/>
      <c r="Y90" s="2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38" t="s">
        <v>136</v>
      </c>
      <c r="D91" s="38"/>
      <c r="E91" s="90">
        <f t="shared" ref="E91:X91" si="40">E11</f>
        <v>2016</v>
      </c>
      <c r="F91" s="84">
        <f t="shared" si="40"/>
        <v>2017</v>
      </c>
      <c r="G91" s="84">
        <f t="shared" si="40"/>
        <v>2018</v>
      </c>
      <c r="H91" s="84">
        <f t="shared" si="40"/>
        <v>2019</v>
      </c>
      <c r="I91" s="84">
        <f t="shared" si="40"/>
        <v>2020</v>
      </c>
      <c r="J91" s="84">
        <f t="shared" si="40"/>
        <v>2021</v>
      </c>
      <c r="K91" s="84">
        <f t="shared" si="40"/>
        <v>2022</v>
      </c>
      <c r="L91" s="84">
        <f t="shared" si="40"/>
        <v>2023</v>
      </c>
      <c r="M91" s="84">
        <f t="shared" si="40"/>
        <v>2024</v>
      </c>
      <c r="N91" s="84">
        <f t="shared" si="40"/>
        <v>2025</v>
      </c>
      <c r="O91" s="84">
        <f t="shared" si="40"/>
        <v>2026</v>
      </c>
      <c r="P91" s="84">
        <f t="shared" si="40"/>
        <v>2027</v>
      </c>
      <c r="Q91" s="84">
        <f t="shared" si="40"/>
        <v>2028</v>
      </c>
      <c r="R91" s="84">
        <f t="shared" si="40"/>
        <v>2029</v>
      </c>
      <c r="S91" s="84">
        <f t="shared" si="40"/>
        <v>2030</v>
      </c>
      <c r="T91" s="84">
        <f t="shared" si="40"/>
        <v>2031</v>
      </c>
      <c r="U91" s="84">
        <f t="shared" si="40"/>
        <v>2032</v>
      </c>
      <c r="V91" s="84">
        <f t="shared" si="40"/>
        <v>2033</v>
      </c>
      <c r="W91" s="84">
        <f t="shared" si="40"/>
        <v>2034</v>
      </c>
      <c r="X91" s="84">
        <f t="shared" si="40"/>
        <v>2035</v>
      </c>
      <c r="Y91" s="85" t="s">
        <v>149</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ht="15">
      <c r="C92" s="7" t="str">
        <f>C8</f>
        <v>Microwave</v>
      </c>
      <c r="E92" s="91" t="str">
        <f>CONCATENATE("aMW_",E91)</f>
        <v>aMW_2016</v>
      </c>
      <c r="F92" s="86" t="str">
        <f t="shared" ref="F92" si="41">CONCATENATE("aMW_",F91)</f>
        <v>aMW_2017</v>
      </c>
      <c r="G92" s="86" t="str">
        <f t="shared" ref="G92" si="42">CONCATENATE("aMW_",G91)</f>
        <v>aMW_2018</v>
      </c>
      <c r="H92" s="86" t="str">
        <f t="shared" ref="H92" si="43">CONCATENATE("aMW_",H91)</f>
        <v>aMW_2019</v>
      </c>
      <c r="I92" s="86" t="str">
        <f t="shared" ref="I92" si="44">CONCATENATE("aMW_",I91)</f>
        <v>aMW_2020</v>
      </c>
      <c r="J92" s="86" t="str">
        <f t="shared" ref="J92" si="45">CONCATENATE("aMW_",J91)</f>
        <v>aMW_2021</v>
      </c>
      <c r="K92" s="86" t="str">
        <f t="shared" ref="K92" si="46">CONCATENATE("aMW_",K91)</f>
        <v>aMW_2022</v>
      </c>
      <c r="L92" s="86" t="str">
        <f t="shared" ref="L92" si="47">CONCATENATE("aMW_",L91)</f>
        <v>aMW_2023</v>
      </c>
      <c r="M92" s="86" t="str">
        <f t="shared" ref="M92" si="48">CONCATENATE("aMW_",M91)</f>
        <v>aMW_2024</v>
      </c>
      <c r="N92" s="86" t="str">
        <f t="shared" ref="N92" si="49">CONCATENATE("aMW_",N91)</f>
        <v>aMW_2025</v>
      </c>
      <c r="O92" s="86" t="str">
        <f t="shared" ref="O92" si="50">CONCATENATE("aMW_",O91)</f>
        <v>aMW_2026</v>
      </c>
      <c r="P92" s="86" t="str">
        <f t="shared" ref="P92" si="51">CONCATENATE("aMW_",P91)</f>
        <v>aMW_2027</v>
      </c>
      <c r="Q92" s="86" t="str">
        <f t="shared" ref="Q92" si="52">CONCATENATE("aMW_",Q91)</f>
        <v>aMW_2028</v>
      </c>
      <c r="R92" s="86" t="str">
        <f t="shared" ref="R92" si="53">CONCATENATE("aMW_",R91)</f>
        <v>aMW_2029</v>
      </c>
      <c r="S92" s="86" t="str">
        <f t="shared" ref="S92" si="54">CONCATENATE("aMW_",S91)</f>
        <v>aMW_2030</v>
      </c>
      <c r="T92" s="86" t="str">
        <f t="shared" ref="T92" si="55">CONCATENATE("aMW_",T91)</f>
        <v>aMW_2031</v>
      </c>
      <c r="U92" s="86" t="str">
        <f t="shared" ref="U92" si="56">CONCATENATE("aMW_",U91)</f>
        <v>aMW_2032</v>
      </c>
      <c r="V92" s="86" t="str">
        <f t="shared" ref="V92" si="57">CONCATENATE("aMW_",V91)</f>
        <v>aMW_2033</v>
      </c>
      <c r="W92" s="86" t="str">
        <f t="shared" ref="W92" si="58">CONCATENATE("aMW_",W91)</f>
        <v>aMW_2034</v>
      </c>
      <c r="X92" s="86" t="str">
        <f t="shared" ref="X92" si="59">CONCATENATE("aMW_",X91)</f>
        <v>aMW_2035</v>
      </c>
      <c r="Y92" s="87" t="s">
        <v>149</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69</v>
      </c>
      <c r="E93" s="7">
        <f t="shared" ref="E93:X93" si="60">E56</f>
        <v>0</v>
      </c>
      <c r="F93" s="7">
        <f t="shared" si="60"/>
        <v>0</v>
      </c>
      <c r="G93" s="7">
        <f t="shared" si="60"/>
        <v>0</v>
      </c>
      <c r="H93" s="7">
        <f t="shared" si="60"/>
        <v>0</v>
      </c>
      <c r="I93" s="7">
        <f t="shared" si="60"/>
        <v>0</v>
      </c>
      <c r="J93" s="7">
        <f t="shared" si="60"/>
        <v>0</v>
      </c>
      <c r="K93" s="7">
        <f t="shared" si="60"/>
        <v>0</v>
      </c>
      <c r="L93" s="7">
        <f t="shared" si="60"/>
        <v>0</v>
      </c>
      <c r="M93" s="7">
        <f t="shared" si="60"/>
        <v>0</v>
      </c>
      <c r="N93" s="7">
        <f t="shared" si="60"/>
        <v>0</v>
      </c>
      <c r="O93" s="7">
        <f t="shared" si="60"/>
        <v>0</v>
      </c>
      <c r="P93" s="7">
        <f t="shared" si="60"/>
        <v>0</v>
      </c>
      <c r="Q93" s="7">
        <f t="shared" si="60"/>
        <v>0</v>
      </c>
      <c r="R93" s="7">
        <f t="shared" si="60"/>
        <v>0</v>
      </c>
      <c r="S93" s="7">
        <f t="shared" si="60"/>
        <v>0</v>
      </c>
      <c r="T93" s="7">
        <f t="shared" si="60"/>
        <v>0</v>
      </c>
      <c r="U93" s="7">
        <f t="shared" si="60"/>
        <v>0</v>
      </c>
      <c r="V93" s="7">
        <f t="shared" si="60"/>
        <v>0</v>
      </c>
      <c r="W93" s="7">
        <f t="shared" si="60"/>
        <v>0</v>
      </c>
      <c r="X93" s="7">
        <f t="shared" si="60"/>
        <v>0</v>
      </c>
      <c r="Y93" s="20">
        <f>SUM(E93:X93)</f>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450</v>
      </c>
      <c r="E94" s="20">
        <f t="shared" ref="E94:X106" si="61">E57-E56</f>
        <v>0</v>
      </c>
      <c r="F94" s="20">
        <f t="shared" si="61"/>
        <v>0</v>
      </c>
      <c r="G94" s="20">
        <f t="shared" si="61"/>
        <v>0</v>
      </c>
      <c r="H94" s="20">
        <f t="shared" si="61"/>
        <v>0</v>
      </c>
      <c r="I94" s="20">
        <f t="shared" si="61"/>
        <v>0</v>
      </c>
      <c r="J94" s="20">
        <f t="shared" si="61"/>
        <v>0</v>
      </c>
      <c r="K94" s="20">
        <f t="shared" si="61"/>
        <v>0</v>
      </c>
      <c r="L94" s="20">
        <f t="shared" si="61"/>
        <v>0</v>
      </c>
      <c r="M94" s="20">
        <f t="shared" si="61"/>
        <v>0</v>
      </c>
      <c r="N94" s="20">
        <f t="shared" si="61"/>
        <v>0</v>
      </c>
      <c r="O94" s="20">
        <f t="shared" si="61"/>
        <v>0</v>
      </c>
      <c r="P94" s="20">
        <f t="shared" si="61"/>
        <v>0</v>
      </c>
      <c r="Q94" s="20">
        <f t="shared" si="61"/>
        <v>0</v>
      </c>
      <c r="R94" s="20">
        <f t="shared" si="61"/>
        <v>0</v>
      </c>
      <c r="S94" s="20">
        <f t="shared" si="61"/>
        <v>0</v>
      </c>
      <c r="T94" s="20">
        <f t="shared" si="61"/>
        <v>0</v>
      </c>
      <c r="U94" s="20">
        <f t="shared" si="61"/>
        <v>0</v>
      </c>
      <c r="V94" s="20">
        <f t="shared" si="61"/>
        <v>0</v>
      </c>
      <c r="W94" s="20">
        <f t="shared" si="61"/>
        <v>0</v>
      </c>
      <c r="X94" s="20">
        <f t="shared" si="61"/>
        <v>0</v>
      </c>
      <c r="Y94" s="20">
        <f t="shared" ref="Y94:Y123" si="62">SUM(E94:X94)</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75</v>
      </c>
      <c r="E95" s="20">
        <f t="shared" si="61"/>
        <v>0</v>
      </c>
      <c r="F95" s="20">
        <f t="shared" si="61"/>
        <v>0</v>
      </c>
      <c r="G95" s="20">
        <f t="shared" si="61"/>
        <v>0</v>
      </c>
      <c r="H95" s="20">
        <f t="shared" si="61"/>
        <v>0</v>
      </c>
      <c r="I95" s="20">
        <f t="shared" si="61"/>
        <v>0</v>
      </c>
      <c r="J95" s="20">
        <f t="shared" si="61"/>
        <v>0</v>
      </c>
      <c r="K95" s="20">
        <f t="shared" si="61"/>
        <v>0</v>
      </c>
      <c r="L95" s="20">
        <f t="shared" si="61"/>
        <v>0</v>
      </c>
      <c r="M95" s="20">
        <f t="shared" si="61"/>
        <v>0</v>
      </c>
      <c r="N95" s="20">
        <f t="shared" si="61"/>
        <v>0</v>
      </c>
      <c r="O95" s="20">
        <f t="shared" si="61"/>
        <v>0</v>
      </c>
      <c r="P95" s="20">
        <f t="shared" si="61"/>
        <v>0</v>
      </c>
      <c r="Q95" s="20">
        <f t="shared" si="61"/>
        <v>0</v>
      </c>
      <c r="R95" s="20">
        <f t="shared" si="61"/>
        <v>0</v>
      </c>
      <c r="S95" s="20">
        <f t="shared" si="61"/>
        <v>0</v>
      </c>
      <c r="T95" s="20">
        <f t="shared" si="61"/>
        <v>0</v>
      </c>
      <c r="U95" s="20">
        <f t="shared" si="61"/>
        <v>0</v>
      </c>
      <c r="V95" s="20">
        <f t="shared" si="61"/>
        <v>0</v>
      </c>
      <c r="W95" s="20">
        <f t="shared" si="61"/>
        <v>0</v>
      </c>
      <c r="X95" s="20">
        <f t="shared" si="61"/>
        <v>0</v>
      </c>
      <c r="Y95" s="20">
        <f t="shared" si="62"/>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78</v>
      </c>
      <c r="E96" s="20">
        <f t="shared" si="61"/>
        <v>0</v>
      </c>
      <c r="F96" s="20">
        <f t="shared" si="61"/>
        <v>0</v>
      </c>
      <c r="G96" s="20">
        <f t="shared" si="61"/>
        <v>0</v>
      </c>
      <c r="H96" s="20">
        <f t="shared" si="61"/>
        <v>0</v>
      </c>
      <c r="I96" s="20">
        <f t="shared" si="61"/>
        <v>0</v>
      </c>
      <c r="J96" s="20">
        <f t="shared" si="61"/>
        <v>0</v>
      </c>
      <c r="K96" s="20">
        <f t="shared" si="61"/>
        <v>0</v>
      </c>
      <c r="L96" s="20">
        <f t="shared" si="61"/>
        <v>0</v>
      </c>
      <c r="M96" s="20">
        <f t="shared" si="61"/>
        <v>0</v>
      </c>
      <c r="N96" s="20">
        <f t="shared" si="61"/>
        <v>0</v>
      </c>
      <c r="O96" s="20">
        <f t="shared" si="61"/>
        <v>0</v>
      </c>
      <c r="P96" s="20">
        <f t="shared" si="61"/>
        <v>0</v>
      </c>
      <c r="Q96" s="20">
        <f t="shared" si="61"/>
        <v>0</v>
      </c>
      <c r="R96" s="20">
        <f t="shared" si="61"/>
        <v>0</v>
      </c>
      <c r="S96" s="20">
        <f t="shared" si="61"/>
        <v>0</v>
      </c>
      <c r="T96" s="20">
        <f t="shared" si="61"/>
        <v>0</v>
      </c>
      <c r="U96" s="20">
        <f t="shared" si="61"/>
        <v>0</v>
      </c>
      <c r="V96" s="20">
        <f t="shared" si="61"/>
        <v>0</v>
      </c>
      <c r="W96" s="20">
        <f t="shared" si="61"/>
        <v>0</v>
      </c>
      <c r="X96" s="20">
        <f t="shared" si="61"/>
        <v>0</v>
      </c>
      <c r="Y96" s="20">
        <f t="shared" si="62"/>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81</v>
      </c>
      <c r="E97" s="20">
        <f t="shared" ca="1" si="61"/>
        <v>8.7306221932550911E-3</v>
      </c>
      <c r="F97" s="20">
        <f t="shared" ca="1" si="61"/>
        <v>1.69056761103531E-2</v>
      </c>
      <c r="G97" s="20">
        <f t="shared" ca="1" si="61"/>
        <v>2.4448056636096158E-2</v>
      </c>
      <c r="H97" s="20">
        <f t="shared" ca="1" si="61"/>
        <v>3.1551246888191636E-2</v>
      </c>
      <c r="I97" s="20">
        <f t="shared" ca="1" si="61"/>
        <v>3.8178954828127505E-2</v>
      </c>
      <c r="J97" s="20">
        <f t="shared" ca="1" si="61"/>
        <v>4.3281428318227691E-2</v>
      </c>
      <c r="K97" s="20">
        <f t="shared" ca="1" si="61"/>
        <v>4.7545271233612518E-2</v>
      </c>
      <c r="L97" s="20">
        <f t="shared" ca="1" si="61"/>
        <v>5.1875316351907341E-2</v>
      </c>
      <c r="M97" s="20">
        <f t="shared" ca="1" si="61"/>
        <v>5.5250720582833153E-2</v>
      </c>
      <c r="N97" s="20">
        <f t="shared" ca="1" si="61"/>
        <v>5.9977984300049608E-2</v>
      </c>
      <c r="O97" s="20">
        <f t="shared" ca="1" si="61"/>
        <v>6.2491422509099025E-2</v>
      </c>
      <c r="P97" s="20">
        <f t="shared" ca="1" si="61"/>
        <v>6.3731902830535217E-2</v>
      </c>
      <c r="Q97" s="20">
        <f t="shared" ca="1" si="61"/>
        <v>6.4041184704201698E-2</v>
      </c>
      <c r="R97" s="20">
        <f t="shared" ca="1" si="61"/>
        <v>6.4978957104612975E-2</v>
      </c>
      <c r="S97" s="20">
        <f t="shared" ca="1" si="61"/>
        <v>6.6020944422639616E-2</v>
      </c>
      <c r="T97" s="20">
        <f t="shared" ca="1" si="61"/>
        <v>6.6159931991605733E-2</v>
      </c>
      <c r="U97" s="20">
        <f t="shared" ca="1" si="61"/>
        <v>6.5019985715259118E-2</v>
      </c>
      <c r="V97" s="20">
        <f t="shared" ca="1" si="61"/>
        <v>6.4632538981338639E-2</v>
      </c>
      <c r="W97" s="20">
        <f t="shared" ca="1" si="61"/>
        <v>6.5009741899080917E-2</v>
      </c>
      <c r="X97" s="20">
        <f t="shared" ca="1" si="61"/>
        <v>6.5210626032025099E-2</v>
      </c>
      <c r="Y97" s="20">
        <f t="shared" ca="1" si="62"/>
        <v>1.0250425136330519</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84</v>
      </c>
      <c r="E98" s="20">
        <f t="shared" ca="1" si="61"/>
        <v>0</v>
      </c>
      <c r="F98" s="20">
        <f t="shared" ca="1" si="61"/>
        <v>0</v>
      </c>
      <c r="G98" s="20">
        <f t="shared" ca="1" si="61"/>
        <v>0</v>
      </c>
      <c r="H98" s="20">
        <f t="shared" ca="1" si="61"/>
        <v>0</v>
      </c>
      <c r="I98" s="20">
        <f t="shared" ca="1" si="61"/>
        <v>0</v>
      </c>
      <c r="J98" s="20">
        <f t="shared" ca="1" si="61"/>
        <v>0</v>
      </c>
      <c r="K98" s="20">
        <f t="shared" ca="1" si="61"/>
        <v>0</v>
      </c>
      <c r="L98" s="20">
        <f t="shared" ca="1" si="61"/>
        <v>0</v>
      </c>
      <c r="M98" s="20">
        <f t="shared" ca="1" si="61"/>
        <v>0</v>
      </c>
      <c r="N98" s="20">
        <f t="shared" ca="1" si="61"/>
        <v>0</v>
      </c>
      <c r="O98" s="20">
        <f t="shared" ca="1" si="61"/>
        <v>0</v>
      </c>
      <c r="P98" s="20">
        <f t="shared" ca="1" si="61"/>
        <v>0</v>
      </c>
      <c r="Q98" s="20">
        <f t="shared" ca="1" si="61"/>
        <v>0</v>
      </c>
      <c r="R98" s="20">
        <f t="shared" ca="1" si="61"/>
        <v>0</v>
      </c>
      <c r="S98" s="20">
        <f t="shared" ca="1" si="61"/>
        <v>0</v>
      </c>
      <c r="T98" s="20">
        <f t="shared" ca="1" si="61"/>
        <v>0</v>
      </c>
      <c r="U98" s="20">
        <f t="shared" ca="1" si="61"/>
        <v>0</v>
      </c>
      <c r="V98" s="20">
        <f t="shared" ca="1" si="61"/>
        <v>0</v>
      </c>
      <c r="W98" s="20">
        <f t="shared" ca="1" si="61"/>
        <v>0</v>
      </c>
      <c r="X98" s="20">
        <f t="shared" ca="1" si="61"/>
        <v>0</v>
      </c>
      <c r="Y98" s="20">
        <f t="shared" ca="1" si="62"/>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87</v>
      </c>
      <c r="E99" s="20">
        <f t="shared" ca="1" si="61"/>
        <v>0</v>
      </c>
      <c r="F99" s="20">
        <f t="shared" ca="1" si="61"/>
        <v>0</v>
      </c>
      <c r="G99" s="20">
        <f t="shared" ca="1" si="61"/>
        <v>0</v>
      </c>
      <c r="H99" s="20">
        <f t="shared" ca="1" si="61"/>
        <v>0</v>
      </c>
      <c r="I99" s="20">
        <f t="shared" ca="1" si="61"/>
        <v>0</v>
      </c>
      <c r="J99" s="20">
        <f t="shared" ca="1" si="61"/>
        <v>0</v>
      </c>
      <c r="K99" s="20">
        <f t="shared" ca="1" si="61"/>
        <v>0</v>
      </c>
      <c r="L99" s="20">
        <f t="shared" ca="1" si="61"/>
        <v>0</v>
      </c>
      <c r="M99" s="20">
        <f t="shared" ca="1" si="61"/>
        <v>0</v>
      </c>
      <c r="N99" s="20">
        <f t="shared" ca="1" si="61"/>
        <v>0</v>
      </c>
      <c r="O99" s="20">
        <f t="shared" ca="1" si="61"/>
        <v>0</v>
      </c>
      <c r="P99" s="20">
        <f t="shared" ca="1" si="61"/>
        <v>0</v>
      </c>
      <c r="Q99" s="20">
        <f t="shared" ca="1" si="61"/>
        <v>0</v>
      </c>
      <c r="R99" s="20">
        <f t="shared" ca="1" si="61"/>
        <v>0</v>
      </c>
      <c r="S99" s="20">
        <f t="shared" ca="1" si="61"/>
        <v>0</v>
      </c>
      <c r="T99" s="20">
        <f t="shared" ca="1" si="61"/>
        <v>0</v>
      </c>
      <c r="U99" s="20">
        <f t="shared" ca="1" si="61"/>
        <v>0</v>
      </c>
      <c r="V99" s="20">
        <f t="shared" ca="1" si="61"/>
        <v>0</v>
      </c>
      <c r="W99" s="20">
        <f t="shared" ca="1" si="61"/>
        <v>0</v>
      </c>
      <c r="X99" s="20">
        <f t="shared" ca="1" si="61"/>
        <v>0</v>
      </c>
      <c r="Y99" s="20">
        <f t="shared" ca="1" si="62"/>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90</v>
      </c>
      <c r="E100" s="20">
        <f t="shared" ca="1" si="61"/>
        <v>0</v>
      </c>
      <c r="F100" s="20">
        <f t="shared" ca="1" si="61"/>
        <v>0</v>
      </c>
      <c r="G100" s="20">
        <f t="shared" ca="1" si="61"/>
        <v>0</v>
      </c>
      <c r="H100" s="20">
        <f t="shared" ca="1" si="61"/>
        <v>0</v>
      </c>
      <c r="I100" s="20">
        <f t="shared" ca="1" si="61"/>
        <v>0</v>
      </c>
      <c r="J100" s="20">
        <f t="shared" ca="1" si="61"/>
        <v>0</v>
      </c>
      <c r="K100" s="20">
        <f t="shared" ca="1" si="61"/>
        <v>0</v>
      </c>
      <c r="L100" s="20">
        <f t="shared" ca="1" si="61"/>
        <v>0</v>
      </c>
      <c r="M100" s="20">
        <f t="shared" ca="1" si="61"/>
        <v>0</v>
      </c>
      <c r="N100" s="20">
        <f t="shared" ca="1" si="61"/>
        <v>0</v>
      </c>
      <c r="O100" s="20">
        <f t="shared" ca="1" si="61"/>
        <v>0</v>
      </c>
      <c r="P100" s="20">
        <f t="shared" ca="1" si="61"/>
        <v>0</v>
      </c>
      <c r="Q100" s="20">
        <f t="shared" ca="1" si="61"/>
        <v>0</v>
      </c>
      <c r="R100" s="20">
        <f t="shared" ca="1" si="61"/>
        <v>0</v>
      </c>
      <c r="S100" s="20">
        <f t="shared" ca="1" si="61"/>
        <v>0</v>
      </c>
      <c r="T100" s="20">
        <f t="shared" ca="1" si="61"/>
        <v>0</v>
      </c>
      <c r="U100" s="20">
        <f t="shared" ca="1" si="61"/>
        <v>0</v>
      </c>
      <c r="V100" s="20">
        <f t="shared" ca="1" si="61"/>
        <v>0</v>
      </c>
      <c r="W100" s="20">
        <f t="shared" ca="1" si="61"/>
        <v>0</v>
      </c>
      <c r="X100" s="20">
        <f t="shared" ca="1" si="61"/>
        <v>0</v>
      </c>
      <c r="Y100" s="20">
        <f t="shared" ca="1" si="62"/>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93</v>
      </c>
      <c r="E101" s="20">
        <f t="shared" ca="1" si="61"/>
        <v>0</v>
      </c>
      <c r="F101" s="20">
        <f t="shared" ca="1" si="61"/>
        <v>0</v>
      </c>
      <c r="G101" s="20">
        <f t="shared" ca="1" si="61"/>
        <v>0</v>
      </c>
      <c r="H101" s="20">
        <f t="shared" ca="1" si="61"/>
        <v>0</v>
      </c>
      <c r="I101" s="20">
        <f t="shared" ca="1" si="61"/>
        <v>0</v>
      </c>
      <c r="J101" s="20">
        <f t="shared" ca="1" si="61"/>
        <v>0</v>
      </c>
      <c r="K101" s="20">
        <f t="shared" ca="1" si="61"/>
        <v>0</v>
      </c>
      <c r="L101" s="20">
        <f t="shared" ca="1" si="61"/>
        <v>0</v>
      </c>
      <c r="M101" s="20">
        <f t="shared" ca="1" si="61"/>
        <v>0</v>
      </c>
      <c r="N101" s="20">
        <f t="shared" ca="1" si="61"/>
        <v>0</v>
      </c>
      <c r="O101" s="20">
        <f t="shared" ca="1" si="61"/>
        <v>0</v>
      </c>
      <c r="P101" s="20">
        <f t="shared" ca="1" si="61"/>
        <v>0</v>
      </c>
      <c r="Q101" s="20">
        <f t="shared" ca="1" si="61"/>
        <v>0</v>
      </c>
      <c r="R101" s="20">
        <f t="shared" ca="1" si="61"/>
        <v>0</v>
      </c>
      <c r="S101" s="20">
        <f t="shared" ca="1" si="61"/>
        <v>0</v>
      </c>
      <c r="T101" s="20">
        <f t="shared" ca="1" si="61"/>
        <v>0</v>
      </c>
      <c r="U101" s="20">
        <f t="shared" ca="1" si="61"/>
        <v>0</v>
      </c>
      <c r="V101" s="20">
        <f t="shared" ca="1" si="61"/>
        <v>0</v>
      </c>
      <c r="W101" s="20">
        <f t="shared" ca="1" si="61"/>
        <v>0</v>
      </c>
      <c r="X101" s="20">
        <f t="shared" ca="1" si="61"/>
        <v>0</v>
      </c>
      <c r="Y101" s="20">
        <f t="shared" ca="1" si="62"/>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96</v>
      </c>
      <c r="E102" s="20">
        <f t="shared" ca="1" si="61"/>
        <v>0</v>
      </c>
      <c r="F102" s="20">
        <f t="shared" ca="1" si="61"/>
        <v>0</v>
      </c>
      <c r="G102" s="20">
        <f t="shared" ca="1" si="61"/>
        <v>0</v>
      </c>
      <c r="H102" s="20">
        <f t="shared" ca="1" si="61"/>
        <v>0</v>
      </c>
      <c r="I102" s="20">
        <f t="shared" ca="1" si="61"/>
        <v>0</v>
      </c>
      <c r="J102" s="20">
        <f t="shared" ca="1" si="61"/>
        <v>0</v>
      </c>
      <c r="K102" s="20">
        <f t="shared" ca="1" si="61"/>
        <v>0</v>
      </c>
      <c r="L102" s="20">
        <f t="shared" ca="1" si="61"/>
        <v>0</v>
      </c>
      <c r="M102" s="20">
        <f t="shared" ca="1" si="61"/>
        <v>0</v>
      </c>
      <c r="N102" s="20">
        <f t="shared" ca="1" si="61"/>
        <v>0</v>
      </c>
      <c r="O102" s="20">
        <f t="shared" ca="1" si="61"/>
        <v>0</v>
      </c>
      <c r="P102" s="20">
        <f t="shared" ca="1" si="61"/>
        <v>0</v>
      </c>
      <c r="Q102" s="20">
        <f t="shared" ca="1" si="61"/>
        <v>0</v>
      </c>
      <c r="R102" s="20">
        <f t="shared" ca="1" si="61"/>
        <v>0</v>
      </c>
      <c r="S102" s="20">
        <f t="shared" ca="1" si="61"/>
        <v>0</v>
      </c>
      <c r="T102" s="20">
        <f t="shared" ca="1" si="61"/>
        <v>0</v>
      </c>
      <c r="U102" s="20">
        <f t="shared" ca="1" si="61"/>
        <v>0</v>
      </c>
      <c r="V102" s="20">
        <f t="shared" ca="1" si="61"/>
        <v>0</v>
      </c>
      <c r="W102" s="20">
        <f t="shared" ca="1" si="61"/>
        <v>0</v>
      </c>
      <c r="X102" s="20">
        <f t="shared" ca="1" si="61"/>
        <v>0</v>
      </c>
      <c r="Y102" s="20">
        <f t="shared" ca="1" si="62"/>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99</v>
      </c>
      <c r="E103" s="20">
        <f t="shared" ca="1" si="61"/>
        <v>0</v>
      </c>
      <c r="F103" s="20">
        <f t="shared" ca="1" si="61"/>
        <v>0</v>
      </c>
      <c r="G103" s="20">
        <f t="shared" ca="1" si="61"/>
        <v>0</v>
      </c>
      <c r="H103" s="20">
        <f t="shared" ca="1" si="61"/>
        <v>0</v>
      </c>
      <c r="I103" s="20">
        <f t="shared" ca="1" si="61"/>
        <v>0</v>
      </c>
      <c r="J103" s="20">
        <f t="shared" ca="1" si="61"/>
        <v>0</v>
      </c>
      <c r="K103" s="20">
        <f t="shared" ca="1" si="61"/>
        <v>0</v>
      </c>
      <c r="L103" s="20">
        <f t="shared" ca="1" si="61"/>
        <v>0</v>
      </c>
      <c r="M103" s="20">
        <f t="shared" ca="1" si="61"/>
        <v>0</v>
      </c>
      <c r="N103" s="20">
        <f t="shared" ca="1" si="61"/>
        <v>0</v>
      </c>
      <c r="O103" s="20">
        <f t="shared" ca="1" si="61"/>
        <v>0</v>
      </c>
      <c r="P103" s="20">
        <f t="shared" ca="1" si="61"/>
        <v>0</v>
      </c>
      <c r="Q103" s="20">
        <f t="shared" ca="1" si="61"/>
        <v>0</v>
      </c>
      <c r="R103" s="20">
        <f t="shared" ca="1" si="61"/>
        <v>0</v>
      </c>
      <c r="S103" s="20">
        <f t="shared" ca="1" si="61"/>
        <v>0</v>
      </c>
      <c r="T103" s="20">
        <f t="shared" ca="1" si="61"/>
        <v>0</v>
      </c>
      <c r="U103" s="20">
        <f t="shared" ca="1" si="61"/>
        <v>0</v>
      </c>
      <c r="V103" s="20">
        <f t="shared" ca="1" si="61"/>
        <v>0</v>
      </c>
      <c r="W103" s="20">
        <f t="shared" ca="1" si="61"/>
        <v>0</v>
      </c>
      <c r="X103" s="20">
        <f t="shared" ca="1" si="61"/>
        <v>0</v>
      </c>
      <c r="Y103" s="20">
        <f t="shared" ca="1" si="62"/>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102</v>
      </c>
      <c r="E104" s="20">
        <f t="shared" ca="1" si="61"/>
        <v>0</v>
      </c>
      <c r="F104" s="20">
        <f t="shared" ca="1" si="61"/>
        <v>0</v>
      </c>
      <c r="G104" s="20">
        <f t="shared" ca="1" si="61"/>
        <v>0</v>
      </c>
      <c r="H104" s="20">
        <f t="shared" ca="1" si="61"/>
        <v>0</v>
      </c>
      <c r="I104" s="20">
        <f t="shared" ca="1" si="61"/>
        <v>0</v>
      </c>
      <c r="J104" s="20">
        <f t="shared" ca="1" si="61"/>
        <v>0</v>
      </c>
      <c r="K104" s="20">
        <f t="shared" ca="1" si="61"/>
        <v>0</v>
      </c>
      <c r="L104" s="20">
        <f t="shared" ca="1" si="61"/>
        <v>0</v>
      </c>
      <c r="M104" s="20">
        <f t="shared" ca="1" si="61"/>
        <v>0</v>
      </c>
      <c r="N104" s="20">
        <f t="shared" ca="1" si="61"/>
        <v>0</v>
      </c>
      <c r="O104" s="20">
        <f t="shared" ca="1" si="61"/>
        <v>0</v>
      </c>
      <c r="P104" s="20">
        <f t="shared" ca="1" si="61"/>
        <v>0</v>
      </c>
      <c r="Q104" s="20">
        <f t="shared" ca="1" si="61"/>
        <v>0</v>
      </c>
      <c r="R104" s="20">
        <f t="shared" ca="1" si="61"/>
        <v>0</v>
      </c>
      <c r="S104" s="20">
        <f t="shared" ca="1" si="61"/>
        <v>0</v>
      </c>
      <c r="T104" s="20">
        <f t="shared" ca="1" si="61"/>
        <v>0</v>
      </c>
      <c r="U104" s="20">
        <f t="shared" ca="1" si="61"/>
        <v>0</v>
      </c>
      <c r="V104" s="20">
        <f t="shared" ca="1" si="61"/>
        <v>0</v>
      </c>
      <c r="W104" s="20">
        <f t="shared" ca="1" si="61"/>
        <v>0</v>
      </c>
      <c r="X104" s="20">
        <f t="shared" ca="1" si="61"/>
        <v>0</v>
      </c>
      <c r="Y104" s="20">
        <f t="shared" ca="1" si="62"/>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105</v>
      </c>
      <c r="E105" s="20">
        <f t="shared" ca="1" si="61"/>
        <v>0</v>
      </c>
      <c r="F105" s="20">
        <f t="shared" ca="1" si="61"/>
        <v>0</v>
      </c>
      <c r="G105" s="20">
        <f t="shared" ca="1" si="61"/>
        <v>0</v>
      </c>
      <c r="H105" s="20">
        <f t="shared" ca="1" si="61"/>
        <v>0</v>
      </c>
      <c r="I105" s="20">
        <f t="shared" ca="1" si="61"/>
        <v>0</v>
      </c>
      <c r="J105" s="20">
        <f t="shared" ca="1" si="61"/>
        <v>0</v>
      </c>
      <c r="K105" s="20">
        <f t="shared" ca="1" si="61"/>
        <v>0</v>
      </c>
      <c r="L105" s="20">
        <f t="shared" ca="1" si="61"/>
        <v>0</v>
      </c>
      <c r="M105" s="20">
        <f t="shared" ca="1" si="61"/>
        <v>0</v>
      </c>
      <c r="N105" s="20">
        <f t="shared" ca="1" si="61"/>
        <v>0</v>
      </c>
      <c r="O105" s="20">
        <f t="shared" ca="1" si="61"/>
        <v>0</v>
      </c>
      <c r="P105" s="20">
        <f t="shared" ca="1" si="61"/>
        <v>0</v>
      </c>
      <c r="Q105" s="20">
        <f t="shared" ca="1" si="61"/>
        <v>0</v>
      </c>
      <c r="R105" s="20">
        <f t="shared" ca="1" si="61"/>
        <v>0</v>
      </c>
      <c r="S105" s="20">
        <f t="shared" ca="1" si="61"/>
        <v>0</v>
      </c>
      <c r="T105" s="20">
        <f t="shared" ca="1" si="61"/>
        <v>0</v>
      </c>
      <c r="U105" s="20">
        <f t="shared" ca="1" si="61"/>
        <v>0</v>
      </c>
      <c r="V105" s="20">
        <f t="shared" ca="1" si="61"/>
        <v>0</v>
      </c>
      <c r="W105" s="20">
        <f t="shared" ca="1" si="61"/>
        <v>0</v>
      </c>
      <c r="X105" s="20">
        <f t="shared" ca="1" si="61"/>
        <v>0</v>
      </c>
      <c r="Y105" s="20">
        <f t="shared" ca="1" si="62"/>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108</v>
      </c>
      <c r="E106" s="20">
        <f t="shared" ca="1" si="61"/>
        <v>0</v>
      </c>
      <c r="F106" s="20">
        <f t="shared" ca="1" si="61"/>
        <v>0</v>
      </c>
      <c r="G106" s="20">
        <f t="shared" ca="1" si="61"/>
        <v>0</v>
      </c>
      <c r="H106" s="20">
        <f t="shared" ref="H106:X106" ca="1" si="63">H69-H68</f>
        <v>0</v>
      </c>
      <c r="I106" s="20">
        <f t="shared" ca="1" si="63"/>
        <v>0</v>
      </c>
      <c r="J106" s="20">
        <f t="shared" ca="1" si="63"/>
        <v>0</v>
      </c>
      <c r="K106" s="20">
        <f t="shared" ca="1" si="63"/>
        <v>0</v>
      </c>
      <c r="L106" s="20">
        <f t="shared" ca="1" si="63"/>
        <v>0</v>
      </c>
      <c r="M106" s="20">
        <f t="shared" ca="1" si="63"/>
        <v>0</v>
      </c>
      <c r="N106" s="20">
        <f t="shared" ca="1" si="63"/>
        <v>0</v>
      </c>
      <c r="O106" s="20">
        <f t="shared" ca="1" si="63"/>
        <v>0</v>
      </c>
      <c r="P106" s="20">
        <f t="shared" ca="1" si="63"/>
        <v>0</v>
      </c>
      <c r="Q106" s="20">
        <f t="shared" ca="1" si="63"/>
        <v>0</v>
      </c>
      <c r="R106" s="20">
        <f t="shared" ca="1" si="63"/>
        <v>0</v>
      </c>
      <c r="S106" s="20">
        <f t="shared" ca="1" si="63"/>
        <v>0</v>
      </c>
      <c r="T106" s="20">
        <f t="shared" ca="1" si="63"/>
        <v>0</v>
      </c>
      <c r="U106" s="20">
        <f t="shared" ca="1" si="63"/>
        <v>0</v>
      </c>
      <c r="V106" s="20">
        <f t="shared" ca="1" si="63"/>
        <v>0</v>
      </c>
      <c r="W106" s="20">
        <f t="shared" ca="1" si="63"/>
        <v>0</v>
      </c>
      <c r="X106" s="20">
        <f t="shared" ca="1" si="63"/>
        <v>0</v>
      </c>
      <c r="Y106" s="20">
        <f t="shared" ca="1" si="62"/>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111</v>
      </c>
      <c r="E107" s="20">
        <f t="shared" ref="E107:X107" ca="1" si="64">E70-E69</f>
        <v>0</v>
      </c>
      <c r="F107" s="20">
        <f t="shared" ca="1" si="64"/>
        <v>0</v>
      </c>
      <c r="G107" s="20">
        <f t="shared" ca="1" si="64"/>
        <v>0</v>
      </c>
      <c r="H107" s="20">
        <f t="shared" ca="1" si="64"/>
        <v>0</v>
      </c>
      <c r="I107" s="20">
        <f t="shared" ca="1" si="64"/>
        <v>0</v>
      </c>
      <c r="J107" s="20">
        <f t="shared" ca="1" si="64"/>
        <v>0</v>
      </c>
      <c r="K107" s="20">
        <f t="shared" ca="1" si="64"/>
        <v>0</v>
      </c>
      <c r="L107" s="20">
        <f t="shared" ca="1" si="64"/>
        <v>0</v>
      </c>
      <c r="M107" s="20">
        <f t="shared" ca="1" si="64"/>
        <v>0</v>
      </c>
      <c r="N107" s="20">
        <f t="shared" ca="1" si="64"/>
        <v>0</v>
      </c>
      <c r="O107" s="20">
        <f t="shared" ca="1" si="64"/>
        <v>0</v>
      </c>
      <c r="P107" s="20">
        <f t="shared" ca="1" si="64"/>
        <v>0</v>
      </c>
      <c r="Q107" s="20">
        <f t="shared" ca="1" si="64"/>
        <v>0</v>
      </c>
      <c r="R107" s="20">
        <f t="shared" ca="1" si="64"/>
        <v>0</v>
      </c>
      <c r="S107" s="20">
        <f t="shared" ca="1" si="64"/>
        <v>0</v>
      </c>
      <c r="T107" s="20">
        <f t="shared" ca="1" si="64"/>
        <v>0</v>
      </c>
      <c r="U107" s="20">
        <f t="shared" ca="1" si="64"/>
        <v>0</v>
      </c>
      <c r="V107" s="20">
        <f t="shared" ca="1" si="64"/>
        <v>0</v>
      </c>
      <c r="W107" s="20">
        <f t="shared" ca="1" si="64"/>
        <v>0</v>
      </c>
      <c r="X107" s="20">
        <f t="shared" ca="1" si="64"/>
        <v>0</v>
      </c>
      <c r="Y107" s="20">
        <f t="shared" ca="1" si="62"/>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114</v>
      </c>
      <c r="E108" s="20">
        <f t="shared" ref="E108:X108" ca="1" si="65">E71-E70</f>
        <v>0</v>
      </c>
      <c r="F108" s="20">
        <f t="shared" ca="1" si="65"/>
        <v>0</v>
      </c>
      <c r="G108" s="20">
        <f t="shared" ca="1" si="65"/>
        <v>0</v>
      </c>
      <c r="H108" s="20">
        <f t="shared" ca="1" si="65"/>
        <v>0</v>
      </c>
      <c r="I108" s="20">
        <f t="shared" ca="1" si="65"/>
        <v>0</v>
      </c>
      <c r="J108" s="20">
        <f t="shared" ca="1" si="65"/>
        <v>0</v>
      </c>
      <c r="K108" s="20">
        <f t="shared" ca="1" si="65"/>
        <v>0</v>
      </c>
      <c r="L108" s="20">
        <f t="shared" ca="1" si="65"/>
        <v>0</v>
      </c>
      <c r="M108" s="20">
        <f t="shared" ca="1" si="65"/>
        <v>0</v>
      </c>
      <c r="N108" s="20">
        <f t="shared" ca="1" si="65"/>
        <v>0</v>
      </c>
      <c r="O108" s="20">
        <f t="shared" ca="1" si="65"/>
        <v>0</v>
      </c>
      <c r="P108" s="20">
        <f t="shared" ca="1" si="65"/>
        <v>0</v>
      </c>
      <c r="Q108" s="20">
        <f t="shared" ca="1" si="65"/>
        <v>0</v>
      </c>
      <c r="R108" s="20">
        <f t="shared" ca="1" si="65"/>
        <v>0</v>
      </c>
      <c r="S108" s="20">
        <f t="shared" ca="1" si="65"/>
        <v>0</v>
      </c>
      <c r="T108" s="20">
        <f t="shared" ca="1" si="65"/>
        <v>0</v>
      </c>
      <c r="U108" s="20">
        <f t="shared" ca="1" si="65"/>
        <v>0</v>
      </c>
      <c r="V108" s="20">
        <f t="shared" ca="1" si="65"/>
        <v>0</v>
      </c>
      <c r="W108" s="20">
        <f t="shared" ca="1" si="65"/>
        <v>0</v>
      </c>
      <c r="X108" s="20">
        <f t="shared" ca="1" si="65"/>
        <v>0</v>
      </c>
      <c r="Y108" s="20">
        <f t="shared" ca="1" si="62"/>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117</v>
      </c>
      <c r="E109" s="20">
        <f t="shared" ref="E109:X109" ca="1" si="66">E72-E71</f>
        <v>0</v>
      </c>
      <c r="F109" s="20">
        <f t="shared" ca="1" si="66"/>
        <v>0</v>
      </c>
      <c r="G109" s="20">
        <f t="shared" ca="1" si="66"/>
        <v>0</v>
      </c>
      <c r="H109" s="20">
        <f t="shared" ca="1" si="66"/>
        <v>0</v>
      </c>
      <c r="I109" s="20">
        <f t="shared" ca="1" si="66"/>
        <v>0</v>
      </c>
      <c r="J109" s="20">
        <f t="shared" ca="1" si="66"/>
        <v>0</v>
      </c>
      <c r="K109" s="20">
        <f t="shared" ca="1" si="66"/>
        <v>0</v>
      </c>
      <c r="L109" s="20">
        <f t="shared" ca="1" si="66"/>
        <v>0</v>
      </c>
      <c r="M109" s="20">
        <f t="shared" ca="1" si="66"/>
        <v>0</v>
      </c>
      <c r="N109" s="20">
        <f t="shared" ca="1" si="66"/>
        <v>0</v>
      </c>
      <c r="O109" s="20">
        <f t="shared" ca="1" si="66"/>
        <v>0</v>
      </c>
      <c r="P109" s="20">
        <f t="shared" ca="1" si="66"/>
        <v>0</v>
      </c>
      <c r="Q109" s="20">
        <f t="shared" ca="1" si="66"/>
        <v>0</v>
      </c>
      <c r="R109" s="20">
        <f t="shared" ca="1" si="66"/>
        <v>0</v>
      </c>
      <c r="S109" s="20">
        <f t="shared" ca="1" si="66"/>
        <v>0</v>
      </c>
      <c r="T109" s="20">
        <f t="shared" ca="1" si="66"/>
        <v>0</v>
      </c>
      <c r="U109" s="20">
        <f t="shared" ca="1" si="66"/>
        <v>0</v>
      </c>
      <c r="V109" s="20">
        <f t="shared" ca="1" si="66"/>
        <v>0</v>
      </c>
      <c r="W109" s="20">
        <f t="shared" ca="1" si="66"/>
        <v>0</v>
      </c>
      <c r="X109" s="20">
        <f t="shared" ca="1" si="66"/>
        <v>0</v>
      </c>
      <c r="Y109" s="20">
        <f t="shared" ca="1" si="62"/>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120</v>
      </c>
      <c r="E110" s="20">
        <f t="shared" ref="E110:X110" ca="1" si="67">E73-E72</f>
        <v>0</v>
      </c>
      <c r="F110" s="20">
        <f t="shared" ca="1" si="67"/>
        <v>0</v>
      </c>
      <c r="G110" s="20">
        <f t="shared" ca="1" si="67"/>
        <v>0</v>
      </c>
      <c r="H110" s="20">
        <f t="shared" ca="1" si="67"/>
        <v>0</v>
      </c>
      <c r="I110" s="20">
        <f t="shared" ca="1" si="67"/>
        <v>0</v>
      </c>
      <c r="J110" s="20">
        <f t="shared" ca="1" si="67"/>
        <v>0</v>
      </c>
      <c r="K110" s="20">
        <f t="shared" ca="1" si="67"/>
        <v>0</v>
      </c>
      <c r="L110" s="20">
        <f t="shared" ca="1" si="67"/>
        <v>0</v>
      </c>
      <c r="M110" s="20">
        <f t="shared" ca="1" si="67"/>
        <v>0</v>
      </c>
      <c r="N110" s="20">
        <f t="shared" ca="1" si="67"/>
        <v>0</v>
      </c>
      <c r="O110" s="20">
        <f t="shared" ca="1" si="67"/>
        <v>0</v>
      </c>
      <c r="P110" s="20">
        <f t="shared" ca="1" si="67"/>
        <v>0</v>
      </c>
      <c r="Q110" s="20">
        <f t="shared" ca="1" si="67"/>
        <v>0</v>
      </c>
      <c r="R110" s="20">
        <f t="shared" ca="1" si="67"/>
        <v>0</v>
      </c>
      <c r="S110" s="20">
        <f t="shared" ca="1" si="67"/>
        <v>0</v>
      </c>
      <c r="T110" s="20">
        <f t="shared" ca="1" si="67"/>
        <v>0</v>
      </c>
      <c r="U110" s="20">
        <f t="shared" ca="1" si="67"/>
        <v>0</v>
      </c>
      <c r="V110" s="20">
        <f t="shared" ca="1" si="67"/>
        <v>0</v>
      </c>
      <c r="W110" s="20">
        <f t="shared" ca="1" si="67"/>
        <v>0</v>
      </c>
      <c r="X110" s="20">
        <f t="shared" ca="1" si="67"/>
        <v>0</v>
      </c>
      <c r="Y110" s="20">
        <f t="shared" ca="1" si="62"/>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123</v>
      </c>
      <c r="E111" s="20">
        <f t="shared" ref="E111:X111" ca="1" si="68">E74-E73</f>
        <v>0</v>
      </c>
      <c r="F111" s="20">
        <f t="shared" ca="1" si="68"/>
        <v>0</v>
      </c>
      <c r="G111" s="20">
        <f t="shared" ca="1" si="68"/>
        <v>0</v>
      </c>
      <c r="H111" s="20">
        <f t="shared" ca="1" si="68"/>
        <v>0</v>
      </c>
      <c r="I111" s="20">
        <f t="shared" ca="1" si="68"/>
        <v>0</v>
      </c>
      <c r="J111" s="20">
        <f t="shared" ca="1" si="68"/>
        <v>0</v>
      </c>
      <c r="K111" s="20">
        <f t="shared" ca="1" si="68"/>
        <v>0</v>
      </c>
      <c r="L111" s="20">
        <f t="shared" ca="1" si="68"/>
        <v>0</v>
      </c>
      <c r="M111" s="20">
        <f t="shared" ca="1" si="68"/>
        <v>0</v>
      </c>
      <c r="N111" s="20">
        <f t="shared" ca="1" si="68"/>
        <v>0</v>
      </c>
      <c r="O111" s="20">
        <f t="shared" ca="1" si="68"/>
        <v>0</v>
      </c>
      <c r="P111" s="20">
        <f t="shared" ca="1" si="68"/>
        <v>0</v>
      </c>
      <c r="Q111" s="20">
        <f t="shared" ca="1" si="68"/>
        <v>0</v>
      </c>
      <c r="R111" s="20">
        <f t="shared" ca="1" si="68"/>
        <v>0</v>
      </c>
      <c r="S111" s="20">
        <f t="shared" ca="1" si="68"/>
        <v>0</v>
      </c>
      <c r="T111" s="20">
        <f t="shared" ca="1" si="68"/>
        <v>0</v>
      </c>
      <c r="U111" s="20">
        <f t="shared" ca="1" si="68"/>
        <v>0</v>
      </c>
      <c r="V111" s="20">
        <f t="shared" ca="1" si="68"/>
        <v>0</v>
      </c>
      <c r="W111" s="20">
        <f t="shared" ca="1" si="68"/>
        <v>0</v>
      </c>
      <c r="X111" s="20">
        <f t="shared" ca="1" si="68"/>
        <v>0</v>
      </c>
      <c r="Y111" s="20">
        <f t="shared" ca="1" si="62"/>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126</v>
      </c>
      <c r="E112" s="20">
        <f t="shared" ref="E112:X112" ca="1" si="69">E75-E74</f>
        <v>0</v>
      </c>
      <c r="F112" s="20">
        <f t="shared" ca="1" si="69"/>
        <v>0</v>
      </c>
      <c r="G112" s="20">
        <f t="shared" ca="1" si="69"/>
        <v>0</v>
      </c>
      <c r="H112" s="20">
        <f t="shared" ca="1" si="69"/>
        <v>0</v>
      </c>
      <c r="I112" s="20">
        <f t="shared" ca="1" si="69"/>
        <v>0</v>
      </c>
      <c r="J112" s="20">
        <f t="shared" ca="1" si="69"/>
        <v>0</v>
      </c>
      <c r="K112" s="20">
        <f t="shared" ca="1" si="69"/>
        <v>0</v>
      </c>
      <c r="L112" s="20">
        <f t="shared" ca="1" si="69"/>
        <v>0</v>
      </c>
      <c r="M112" s="20">
        <f t="shared" ca="1" si="69"/>
        <v>0</v>
      </c>
      <c r="N112" s="20">
        <f t="shared" ca="1" si="69"/>
        <v>0</v>
      </c>
      <c r="O112" s="20">
        <f t="shared" ca="1" si="69"/>
        <v>0</v>
      </c>
      <c r="P112" s="20">
        <f t="shared" ca="1" si="69"/>
        <v>0</v>
      </c>
      <c r="Q112" s="20">
        <f t="shared" ca="1" si="69"/>
        <v>0</v>
      </c>
      <c r="R112" s="20">
        <f t="shared" ca="1" si="69"/>
        <v>0</v>
      </c>
      <c r="S112" s="20">
        <f t="shared" ca="1" si="69"/>
        <v>0</v>
      </c>
      <c r="T112" s="20">
        <f t="shared" ca="1" si="69"/>
        <v>0</v>
      </c>
      <c r="U112" s="20">
        <f t="shared" ca="1" si="69"/>
        <v>0</v>
      </c>
      <c r="V112" s="20">
        <f t="shared" ca="1" si="69"/>
        <v>0</v>
      </c>
      <c r="W112" s="20">
        <f t="shared" ca="1" si="69"/>
        <v>0</v>
      </c>
      <c r="X112" s="20">
        <f t="shared" ca="1" si="69"/>
        <v>0</v>
      </c>
      <c r="Y112" s="20">
        <f t="shared" ca="1" si="62"/>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129</v>
      </c>
      <c r="E113" s="20">
        <f t="shared" ref="E113:X113" ca="1" si="70">E76-E75</f>
        <v>0</v>
      </c>
      <c r="F113" s="20">
        <f t="shared" ca="1" si="70"/>
        <v>0</v>
      </c>
      <c r="G113" s="20">
        <f t="shared" ca="1" si="70"/>
        <v>0</v>
      </c>
      <c r="H113" s="20">
        <f t="shared" ca="1" si="70"/>
        <v>0</v>
      </c>
      <c r="I113" s="20">
        <f t="shared" ca="1" si="70"/>
        <v>0</v>
      </c>
      <c r="J113" s="20">
        <f t="shared" ca="1" si="70"/>
        <v>0</v>
      </c>
      <c r="K113" s="20">
        <f t="shared" ca="1" si="70"/>
        <v>0</v>
      </c>
      <c r="L113" s="20">
        <f t="shared" ca="1" si="70"/>
        <v>0</v>
      </c>
      <c r="M113" s="20">
        <f t="shared" ca="1" si="70"/>
        <v>0</v>
      </c>
      <c r="N113" s="20">
        <f t="shared" ca="1" si="70"/>
        <v>0</v>
      </c>
      <c r="O113" s="20">
        <f t="shared" ca="1" si="70"/>
        <v>0</v>
      </c>
      <c r="P113" s="20">
        <f t="shared" ca="1" si="70"/>
        <v>0</v>
      </c>
      <c r="Q113" s="20">
        <f t="shared" ca="1" si="70"/>
        <v>0</v>
      </c>
      <c r="R113" s="20">
        <f t="shared" ca="1" si="70"/>
        <v>0</v>
      </c>
      <c r="S113" s="20">
        <f t="shared" ca="1" si="70"/>
        <v>0</v>
      </c>
      <c r="T113" s="20">
        <f t="shared" ca="1" si="70"/>
        <v>0</v>
      </c>
      <c r="U113" s="20">
        <f t="shared" ca="1" si="70"/>
        <v>0</v>
      </c>
      <c r="V113" s="20">
        <f t="shared" ca="1" si="70"/>
        <v>0</v>
      </c>
      <c r="W113" s="20">
        <f t="shared" ca="1" si="70"/>
        <v>0</v>
      </c>
      <c r="X113" s="20">
        <f t="shared" ca="1" si="70"/>
        <v>0</v>
      </c>
      <c r="Y113" s="20">
        <f t="shared" ca="1" si="62"/>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407</v>
      </c>
      <c r="E114" s="20">
        <f t="shared" ref="E114:X114" ca="1" si="71">E78-E76</f>
        <v>0</v>
      </c>
      <c r="F114" s="20">
        <f t="shared" ca="1" si="71"/>
        <v>0</v>
      </c>
      <c r="G114" s="20">
        <f t="shared" ca="1" si="71"/>
        <v>0</v>
      </c>
      <c r="H114" s="20">
        <f t="shared" ca="1" si="71"/>
        <v>0</v>
      </c>
      <c r="I114" s="20">
        <f t="shared" ca="1" si="71"/>
        <v>0</v>
      </c>
      <c r="J114" s="20">
        <f t="shared" ca="1" si="71"/>
        <v>0</v>
      </c>
      <c r="K114" s="20">
        <f t="shared" ca="1" si="71"/>
        <v>0</v>
      </c>
      <c r="L114" s="20">
        <f t="shared" ca="1" si="71"/>
        <v>0</v>
      </c>
      <c r="M114" s="20">
        <f t="shared" ca="1" si="71"/>
        <v>0</v>
      </c>
      <c r="N114" s="20">
        <f t="shared" ca="1" si="71"/>
        <v>0</v>
      </c>
      <c r="O114" s="20">
        <f t="shared" ca="1" si="71"/>
        <v>0</v>
      </c>
      <c r="P114" s="20">
        <f t="shared" ca="1" si="71"/>
        <v>0</v>
      </c>
      <c r="Q114" s="20">
        <f t="shared" ca="1" si="71"/>
        <v>0</v>
      </c>
      <c r="R114" s="20">
        <f t="shared" ca="1" si="71"/>
        <v>0</v>
      </c>
      <c r="S114" s="20">
        <f t="shared" ca="1" si="71"/>
        <v>0</v>
      </c>
      <c r="T114" s="20">
        <f t="shared" ca="1" si="71"/>
        <v>0</v>
      </c>
      <c r="U114" s="20">
        <f t="shared" ca="1" si="71"/>
        <v>0</v>
      </c>
      <c r="V114" s="20">
        <f t="shared" ca="1" si="71"/>
        <v>0</v>
      </c>
      <c r="W114" s="20">
        <f t="shared" ca="1" si="71"/>
        <v>0</v>
      </c>
      <c r="X114" s="20">
        <f t="shared" ca="1" si="71"/>
        <v>0</v>
      </c>
      <c r="Y114" s="20">
        <f t="shared" ca="1" si="62"/>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408</v>
      </c>
      <c r="E115" s="20">
        <f t="shared" ref="E115:X115" ca="1" si="72">E79-E78</f>
        <v>0</v>
      </c>
      <c r="F115" s="20">
        <f t="shared" ca="1" si="72"/>
        <v>0</v>
      </c>
      <c r="G115" s="20">
        <f t="shared" ca="1" si="72"/>
        <v>0</v>
      </c>
      <c r="H115" s="20">
        <f t="shared" ca="1" si="72"/>
        <v>0</v>
      </c>
      <c r="I115" s="20">
        <f t="shared" ca="1" si="72"/>
        <v>0</v>
      </c>
      <c r="J115" s="20">
        <f t="shared" ca="1" si="72"/>
        <v>0</v>
      </c>
      <c r="K115" s="20">
        <f t="shared" ca="1" si="72"/>
        <v>0</v>
      </c>
      <c r="L115" s="20">
        <f t="shared" ca="1" si="72"/>
        <v>0</v>
      </c>
      <c r="M115" s="20">
        <f t="shared" ca="1" si="72"/>
        <v>0</v>
      </c>
      <c r="N115" s="20">
        <f t="shared" ca="1" si="72"/>
        <v>0</v>
      </c>
      <c r="O115" s="20">
        <f t="shared" ca="1" si="72"/>
        <v>0</v>
      </c>
      <c r="P115" s="20">
        <f t="shared" ca="1" si="72"/>
        <v>0</v>
      </c>
      <c r="Q115" s="20">
        <f t="shared" ca="1" si="72"/>
        <v>0</v>
      </c>
      <c r="R115" s="20">
        <f t="shared" ca="1" si="72"/>
        <v>0</v>
      </c>
      <c r="S115" s="20">
        <f t="shared" ca="1" si="72"/>
        <v>0</v>
      </c>
      <c r="T115" s="20">
        <f t="shared" ca="1" si="72"/>
        <v>0</v>
      </c>
      <c r="U115" s="20">
        <f t="shared" ca="1" si="72"/>
        <v>0</v>
      </c>
      <c r="V115" s="20">
        <f t="shared" ca="1" si="72"/>
        <v>0</v>
      </c>
      <c r="W115" s="20">
        <f t="shared" ca="1" si="72"/>
        <v>0</v>
      </c>
      <c r="X115" s="20">
        <f t="shared" ca="1" si="72"/>
        <v>0</v>
      </c>
      <c r="Y115" s="20">
        <f t="shared" ca="1" si="62"/>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409</v>
      </c>
      <c r="E116" s="20">
        <f t="shared" ref="E116:X116" ca="1" si="73">E80-E79</f>
        <v>0</v>
      </c>
      <c r="F116" s="20">
        <f t="shared" ca="1" si="73"/>
        <v>0</v>
      </c>
      <c r="G116" s="20">
        <f t="shared" ca="1" si="73"/>
        <v>0</v>
      </c>
      <c r="H116" s="20">
        <f t="shared" ca="1" si="73"/>
        <v>0</v>
      </c>
      <c r="I116" s="20">
        <f t="shared" ca="1" si="73"/>
        <v>0</v>
      </c>
      <c r="J116" s="20">
        <f t="shared" ca="1" si="73"/>
        <v>0</v>
      </c>
      <c r="K116" s="20">
        <f t="shared" ca="1" si="73"/>
        <v>0</v>
      </c>
      <c r="L116" s="20">
        <f t="shared" ca="1" si="73"/>
        <v>0</v>
      </c>
      <c r="M116" s="20">
        <f t="shared" ca="1" si="73"/>
        <v>0</v>
      </c>
      <c r="N116" s="20">
        <f t="shared" ca="1" si="73"/>
        <v>0</v>
      </c>
      <c r="O116" s="20">
        <f t="shared" ca="1" si="73"/>
        <v>0</v>
      </c>
      <c r="P116" s="20">
        <f t="shared" ca="1" si="73"/>
        <v>0</v>
      </c>
      <c r="Q116" s="20">
        <f t="shared" ca="1" si="73"/>
        <v>0</v>
      </c>
      <c r="R116" s="20">
        <f t="shared" ca="1" si="73"/>
        <v>0</v>
      </c>
      <c r="S116" s="20">
        <f t="shared" ca="1" si="73"/>
        <v>0</v>
      </c>
      <c r="T116" s="20">
        <f t="shared" ca="1" si="73"/>
        <v>0</v>
      </c>
      <c r="U116" s="20">
        <f t="shared" ca="1" si="73"/>
        <v>0</v>
      </c>
      <c r="V116" s="20">
        <f t="shared" ca="1" si="73"/>
        <v>0</v>
      </c>
      <c r="W116" s="20">
        <f t="shared" ca="1" si="73"/>
        <v>0</v>
      </c>
      <c r="X116" s="20">
        <f t="shared" ca="1" si="73"/>
        <v>0</v>
      </c>
      <c r="Y116" s="20">
        <f t="shared" ca="1" si="62"/>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410</v>
      </c>
      <c r="E117" s="20">
        <f t="shared" ref="E117:X117" ca="1" si="74">E81-E80</f>
        <v>0</v>
      </c>
      <c r="F117" s="20">
        <f t="shared" ca="1" si="74"/>
        <v>0</v>
      </c>
      <c r="G117" s="20">
        <f t="shared" ca="1" si="74"/>
        <v>0</v>
      </c>
      <c r="H117" s="20">
        <f t="shared" ca="1" si="74"/>
        <v>0</v>
      </c>
      <c r="I117" s="20">
        <f t="shared" ca="1" si="74"/>
        <v>0</v>
      </c>
      <c r="J117" s="20">
        <f t="shared" ca="1" si="74"/>
        <v>0</v>
      </c>
      <c r="K117" s="20">
        <f t="shared" ca="1" si="74"/>
        <v>0</v>
      </c>
      <c r="L117" s="20">
        <f t="shared" ca="1" si="74"/>
        <v>0</v>
      </c>
      <c r="M117" s="20">
        <f t="shared" ca="1" si="74"/>
        <v>0</v>
      </c>
      <c r="N117" s="20">
        <f t="shared" ca="1" si="74"/>
        <v>0</v>
      </c>
      <c r="O117" s="20">
        <f t="shared" ca="1" si="74"/>
        <v>0</v>
      </c>
      <c r="P117" s="20">
        <f t="shared" ca="1" si="74"/>
        <v>0</v>
      </c>
      <c r="Q117" s="20">
        <f t="shared" ca="1" si="74"/>
        <v>0</v>
      </c>
      <c r="R117" s="20">
        <f t="shared" ca="1" si="74"/>
        <v>0</v>
      </c>
      <c r="S117" s="20">
        <f t="shared" ca="1" si="74"/>
        <v>0</v>
      </c>
      <c r="T117" s="20">
        <f t="shared" ca="1" si="74"/>
        <v>0</v>
      </c>
      <c r="U117" s="20">
        <f t="shared" ca="1" si="74"/>
        <v>0</v>
      </c>
      <c r="V117" s="20">
        <f t="shared" ca="1" si="74"/>
        <v>0</v>
      </c>
      <c r="W117" s="20">
        <f t="shared" ca="1" si="74"/>
        <v>0</v>
      </c>
      <c r="X117" s="20">
        <f t="shared" ca="1" si="74"/>
        <v>0</v>
      </c>
      <c r="Y117" s="20">
        <f t="shared" ca="1" si="62"/>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411</v>
      </c>
      <c r="E118" s="20">
        <f t="shared" ref="E118:X118" ca="1" si="75">E82-E81</f>
        <v>0</v>
      </c>
      <c r="F118" s="20">
        <f t="shared" ca="1" si="75"/>
        <v>0</v>
      </c>
      <c r="G118" s="20">
        <f t="shared" ca="1" si="75"/>
        <v>0</v>
      </c>
      <c r="H118" s="20">
        <f t="shared" ca="1" si="75"/>
        <v>0</v>
      </c>
      <c r="I118" s="20">
        <f t="shared" ca="1" si="75"/>
        <v>0</v>
      </c>
      <c r="J118" s="20">
        <f t="shared" ca="1" si="75"/>
        <v>0</v>
      </c>
      <c r="K118" s="20">
        <f t="shared" ca="1" si="75"/>
        <v>0</v>
      </c>
      <c r="L118" s="20">
        <f t="shared" ca="1" si="75"/>
        <v>0</v>
      </c>
      <c r="M118" s="20">
        <f t="shared" ca="1" si="75"/>
        <v>0</v>
      </c>
      <c r="N118" s="20">
        <f t="shared" ca="1" si="75"/>
        <v>0</v>
      </c>
      <c r="O118" s="20">
        <f t="shared" ca="1" si="75"/>
        <v>0</v>
      </c>
      <c r="P118" s="20">
        <f t="shared" ca="1" si="75"/>
        <v>0</v>
      </c>
      <c r="Q118" s="20">
        <f t="shared" ca="1" si="75"/>
        <v>0</v>
      </c>
      <c r="R118" s="20">
        <f t="shared" ca="1" si="75"/>
        <v>0</v>
      </c>
      <c r="S118" s="20">
        <f t="shared" ca="1" si="75"/>
        <v>0</v>
      </c>
      <c r="T118" s="20">
        <f t="shared" ca="1" si="75"/>
        <v>0</v>
      </c>
      <c r="U118" s="20">
        <f t="shared" ca="1" si="75"/>
        <v>0</v>
      </c>
      <c r="V118" s="20">
        <f t="shared" ca="1" si="75"/>
        <v>0</v>
      </c>
      <c r="W118" s="20">
        <f t="shared" ca="1" si="75"/>
        <v>0</v>
      </c>
      <c r="X118" s="20">
        <f t="shared" ca="1" si="75"/>
        <v>0</v>
      </c>
      <c r="Y118" s="20">
        <f t="shared" ca="1" si="62"/>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412</v>
      </c>
      <c r="E119" s="20">
        <f t="shared" ref="E119:X119" ca="1" si="76">E83-E82</f>
        <v>0</v>
      </c>
      <c r="F119" s="20">
        <f t="shared" ca="1" si="76"/>
        <v>0</v>
      </c>
      <c r="G119" s="20">
        <f t="shared" ca="1" si="76"/>
        <v>0</v>
      </c>
      <c r="H119" s="20">
        <f t="shared" ca="1" si="76"/>
        <v>0</v>
      </c>
      <c r="I119" s="20">
        <f t="shared" ca="1" si="76"/>
        <v>0</v>
      </c>
      <c r="J119" s="20">
        <f t="shared" ca="1" si="76"/>
        <v>0</v>
      </c>
      <c r="K119" s="20">
        <f t="shared" ca="1" si="76"/>
        <v>0</v>
      </c>
      <c r="L119" s="20">
        <f t="shared" ca="1" si="76"/>
        <v>0</v>
      </c>
      <c r="M119" s="20">
        <f t="shared" ca="1" si="76"/>
        <v>0</v>
      </c>
      <c r="N119" s="20">
        <f t="shared" ca="1" si="76"/>
        <v>0</v>
      </c>
      <c r="O119" s="20">
        <f t="shared" ca="1" si="76"/>
        <v>0</v>
      </c>
      <c r="P119" s="20">
        <f t="shared" ca="1" si="76"/>
        <v>0</v>
      </c>
      <c r="Q119" s="20">
        <f t="shared" ca="1" si="76"/>
        <v>0</v>
      </c>
      <c r="R119" s="20">
        <f t="shared" ca="1" si="76"/>
        <v>0</v>
      </c>
      <c r="S119" s="20">
        <f t="shared" ca="1" si="76"/>
        <v>0</v>
      </c>
      <c r="T119" s="20">
        <f t="shared" ca="1" si="76"/>
        <v>0</v>
      </c>
      <c r="U119" s="20">
        <f t="shared" ca="1" si="76"/>
        <v>0</v>
      </c>
      <c r="V119" s="20">
        <f t="shared" ca="1" si="76"/>
        <v>0</v>
      </c>
      <c r="W119" s="20">
        <f t="shared" ca="1" si="76"/>
        <v>0</v>
      </c>
      <c r="X119" s="20">
        <f t="shared" ca="1" si="76"/>
        <v>0</v>
      </c>
      <c r="Y119" s="20">
        <f t="shared" ca="1" si="62"/>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413</v>
      </c>
      <c r="E120" s="20">
        <f t="shared" ref="E120:X120" ca="1" si="77">E84-E83</f>
        <v>0</v>
      </c>
      <c r="F120" s="20">
        <f t="shared" ca="1" si="77"/>
        <v>0</v>
      </c>
      <c r="G120" s="20">
        <f t="shared" ca="1" si="77"/>
        <v>0</v>
      </c>
      <c r="H120" s="20">
        <f t="shared" ca="1" si="77"/>
        <v>0</v>
      </c>
      <c r="I120" s="20">
        <f t="shared" ca="1" si="77"/>
        <v>0</v>
      </c>
      <c r="J120" s="20">
        <f t="shared" ca="1" si="77"/>
        <v>0</v>
      </c>
      <c r="K120" s="20">
        <f t="shared" ca="1" si="77"/>
        <v>0</v>
      </c>
      <c r="L120" s="20">
        <f t="shared" ca="1" si="77"/>
        <v>0</v>
      </c>
      <c r="M120" s="20">
        <f t="shared" ca="1" si="77"/>
        <v>0</v>
      </c>
      <c r="N120" s="20">
        <f t="shared" ca="1" si="77"/>
        <v>0</v>
      </c>
      <c r="O120" s="20">
        <f t="shared" ca="1" si="77"/>
        <v>0</v>
      </c>
      <c r="P120" s="20">
        <f t="shared" ca="1" si="77"/>
        <v>0</v>
      </c>
      <c r="Q120" s="20">
        <f t="shared" ca="1" si="77"/>
        <v>0</v>
      </c>
      <c r="R120" s="20">
        <f t="shared" ca="1" si="77"/>
        <v>0</v>
      </c>
      <c r="S120" s="20">
        <f t="shared" ca="1" si="77"/>
        <v>0</v>
      </c>
      <c r="T120" s="20">
        <f t="shared" ca="1" si="77"/>
        <v>0</v>
      </c>
      <c r="U120" s="20">
        <f t="shared" ca="1" si="77"/>
        <v>0</v>
      </c>
      <c r="V120" s="20">
        <f t="shared" ca="1" si="77"/>
        <v>0</v>
      </c>
      <c r="W120" s="20">
        <f t="shared" ca="1" si="77"/>
        <v>0</v>
      </c>
      <c r="X120" s="20">
        <f t="shared" ca="1" si="77"/>
        <v>0</v>
      </c>
      <c r="Y120" s="20">
        <f t="shared" ca="1" si="62"/>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414</v>
      </c>
      <c r="E121" s="20">
        <f t="shared" ref="E121:X121" ca="1" si="78">E85-E84</f>
        <v>0</v>
      </c>
      <c r="F121" s="20">
        <f t="shared" ca="1" si="78"/>
        <v>0</v>
      </c>
      <c r="G121" s="20">
        <f t="shared" ca="1" si="78"/>
        <v>0</v>
      </c>
      <c r="H121" s="20">
        <f t="shared" ca="1" si="78"/>
        <v>0</v>
      </c>
      <c r="I121" s="20">
        <f t="shared" ca="1" si="78"/>
        <v>0</v>
      </c>
      <c r="J121" s="20">
        <f t="shared" ca="1" si="78"/>
        <v>0</v>
      </c>
      <c r="K121" s="20">
        <f t="shared" ca="1" si="78"/>
        <v>0</v>
      </c>
      <c r="L121" s="20">
        <f t="shared" ca="1" si="78"/>
        <v>0</v>
      </c>
      <c r="M121" s="20">
        <f t="shared" ca="1" si="78"/>
        <v>0</v>
      </c>
      <c r="N121" s="20">
        <f t="shared" ca="1" si="78"/>
        <v>0</v>
      </c>
      <c r="O121" s="20">
        <f t="shared" ca="1" si="78"/>
        <v>0</v>
      </c>
      <c r="P121" s="20">
        <f t="shared" ca="1" si="78"/>
        <v>0</v>
      </c>
      <c r="Q121" s="20">
        <f t="shared" ca="1" si="78"/>
        <v>0</v>
      </c>
      <c r="R121" s="20">
        <f t="shared" ca="1" si="78"/>
        <v>0</v>
      </c>
      <c r="S121" s="20">
        <f t="shared" ca="1" si="78"/>
        <v>0</v>
      </c>
      <c r="T121" s="20">
        <f t="shared" ca="1" si="78"/>
        <v>0</v>
      </c>
      <c r="U121" s="20">
        <f t="shared" ca="1" si="78"/>
        <v>0</v>
      </c>
      <c r="V121" s="20">
        <f t="shared" ca="1" si="78"/>
        <v>0</v>
      </c>
      <c r="W121" s="20">
        <f t="shared" ca="1" si="78"/>
        <v>0</v>
      </c>
      <c r="X121" s="20">
        <f t="shared" ca="1" si="78"/>
        <v>0</v>
      </c>
      <c r="Y121" s="20">
        <f t="shared" ca="1" si="62"/>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415</v>
      </c>
      <c r="E122" s="20">
        <f t="shared" ref="E122:X122" ca="1" si="79">E86-E85</f>
        <v>0</v>
      </c>
      <c r="F122" s="20">
        <f t="shared" ca="1" si="79"/>
        <v>0</v>
      </c>
      <c r="G122" s="20">
        <f t="shared" ca="1" si="79"/>
        <v>0</v>
      </c>
      <c r="H122" s="20">
        <f t="shared" ca="1" si="79"/>
        <v>0</v>
      </c>
      <c r="I122" s="20">
        <f t="shared" ca="1" si="79"/>
        <v>0</v>
      </c>
      <c r="J122" s="20">
        <f t="shared" ca="1" si="79"/>
        <v>0</v>
      </c>
      <c r="K122" s="20">
        <f t="shared" ca="1" si="79"/>
        <v>0</v>
      </c>
      <c r="L122" s="20">
        <f t="shared" ca="1" si="79"/>
        <v>0</v>
      </c>
      <c r="M122" s="20">
        <f t="shared" ca="1" si="79"/>
        <v>0</v>
      </c>
      <c r="N122" s="20">
        <f t="shared" ca="1" si="79"/>
        <v>0</v>
      </c>
      <c r="O122" s="20">
        <f t="shared" ca="1" si="79"/>
        <v>0</v>
      </c>
      <c r="P122" s="20">
        <f t="shared" ca="1" si="79"/>
        <v>0</v>
      </c>
      <c r="Q122" s="20">
        <f t="shared" ca="1" si="79"/>
        <v>0</v>
      </c>
      <c r="R122" s="20">
        <f t="shared" ca="1" si="79"/>
        <v>0</v>
      </c>
      <c r="S122" s="20">
        <f t="shared" ca="1" si="79"/>
        <v>0</v>
      </c>
      <c r="T122" s="20">
        <f t="shared" ca="1" si="79"/>
        <v>0</v>
      </c>
      <c r="U122" s="20">
        <f t="shared" ca="1" si="79"/>
        <v>0</v>
      </c>
      <c r="V122" s="20">
        <f t="shared" ca="1" si="79"/>
        <v>0</v>
      </c>
      <c r="W122" s="20">
        <f t="shared" ca="1" si="79"/>
        <v>0</v>
      </c>
      <c r="X122" s="20">
        <f t="shared" ca="1" si="79"/>
        <v>0</v>
      </c>
      <c r="Y122" s="20">
        <f t="shared" ca="1" si="62"/>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416</v>
      </c>
      <c r="E123" s="20">
        <f t="shared" ref="E123:X123" ca="1" si="80">E87-E86</f>
        <v>0</v>
      </c>
      <c r="F123" s="20">
        <f t="shared" ca="1" si="80"/>
        <v>0</v>
      </c>
      <c r="G123" s="20">
        <f t="shared" ca="1" si="80"/>
        <v>0</v>
      </c>
      <c r="H123" s="20">
        <f t="shared" ca="1" si="80"/>
        <v>0</v>
      </c>
      <c r="I123" s="20">
        <f t="shared" ca="1" si="80"/>
        <v>0</v>
      </c>
      <c r="J123" s="20">
        <f t="shared" ca="1" si="80"/>
        <v>0</v>
      </c>
      <c r="K123" s="20">
        <f t="shared" ca="1" si="80"/>
        <v>0</v>
      </c>
      <c r="L123" s="20">
        <f t="shared" ca="1" si="80"/>
        <v>0</v>
      </c>
      <c r="M123" s="20">
        <f t="shared" ca="1" si="80"/>
        <v>0</v>
      </c>
      <c r="N123" s="20">
        <f t="shared" ca="1" si="80"/>
        <v>0</v>
      </c>
      <c r="O123" s="20">
        <f t="shared" ca="1" si="80"/>
        <v>0</v>
      </c>
      <c r="P123" s="20">
        <f t="shared" ca="1" si="80"/>
        <v>0</v>
      </c>
      <c r="Q123" s="20">
        <f t="shared" ca="1" si="80"/>
        <v>0</v>
      </c>
      <c r="R123" s="20">
        <f t="shared" ca="1" si="80"/>
        <v>0</v>
      </c>
      <c r="S123" s="20">
        <f t="shared" ca="1" si="80"/>
        <v>0</v>
      </c>
      <c r="T123" s="20">
        <f t="shared" ca="1" si="80"/>
        <v>0</v>
      </c>
      <c r="U123" s="20">
        <f t="shared" ca="1" si="80"/>
        <v>0</v>
      </c>
      <c r="V123" s="20">
        <f t="shared" ca="1" si="80"/>
        <v>0</v>
      </c>
      <c r="W123" s="20">
        <f t="shared" ca="1" si="80"/>
        <v>0</v>
      </c>
      <c r="X123" s="20">
        <f t="shared" ca="1" si="80"/>
        <v>0</v>
      </c>
      <c r="Y123" s="20">
        <f t="shared" ca="1" si="62"/>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E124" s="26"/>
      <c r="F124" s="26"/>
      <c r="G124" s="26"/>
      <c r="H124" s="26"/>
      <c r="I124" s="26"/>
      <c r="J124" s="26"/>
      <c r="K124" s="26"/>
      <c r="L124" s="26"/>
      <c r="M124" s="26"/>
      <c r="N124" s="26"/>
      <c r="O124" s="26"/>
      <c r="P124" s="26"/>
      <c r="Q124" s="26"/>
      <c r="R124" s="26"/>
      <c r="S124" s="26"/>
      <c r="T124" s="26"/>
      <c r="U124" s="26"/>
      <c r="V124" s="26"/>
      <c r="W124" s="26"/>
      <c r="X124" s="26"/>
      <c r="Y124" s="26"/>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ht="15">
      <c r="C125" s="92" t="s">
        <v>137</v>
      </c>
      <c r="D125" s="92"/>
      <c r="E125" s="93">
        <f t="shared" ref="E125:X125" ca="1" si="81">SUM(E93:E123)</f>
        <v>8.7306221932550911E-3</v>
      </c>
      <c r="F125" s="93">
        <f t="shared" ca="1" si="81"/>
        <v>1.69056761103531E-2</v>
      </c>
      <c r="G125" s="93">
        <f t="shared" ca="1" si="81"/>
        <v>2.4448056636096158E-2</v>
      </c>
      <c r="H125" s="93">
        <f t="shared" ca="1" si="81"/>
        <v>3.1551246888191636E-2</v>
      </c>
      <c r="I125" s="93">
        <f t="shared" ca="1" si="81"/>
        <v>3.8178954828127505E-2</v>
      </c>
      <c r="J125" s="93">
        <f t="shared" ca="1" si="81"/>
        <v>4.3281428318227691E-2</v>
      </c>
      <c r="K125" s="93">
        <f t="shared" ca="1" si="81"/>
        <v>4.7545271233612518E-2</v>
      </c>
      <c r="L125" s="93">
        <f t="shared" ca="1" si="81"/>
        <v>5.1875316351907341E-2</v>
      </c>
      <c r="M125" s="93">
        <f t="shared" ca="1" si="81"/>
        <v>5.5250720582833153E-2</v>
      </c>
      <c r="N125" s="93">
        <f t="shared" ca="1" si="81"/>
        <v>5.9977984300049608E-2</v>
      </c>
      <c r="O125" s="93">
        <f t="shared" ca="1" si="81"/>
        <v>6.2491422509099025E-2</v>
      </c>
      <c r="P125" s="93">
        <f t="shared" ca="1" si="81"/>
        <v>6.3731902830535217E-2</v>
      </c>
      <c r="Q125" s="93">
        <f t="shared" ca="1" si="81"/>
        <v>6.4041184704201698E-2</v>
      </c>
      <c r="R125" s="93">
        <f t="shared" ca="1" si="81"/>
        <v>6.4978957104612975E-2</v>
      </c>
      <c r="S125" s="93">
        <f t="shared" ca="1" si="81"/>
        <v>6.6020944422639616E-2</v>
      </c>
      <c r="T125" s="93">
        <f t="shared" ca="1" si="81"/>
        <v>6.6159931991605733E-2</v>
      </c>
      <c r="U125" s="93">
        <f t="shared" ca="1" si="81"/>
        <v>6.5019985715259118E-2</v>
      </c>
      <c r="V125" s="93">
        <f t="shared" ca="1" si="81"/>
        <v>6.4632538981338639E-2</v>
      </c>
      <c r="W125" s="93">
        <f t="shared" ca="1" si="81"/>
        <v>6.5009741899080917E-2</v>
      </c>
      <c r="X125" s="93">
        <f t="shared" ca="1" si="81"/>
        <v>6.5210626032025099E-2</v>
      </c>
      <c r="Y125" s="93"/>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92" t="s">
        <v>138</v>
      </c>
      <c r="D126" s="92"/>
      <c r="E126" s="93">
        <f ca="1">E125</f>
        <v>8.7306221932550911E-3</v>
      </c>
      <c r="F126" s="93">
        <f t="shared" ref="F126:X126" ca="1" si="82">E126+F125</f>
        <v>2.5636298303608189E-2</v>
      </c>
      <c r="G126" s="93">
        <f t="shared" ca="1" si="82"/>
        <v>5.0084354939704347E-2</v>
      </c>
      <c r="H126" s="93">
        <f t="shared" ca="1" si="82"/>
        <v>8.1635601827895976E-2</v>
      </c>
      <c r="I126" s="93">
        <f t="shared" ca="1" si="82"/>
        <v>0.11981455665602347</v>
      </c>
      <c r="J126" s="93">
        <f t="shared" ca="1" si="82"/>
        <v>0.16309598497425115</v>
      </c>
      <c r="K126" s="93">
        <f t="shared" ca="1" si="82"/>
        <v>0.21064125620786367</v>
      </c>
      <c r="L126" s="93">
        <f t="shared" ca="1" si="82"/>
        <v>0.26251657255977101</v>
      </c>
      <c r="M126" s="93">
        <f t="shared" ca="1" si="82"/>
        <v>0.31776729314260416</v>
      </c>
      <c r="N126" s="93">
        <f t="shared" ca="1" si="82"/>
        <v>0.37774527744265374</v>
      </c>
      <c r="O126" s="93">
        <f t="shared" ca="1" si="82"/>
        <v>0.44023669995175274</v>
      </c>
      <c r="P126" s="93">
        <f t="shared" ca="1" si="82"/>
        <v>0.50396860278228794</v>
      </c>
      <c r="Q126" s="93">
        <f t="shared" ca="1" si="82"/>
        <v>0.56800978748648967</v>
      </c>
      <c r="R126" s="93">
        <f t="shared" ca="1" si="82"/>
        <v>0.63298874459110266</v>
      </c>
      <c r="S126" s="93">
        <f t="shared" ca="1" si="82"/>
        <v>0.69900968901374227</v>
      </c>
      <c r="T126" s="93">
        <f t="shared" ca="1" si="82"/>
        <v>0.76516962100534802</v>
      </c>
      <c r="U126" s="93">
        <f t="shared" ca="1" si="82"/>
        <v>0.83018960672060715</v>
      </c>
      <c r="V126" s="93">
        <f t="shared" ca="1" si="82"/>
        <v>0.89482214570194585</v>
      </c>
      <c r="W126" s="93">
        <f t="shared" ca="1" si="82"/>
        <v>0.95983188760102678</v>
      </c>
      <c r="X126" s="93">
        <f t="shared" ca="1" si="82"/>
        <v>1.0250425136330519</v>
      </c>
      <c r="Y126" s="93">
        <f ca="1">SUM(Y93:Y123)</f>
        <v>1.0250425136330519</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E127" s="26"/>
      <c r="F127" s="26"/>
      <c r="G127" s="26"/>
      <c r="H127" s="26"/>
      <c r="I127" s="26"/>
      <c r="J127" s="26"/>
      <c r="K127" s="26"/>
      <c r="L127" s="26"/>
      <c r="M127" s="26"/>
      <c r="N127" s="26"/>
      <c r="O127" s="26"/>
      <c r="P127" s="26"/>
      <c r="Q127" s="26"/>
      <c r="R127" s="26"/>
      <c r="S127" s="26"/>
      <c r="T127" s="26"/>
      <c r="U127" s="26"/>
      <c r="V127" s="26"/>
      <c r="W127" s="26"/>
      <c r="X127" s="26"/>
      <c r="Y127" s="26"/>
    </row>
    <row r="129" spans="1:27">
      <c r="A129" s="7" t="s">
        <v>139</v>
      </c>
      <c r="C129"/>
      <c r="D129"/>
      <c r="E129"/>
      <c r="F129"/>
      <c r="G129"/>
      <c r="H129"/>
      <c r="I129"/>
      <c r="J129"/>
      <c r="K129"/>
      <c r="L129"/>
      <c r="M129"/>
      <c r="N129"/>
      <c r="O129"/>
      <c r="P129"/>
      <c r="Q129"/>
      <c r="R129"/>
      <c r="S129"/>
      <c r="T129"/>
      <c r="U129"/>
      <c r="V129"/>
      <c r="W129"/>
      <c r="X129"/>
      <c r="Y129"/>
    </row>
    <row r="130" spans="1:27">
      <c r="C130"/>
      <c r="D130"/>
      <c r="E130"/>
      <c r="F130"/>
      <c r="G130"/>
      <c r="H130"/>
      <c r="I130"/>
      <c r="J130"/>
      <c r="K130"/>
      <c r="L130"/>
      <c r="M130"/>
      <c r="N130"/>
      <c r="O130"/>
      <c r="P130"/>
      <c r="Q130"/>
      <c r="R130"/>
      <c r="S130"/>
      <c r="T130"/>
      <c r="U130"/>
      <c r="V130"/>
      <c r="W130"/>
      <c r="X130"/>
      <c r="Y130"/>
    </row>
    <row r="133" spans="1:27" ht="15">
      <c r="A133" s="79" t="s">
        <v>140</v>
      </c>
      <c r="B133" s="79"/>
    </row>
    <row r="134" spans="1:27">
      <c r="A134" s="7" t="s">
        <v>141</v>
      </c>
      <c r="E134" s="7" t="s">
        <v>142</v>
      </c>
    </row>
    <row r="135" spans="1:27" ht="15">
      <c r="E135" s="90">
        <v>2015</v>
      </c>
      <c r="F135" s="84">
        <v>2016</v>
      </c>
      <c r="G135" s="84">
        <v>2017</v>
      </c>
      <c r="H135" s="84">
        <v>2018</v>
      </c>
      <c r="I135" s="84">
        <v>2019</v>
      </c>
      <c r="J135" s="84">
        <v>2020</v>
      </c>
      <c r="K135" s="84">
        <v>2021</v>
      </c>
      <c r="L135" s="84">
        <v>2022</v>
      </c>
      <c r="M135" s="84">
        <v>2023</v>
      </c>
      <c r="N135" s="84">
        <v>2024</v>
      </c>
      <c r="O135" s="84">
        <v>2025</v>
      </c>
      <c r="P135" s="84">
        <v>2026</v>
      </c>
      <c r="Q135" s="84">
        <v>2027</v>
      </c>
      <c r="R135" s="84">
        <v>2028</v>
      </c>
      <c r="S135" s="84">
        <v>2029</v>
      </c>
      <c r="T135" s="84">
        <v>2030</v>
      </c>
      <c r="U135" s="84">
        <v>2031</v>
      </c>
      <c r="V135" s="84">
        <v>2032</v>
      </c>
      <c r="W135" s="84">
        <v>2033</v>
      </c>
      <c r="X135" s="84">
        <v>2034</v>
      </c>
      <c r="Y135" s="85"/>
    </row>
    <row r="136" spans="1:27">
      <c r="C136" s="7" t="str">
        <f>C13</f>
        <v>Single Family</v>
      </c>
      <c r="E136" s="26">
        <f ca="1">E13-E33/$B23</f>
        <v>56763.10208095744</v>
      </c>
      <c r="F136" s="26">
        <f t="shared" ref="F136:X139" ca="1" si="83">F13-F33/$B23</f>
        <v>48631.199292669495</v>
      </c>
      <c r="G136" s="26">
        <f t="shared" ca="1" si="83"/>
        <v>40724.690212474976</v>
      </c>
      <c r="H136" s="26">
        <f t="shared" ca="1" si="83"/>
        <v>34204.815513219291</v>
      </c>
      <c r="I136" s="26">
        <f t="shared" ca="1" si="83"/>
        <v>28074.346940548232</v>
      </c>
      <c r="J136" s="26">
        <f t="shared" ca="1" si="83"/>
        <v>22304.326401069764</v>
      </c>
      <c r="K136" s="26">
        <f t="shared" ca="1" si="83"/>
        <v>18280.766056057932</v>
      </c>
      <c r="L136" s="26">
        <f t="shared" ca="1" si="83"/>
        <v>15484.594459690168</v>
      </c>
      <c r="M136" s="26">
        <f t="shared" ca="1" si="83"/>
        <v>13180.273365832654</v>
      </c>
      <c r="N136" s="26">
        <f t="shared" ca="1" si="83"/>
        <v>11100.931414152532</v>
      </c>
      <c r="O136" s="26">
        <f t="shared" ca="1" si="83"/>
        <v>9750.7483378634279</v>
      </c>
      <c r="P136" s="26">
        <f t="shared" ca="1" si="83"/>
        <v>8498.0649764158297</v>
      </c>
      <c r="Q136" s="26">
        <f t="shared" ca="1" si="83"/>
        <v>7394.8351136471101</v>
      </c>
      <c r="R136" s="26">
        <f t="shared" ca="1" si="83"/>
        <v>6699.279463799503</v>
      </c>
      <c r="S136" s="26">
        <f t="shared" ca="1" si="83"/>
        <v>6257.0118512670379</v>
      </c>
      <c r="T136" s="26">
        <f t="shared" ca="1" si="83"/>
        <v>5728.4753651419451</v>
      </c>
      <c r="U136" s="26">
        <f t="shared" ca="1" si="83"/>
        <v>5130.657842604327</v>
      </c>
      <c r="V136" s="26">
        <f t="shared" ca="1" si="83"/>
        <v>5120.801399322736</v>
      </c>
      <c r="W136" s="26">
        <f t="shared" ca="1" si="83"/>
        <v>4727.7664138541659</v>
      </c>
      <c r="X136" s="26">
        <f t="shared" ca="1" si="83"/>
        <v>4759.7406816627044</v>
      </c>
      <c r="Y136" s="26"/>
      <c r="AA136" s="7">
        <f t="shared" ref="AA136:AA139" ca="1" si="84">SUM(E136:Y136)</f>
        <v>352816.42718225118</v>
      </c>
    </row>
    <row r="137" spans="1:27">
      <c r="C137" s="7" t="str">
        <f>C14</f>
        <v>Multifamily - Low Rise</v>
      </c>
      <c r="E137" s="26">
        <f t="shared" ref="E137:T139" ca="1" si="85">E14-E34/$B24</f>
        <v>21080.780388553125</v>
      </c>
      <c r="F137" s="26">
        <f t="shared" ca="1" si="85"/>
        <v>18667.968636846606</v>
      </c>
      <c r="G137" s="26">
        <f t="shared" ca="1" si="85"/>
        <v>16345.770038858915</v>
      </c>
      <c r="H137" s="26">
        <f t="shared" ca="1" si="85"/>
        <v>13739.056897678036</v>
      </c>
      <c r="I137" s="26">
        <f t="shared" ca="1" si="85"/>
        <v>10922.72928403854</v>
      </c>
      <c r="J137" s="26">
        <f t="shared" ca="1" si="85"/>
        <v>8780.6210447819867</v>
      </c>
      <c r="K137" s="26">
        <f t="shared" ca="1" si="85"/>
        <v>7335.60427658755</v>
      </c>
      <c r="L137" s="26">
        <f t="shared" ca="1" si="85"/>
        <v>6359.5240958534359</v>
      </c>
      <c r="M137" s="26">
        <f t="shared" ca="1" si="85"/>
        <v>5602.6059421035479</v>
      </c>
      <c r="N137" s="26">
        <f t="shared" ca="1" si="85"/>
        <v>4762.3485471071981</v>
      </c>
      <c r="O137" s="26">
        <f t="shared" ca="1" si="85"/>
        <v>4171.4468566675823</v>
      </c>
      <c r="P137" s="26">
        <f t="shared" ca="1" si="85"/>
        <v>3683.8324040795233</v>
      </c>
      <c r="Q137" s="26">
        <f t="shared" ca="1" si="85"/>
        <v>3298.0918428941914</v>
      </c>
      <c r="R137" s="26">
        <f t="shared" ca="1" si="85"/>
        <v>2952.2879481191303</v>
      </c>
      <c r="S137" s="26">
        <f t="shared" ca="1" si="85"/>
        <v>2692.72967362895</v>
      </c>
      <c r="T137" s="26">
        <f t="shared" ca="1" si="85"/>
        <v>2425.1760112163138</v>
      </c>
      <c r="U137" s="26">
        <f t="shared" ca="1" si="83"/>
        <v>2208.1020033383029</v>
      </c>
      <c r="V137" s="26">
        <f t="shared" ca="1" si="83"/>
        <v>2179.6498652589908</v>
      </c>
      <c r="W137" s="26">
        <f t="shared" ca="1" si="83"/>
        <v>1968.6111184127185</v>
      </c>
      <c r="X137" s="26">
        <f t="shared" ca="1" si="83"/>
        <v>1961.1134612211426</v>
      </c>
      <c r="Y137" s="26"/>
      <c r="AA137" s="7">
        <f t="shared" ca="1" si="84"/>
        <v>141138.05033724578</v>
      </c>
    </row>
    <row r="138" spans="1:27">
      <c r="C138" s="7" t="str">
        <f>C15</f>
        <v>Multifamily - High Rise</v>
      </c>
      <c r="E138" s="26">
        <f t="shared" ca="1" si="85"/>
        <v>4732.4548333809016</v>
      </c>
      <c r="F138" s="26">
        <f t="shared" ca="1" si="83"/>
        <v>4249.7937950223022</v>
      </c>
      <c r="G138" s="26">
        <f t="shared" ca="1" si="83"/>
        <v>3777.1481361925589</v>
      </c>
      <c r="H138" s="26">
        <f t="shared" ca="1" si="83"/>
        <v>3101.5845865961396</v>
      </c>
      <c r="I138" s="26">
        <f t="shared" ca="1" si="83"/>
        <v>2418.0395500722161</v>
      </c>
      <c r="J138" s="26">
        <f t="shared" ca="1" si="83"/>
        <v>1972.9381006163271</v>
      </c>
      <c r="K138" s="26">
        <f t="shared" ca="1" si="83"/>
        <v>1653.0922818137033</v>
      </c>
      <c r="L138" s="26">
        <f t="shared" ca="1" si="83"/>
        <v>1450.9454108159116</v>
      </c>
      <c r="M138" s="26">
        <f t="shared" ca="1" si="83"/>
        <v>1269.265628811248</v>
      </c>
      <c r="N138" s="26">
        <f t="shared" ca="1" si="83"/>
        <v>1078.793147462261</v>
      </c>
      <c r="O138" s="26">
        <f t="shared" ca="1" si="83"/>
        <v>933.5638530890642</v>
      </c>
      <c r="P138" s="26">
        <f t="shared" ca="1" si="83"/>
        <v>822.84146094030802</v>
      </c>
      <c r="Q138" s="26">
        <f t="shared" ca="1" si="83"/>
        <v>730.3253933033252</v>
      </c>
      <c r="R138" s="26">
        <f t="shared" ca="1" si="83"/>
        <v>658.87277149659485</v>
      </c>
      <c r="S138" s="26">
        <f t="shared" ca="1" si="83"/>
        <v>603.80900298164306</v>
      </c>
      <c r="T138" s="26">
        <f t="shared" ca="1" si="83"/>
        <v>543.42849480636551</v>
      </c>
      <c r="U138" s="26">
        <f t="shared" ca="1" si="83"/>
        <v>495.38065162402654</v>
      </c>
      <c r="V138" s="26">
        <f t="shared" ca="1" si="83"/>
        <v>483.86928538541497</v>
      </c>
      <c r="W138" s="26">
        <f t="shared" ca="1" si="83"/>
        <v>443.89869117379249</v>
      </c>
      <c r="X138" s="26">
        <f t="shared" ca="1" si="83"/>
        <v>441.86510277246907</v>
      </c>
      <c r="Y138" s="26"/>
      <c r="AA138" s="7">
        <f t="shared" ca="1" si="84"/>
        <v>31861.910178356578</v>
      </c>
    </row>
    <row r="139" spans="1:27">
      <c r="C139" s="7" t="str">
        <f>C16</f>
        <v>Manufactured</v>
      </c>
      <c r="E139" s="26">
        <f t="shared" ca="1" si="85"/>
        <v>1692.9347472257327</v>
      </c>
      <c r="F139" s="26">
        <f t="shared" ca="1" si="83"/>
        <v>1526.2056872934349</v>
      </c>
      <c r="G139" s="26">
        <f t="shared" ca="1" si="83"/>
        <v>1396.6615500175083</v>
      </c>
      <c r="H139" s="26">
        <f t="shared" ca="1" si="83"/>
        <v>1257.3321082889483</v>
      </c>
      <c r="I139" s="26">
        <f t="shared" ca="1" si="83"/>
        <v>1028.1153634171619</v>
      </c>
      <c r="J139" s="26">
        <f t="shared" ca="1" si="83"/>
        <v>843.74006752394439</v>
      </c>
      <c r="K139" s="26">
        <f t="shared" ca="1" si="83"/>
        <v>713.70934562615707</v>
      </c>
      <c r="L139" s="26">
        <f t="shared" ca="1" si="83"/>
        <v>610.87039094568308</v>
      </c>
      <c r="M139" s="26">
        <f t="shared" ca="1" si="83"/>
        <v>528.26639034233381</v>
      </c>
      <c r="N139" s="26">
        <f t="shared" ca="1" si="83"/>
        <v>437.43346628401514</v>
      </c>
      <c r="O139" s="26">
        <f t="shared" ca="1" si="83"/>
        <v>379.50514957568521</v>
      </c>
      <c r="P139" s="26">
        <f t="shared" ca="1" si="83"/>
        <v>334.69911239694602</v>
      </c>
      <c r="Q139" s="26">
        <f t="shared" ca="1" si="83"/>
        <v>299.59891261458188</v>
      </c>
      <c r="R139" s="26">
        <f t="shared" ca="1" si="83"/>
        <v>271.43891335713965</v>
      </c>
      <c r="S139" s="26">
        <f t="shared" ca="1" si="83"/>
        <v>250.68582584477736</v>
      </c>
      <c r="T139" s="26">
        <f t="shared" ca="1" si="83"/>
        <v>230.37988495937634</v>
      </c>
      <c r="U139" s="26">
        <f t="shared" ca="1" si="83"/>
        <v>213.25193111024055</v>
      </c>
      <c r="V139" s="26">
        <f t="shared" ca="1" si="83"/>
        <v>213.23057476959593</v>
      </c>
      <c r="W139" s="26">
        <f t="shared" ca="1" si="83"/>
        <v>196.42552459562739</v>
      </c>
      <c r="X139" s="26">
        <f t="shared" ca="1" si="83"/>
        <v>196.44367467426719</v>
      </c>
      <c r="Y139" s="26"/>
      <c r="AA139" s="7">
        <f t="shared" ca="1" si="84"/>
        <v>12620.928620863158</v>
      </c>
    </row>
    <row r="140" spans="1:27">
      <c r="E140" s="26"/>
      <c r="F140" s="26"/>
      <c r="G140" s="26"/>
      <c r="H140" s="26"/>
      <c r="I140" s="26"/>
      <c r="J140" s="26"/>
      <c r="K140" s="26"/>
      <c r="L140" s="26"/>
      <c r="M140" s="26"/>
      <c r="N140" s="26"/>
      <c r="O140" s="26"/>
      <c r="P140" s="26"/>
      <c r="Q140" s="26"/>
      <c r="R140" s="26"/>
      <c r="S140" s="26"/>
      <c r="T140" s="26"/>
      <c r="U140" s="26"/>
      <c r="V140" s="26"/>
      <c r="W140" s="26"/>
      <c r="X140" s="26"/>
      <c r="Y140" s="26"/>
      <c r="AA140" s="26"/>
    </row>
    <row r="141" spans="1:27">
      <c r="C141" s="36" t="s">
        <v>143</v>
      </c>
      <c r="D141" s="36"/>
      <c r="E141" s="94">
        <f t="shared" ref="E141:X141" ca="1" si="86">SUM(E136:E139)</f>
        <v>84269.272050117215</v>
      </c>
      <c r="F141" s="94">
        <f t="shared" ca="1" si="86"/>
        <v>73075.167411831833</v>
      </c>
      <c r="G141" s="94">
        <f t="shared" ca="1" si="86"/>
        <v>62244.269937543962</v>
      </c>
      <c r="H141" s="94">
        <f t="shared" ca="1" si="86"/>
        <v>52302.789105782409</v>
      </c>
      <c r="I141" s="94">
        <f t="shared" ca="1" si="86"/>
        <v>42443.231138076153</v>
      </c>
      <c r="J141" s="94">
        <f t="shared" ca="1" si="86"/>
        <v>33901.625613992022</v>
      </c>
      <c r="K141" s="94">
        <f t="shared" ca="1" si="86"/>
        <v>27983.171960085343</v>
      </c>
      <c r="L141" s="94">
        <f t="shared" ca="1" si="86"/>
        <v>23905.934357305196</v>
      </c>
      <c r="M141" s="94">
        <f t="shared" ca="1" si="86"/>
        <v>20580.411327089783</v>
      </c>
      <c r="N141" s="94">
        <f t="shared" ca="1" si="86"/>
        <v>17379.506575006006</v>
      </c>
      <c r="O141" s="94">
        <f t="shared" ca="1" si="86"/>
        <v>15235.26419719576</v>
      </c>
      <c r="P141" s="94">
        <f t="shared" ca="1" si="86"/>
        <v>13339.437953832607</v>
      </c>
      <c r="Q141" s="94">
        <f t="shared" ca="1" si="86"/>
        <v>11722.851262459208</v>
      </c>
      <c r="R141" s="94">
        <f t="shared" ca="1" si="86"/>
        <v>10581.879096772369</v>
      </c>
      <c r="S141" s="94">
        <f t="shared" ca="1" si="86"/>
        <v>9804.2363537224082</v>
      </c>
      <c r="T141" s="94">
        <f t="shared" ca="1" si="86"/>
        <v>8927.4597561240007</v>
      </c>
      <c r="U141" s="94">
        <f t="shared" ca="1" si="86"/>
        <v>8047.392428676897</v>
      </c>
      <c r="V141" s="94">
        <f t="shared" ca="1" si="86"/>
        <v>7997.5511247367376</v>
      </c>
      <c r="W141" s="94">
        <f t="shared" ca="1" si="86"/>
        <v>7336.7017480363038</v>
      </c>
      <c r="X141" s="94">
        <f t="shared" ca="1" si="86"/>
        <v>7359.1629203305838</v>
      </c>
      <c r="Y141" s="94"/>
      <c r="AA141" s="26">
        <f ca="1">SUM(E141:Y141)</f>
        <v>538437.31631871662</v>
      </c>
    </row>
    <row r="142" spans="1:27">
      <c r="E142" s="26"/>
      <c r="F142" s="26"/>
      <c r="G142" s="26"/>
      <c r="H142" s="26"/>
      <c r="I142" s="26"/>
      <c r="J142" s="26"/>
      <c r="K142" s="26"/>
      <c r="L142" s="26"/>
      <c r="M142" s="26"/>
      <c r="N142" s="26"/>
      <c r="O142" s="26"/>
      <c r="P142" s="26"/>
      <c r="Q142" s="26"/>
      <c r="R142" s="26"/>
      <c r="S142" s="26"/>
      <c r="T142" s="26"/>
      <c r="U142" s="26"/>
      <c r="V142" s="26"/>
      <c r="W142" s="26"/>
      <c r="X142" s="26"/>
      <c r="Y142" s="26"/>
      <c r="AA142" s="26"/>
    </row>
    <row r="143" spans="1:27">
      <c r="E143" s="26"/>
      <c r="F143" s="26"/>
      <c r="G143" s="26"/>
      <c r="H143" s="26"/>
      <c r="I143" s="26"/>
      <c r="J143" s="26"/>
      <c r="K143" s="26"/>
      <c r="L143" s="26"/>
      <c r="M143" s="26"/>
      <c r="N143" s="26"/>
      <c r="O143" s="26"/>
      <c r="P143" s="26"/>
      <c r="Q143" s="26"/>
      <c r="R143" s="26"/>
      <c r="S143" s="26"/>
      <c r="T143" s="26"/>
      <c r="U143" s="26"/>
      <c r="V143" s="26"/>
      <c r="W143" s="26"/>
      <c r="X143" s="26"/>
      <c r="Y143" s="26"/>
      <c r="AA143" s="26"/>
    </row>
    <row r="144" spans="1:27">
      <c r="E144" s="26"/>
      <c r="F144" s="26"/>
      <c r="G144" s="26"/>
      <c r="H144" s="26"/>
      <c r="I144" s="26"/>
      <c r="J144" s="26"/>
      <c r="K144" s="26"/>
      <c r="L144" s="26"/>
      <c r="M144" s="26"/>
      <c r="N144" s="26"/>
      <c r="O144" s="26"/>
      <c r="P144" s="26"/>
      <c r="Q144" s="26"/>
      <c r="R144" s="26"/>
      <c r="S144" s="26"/>
      <c r="T144" s="26"/>
      <c r="U144" s="26"/>
      <c r="V144" s="26"/>
      <c r="W144" s="26"/>
      <c r="X144" s="26"/>
      <c r="Y144" s="26"/>
    </row>
    <row r="145" spans="5:27">
      <c r="E145" s="26"/>
      <c r="F145" s="26"/>
      <c r="G145" s="26"/>
      <c r="H145" s="26"/>
      <c r="I145" s="26"/>
      <c r="J145" s="26"/>
      <c r="K145" s="26"/>
      <c r="L145" s="26"/>
      <c r="M145" s="26"/>
      <c r="N145" s="26"/>
      <c r="O145" s="26"/>
      <c r="P145" s="26"/>
      <c r="Q145" s="26"/>
      <c r="R145" s="26"/>
      <c r="S145" s="26"/>
      <c r="T145" s="26"/>
      <c r="U145" s="26"/>
      <c r="V145" s="26"/>
      <c r="W145" s="26"/>
      <c r="X145" s="26"/>
      <c r="Y145" s="26"/>
      <c r="AA145" s="26"/>
    </row>
  </sheetData>
  <mergeCells count="1">
    <mergeCell ref="B1:T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CA223"/>
  <sheetViews>
    <sheetView tabSelected="1" zoomScaleNormal="100" workbookViewId="0">
      <selection activeCell="A13" sqref="A13"/>
    </sheetView>
  </sheetViews>
  <sheetFormatPr defaultRowHeight="12.75"/>
  <cols>
    <col min="1" max="1" width="35" style="7" customWidth="1"/>
    <col min="2" max="4" width="20.7109375" style="7" customWidth="1"/>
    <col min="5" max="5" width="19.85546875" style="7" customWidth="1"/>
    <col min="6" max="6" width="9.28515625" style="7" bestFit="1" customWidth="1"/>
    <col min="7" max="24" width="9.140625" style="7"/>
    <col min="25" max="25" width="9.5703125" style="7" bestFit="1" customWidth="1"/>
    <col min="26"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34" t="s">
        <v>52</v>
      </c>
      <c r="B1" s="159" t="s">
        <v>191</v>
      </c>
      <c r="C1" s="159"/>
      <c r="D1" s="159"/>
      <c r="E1" s="159"/>
      <c r="F1" s="159"/>
      <c r="G1" s="159"/>
      <c r="H1" s="159"/>
      <c r="I1" s="159"/>
      <c r="J1" s="159"/>
      <c r="K1" s="159"/>
      <c r="L1" s="159"/>
      <c r="M1" s="159"/>
      <c r="N1" s="159"/>
      <c r="O1" s="159"/>
      <c r="P1" s="159"/>
      <c r="Q1" s="159"/>
      <c r="R1" s="159"/>
      <c r="S1" s="159"/>
      <c r="T1" s="159"/>
      <c r="U1" s="159"/>
      <c r="V1" s="39"/>
      <c r="W1" s="39"/>
      <c r="X1" s="39"/>
      <c r="Y1" s="39"/>
      <c r="Z1" s="39"/>
    </row>
    <row r="2" spans="1:68" ht="12.75" customHeight="1">
      <c r="A2" s="35" t="s">
        <v>190</v>
      </c>
      <c r="B2" s="159"/>
      <c r="C2" s="159"/>
      <c r="D2" s="159"/>
      <c r="E2" s="159"/>
      <c r="F2" s="159"/>
      <c r="G2" s="159"/>
      <c r="H2" s="159"/>
      <c r="I2" s="159"/>
      <c r="J2" s="159"/>
      <c r="K2" s="159"/>
      <c r="L2" s="159"/>
      <c r="M2" s="159"/>
      <c r="N2" s="159"/>
      <c r="O2" s="159"/>
      <c r="P2" s="159"/>
      <c r="Q2" s="159"/>
      <c r="R2" s="159"/>
      <c r="S2" s="159"/>
      <c r="T2" s="159"/>
      <c r="U2" s="159"/>
      <c r="V2" s="40"/>
      <c r="W2" s="40"/>
      <c r="X2" s="40"/>
      <c r="Y2" s="40"/>
    </row>
    <row r="3" spans="1:68">
      <c r="B3" s="159"/>
      <c r="C3" s="159"/>
      <c r="D3" s="159"/>
      <c r="E3" s="159"/>
      <c r="F3" s="159"/>
      <c r="G3" s="159"/>
      <c r="H3" s="159"/>
      <c r="I3" s="159"/>
      <c r="J3" s="159"/>
      <c r="K3" s="159"/>
      <c r="L3" s="159"/>
      <c r="M3" s="159"/>
      <c r="N3" s="159"/>
      <c r="O3" s="159"/>
      <c r="P3" s="159"/>
      <c r="Q3" s="159"/>
      <c r="R3" s="159"/>
      <c r="S3" s="159"/>
      <c r="T3" s="159"/>
      <c r="U3" s="159"/>
      <c r="V3" s="40"/>
      <c r="W3" s="40"/>
      <c r="X3" s="40"/>
      <c r="Y3" s="40"/>
      <c r="Z3" s="40"/>
    </row>
    <row r="4" spans="1:68">
      <c r="B4" s="159"/>
      <c r="C4" s="159"/>
      <c r="D4" s="159"/>
      <c r="E4" s="159"/>
      <c r="F4" s="159"/>
      <c r="G4" s="159"/>
      <c r="H4" s="159"/>
      <c r="I4" s="159"/>
      <c r="J4" s="159"/>
      <c r="K4" s="159"/>
      <c r="L4" s="159"/>
      <c r="M4" s="159"/>
      <c r="N4" s="159"/>
      <c r="O4" s="159"/>
      <c r="P4" s="159"/>
      <c r="Q4" s="159"/>
      <c r="R4" s="159"/>
      <c r="S4" s="159"/>
      <c r="T4" s="159"/>
      <c r="U4" s="159"/>
      <c r="V4" s="40"/>
      <c r="W4" s="40"/>
      <c r="X4" s="40"/>
      <c r="Y4" s="40"/>
      <c r="Z4" s="40"/>
    </row>
    <row r="5" spans="1:68">
      <c r="B5" s="159"/>
      <c r="C5" s="159"/>
      <c r="D5" s="159"/>
      <c r="E5" s="159"/>
      <c r="F5" s="159"/>
      <c r="G5" s="159"/>
      <c r="H5" s="159"/>
      <c r="I5" s="159"/>
      <c r="J5" s="159"/>
      <c r="K5" s="159"/>
      <c r="L5" s="159"/>
      <c r="M5" s="159"/>
      <c r="N5" s="159"/>
      <c r="O5" s="159"/>
      <c r="P5" s="159"/>
      <c r="Q5" s="159"/>
      <c r="R5" s="159"/>
      <c r="S5" s="159"/>
      <c r="T5" s="159"/>
      <c r="U5" s="159"/>
      <c r="V5" s="40"/>
      <c r="W5" s="40"/>
      <c r="X5" s="40"/>
      <c r="Y5" s="40"/>
      <c r="Z5" s="40"/>
    </row>
    <row r="6" spans="1:68">
      <c r="B6" s="159"/>
      <c r="C6" s="159"/>
      <c r="D6" s="159"/>
      <c r="E6" s="159"/>
      <c r="F6" s="159"/>
      <c r="G6" s="159"/>
      <c r="H6" s="159"/>
      <c r="I6" s="159"/>
      <c r="J6" s="159"/>
      <c r="K6" s="159"/>
      <c r="L6" s="159"/>
      <c r="M6" s="159"/>
      <c r="N6" s="159"/>
      <c r="O6" s="159"/>
      <c r="P6" s="159"/>
      <c r="Q6" s="159"/>
      <c r="R6" s="159"/>
      <c r="S6" s="159"/>
      <c r="T6" s="159"/>
      <c r="U6" s="159"/>
      <c r="V6" s="40"/>
      <c r="W6" s="40"/>
      <c r="X6" s="40"/>
      <c r="Y6" s="40"/>
      <c r="Z6" s="40"/>
    </row>
    <row r="7" spans="1:68">
      <c r="A7" s="156"/>
      <c r="B7" s="156" t="s">
        <v>47</v>
      </c>
      <c r="C7" s="76" t="s">
        <v>144</v>
      </c>
      <c r="D7" s="76" t="s">
        <v>222</v>
      </c>
    </row>
    <row r="8" spans="1:68">
      <c r="A8" s="156" t="s">
        <v>461</v>
      </c>
      <c r="B8" s="156" t="s">
        <v>55</v>
      </c>
      <c r="C8" s="76" t="str">
        <f>[2]MLIST!$B$36</f>
        <v>Microwave</v>
      </c>
      <c r="D8" s="76" t="str">
        <f>[1]!switch_ForecastState</f>
        <v>Region</v>
      </c>
      <c r="E8"/>
      <c r="F8"/>
    </row>
    <row r="9" spans="1:68">
      <c r="A9" s="156" t="str">
        <f>INDEX([2]ACHIEV!$A$19:$B$100,MATCH(CONCATENATE($C$8," - ",$C$7),[2]ACHIEV!$B$19:$B$100,0),1)</f>
        <v>Food Preparation</v>
      </c>
      <c r="B9" s="157" t="s">
        <v>56</v>
      </c>
      <c r="C9" s="76">
        <f>[2]FILES!$H$4</f>
        <v>2035</v>
      </c>
      <c r="D9" s="76" t="str">
        <f>[1]!switch_ForecastScenario</f>
        <v>Base</v>
      </c>
      <c r="E9"/>
      <c r="F9"/>
    </row>
    <row r="10" spans="1:68">
      <c r="A10" s="156"/>
      <c r="B10" s="156" t="s">
        <v>463</v>
      </c>
      <c r="C10" s="158">
        <f ca="1">MIN(SUM(E86:X86),Y86)</f>
        <v>5.4052958237524305</v>
      </c>
      <c r="D10" s="77"/>
      <c r="E10"/>
      <c r="F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78" t="s">
        <v>145</v>
      </c>
      <c r="E11" s="90">
        <v>2016</v>
      </c>
      <c r="F11" s="84">
        <v>2017</v>
      </c>
      <c r="G11" s="84">
        <v>2018</v>
      </c>
      <c r="H11" s="84">
        <v>2019</v>
      </c>
      <c r="I11" s="84">
        <v>2020</v>
      </c>
      <c r="J11" s="84">
        <v>2021</v>
      </c>
      <c r="K11" s="84">
        <v>2022</v>
      </c>
      <c r="L11" s="84">
        <v>2023</v>
      </c>
      <c r="M11" s="84">
        <v>2024</v>
      </c>
      <c r="N11" s="84">
        <v>2025</v>
      </c>
      <c r="O11" s="84">
        <v>2026</v>
      </c>
      <c r="P11" s="84">
        <v>2027</v>
      </c>
      <c r="Q11" s="84">
        <v>2028</v>
      </c>
      <c r="R11" s="84">
        <v>2029</v>
      </c>
      <c r="S11" s="84">
        <v>2030</v>
      </c>
      <c r="T11" s="84">
        <v>2031</v>
      </c>
      <c r="U11" s="84">
        <v>2032</v>
      </c>
      <c r="V11" s="84">
        <v>2033</v>
      </c>
      <c r="W11" s="84">
        <v>2034</v>
      </c>
      <c r="X11" s="84">
        <v>2035</v>
      </c>
      <c r="Y11" s="85"/>
    </row>
    <row r="12" spans="1:68" ht="15">
      <c r="E12" s="91" t="str">
        <f>CONCATENATE("Homes_",E11)</f>
        <v>Homes_2016</v>
      </c>
      <c r="F12" s="86" t="str">
        <f t="shared" ref="F12:X12" si="0">CONCATENATE("Homes_",F11)</f>
        <v>Homes_2017</v>
      </c>
      <c r="G12" s="86" t="str">
        <f t="shared" si="0"/>
        <v>Homes_2018</v>
      </c>
      <c r="H12" s="86" t="str">
        <f t="shared" si="0"/>
        <v>Homes_2019</v>
      </c>
      <c r="I12" s="86" t="str">
        <f t="shared" si="0"/>
        <v>Homes_2020</v>
      </c>
      <c r="J12" s="86" t="str">
        <f t="shared" si="0"/>
        <v>Homes_2021</v>
      </c>
      <c r="K12" s="86" t="str">
        <f t="shared" si="0"/>
        <v>Homes_2022</v>
      </c>
      <c r="L12" s="86" t="str">
        <f t="shared" si="0"/>
        <v>Homes_2023</v>
      </c>
      <c r="M12" s="86" t="str">
        <f t="shared" si="0"/>
        <v>Homes_2024</v>
      </c>
      <c r="N12" s="86" t="str">
        <f t="shared" si="0"/>
        <v>Homes_2025</v>
      </c>
      <c r="O12" s="86" t="str">
        <f t="shared" si="0"/>
        <v>Homes_2026</v>
      </c>
      <c r="P12" s="86" t="str">
        <f t="shared" si="0"/>
        <v>Homes_2027</v>
      </c>
      <c r="Q12" s="86" t="str">
        <f t="shared" si="0"/>
        <v>Homes_2028</v>
      </c>
      <c r="R12" s="86" t="str">
        <f t="shared" si="0"/>
        <v>Homes_2029</v>
      </c>
      <c r="S12" s="86" t="str">
        <f t="shared" si="0"/>
        <v>Homes_2030</v>
      </c>
      <c r="T12" s="86" t="str">
        <f t="shared" si="0"/>
        <v>Homes_2031</v>
      </c>
      <c r="U12" s="86" t="str">
        <f t="shared" si="0"/>
        <v>Homes_2032</v>
      </c>
      <c r="V12" s="86" t="str">
        <f t="shared" si="0"/>
        <v>Homes_2033</v>
      </c>
      <c r="W12" s="86" t="str">
        <f t="shared" si="0"/>
        <v>Homes_2034</v>
      </c>
      <c r="X12" s="86" t="str">
        <f t="shared" si="0"/>
        <v>Homes_2035</v>
      </c>
      <c r="Y12" s="87"/>
    </row>
    <row r="13" spans="1:68">
      <c r="C13" s="7" t="s">
        <v>48</v>
      </c>
      <c r="E13" s="26">
        <f ca="1">INDEX([1]!tbl_Forecast,MATCH($D$8&amp;$C13&amp;$D$7,[1]!rng_ForecastRowLookup,0),MATCH(E$11,[1]!rng_ForecastColumnLookup,0))</f>
        <v>4203528.2719999999</v>
      </c>
      <c r="F13" s="26">
        <f ca="1">INDEX([1]!tbl_Forecast,MATCH($D$8&amp;$C13&amp;$D$7,[1]!rng_ForecastRowLookup,0),MATCH(F$11,[1]!rng_ForecastColumnLookup,0))</f>
        <v>4193982.9785983553</v>
      </c>
      <c r="G13" s="26">
        <f ca="1">INDEX([1]!tbl_Forecast,MATCH($D$8&amp;$C13&amp;$D$7,[1]!rng_ForecastRowLookup,0),MATCH(G$11,[1]!rng_ForecastColumnLookup,0))</f>
        <v>4184459.3604704877</v>
      </c>
      <c r="H13" s="26">
        <f ca="1">INDEX([1]!tbl_Forecast,MATCH($D$8&amp;$C13&amp;$D$7,[1]!rng_ForecastRowLookup,0),MATCH(H$11,[1]!rng_ForecastColumnLookup,0))</f>
        <v>4174957.36839659</v>
      </c>
      <c r="I13" s="26">
        <f ca="1">INDEX([1]!tbl_Forecast,MATCH($D$8&amp;$C13&amp;$D$7,[1]!rng_ForecastRowLookup,0),MATCH(I$11,[1]!rng_ForecastColumnLookup,0))</f>
        <v>4165476.9532686244</v>
      </c>
      <c r="J13" s="26">
        <f ca="1">INDEX([1]!tbl_Forecast,MATCH($D$8&amp;$C13&amp;$D$7,[1]!rng_ForecastRowLookup,0),MATCH(J$11,[1]!rng_ForecastColumnLookup,0))</f>
        <v>4156018.0660900641</v>
      </c>
      <c r="K13" s="26">
        <f ca="1">INDEX([1]!tbl_Forecast,MATCH($D$8&amp;$C13&amp;$D$7,[1]!rng_ForecastRowLookup,0),MATCH(K$11,[1]!rng_ForecastColumnLookup,0))</f>
        <v>4146580.6579756448</v>
      </c>
      <c r="L13" s="26">
        <f ca="1">INDEX([1]!tbl_Forecast,MATCH($D$8&amp;$C13&amp;$D$7,[1]!rng_ForecastRowLookup,0),MATCH(L$11,[1]!rng_ForecastColumnLookup,0))</f>
        <v>4137164.6801511091</v>
      </c>
      <c r="M13" s="26">
        <f ca="1">INDEX([1]!tbl_Forecast,MATCH($D$8&amp;$C13&amp;$D$7,[1]!rng_ForecastRowLookup,0),MATCH(M$11,[1]!rng_ForecastColumnLookup,0))</f>
        <v>4127770.0839529554</v>
      </c>
      <c r="N13" s="26">
        <f ca="1">INDEX([1]!tbl_Forecast,MATCH($D$8&amp;$C13&amp;$D$7,[1]!rng_ForecastRowLookup,0),MATCH(N$11,[1]!rng_ForecastColumnLookup,0))</f>
        <v>4118396.8208281873</v>
      </c>
      <c r="O13" s="26">
        <f ca="1">INDEX([1]!tbl_Forecast,MATCH($D$8&amp;$C13&amp;$D$7,[1]!rng_ForecastRowLookup,0),MATCH(O$11,[1]!rng_ForecastColumnLookup,0))</f>
        <v>4109044.8423340586</v>
      </c>
      <c r="P13" s="26">
        <f ca="1">INDEX([1]!tbl_Forecast,MATCH($D$8&amp;$C13&amp;$D$7,[1]!rng_ForecastRowLookup,0),MATCH(P$11,[1]!rng_ForecastColumnLookup,0))</f>
        <v>4099714.1001378288</v>
      </c>
      <c r="Q13" s="26">
        <f ca="1">INDEX([1]!tbl_Forecast,MATCH($D$8&amp;$C13&amp;$D$7,[1]!rng_ForecastRowLookup,0),MATCH(Q$11,[1]!rng_ForecastColumnLookup,0))</f>
        <v>4090404.5460165106</v>
      </c>
      <c r="R13" s="26">
        <f ca="1">INDEX([1]!tbl_Forecast,MATCH($D$8&amp;$C13&amp;$D$7,[1]!rng_ForecastRowLookup,0),MATCH(R$11,[1]!rng_ForecastColumnLookup,0))</f>
        <v>4081116.1318566194</v>
      </c>
      <c r="S13" s="26">
        <f ca="1">INDEX([1]!tbl_Forecast,MATCH($D$8&amp;$C13&amp;$D$7,[1]!rng_ForecastRowLookup,0),MATCH(S$11,[1]!rng_ForecastColumnLookup,0))</f>
        <v>4071848.8096539262</v>
      </c>
      <c r="T13" s="26">
        <f ca="1">INDEX([1]!tbl_Forecast,MATCH($D$8&amp;$C13&amp;$D$7,[1]!rng_ForecastRowLookup,0),MATCH(T$11,[1]!rng_ForecastColumnLookup,0))</f>
        <v>4062602.5315132081</v>
      </c>
      <c r="U13" s="26">
        <f ca="1">INDEX([1]!tbl_Forecast,MATCH($D$8&amp;$C13&amp;$D$7,[1]!rng_ForecastRowLookup,0),MATCH(U$11,[1]!rng_ForecastColumnLookup,0))</f>
        <v>4053377.2496480034</v>
      </c>
      <c r="V13" s="26">
        <f ca="1">INDEX([1]!tbl_Forecast,MATCH($D$8&amp;$C13&amp;$D$7,[1]!rng_ForecastRowLookup,0),MATCH(V$11,[1]!rng_ForecastColumnLookup,0))</f>
        <v>4044172.9163803621</v>
      </c>
      <c r="W13" s="26">
        <f ca="1">INDEX([1]!tbl_Forecast,MATCH($D$8&amp;$C13&amp;$D$7,[1]!rng_ForecastRowLookup,0),MATCH(W$11,[1]!rng_ForecastColumnLookup,0))</f>
        <v>4034989.4841406001</v>
      </c>
      <c r="X13" s="26">
        <f ca="1">INDEX([1]!tbl_Forecast,MATCH($D$8&amp;$C13&amp;$D$7,[1]!rng_ForecastRowLookup,0),MATCH(X$11,[1]!rng_ForecastColumnLookup,0))</f>
        <v>4025826.9054670548</v>
      </c>
      <c r="Y13" s="26"/>
    </row>
    <row r="14" spans="1:68">
      <c r="C14" s="7" t="s">
        <v>49</v>
      </c>
      <c r="E14" s="26">
        <f ca="1">INDEX([1]!tbl_Forecast,MATCH($D$8&amp;$C14&amp;$D$7,[1]!rng_ForecastRowLookup,0),MATCH(E$11,[1]!rng_ForecastColumnLookup,0))</f>
        <v>926243.25609262148</v>
      </c>
      <c r="F14" s="26">
        <f ca="1">INDEX([1]!tbl_Forecast,MATCH($D$8&amp;$C14&amp;$D$7,[1]!rng_ForecastRowLookup,0),MATCH(F$11,[1]!rng_ForecastColumnLookup,0))</f>
        <v>924139.92640956037</v>
      </c>
      <c r="G14" s="26">
        <f ca="1">INDEX([1]!tbl_Forecast,MATCH($D$8&amp;$C14&amp;$D$7,[1]!rng_ForecastRowLookup,0),MATCH(G$11,[1]!rng_ForecastColumnLookup,0))</f>
        <v>922041.3730050053</v>
      </c>
      <c r="H14" s="26">
        <f ca="1">INDEX([1]!tbl_Forecast,MATCH($D$8&amp;$C14&amp;$D$7,[1]!rng_ForecastRowLookup,0),MATCH(H$11,[1]!rng_ForecastColumnLookup,0))</f>
        <v>919947.58503289847</v>
      </c>
      <c r="I14" s="26">
        <f ca="1">INDEX([1]!tbl_Forecast,MATCH($D$8&amp;$C14&amp;$D$7,[1]!rng_ForecastRowLookup,0),MATCH(I$11,[1]!rng_ForecastColumnLookup,0))</f>
        <v>917858.55167181045</v>
      </c>
      <c r="J14" s="26">
        <f ca="1">INDEX([1]!tbl_Forecast,MATCH($D$8&amp;$C14&amp;$D$7,[1]!rng_ForecastRowLookup,0),MATCH(J$11,[1]!rng_ForecastColumnLookup,0))</f>
        <v>915774.26212488639</v>
      </c>
      <c r="K14" s="26">
        <f ca="1">INDEX([1]!tbl_Forecast,MATCH($D$8&amp;$C14&amp;$D$7,[1]!rng_ForecastRowLookup,0),MATCH(K$11,[1]!rng_ForecastColumnLookup,0))</f>
        <v>913694.70561978838</v>
      </c>
      <c r="L14" s="26">
        <f ca="1">INDEX([1]!tbl_Forecast,MATCH($D$8&amp;$C14&amp;$D$7,[1]!rng_ForecastRowLookup,0),MATCH(L$11,[1]!rng_ForecastColumnLookup,0))</f>
        <v>911619.87140864041</v>
      </c>
      <c r="M14" s="26">
        <f ca="1">INDEX([1]!tbl_Forecast,MATCH($D$8&amp;$C14&amp;$D$7,[1]!rng_ForecastRowLookup,0),MATCH(M$11,[1]!rng_ForecastColumnLookup,0))</f>
        <v>909549.74876797362</v>
      </c>
      <c r="N14" s="26">
        <f ca="1">INDEX([1]!tbl_Forecast,MATCH($D$8&amp;$C14&amp;$D$7,[1]!rng_ForecastRowLookup,0),MATCH(N$11,[1]!rng_ForecastColumnLookup,0))</f>
        <v>907484.32699866977</v>
      </c>
      <c r="O14" s="26">
        <f ca="1">INDEX([1]!tbl_Forecast,MATCH($D$8&amp;$C14&amp;$D$7,[1]!rng_ForecastRowLookup,0),MATCH(O$11,[1]!rng_ForecastColumnLookup,0))</f>
        <v>905423.59542590659</v>
      </c>
      <c r="P14" s="26">
        <f ca="1">INDEX([1]!tbl_Forecast,MATCH($D$8&amp;$C14&amp;$D$7,[1]!rng_ForecastRowLookup,0),MATCH(P$11,[1]!rng_ForecastColumnLookup,0))</f>
        <v>903367.54339910217</v>
      </c>
      <c r="Q14" s="26">
        <f ca="1">INDEX([1]!tbl_Forecast,MATCH($D$8&amp;$C14&amp;$D$7,[1]!rng_ForecastRowLookup,0),MATCH(Q$11,[1]!rng_ForecastColumnLookup,0))</f>
        <v>901316.16029185988</v>
      </c>
      <c r="R14" s="26">
        <f ca="1">INDEX([1]!tbl_Forecast,MATCH($D$8&amp;$C14&amp;$D$7,[1]!rng_ForecastRowLookup,0),MATCH(R$11,[1]!rng_ForecastColumnLookup,0))</f>
        <v>899269.43550191447</v>
      </c>
      <c r="S14" s="26">
        <f ca="1">INDEX([1]!tbl_Forecast,MATCH($D$8&amp;$C14&amp;$D$7,[1]!rng_ForecastRowLookup,0),MATCH(S$11,[1]!rng_ForecastColumnLookup,0))</f>
        <v>897227.35845107585</v>
      </c>
      <c r="T14" s="26">
        <f ca="1">INDEX([1]!tbl_Forecast,MATCH($D$8&amp;$C14&amp;$D$7,[1]!rng_ForecastRowLookup,0),MATCH(T$11,[1]!rng_ForecastColumnLookup,0))</f>
        <v>895189.9185851753</v>
      </c>
      <c r="U14" s="26">
        <f ca="1">INDEX([1]!tbl_Forecast,MATCH($D$8&amp;$C14&amp;$D$7,[1]!rng_ForecastRowLookup,0),MATCH(U$11,[1]!rng_ForecastColumnLookup,0))</f>
        <v>893157.10537401051</v>
      </c>
      <c r="V14" s="26">
        <f ca="1">INDEX([1]!tbl_Forecast,MATCH($D$8&amp;$C14&amp;$D$7,[1]!rng_ForecastRowLookup,0),MATCH(V$11,[1]!rng_ForecastColumnLookup,0))</f>
        <v>891128.90831129183</v>
      </c>
      <c r="W14" s="26">
        <f ca="1">INDEX([1]!tbl_Forecast,MATCH($D$8&amp;$C14&amp;$D$7,[1]!rng_ForecastRowLookup,0),MATCH(W$11,[1]!rng_ForecastColumnLookup,0))</f>
        <v>889105.31691458682</v>
      </c>
      <c r="X14" s="26">
        <f ca="1">INDEX([1]!tbl_Forecast,MATCH($D$8&amp;$C14&amp;$D$7,[1]!rng_ForecastRowLookup,0),MATCH(X$11,[1]!rng_ForecastColumnLookup,0))</f>
        <v>887086.32072526717</v>
      </c>
      <c r="Y14" s="26"/>
    </row>
    <row r="15" spans="1:68">
      <c r="C15" s="7" t="s">
        <v>50</v>
      </c>
      <c r="E15" s="26">
        <f ca="1">INDEX([1]!tbl_Forecast,MATCH($D$8&amp;$C15&amp;$D$7,[1]!rng_ForecastRowLookup,0),MATCH(E$11,[1]!rng_ForecastColumnLookup,0))</f>
        <v>211180.07985625503</v>
      </c>
      <c r="F15" s="26">
        <f ca="1">INDEX([1]!tbl_Forecast,MATCH($D$8&amp;$C15&amp;$D$7,[1]!rng_ForecastRowLookup,0),MATCH(F$11,[1]!rng_ForecastColumnLookup,0))</f>
        <v>210700.52836963299</v>
      </c>
      <c r="G15" s="26">
        <f ca="1">INDEX([1]!tbl_Forecast,MATCH($D$8&amp;$C15&amp;$D$7,[1]!rng_ForecastRowLookup,0),MATCH(G$11,[1]!rng_ForecastColumnLookup,0))</f>
        <v>210222.06585706791</v>
      </c>
      <c r="H15" s="26">
        <f ca="1">INDEX([1]!tbl_Forecast,MATCH($D$8&amp;$C15&amp;$D$7,[1]!rng_ForecastRowLookup,0),MATCH(H$11,[1]!rng_ForecastColumnLookup,0))</f>
        <v>209744.68984569819</v>
      </c>
      <c r="I15" s="26">
        <f ca="1">INDEX([1]!tbl_Forecast,MATCH($D$8&amp;$C15&amp;$D$7,[1]!rng_ForecastRowLookup,0),MATCH(I$11,[1]!rng_ForecastColumnLookup,0))</f>
        <v>209268.39786827751</v>
      </c>
      <c r="J15" s="26">
        <f ca="1">INDEX([1]!tbl_Forecast,MATCH($D$8&amp;$C15&amp;$D$7,[1]!rng_ForecastRowLookup,0),MATCH(J$11,[1]!rng_ForecastColumnLookup,0))</f>
        <v>208793.18746316229</v>
      </c>
      <c r="K15" s="26">
        <f ca="1">INDEX([1]!tbl_Forecast,MATCH($D$8&amp;$C15&amp;$D$7,[1]!rng_ForecastRowLookup,0),MATCH(K$11,[1]!rng_ForecastColumnLookup,0))</f>
        <v>208319.05617429892</v>
      </c>
      <c r="L15" s="26">
        <f ca="1">INDEX([1]!tbl_Forecast,MATCH($D$8&amp;$C15&amp;$D$7,[1]!rng_ForecastRowLookup,0),MATCH(L$11,[1]!rng_ForecastColumnLookup,0))</f>
        <v>207846.00155121088</v>
      </c>
      <c r="M15" s="26">
        <f ca="1">INDEX([1]!tbl_Forecast,MATCH($D$8&amp;$C15&amp;$D$7,[1]!rng_ForecastRowLookup,0),MATCH(M$11,[1]!rng_ForecastColumnLookup,0))</f>
        <v>207374.0211489865</v>
      </c>
      <c r="N15" s="26">
        <f ca="1">INDEX([1]!tbl_Forecast,MATCH($D$8&amp;$C15&amp;$D$7,[1]!rng_ForecastRowLookup,0),MATCH(N$11,[1]!rng_ForecastColumnLookup,0))</f>
        <v>206903.11252826577</v>
      </c>
      <c r="O15" s="26">
        <f ca="1">INDEX([1]!tbl_Forecast,MATCH($D$8&amp;$C15&amp;$D$7,[1]!rng_ForecastRowLookup,0),MATCH(O$11,[1]!rng_ForecastColumnLookup,0))</f>
        <v>206433.27325522827</v>
      </c>
      <c r="P15" s="26">
        <f ca="1">INDEX([1]!tbl_Forecast,MATCH($D$8&amp;$C15&amp;$D$7,[1]!rng_ForecastRowLookup,0),MATCH(P$11,[1]!rng_ForecastColumnLookup,0))</f>
        <v>205964.50090158021</v>
      </c>
      <c r="Q15" s="26">
        <f ca="1">INDEX([1]!tbl_Forecast,MATCH($D$8&amp;$C15&amp;$D$7,[1]!rng_ForecastRowLookup,0),MATCH(Q$11,[1]!rng_ForecastColumnLookup,0))</f>
        <v>205496.79304454199</v>
      </c>
      <c r="R15" s="26">
        <f ca="1">INDEX([1]!tbl_Forecast,MATCH($D$8&amp;$C15&amp;$D$7,[1]!rng_ForecastRowLookup,0),MATCH(R$11,[1]!rng_ForecastColumnLookup,0))</f>
        <v>205030.14726683579</v>
      </c>
      <c r="S15" s="26">
        <f ca="1">INDEX([1]!tbl_Forecast,MATCH($D$8&amp;$C15&amp;$D$7,[1]!rng_ForecastRowLookup,0),MATCH(S$11,[1]!rng_ForecastColumnLookup,0))</f>
        <v>204564.56115667295</v>
      </c>
      <c r="T15" s="26">
        <f ca="1">INDEX([1]!tbl_Forecast,MATCH($D$8&amp;$C15&amp;$D$7,[1]!rng_ForecastRowLookup,0),MATCH(T$11,[1]!rng_ForecastColumnLookup,0))</f>
        <v>204100.03230774152</v>
      </c>
      <c r="U15" s="26">
        <f ca="1">INDEX([1]!tbl_Forecast,MATCH($D$8&amp;$C15&amp;$D$7,[1]!rng_ForecastRowLookup,0),MATCH(U$11,[1]!rng_ForecastColumnLookup,0))</f>
        <v>203636.55831919383</v>
      </c>
      <c r="V15" s="26">
        <f ca="1">INDEX([1]!tbl_Forecast,MATCH($D$8&amp;$C15&amp;$D$7,[1]!rng_ForecastRowLookup,0),MATCH(V$11,[1]!rng_ForecastColumnLookup,0))</f>
        <v>203174.13679563423</v>
      </c>
      <c r="W15" s="26">
        <f ca="1">INDEX([1]!tbl_Forecast,MATCH($D$8&amp;$C15&amp;$D$7,[1]!rng_ForecastRowLookup,0),MATCH(W$11,[1]!rng_ForecastColumnLookup,0))</f>
        <v>202712.76534710638</v>
      </c>
      <c r="X15" s="26">
        <f ca="1">INDEX([1]!tbl_Forecast,MATCH($D$8&amp;$C15&amp;$D$7,[1]!rng_ForecastRowLookup,0),MATCH(X$11,[1]!rng_ForecastColumnLookup,0))</f>
        <v>202252.44158908122</v>
      </c>
      <c r="Y15" s="26"/>
    </row>
    <row r="16" spans="1:68">
      <c r="C16" s="7" t="s">
        <v>51</v>
      </c>
      <c r="E16" s="26">
        <f ca="1">INDEX([1]!tbl_Forecast,MATCH($D$8&amp;$C16&amp;$D$7,[1]!rng_ForecastRowLookup,0),MATCH(E$11,[1]!rng_ForecastColumnLookup,0))</f>
        <v>572006.3278356482</v>
      </c>
      <c r="F16" s="26">
        <f ca="1">INDEX([1]!tbl_Forecast,MATCH($D$8&amp;$C16&amp;$D$7,[1]!rng_ForecastRowLookup,0),MATCH(F$11,[1]!rng_ForecastColumnLookup,0))</f>
        <v>565893.30394507048</v>
      </c>
      <c r="G16" s="26">
        <f ca="1">INDEX([1]!tbl_Forecast,MATCH($D$8&amp;$C16&amp;$D$7,[1]!rng_ForecastRowLookup,0),MATCH(G$11,[1]!rng_ForecastColumnLookup,0))</f>
        <v>559845.60985814757</v>
      </c>
      <c r="H16" s="26">
        <f ca="1">INDEX([1]!tbl_Forecast,MATCH($D$8&amp;$C16&amp;$D$7,[1]!rng_ForecastRowLookup,0),MATCH(H$11,[1]!rng_ForecastColumnLookup,0))</f>
        <v>553862.54739615123</v>
      </c>
      <c r="I16" s="26">
        <f ca="1">INDEX([1]!tbl_Forecast,MATCH($D$8&amp;$C16&amp;$D$7,[1]!rng_ForecastRowLookup,0),MATCH(I$11,[1]!rng_ForecastColumnLookup,0))</f>
        <v>547943.42584177968</v>
      </c>
      <c r="J16" s="26">
        <f ca="1">INDEX([1]!tbl_Forecast,MATCH($D$8&amp;$C16&amp;$D$7,[1]!rng_ForecastRowLookup,0),MATCH(J$11,[1]!rng_ForecastColumnLookup,0))</f>
        <v>542087.56185941794</v>
      </c>
      <c r="K16" s="26">
        <f ca="1">INDEX([1]!tbl_Forecast,MATCH($D$8&amp;$C16&amp;$D$7,[1]!rng_ForecastRowLookup,0),MATCH(K$11,[1]!rng_ForecastColumnLookup,0))</f>
        <v>536294.27941624937</v>
      </c>
      <c r="L16" s="26">
        <f ca="1">INDEX([1]!tbl_Forecast,MATCH($D$8&amp;$C16&amp;$D$7,[1]!rng_ForecastRowLookup,0),MATCH(L$11,[1]!rng_ForecastColumnLookup,0))</f>
        <v>530562.90970421082</v>
      </c>
      <c r="M16" s="26">
        <f ca="1">INDEX([1]!tbl_Forecast,MATCH($D$8&amp;$C16&amp;$D$7,[1]!rng_ForecastRowLookup,0),MATCH(M$11,[1]!rng_ForecastColumnLookup,0))</f>
        <v>524892.79106278194</v>
      </c>
      <c r="N16" s="26">
        <f ca="1">INDEX([1]!tbl_Forecast,MATCH($D$8&amp;$C16&amp;$D$7,[1]!rng_ForecastRowLookup,0),MATCH(N$11,[1]!rng_ForecastColumnLookup,0))</f>
        <v>519283.26890259917</v>
      </c>
      <c r="O16" s="26">
        <f ca="1">INDEX([1]!tbl_Forecast,MATCH($D$8&amp;$C16&amp;$D$7,[1]!rng_ForecastRowLookup,0),MATCH(O$11,[1]!rng_ForecastColumnLookup,0))</f>
        <v>513733.69562988722</v>
      </c>
      <c r="P16" s="26">
        <f ca="1">INDEX([1]!tbl_Forecast,MATCH($D$8&amp;$C16&amp;$D$7,[1]!rng_ForecastRowLookup,0),MATCH(P$11,[1]!rng_ForecastColumnLookup,0))</f>
        <v>508243.4305716962</v>
      </c>
      <c r="Q16" s="26">
        <f ca="1">INDEX([1]!tbl_Forecast,MATCH($D$8&amp;$C16&amp;$D$7,[1]!rng_ForecastRowLookup,0),MATCH(Q$11,[1]!rng_ForecastColumnLookup,0))</f>
        <v>502811.8399019395</v>
      </c>
      <c r="R16" s="26">
        <f ca="1">INDEX([1]!tbl_Forecast,MATCH($D$8&amp;$C16&amp;$D$7,[1]!rng_ForecastRowLookup,0),MATCH(R$11,[1]!rng_ForecastColumnLookup,0))</f>
        <v>497438.2965682213</v>
      </c>
      <c r="S16" s="26">
        <f ca="1">INDEX([1]!tbl_Forecast,MATCH($D$8&amp;$C16&amp;$D$7,[1]!rng_ForecastRowLookup,0),MATCH(S$11,[1]!rng_ForecastColumnLookup,0))</f>
        <v>492122.18021944637</v>
      </c>
      <c r="T16" s="26">
        <f ca="1">INDEX([1]!tbl_Forecast,MATCH($D$8&amp;$C16&amp;$D$7,[1]!rng_ForecastRowLookup,0),MATCH(T$11,[1]!rng_ForecastColumnLookup,0))</f>
        <v>486862.87713420321</v>
      </c>
      <c r="U16" s="26">
        <f ca="1">INDEX([1]!tbl_Forecast,MATCH($D$8&amp;$C16&amp;$D$7,[1]!rng_ForecastRowLookup,0),MATCH(U$11,[1]!rng_ForecastColumnLookup,0))</f>
        <v>481659.78014991269</v>
      </c>
      <c r="V16" s="26">
        <f ca="1">INDEX([1]!tbl_Forecast,MATCH($D$8&amp;$C16&amp;$D$7,[1]!rng_ForecastRowLookup,0),MATCH(V$11,[1]!rng_ForecastColumnLookup,0))</f>
        <v>476512.28859273402</v>
      </c>
      <c r="W16" s="26">
        <f ca="1">INDEX([1]!tbl_Forecast,MATCH($D$8&amp;$C16&amp;$D$7,[1]!rng_ForecastRowLookup,0),MATCH(W$11,[1]!rng_ForecastColumnLookup,0))</f>
        <v>471419.80820821953</v>
      </c>
      <c r="X16" s="26">
        <f ca="1">INDEX([1]!tbl_Forecast,MATCH($D$8&amp;$C16&amp;$D$7,[1]!rng_ForecastRowLookup,0),MATCH(X$11,[1]!rng_ForecastColumnLookup,0))</f>
        <v>466381.75109271082</v>
      </c>
      <c r="Y16" s="26"/>
    </row>
    <row r="17" spans="1:32">
      <c r="E17" s="26"/>
      <c r="F17" s="26"/>
      <c r="G17" s="26"/>
      <c r="H17" s="26"/>
      <c r="I17" s="26"/>
      <c r="J17" s="26"/>
      <c r="K17" s="26"/>
      <c r="L17" s="26"/>
      <c r="M17" s="26"/>
      <c r="N17" s="26"/>
      <c r="O17" s="26"/>
      <c r="P17" s="26"/>
      <c r="Q17" s="26"/>
      <c r="R17" s="26"/>
      <c r="S17" s="26"/>
      <c r="T17" s="26"/>
      <c r="U17" s="26"/>
      <c r="V17" s="26"/>
      <c r="W17" s="26"/>
      <c r="X17" s="26"/>
      <c r="Y17" s="26"/>
    </row>
    <row r="18" spans="1:32">
      <c r="B18" s="7" t="s">
        <v>58</v>
      </c>
      <c r="D18" s="7" t="s">
        <v>59</v>
      </c>
      <c r="E18" s="26">
        <f t="shared" ref="E18:X18" ca="1" si="1">SUM(E13:E16)</f>
        <v>5912957.9357845243</v>
      </c>
      <c r="F18" s="26">
        <f t="shared" ca="1" si="1"/>
        <v>5894716.7373226183</v>
      </c>
      <c r="G18" s="26">
        <f t="shared" ca="1" si="1"/>
        <v>5876568.4091907088</v>
      </c>
      <c r="H18" s="26">
        <f t="shared" ca="1" si="1"/>
        <v>5858512.1906713378</v>
      </c>
      <c r="I18" s="26">
        <f t="shared" ca="1" si="1"/>
        <v>5840547.3286504922</v>
      </c>
      <c r="J18" s="26">
        <f t="shared" ca="1" si="1"/>
        <v>5822673.077537531</v>
      </c>
      <c r="K18" s="26">
        <f t="shared" ca="1" si="1"/>
        <v>5804888.6991859814</v>
      </c>
      <c r="L18" s="26">
        <f t="shared" ca="1" si="1"/>
        <v>5787193.462815172</v>
      </c>
      <c r="M18" s="26">
        <f t="shared" ca="1" si="1"/>
        <v>5769586.6449326966</v>
      </c>
      <c r="N18" s="26">
        <f t="shared" ca="1" si="1"/>
        <v>5752067.5292577213</v>
      </c>
      <c r="O18" s="26">
        <f t="shared" ca="1" si="1"/>
        <v>5734635.406645081</v>
      </c>
      <c r="P18" s="26">
        <f t="shared" ca="1" si="1"/>
        <v>5717289.5750102066</v>
      </c>
      <c r="Q18" s="26">
        <f t="shared" ca="1" si="1"/>
        <v>5700029.3392548524</v>
      </c>
      <c r="R18" s="26">
        <f t="shared" ca="1" si="1"/>
        <v>5682854.0111935912</v>
      </c>
      <c r="S18" s="26">
        <f t="shared" ca="1" si="1"/>
        <v>5665762.9094811222</v>
      </c>
      <c r="T18" s="26">
        <f t="shared" ca="1" si="1"/>
        <v>5648755.3595403275</v>
      </c>
      <c r="U18" s="26">
        <f t="shared" ca="1" si="1"/>
        <v>5631830.6934911208</v>
      </c>
      <c r="V18" s="26">
        <f t="shared" ca="1" si="1"/>
        <v>5614988.250080023</v>
      </c>
      <c r="W18" s="26">
        <f t="shared" ca="1" si="1"/>
        <v>5598227.3746105134</v>
      </c>
      <c r="X18" s="26">
        <f t="shared" ca="1" si="1"/>
        <v>5581547.4188741138</v>
      </c>
      <c r="Y18" s="26"/>
      <c r="Z18" s="26"/>
    </row>
    <row r="19" spans="1:32">
      <c r="E19" s="26"/>
      <c r="F19" s="26"/>
      <c r="G19" s="26"/>
      <c r="H19" s="26"/>
      <c r="I19" s="26"/>
      <c r="J19" s="26"/>
      <c r="K19" s="26"/>
      <c r="L19" s="26"/>
      <c r="M19" s="26"/>
      <c r="N19" s="26"/>
      <c r="O19" s="26"/>
      <c r="P19" s="26"/>
      <c r="Q19" s="26"/>
      <c r="R19" s="26"/>
      <c r="S19" s="26"/>
      <c r="T19" s="26"/>
      <c r="U19" s="26"/>
      <c r="V19" s="26"/>
      <c r="W19" s="26"/>
      <c r="X19" s="26"/>
      <c r="Y19" s="26"/>
    </row>
    <row r="20" spans="1:32">
      <c r="E20" s="26"/>
      <c r="F20" s="26"/>
      <c r="G20" s="26"/>
      <c r="H20" s="26"/>
      <c r="I20" s="26"/>
      <c r="J20" s="26"/>
      <c r="K20" s="26"/>
      <c r="L20" s="26"/>
      <c r="M20" s="26"/>
      <c r="N20" s="26"/>
      <c r="O20" s="26"/>
      <c r="P20" s="26"/>
      <c r="Q20" s="26"/>
      <c r="R20" s="26"/>
      <c r="S20" s="26"/>
      <c r="T20" s="26"/>
      <c r="U20" s="26"/>
      <c r="V20" s="26"/>
      <c r="W20" s="26"/>
      <c r="X20" s="26"/>
      <c r="Y20" s="26"/>
    </row>
    <row r="21" spans="1:32" ht="15">
      <c r="A21" s="98" t="s">
        <v>146</v>
      </c>
      <c r="E21" s="26"/>
      <c r="F21" s="26"/>
      <c r="G21" s="26"/>
      <c r="H21" s="26"/>
      <c r="I21" s="26"/>
      <c r="J21" s="26"/>
      <c r="K21" s="26"/>
      <c r="L21" s="26"/>
      <c r="M21" s="26"/>
      <c r="N21" s="26"/>
      <c r="O21" s="26"/>
      <c r="P21" s="26"/>
      <c r="Q21" s="26"/>
      <c r="R21" s="26"/>
      <c r="S21" s="26"/>
      <c r="T21" s="26"/>
      <c r="U21" s="26"/>
      <c r="V21" s="26"/>
      <c r="W21" s="26"/>
      <c r="X21" s="26"/>
      <c r="Y21" s="26"/>
    </row>
    <row r="22" spans="1:32" ht="15">
      <c r="A22" s="7" t="s">
        <v>155</v>
      </c>
      <c r="E22" s="79">
        <v>1</v>
      </c>
      <c r="F22" s="79">
        <v>2</v>
      </c>
      <c r="G22" s="79">
        <v>3</v>
      </c>
      <c r="H22" s="79">
        <v>4</v>
      </c>
      <c r="I22" s="95">
        <v>5</v>
      </c>
      <c r="J22" s="96">
        <v>6</v>
      </c>
      <c r="K22" s="96">
        <v>7</v>
      </c>
      <c r="L22" s="96">
        <v>8</v>
      </c>
      <c r="M22" s="96">
        <v>9</v>
      </c>
      <c r="N22" s="96">
        <v>10</v>
      </c>
      <c r="O22" s="96">
        <v>11</v>
      </c>
      <c r="P22" s="96">
        <v>12</v>
      </c>
      <c r="Q22" s="96">
        <v>13</v>
      </c>
      <c r="R22" s="96">
        <v>14</v>
      </c>
      <c r="S22" s="96">
        <v>15</v>
      </c>
      <c r="T22" s="96">
        <v>16</v>
      </c>
      <c r="U22" s="96">
        <v>17</v>
      </c>
      <c r="V22" s="96">
        <v>18</v>
      </c>
      <c r="W22" s="96">
        <v>19</v>
      </c>
      <c r="X22" s="96">
        <v>20</v>
      </c>
      <c r="Y22" s="96"/>
    </row>
    <row r="23" spans="1:32">
      <c r="C23" s="7" t="str">
        <f>C13</f>
        <v>Single Family</v>
      </c>
      <c r="E23" s="26">
        <f>IF(E$22&lt;=1/$C$43,0,INDEX('SC-New'!$E136:$Y136,1,E$22-ROUND(1/$C$43,0)))</f>
        <v>0</v>
      </c>
      <c r="F23" s="26">
        <f>IF(F$22&lt;=1/$C$43,0,INDEX('SC-New'!$E136:$Y136,1,F$22-ROUND(1/$C$43,0)))</f>
        <v>0</v>
      </c>
      <c r="G23" s="26">
        <f>IF(G$22&lt;=1/$C$43,0,INDEX('SC-New'!$E136:$Y136,1,G$22-ROUND(1/$C$43,0)))</f>
        <v>0</v>
      </c>
      <c r="H23" s="26">
        <f>IF(H$22&lt;=1/$C$43,0,INDEX('SC-New'!$E136:$Y136,1,H$22-ROUND(1/$C$43,0)))</f>
        <v>0</v>
      </c>
      <c r="I23" s="26">
        <f>IF(I$22&lt;=1/$C$43,0,INDEX('SC-New'!$E136:$Y136,1,I$22-ROUND(1/$C$43,0)))</f>
        <v>0</v>
      </c>
      <c r="J23" s="26">
        <f>IF(J$22&lt;=1/$C$43,0,INDEX('SC-New'!$E136:$Y136,1,J$22-ROUND(1/$C$43,0)))</f>
        <v>0</v>
      </c>
      <c r="K23" s="26">
        <f>IF(K$22&lt;=1/$C$43,0,INDEX('SC-New'!$E136:$Y136,1,K$22-ROUND(1/$C$43,0)))</f>
        <v>0</v>
      </c>
      <c r="L23" s="26">
        <f>IF(L$22&lt;=1/$C$43,0,INDEX('SC-New'!$E136:$Y136,1,L$22-ROUND(1/$C$43,0)))</f>
        <v>0</v>
      </c>
      <c r="M23" s="26">
        <f>IF(M$22&lt;=1/$C$43,0,INDEX('SC-New'!$E136:$Y136,1,M$22-ROUND(1/$C$43,0)))</f>
        <v>0</v>
      </c>
      <c r="N23" s="26">
        <f ca="1">IF(N$22&lt;=1/$C$43,0,INDEX('SC-New'!$E136:$Y136,1,N$22-ROUND(1/$C$43,0)))</f>
        <v>56763.10208095744</v>
      </c>
      <c r="O23" s="26">
        <f ca="1">IF(O$22&lt;=1/$C$43,0,INDEX('SC-New'!$E136:$Y136,1,O$22-ROUND(1/$C$43,0)))</f>
        <v>48631.199292669495</v>
      </c>
      <c r="P23" s="26">
        <f ca="1">IF(P$22&lt;=1/$C$43,0,INDEX('SC-New'!$E136:$Y136,1,P$22-ROUND(1/$C$43,0)))</f>
        <v>40724.690212474976</v>
      </c>
      <c r="Q23" s="26">
        <f ca="1">IF(Q$22&lt;=1/$C$43,0,INDEX('SC-New'!$E136:$Y136,1,Q$22-ROUND(1/$C$43,0)))</f>
        <v>34204.815513219291</v>
      </c>
      <c r="R23" s="26">
        <f ca="1">IF(R$22&lt;=1/$C$43,0,INDEX('SC-New'!$E136:$Y136,1,R$22-ROUND(1/$C$43,0)))</f>
        <v>28074.346940548232</v>
      </c>
      <c r="S23" s="26">
        <f ca="1">IF(S$22&lt;=1/$C$43,0,INDEX('SC-New'!$E136:$Y136,1,S$22-ROUND(1/$C$43,0)))</f>
        <v>22304.326401069764</v>
      </c>
      <c r="T23" s="26">
        <f ca="1">IF(T$22&lt;=1/$C$43,0,INDEX('SC-New'!$E136:$Y136,1,T$22-ROUND(1/$C$43,0)))</f>
        <v>18280.766056057932</v>
      </c>
      <c r="U23" s="26">
        <f ca="1">IF(U$22&lt;=1/$C$43,0,INDEX('SC-New'!$E136:$Y136,1,U$22-ROUND(1/$C$43,0)))</f>
        <v>15484.594459690168</v>
      </c>
      <c r="V23" s="26">
        <f ca="1">IF(V$22&lt;=1/$C$43,0,INDEX('SC-New'!$E136:$Y136,1,V$22-ROUND(1/$C$43,0)))</f>
        <v>13180.273365832654</v>
      </c>
      <c r="W23" s="26">
        <f ca="1">IF(W$22&lt;=1/$C$43,0,INDEX('SC-New'!$E136:$Y136,1,W$22-ROUND(1/$C$43,0)))</f>
        <v>11100.931414152532</v>
      </c>
      <c r="X23" s="26">
        <f ca="1">IF(X$22&lt;=1/$C$43,0,INDEX('SC-New'!$E136:$Y136,1,X$22-ROUND(1/$C$43,0)))</f>
        <v>9750.7483378634279</v>
      </c>
      <c r="Y23" s="26"/>
      <c r="Z23" s="26"/>
      <c r="AB23" s="26"/>
      <c r="AC23" s="26"/>
      <c r="AD23" s="26"/>
      <c r="AE23" s="26"/>
      <c r="AF23" s="26"/>
    </row>
    <row r="24" spans="1:32">
      <c r="C24" s="7" t="str">
        <f>C14</f>
        <v>Multifamily - Low Rise</v>
      </c>
      <c r="E24" s="26">
        <f>IF(E$22&lt;=1/$C$43,0,INDEX('SC-New'!$E137:$Y137,1,E$22-ROUND(1/$C$43,0)))</f>
        <v>0</v>
      </c>
      <c r="F24" s="26">
        <f>IF(F$22&lt;=1/$C$43,0,INDEX('SC-New'!$E137:$Y137,1,F$22-ROUND(1/$C$43,0)))</f>
        <v>0</v>
      </c>
      <c r="G24" s="26">
        <f>IF(G$22&lt;=1/$C$43,0,INDEX('SC-New'!$E137:$Y137,1,G$22-ROUND(1/$C$43,0)))</f>
        <v>0</v>
      </c>
      <c r="H24" s="26">
        <f>IF(H$22&lt;=1/$C$43,0,INDEX('SC-New'!$E137:$Y137,1,H$22-ROUND(1/$C$43,0)))</f>
        <v>0</v>
      </c>
      <c r="I24" s="26">
        <f>IF(I$22&lt;=1/$C$43,0,INDEX('SC-New'!$E137:$Y137,1,I$22-ROUND(1/$C$43,0)))</f>
        <v>0</v>
      </c>
      <c r="J24" s="26">
        <f>IF(J$22&lt;=1/$C$43,0,INDEX('SC-New'!$E137:$Y137,1,J$22-ROUND(1/$C$43,0)))</f>
        <v>0</v>
      </c>
      <c r="K24" s="26">
        <f>IF(K$22&lt;=1/$C$43,0,INDEX('SC-New'!$E137:$Y137,1,K$22-ROUND(1/$C$43,0)))</f>
        <v>0</v>
      </c>
      <c r="L24" s="26">
        <f>IF(L$22&lt;=1/$C$43,0,INDEX('SC-New'!$E137:$Y137,1,L$22-ROUND(1/$C$43,0)))</f>
        <v>0</v>
      </c>
      <c r="M24" s="26">
        <f>IF(M$22&lt;=1/$C$43,0,INDEX('SC-New'!$E137:$Y137,1,M$22-ROUND(1/$C$43,0)))</f>
        <v>0</v>
      </c>
      <c r="N24" s="26">
        <f ca="1">IF(N$22&lt;=1/$C$43,0,INDEX('SC-New'!$E137:$Y137,1,N$22-ROUND(1/$C$43,0)))</f>
        <v>21080.780388553125</v>
      </c>
      <c r="O24" s="26">
        <f ca="1">IF(O$22&lt;=1/$C$43,0,INDEX('SC-New'!$E137:$Y137,1,O$22-ROUND(1/$C$43,0)))</f>
        <v>18667.968636846606</v>
      </c>
      <c r="P24" s="26">
        <f ca="1">IF(P$22&lt;=1/$C$43,0,INDEX('SC-New'!$E137:$Y137,1,P$22-ROUND(1/$C$43,0)))</f>
        <v>16345.770038858915</v>
      </c>
      <c r="Q24" s="26">
        <f ca="1">IF(Q$22&lt;=1/$C$43,0,INDEX('SC-New'!$E137:$Y137,1,Q$22-ROUND(1/$C$43,0)))</f>
        <v>13739.056897678036</v>
      </c>
      <c r="R24" s="26">
        <f ca="1">IF(R$22&lt;=1/$C$43,0,INDEX('SC-New'!$E137:$Y137,1,R$22-ROUND(1/$C$43,0)))</f>
        <v>10922.72928403854</v>
      </c>
      <c r="S24" s="26">
        <f ca="1">IF(S$22&lt;=1/$C$43,0,INDEX('SC-New'!$E137:$Y137,1,S$22-ROUND(1/$C$43,0)))</f>
        <v>8780.6210447819867</v>
      </c>
      <c r="T24" s="26">
        <f ca="1">IF(T$22&lt;=1/$C$43,0,INDEX('SC-New'!$E137:$Y137,1,T$22-ROUND(1/$C$43,0)))</f>
        <v>7335.60427658755</v>
      </c>
      <c r="U24" s="26">
        <f ca="1">IF(U$22&lt;=1/$C$43,0,INDEX('SC-New'!$E137:$Y137,1,U$22-ROUND(1/$C$43,0)))</f>
        <v>6359.5240958534359</v>
      </c>
      <c r="V24" s="26">
        <f ca="1">IF(V$22&lt;=1/$C$43,0,INDEX('SC-New'!$E137:$Y137,1,V$22-ROUND(1/$C$43,0)))</f>
        <v>5602.6059421035479</v>
      </c>
      <c r="W24" s="26">
        <f ca="1">IF(W$22&lt;=1/$C$43,0,INDEX('SC-New'!$E137:$Y137,1,W$22-ROUND(1/$C$43,0)))</f>
        <v>4762.3485471071981</v>
      </c>
      <c r="X24" s="26">
        <f ca="1">IF(X$22&lt;=1/$C$43,0,INDEX('SC-New'!$E137:$Y137,1,X$22-ROUND(1/$C$43,0)))</f>
        <v>4171.4468566675823</v>
      </c>
      <c r="Y24" s="26"/>
      <c r="Z24" s="26"/>
      <c r="AB24" s="26"/>
      <c r="AC24" s="26"/>
      <c r="AD24" s="26"/>
      <c r="AE24" s="26"/>
      <c r="AF24" s="26"/>
    </row>
    <row r="25" spans="1:32">
      <c r="C25" s="7" t="str">
        <f>C15</f>
        <v>Multifamily - High Rise</v>
      </c>
      <c r="E25" s="26">
        <f>IF(E$22&lt;=1/$C$43,0,INDEX('SC-New'!$E138:$Y138,1,E$22-ROUND(1/$C$43,0)))</f>
        <v>0</v>
      </c>
      <c r="F25" s="26">
        <f>IF(F$22&lt;=1/$C$43,0,INDEX('SC-New'!$E138:$Y138,1,F$22-ROUND(1/$C$43,0)))</f>
        <v>0</v>
      </c>
      <c r="G25" s="26">
        <f>IF(G$22&lt;=1/$C$43,0,INDEX('SC-New'!$E138:$Y138,1,G$22-ROUND(1/$C$43,0)))</f>
        <v>0</v>
      </c>
      <c r="H25" s="26">
        <f>IF(H$22&lt;=1/$C$43,0,INDEX('SC-New'!$E138:$Y138,1,H$22-ROUND(1/$C$43,0)))</f>
        <v>0</v>
      </c>
      <c r="I25" s="26">
        <f>IF(I$22&lt;=1/$C$43,0,INDEX('SC-New'!$E138:$Y138,1,I$22-ROUND(1/$C$43,0)))</f>
        <v>0</v>
      </c>
      <c r="J25" s="26">
        <f>IF(J$22&lt;=1/$C$43,0,INDEX('SC-New'!$E138:$Y138,1,J$22-ROUND(1/$C$43,0)))</f>
        <v>0</v>
      </c>
      <c r="K25" s="26">
        <f>IF(K$22&lt;=1/$C$43,0,INDEX('SC-New'!$E138:$Y138,1,K$22-ROUND(1/$C$43,0)))</f>
        <v>0</v>
      </c>
      <c r="L25" s="26">
        <f>IF(L$22&lt;=1/$C$43,0,INDEX('SC-New'!$E138:$Y138,1,L$22-ROUND(1/$C$43,0)))</f>
        <v>0</v>
      </c>
      <c r="M25" s="26">
        <f>IF(M$22&lt;=1/$C$43,0,INDEX('SC-New'!$E138:$Y138,1,M$22-ROUND(1/$C$43,0)))</f>
        <v>0</v>
      </c>
      <c r="N25" s="26">
        <f ca="1">IF(N$22&lt;=1/$C$43,0,INDEX('SC-New'!$E138:$Y138,1,N$22-ROUND(1/$C$43,0)))</f>
        <v>4732.4548333809016</v>
      </c>
      <c r="O25" s="26">
        <f ca="1">IF(O$22&lt;=1/$C$43,0,INDEX('SC-New'!$E138:$Y138,1,O$22-ROUND(1/$C$43,0)))</f>
        <v>4249.7937950223022</v>
      </c>
      <c r="P25" s="26">
        <f ca="1">IF(P$22&lt;=1/$C$43,0,INDEX('SC-New'!$E138:$Y138,1,P$22-ROUND(1/$C$43,0)))</f>
        <v>3777.1481361925589</v>
      </c>
      <c r="Q25" s="26">
        <f ca="1">IF(Q$22&lt;=1/$C$43,0,INDEX('SC-New'!$E138:$Y138,1,Q$22-ROUND(1/$C$43,0)))</f>
        <v>3101.5845865961396</v>
      </c>
      <c r="R25" s="26">
        <f ca="1">IF(R$22&lt;=1/$C$43,0,INDEX('SC-New'!$E138:$Y138,1,R$22-ROUND(1/$C$43,0)))</f>
        <v>2418.0395500722161</v>
      </c>
      <c r="S25" s="26">
        <f ca="1">IF(S$22&lt;=1/$C$43,0,INDEX('SC-New'!$E138:$Y138,1,S$22-ROUND(1/$C$43,0)))</f>
        <v>1972.9381006163271</v>
      </c>
      <c r="T25" s="26">
        <f ca="1">IF(T$22&lt;=1/$C$43,0,INDEX('SC-New'!$E138:$Y138,1,T$22-ROUND(1/$C$43,0)))</f>
        <v>1653.0922818137033</v>
      </c>
      <c r="U25" s="26">
        <f ca="1">IF(U$22&lt;=1/$C$43,0,INDEX('SC-New'!$E138:$Y138,1,U$22-ROUND(1/$C$43,0)))</f>
        <v>1450.9454108159116</v>
      </c>
      <c r="V25" s="26">
        <f ca="1">IF(V$22&lt;=1/$C$43,0,INDEX('SC-New'!$E138:$Y138,1,V$22-ROUND(1/$C$43,0)))</f>
        <v>1269.265628811248</v>
      </c>
      <c r="W25" s="26">
        <f ca="1">IF(W$22&lt;=1/$C$43,0,INDEX('SC-New'!$E138:$Y138,1,W$22-ROUND(1/$C$43,0)))</f>
        <v>1078.793147462261</v>
      </c>
      <c r="X25" s="26">
        <f ca="1">IF(X$22&lt;=1/$C$43,0,INDEX('SC-New'!$E138:$Y138,1,X$22-ROUND(1/$C$43,0)))</f>
        <v>933.5638530890642</v>
      </c>
      <c r="Y25" s="26"/>
      <c r="Z25" s="26"/>
      <c r="AB25" s="26"/>
      <c r="AC25" s="26"/>
      <c r="AD25" s="26"/>
      <c r="AE25" s="26"/>
      <c r="AF25" s="26"/>
    </row>
    <row r="26" spans="1:32">
      <c r="C26" s="7" t="str">
        <f>C16</f>
        <v>Manufactured</v>
      </c>
      <c r="E26" s="26">
        <f>IF(E$22&lt;=1/$C$43,0,INDEX('SC-New'!$E139:$Y139,1,E$22-ROUND(1/$C$43,0)))</f>
        <v>0</v>
      </c>
      <c r="F26" s="26">
        <f>IF(F$22&lt;=1/$C$43,0,INDEX('SC-New'!$E139:$Y139,1,F$22-ROUND(1/$C$43,0)))</f>
        <v>0</v>
      </c>
      <c r="G26" s="26">
        <f>IF(G$22&lt;=1/$C$43,0,INDEX('SC-New'!$E139:$Y139,1,G$22-ROUND(1/$C$43,0)))</f>
        <v>0</v>
      </c>
      <c r="H26" s="26">
        <f>IF(H$22&lt;=1/$C$43,0,INDEX('SC-New'!$E139:$Y139,1,H$22-ROUND(1/$C$43,0)))</f>
        <v>0</v>
      </c>
      <c r="I26" s="26">
        <f>IF(I$22&lt;=1/$C$43,0,INDEX('SC-New'!$E139:$Y139,1,I$22-ROUND(1/$C$43,0)))</f>
        <v>0</v>
      </c>
      <c r="J26" s="26">
        <f>IF(J$22&lt;=1/$C$43,0,INDEX('SC-New'!$E139:$Y139,1,J$22-ROUND(1/$C$43,0)))</f>
        <v>0</v>
      </c>
      <c r="K26" s="26">
        <f>IF(K$22&lt;=1/$C$43,0,INDEX('SC-New'!$E139:$Y139,1,K$22-ROUND(1/$C$43,0)))</f>
        <v>0</v>
      </c>
      <c r="L26" s="26">
        <f>IF(L$22&lt;=1/$C$43,0,INDEX('SC-New'!$E139:$Y139,1,L$22-ROUND(1/$C$43,0)))</f>
        <v>0</v>
      </c>
      <c r="M26" s="26">
        <f>IF(M$22&lt;=1/$C$43,0,INDEX('SC-New'!$E139:$Y139,1,M$22-ROUND(1/$C$43,0)))</f>
        <v>0</v>
      </c>
      <c r="N26" s="26">
        <f ca="1">IF(N$22&lt;=1/$C$43,0,INDEX('SC-New'!$E139:$Y139,1,N$22-ROUND(1/$C$43,0)))</f>
        <v>1692.9347472257327</v>
      </c>
      <c r="O26" s="26">
        <f ca="1">IF(O$22&lt;=1/$C$43,0,INDEX('SC-New'!$E139:$Y139,1,O$22-ROUND(1/$C$43,0)))</f>
        <v>1526.2056872934349</v>
      </c>
      <c r="P26" s="26">
        <f ca="1">IF(P$22&lt;=1/$C$43,0,INDEX('SC-New'!$E139:$Y139,1,P$22-ROUND(1/$C$43,0)))</f>
        <v>1396.6615500175083</v>
      </c>
      <c r="Q26" s="26">
        <f ca="1">IF(Q$22&lt;=1/$C$43,0,INDEX('SC-New'!$E139:$Y139,1,Q$22-ROUND(1/$C$43,0)))</f>
        <v>1257.3321082889483</v>
      </c>
      <c r="R26" s="26">
        <f ca="1">IF(R$22&lt;=1/$C$43,0,INDEX('SC-New'!$E139:$Y139,1,R$22-ROUND(1/$C$43,0)))</f>
        <v>1028.1153634171619</v>
      </c>
      <c r="S26" s="26">
        <f ca="1">IF(S$22&lt;=1/$C$43,0,INDEX('SC-New'!$E139:$Y139,1,S$22-ROUND(1/$C$43,0)))</f>
        <v>843.74006752394439</v>
      </c>
      <c r="T26" s="26">
        <f ca="1">IF(T$22&lt;=1/$C$43,0,INDEX('SC-New'!$E139:$Y139,1,T$22-ROUND(1/$C$43,0)))</f>
        <v>713.70934562615707</v>
      </c>
      <c r="U26" s="26">
        <f ca="1">IF(U$22&lt;=1/$C$43,0,INDEX('SC-New'!$E139:$Y139,1,U$22-ROUND(1/$C$43,0)))</f>
        <v>610.87039094568308</v>
      </c>
      <c r="V26" s="26">
        <f ca="1">IF(V$22&lt;=1/$C$43,0,INDEX('SC-New'!$E139:$Y139,1,V$22-ROUND(1/$C$43,0)))</f>
        <v>528.26639034233381</v>
      </c>
      <c r="W26" s="26">
        <f ca="1">IF(W$22&lt;=1/$C$43,0,INDEX('SC-New'!$E139:$Y139,1,W$22-ROUND(1/$C$43,0)))</f>
        <v>437.43346628401514</v>
      </c>
      <c r="X26" s="26">
        <f ca="1">IF(X$22&lt;=1/$C$43,0,INDEX('SC-New'!$E139:$Y139,1,X$22-ROUND(1/$C$43,0)))</f>
        <v>379.50514957568521</v>
      </c>
      <c r="Y26" s="26"/>
      <c r="Z26" s="26"/>
      <c r="AB26" s="26"/>
      <c r="AC26" s="26"/>
      <c r="AD26" s="26"/>
      <c r="AE26" s="26"/>
      <c r="AF26" s="26"/>
    </row>
    <row r="27" spans="1:32">
      <c r="E27" s="26"/>
      <c r="F27" s="26"/>
      <c r="G27" s="26"/>
      <c r="H27" s="26"/>
      <c r="I27" s="26"/>
      <c r="J27" s="26"/>
      <c r="K27" s="26"/>
      <c r="L27" s="26"/>
      <c r="M27" s="26"/>
      <c r="N27" s="26"/>
      <c r="O27" s="26"/>
      <c r="P27" s="26"/>
      <c r="Q27" s="26"/>
      <c r="R27" s="26"/>
      <c r="S27" s="26"/>
      <c r="T27" s="26"/>
      <c r="U27" s="26"/>
      <c r="V27" s="26"/>
      <c r="W27" s="26"/>
      <c r="X27" s="26"/>
      <c r="Y27" s="26"/>
      <c r="Z27" s="26"/>
      <c r="AB27" s="26"/>
      <c r="AC27" s="26"/>
      <c r="AD27" s="26"/>
      <c r="AE27" s="26"/>
      <c r="AF27" s="26"/>
    </row>
    <row r="28" spans="1:32">
      <c r="C28" s="7" t="s">
        <v>147</v>
      </c>
      <c r="E28" s="26">
        <f t="shared" ref="E28:X28" si="2">SUM(E23:E26)</f>
        <v>0</v>
      </c>
      <c r="F28" s="26">
        <f t="shared" si="2"/>
        <v>0</v>
      </c>
      <c r="G28" s="26">
        <f t="shared" si="2"/>
        <v>0</v>
      </c>
      <c r="H28" s="26">
        <f t="shared" si="2"/>
        <v>0</v>
      </c>
      <c r="I28" s="26">
        <f t="shared" si="2"/>
        <v>0</v>
      </c>
      <c r="J28" s="26">
        <f t="shared" si="2"/>
        <v>0</v>
      </c>
      <c r="K28" s="26">
        <f t="shared" si="2"/>
        <v>0</v>
      </c>
      <c r="L28" s="26">
        <f t="shared" si="2"/>
        <v>0</v>
      </c>
      <c r="M28" s="26">
        <f t="shared" si="2"/>
        <v>0</v>
      </c>
      <c r="N28" s="26">
        <f t="shared" ca="1" si="2"/>
        <v>84269.272050117215</v>
      </c>
      <c r="O28" s="26">
        <f t="shared" ca="1" si="2"/>
        <v>73075.167411831833</v>
      </c>
      <c r="P28" s="26">
        <f t="shared" ca="1" si="2"/>
        <v>62244.269937543962</v>
      </c>
      <c r="Q28" s="26">
        <f t="shared" ca="1" si="2"/>
        <v>52302.789105782409</v>
      </c>
      <c r="R28" s="26">
        <f t="shared" ca="1" si="2"/>
        <v>42443.231138076153</v>
      </c>
      <c r="S28" s="26">
        <f t="shared" ca="1" si="2"/>
        <v>33901.625613992022</v>
      </c>
      <c r="T28" s="26">
        <f t="shared" ca="1" si="2"/>
        <v>27983.171960085343</v>
      </c>
      <c r="U28" s="26">
        <f t="shared" ca="1" si="2"/>
        <v>23905.934357305196</v>
      </c>
      <c r="V28" s="26">
        <f t="shared" ca="1" si="2"/>
        <v>20580.411327089783</v>
      </c>
      <c r="W28" s="26">
        <f t="shared" ca="1" si="2"/>
        <v>17379.506575006006</v>
      </c>
      <c r="X28" s="26">
        <f t="shared" ca="1" si="2"/>
        <v>15235.26419719576</v>
      </c>
      <c r="Y28" s="26"/>
      <c r="Z28" s="26"/>
      <c r="AB28" s="26"/>
      <c r="AC28" s="26"/>
      <c r="AD28" s="26"/>
      <c r="AE28" s="26"/>
      <c r="AF28" s="26"/>
    </row>
    <row r="29" spans="1:32">
      <c r="E29" s="26"/>
      <c r="F29" s="26"/>
      <c r="G29" s="26"/>
      <c r="H29" s="26"/>
      <c r="I29" s="26"/>
      <c r="J29" s="26"/>
      <c r="K29" s="26"/>
      <c r="L29" s="26"/>
      <c r="M29" s="26"/>
      <c r="N29" s="26"/>
      <c r="O29" s="26"/>
      <c r="P29" s="26"/>
      <c r="Q29" s="26"/>
      <c r="R29" s="26"/>
      <c r="S29" s="26"/>
      <c r="T29" s="26"/>
      <c r="U29" s="26"/>
      <c r="V29" s="26"/>
      <c r="W29" s="26"/>
      <c r="X29" s="26"/>
      <c r="Y29" s="26"/>
    </row>
    <row r="30" spans="1:32">
      <c r="E30" s="26"/>
      <c r="F30" s="26"/>
      <c r="G30" s="26"/>
      <c r="H30" s="26"/>
      <c r="I30" s="26"/>
      <c r="J30" s="26"/>
      <c r="K30" s="26"/>
      <c r="L30" s="26"/>
      <c r="M30" s="26"/>
      <c r="N30" s="26"/>
      <c r="O30" s="26"/>
      <c r="P30" s="26"/>
      <c r="Q30" s="26"/>
      <c r="R30" s="26"/>
      <c r="S30" s="26"/>
      <c r="T30" s="26"/>
      <c r="U30" s="26"/>
      <c r="V30" s="26"/>
      <c r="W30" s="26"/>
      <c r="X30" s="26"/>
      <c r="Y30" s="26"/>
    </row>
    <row r="31" spans="1:32" ht="15">
      <c r="A31" s="98" t="s">
        <v>148</v>
      </c>
      <c r="E31" s="26"/>
      <c r="F31" s="26"/>
      <c r="G31" s="26"/>
      <c r="H31" s="26"/>
      <c r="I31" s="26"/>
      <c r="J31" s="26"/>
      <c r="K31" s="26"/>
      <c r="L31" s="26"/>
      <c r="M31" s="26"/>
      <c r="N31" s="26"/>
      <c r="O31" s="26"/>
      <c r="P31" s="26"/>
      <c r="Q31" s="26"/>
      <c r="R31" s="26"/>
      <c r="S31" s="26"/>
      <c r="T31" s="26"/>
      <c r="U31" s="26"/>
      <c r="V31" s="26"/>
      <c r="W31" s="26"/>
      <c r="X31" s="26"/>
      <c r="Y31" s="26"/>
      <c r="Z31" s="41">
        <v>0.85</v>
      </c>
    </row>
    <row r="32" spans="1:32" ht="15">
      <c r="E32" s="79">
        <v>2</v>
      </c>
      <c r="F32" s="79">
        <v>3</v>
      </c>
      <c r="G32" s="79">
        <v>4</v>
      </c>
      <c r="H32" s="79">
        <v>5</v>
      </c>
      <c r="I32" s="95">
        <v>6</v>
      </c>
      <c r="J32" s="96">
        <v>7</v>
      </c>
      <c r="K32" s="96">
        <v>8</v>
      </c>
      <c r="L32" s="96">
        <v>9</v>
      </c>
      <c r="M32" s="96">
        <v>10</v>
      </c>
      <c r="N32" s="96">
        <v>11</v>
      </c>
      <c r="O32" s="96">
        <v>12</v>
      </c>
      <c r="P32" s="96">
        <v>13</v>
      </c>
      <c r="Q32" s="96">
        <v>14</v>
      </c>
      <c r="R32" s="96">
        <v>15</v>
      </c>
      <c r="S32" s="96">
        <v>16</v>
      </c>
      <c r="T32" s="96">
        <v>17</v>
      </c>
      <c r="U32" s="96">
        <v>18</v>
      </c>
      <c r="V32" s="96">
        <v>19</v>
      </c>
      <c r="W32" s="96">
        <v>20</v>
      </c>
      <c r="X32" s="96">
        <v>21</v>
      </c>
      <c r="Y32" s="96"/>
      <c r="Z32" s="42" t="s">
        <v>149</v>
      </c>
    </row>
    <row r="33" spans="1:30">
      <c r="C33" s="7" t="str">
        <f>C13</f>
        <v>Single Family</v>
      </c>
      <c r="E33" s="26">
        <f ca="1">SUM(E13,E23)</f>
        <v>4203528.2719999999</v>
      </c>
      <c r="F33" s="26">
        <f t="shared" ref="F33:X36" ca="1" si="3">SUM(F13,F23)</f>
        <v>4193982.9785983553</v>
      </c>
      <c r="G33" s="26">
        <f t="shared" ca="1" si="3"/>
        <v>4184459.3604704877</v>
      </c>
      <c r="H33" s="26">
        <f t="shared" ca="1" si="3"/>
        <v>4174957.36839659</v>
      </c>
      <c r="I33" s="26">
        <f t="shared" ca="1" si="3"/>
        <v>4165476.9532686244</v>
      </c>
      <c r="J33" s="26">
        <f t="shared" ca="1" si="3"/>
        <v>4156018.0660900641</v>
      </c>
      <c r="K33" s="26">
        <f t="shared" ca="1" si="3"/>
        <v>4146580.6579756448</v>
      </c>
      <c r="L33" s="26">
        <f t="shared" ca="1" si="3"/>
        <v>4137164.6801511091</v>
      </c>
      <c r="M33" s="26">
        <f t="shared" ca="1" si="3"/>
        <v>4127770.0839529554</v>
      </c>
      <c r="N33" s="26">
        <f t="shared" ca="1" si="3"/>
        <v>4175159.9229091448</v>
      </c>
      <c r="O33" s="26">
        <f t="shared" ca="1" si="3"/>
        <v>4157676.0416267281</v>
      </c>
      <c r="P33" s="26">
        <f t="shared" ca="1" si="3"/>
        <v>4140438.790350304</v>
      </c>
      <c r="Q33" s="26">
        <f t="shared" ca="1" si="3"/>
        <v>4124609.3615297298</v>
      </c>
      <c r="R33" s="26">
        <f t="shared" ca="1" si="3"/>
        <v>4109190.4787971675</v>
      </c>
      <c r="S33" s="26">
        <f ca="1">SUM(S13,S23)</f>
        <v>4094153.1360549959</v>
      </c>
      <c r="T33" s="26">
        <f t="shared" ca="1" si="3"/>
        <v>4080883.2975692661</v>
      </c>
      <c r="U33" s="26">
        <f t="shared" ca="1" si="3"/>
        <v>4068861.8441076935</v>
      </c>
      <c r="V33" s="26">
        <f t="shared" ca="1" si="3"/>
        <v>4057353.189746195</v>
      </c>
      <c r="W33" s="26">
        <f t="shared" ca="1" si="3"/>
        <v>4046090.4155547526</v>
      </c>
      <c r="X33" s="26">
        <f t="shared" ca="1" si="3"/>
        <v>4035577.6538049183</v>
      </c>
      <c r="Y33" s="26"/>
      <c r="Z33" s="43">
        <f ca="1">INDEX(E33:Y33,1,MATCH($C$9,$E$11:$Y$11,0))*$Z$31*A43*B43</f>
        <v>3258728.9554474712</v>
      </c>
    </row>
    <row r="34" spans="1:30">
      <c r="C34" s="7" t="str">
        <f>C14</f>
        <v>Multifamily - Low Rise</v>
      </c>
      <c r="E34" s="26">
        <f ca="1">SUM(E14,E24)</f>
        <v>926243.25609262148</v>
      </c>
      <c r="F34" s="26">
        <f t="shared" ca="1" si="3"/>
        <v>924139.92640956037</v>
      </c>
      <c r="G34" s="26">
        <f t="shared" ca="1" si="3"/>
        <v>922041.3730050053</v>
      </c>
      <c r="H34" s="26">
        <f t="shared" ca="1" si="3"/>
        <v>919947.58503289847</v>
      </c>
      <c r="I34" s="26">
        <f t="shared" ca="1" si="3"/>
        <v>917858.55167181045</v>
      </c>
      <c r="J34" s="26">
        <f t="shared" ca="1" si="3"/>
        <v>915774.26212488639</v>
      </c>
      <c r="K34" s="26">
        <f t="shared" ca="1" si="3"/>
        <v>913694.70561978838</v>
      </c>
      <c r="L34" s="26">
        <f t="shared" ca="1" si="3"/>
        <v>911619.87140864041</v>
      </c>
      <c r="M34" s="26">
        <f t="shared" ca="1" si="3"/>
        <v>909549.74876797362</v>
      </c>
      <c r="N34" s="26">
        <f t="shared" ca="1" si="3"/>
        <v>928565.10738722293</v>
      </c>
      <c r="O34" s="26">
        <f t="shared" ca="1" si="3"/>
        <v>924091.56406275323</v>
      </c>
      <c r="P34" s="26">
        <f t="shared" ca="1" si="3"/>
        <v>919713.31343796104</v>
      </c>
      <c r="Q34" s="26">
        <f t="shared" ca="1" si="3"/>
        <v>915055.21718953794</v>
      </c>
      <c r="R34" s="26">
        <f t="shared" ca="1" si="3"/>
        <v>910192.16478595301</v>
      </c>
      <c r="S34" s="26">
        <f t="shared" ca="1" si="3"/>
        <v>906007.97949585784</v>
      </c>
      <c r="T34" s="26">
        <f t="shared" ca="1" si="3"/>
        <v>902525.5228617629</v>
      </c>
      <c r="U34" s="26">
        <f t="shared" ca="1" si="3"/>
        <v>899516.62946986395</v>
      </c>
      <c r="V34" s="26">
        <f t="shared" ca="1" si="3"/>
        <v>896731.51425339538</v>
      </c>
      <c r="W34" s="26">
        <f t="shared" ca="1" si="3"/>
        <v>893867.66546169401</v>
      </c>
      <c r="X34" s="26">
        <f t="shared" ca="1" si="3"/>
        <v>891257.76758193481</v>
      </c>
      <c r="Y34" s="26"/>
      <c r="Z34" s="43">
        <f ca="1">INDEX(E34:Y34,1,MATCH($C$9,$E$11:$Y$11,0))*$Z$31*A44*B44</f>
        <v>719690.64732241235</v>
      </c>
    </row>
    <row r="35" spans="1:30">
      <c r="C35" s="7" t="str">
        <f>C15</f>
        <v>Multifamily - High Rise</v>
      </c>
      <c r="E35" s="26">
        <f ca="1">SUM(E15,E25)</f>
        <v>211180.07985625503</v>
      </c>
      <c r="F35" s="26">
        <f t="shared" ca="1" si="3"/>
        <v>210700.52836963299</v>
      </c>
      <c r="G35" s="26">
        <f t="shared" ca="1" si="3"/>
        <v>210222.06585706791</v>
      </c>
      <c r="H35" s="26">
        <f t="shared" ca="1" si="3"/>
        <v>209744.68984569819</v>
      </c>
      <c r="I35" s="26">
        <f t="shared" ca="1" si="3"/>
        <v>209268.39786827751</v>
      </c>
      <c r="J35" s="26">
        <f t="shared" ca="1" si="3"/>
        <v>208793.18746316229</v>
      </c>
      <c r="K35" s="26">
        <f t="shared" ca="1" si="3"/>
        <v>208319.05617429892</v>
      </c>
      <c r="L35" s="26">
        <f t="shared" ca="1" si="3"/>
        <v>207846.00155121088</v>
      </c>
      <c r="M35" s="26">
        <f t="shared" ca="1" si="3"/>
        <v>207374.0211489865</v>
      </c>
      <c r="N35" s="26">
        <f t="shared" ca="1" si="3"/>
        <v>211635.56736164668</v>
      </c>
      <c r="O35" s="26">
        <f t="shared" ca="1" si="3"/>
        <v>210683.06705025057</v>
      </c>
      <c r="P35" s="26">
        <f t="shared" ca="1" si="3"/>
        <v>209741.64903777276</v>
      </c>
      <c r="Q35" s="26">
        <f t="shared" ca="1" si="3"/>
        <v>208598.37763113814</v>
      </c>
      <c r="R35" s="26">
        <f t="shared" ca="1" si="3"/>
        <v>207448.18681690801</v>
      </c>
      <c r="S35" s="26">
        <f t="shared" ca="1" si="3"/>
        <v>206537.49925728928</v>
      </c>
      <c r="T35" s="26">
        <f t="shared" ca="1" si="3"/>
        <v>205753.12458955523</v>
      </c>
      <c r="U35" s="26">
        <f t="shared" ca="1" si="3"/>
        <v>205087.50373000975</v>
      </c>
      <c r="V35" s="26">
        <f t="shared" ca="1" si="3"/>
        <v>204443.40242444546</v>
      </c>
      <c r="W35" s="26">
        <f t="shared" ca="1" si="3"/>
        <v>203791.55849456866</v>
      </c>
      <c r="X35" s="26">
        <f t="shared" ca="1" si="3"/>
        <v>203186.00544217028</v>
      </c>
      <c r="Y35" s="26"/>
      <c r="Z35" s="43">
        <f t="shared" ref="Z35:Z36" ca="1" si="4">INDEX(E35:Y35,1,MATCH($C$9,$E$11:$Y$11,0))*$Z$31*A45*B45</f>
        <v>164072.6993945525</v>
      </c>
    </row>
    <row r="36" spans="1:30">
      <c r="C36" s="7" t="str">
        <f>C16</f>
        <v>Manufactured</v>
      </c>
      <c r="E36" s="26">
        <f ca="1">SUM(E16,E26)</f>
        <v>572006.3278356482</v>
      </c>
      <c r="F36" s="26">
        <f t="shared" ca="1" si="3"/>
        <v>565893.30394507048</v>
      </c>
      <c r="G36" s="26">
        <f t="shared" ca="1" si="3"/>
        <v>559845.60985814757</v>
      </c>
      <c r="H36" s="26">
        <f t="shared" ca="1" si="3"/>
        <v>553862.54739615123</v>
      </c>
      <c r="I36" s="26">
        <f t="shared" ca="1" si="3"/>
        <v>547943.42584177968</v>
      </c>
      <c r="J36" s="26">
        <f t="shared" ca="1" si="3"/>
        <v>542087.56185941794</v>
      </c>
      <c r="K36" s="26">
        <f t="shared" ca="1" si="3"/>
        <v>536294.27941624937</v>
      </c>
      <c r="L36" s="26">
        <f t="shared" ca="1" si="3"/>
        <v>530562.90970421082</v>
      </c>
      <c r="M36" s="26">
        <f t="shared" ca="1" si="3"/>
        <v>524892.79106278194</v>
      </c>
      <c r="N36" s="26">
        <f t="shared" ca="1" si="3"/>
        <v>520976.20364982489</v>
      </c>
      <c r="O36" s="26">
        <f t="shared" ca="1" si="3"/>
        <v>515259.90131718066</v>
      </c>
      <c r="P36" s="26">
        <f t="shared" ca="1" si="3"/>
        <v>509640.09212171368</v>
      </c>
      <c r="Q36" s="26">
        <f t="shared" ca="1" si="3"/>
        <v>504069.17201022845</v>
      </c>
      <c r="R36" s="26">
        <f t="shared" ca="1" si="3"/>
        <v>498466.41193163843</v>
      </c>
      <c r="S36" s="26">
        <f t="shared" ca="1" si="3"/>
        <v>492965.92028697033</v>
      </c>
      <c r="T36" s="26">
        <f t="shared" ca="1" si="3"/>
        <v>487576.58647982939</v>
      </c>
      <c r="U36" s="26">
        <f t="shared" ca="1" si="3"/>
        <v>482270.65054085839</v>
      </c>
      <c r="V36" s="26">
        <f t="shared" ca="1" si="3"/>
        <v>477040.55498307635</v>
      </c>
      <c r="W36" s="26">
        <f t="shared" ca="1" si="3"/>
        <v>471857.24167450354</v>
      </c>
      <c r="X36" s="26">
        <f t="shared" ca="1" si="3"/>
        <v>466761.25624228653</v>
      </c>
      <c r="Y36" s="26"/>
      <c r="Z36" s="43">
        <f t="shared" ca="1" si="4"/>
        <v>376909.71441564633</v>
      </c>
    </row>
    <row r="37" spans="1:30">
      <c r="E37" s="26"/>
      <c r="F37" s="26"/>
      <c r="G37" s="26"/>
      <c r="H37" s="26"/>
      <c r="I37" s="26"/>
      <c r="J37" s="26"/>
      <c r="K37" s="26"/>
      <c r="L37" s="26"/>
      <c r="M37" s="26"/>
      <c r="N37" s="26"/>
      <c r="O37" s="26"/>
      <c r="P37" s="26"/>
      <c r="Q37" s="26"/>
      <c r="R37" s="26"/>
      <c r="S37" s="26"/>
      <c r="T37" s="26"/>
      <c r="U37" s="26"/>
      <c r="V37" s="26"/>
      <c r="W37" s="26"/>
      <c r="X37" s="26"/>
      <c r="Y37" s="26"/>
    </row>
    <row r="38" spans="1:30">
      <c r="E38" s="26">
        <f t="shared" ref="E38:Z38" ca="1" si="5">SUM(E33:E36)</f>
        <v>5912957.9357845243</v>
      </c>
      <c r="F38" s="26">
        <f t="shared" ca="1" si="5"/>
        <v>5894716.7373226183</v>
      </c>
      <c r="G38" s="26">
        <f t="shared" ca="1" si="5"/>
        <v>5876568.4091907088</v>
      </c>
      <c r="H38" s="26">
        <f t="shared" ca="1" si="5"/>
        <v>5858512.1906713378</v>
      </c>
      <c r="I38" s="26">
        <f t="shared" ca="1" si="5"/>
        <v>5840547.3286504922</v>
      </c>
      <c r="J38" s="26">
        <f t="shared" ca="1" si="5"/>
        <v>5822673.077537531</v>
      </c>
      <c r="K38" s="26">
        <f t="shared" ca="1" si="5"/>
        <v>5804888.6991859814</v>
      </c>
      <c r="L38" s="26">
        <f t="shared" ca="1" si="5"/>
        <v>5787193.462815172</v>
      </c>
      <c r="M38" s="26">
        <f t="shared" ca="1" si="5"/>
        <v>5769586.6449326966</v>
      </c>
      <c r="N38" s="26">
        <f t="shared" ca="1" si="5"/>
        <v>5836336.8013078384</v>
      </c>
      <c r="O38" s="26">
        <f t="shared" ca="1" si="5"/>
        <v>5807710.5740569122</v>
      </c>
      <c r="P38" s="26">
        <f t="shared" ca="1" si="5"/>
        <v>5779533.8449477516</v>
      </c>
      <c r="Q38" s="26">
        <f t="shared" ca="1" si="5"/>
        <v>5752332.1283606337</v>
      </c>
      <c r="R38" s="26">
        <f t="shared" ca="1" si="5"/>
        <v>5725297.2423316678</v>
      </c>
      <c r="S38" s="26">
        <f t="shared" ca="1" si="5"/>
        <v>5699664.5350951124</v>
      </c>
      <c r="T38" s="26">
        <f t="shared" ca="1" si="5"/>
        <v>5676738.531500414</v>
      </c>
      <c r="U38" s="26">
        <f t="shared" ca="1" si="5"/>
        <v>5655736.6278484249</v>
      </c>
      <c r="V38" s="26">
        <f t="shared" ca="1" si="5"/>
        <v>5635568.6614071121</v>
      </c>
      <c r="W38" s="26">
        <f t="shared" ca="1" si="5"/>
        <v>5615606.8811855186</v>
      </c>
      <c r="X38" s="26">
        <f t="shared" ca="1" si="5"/>
        <v>5596782.6830713097</v>
      </c>
      <c r="Y38" s="26"/>
      <c r="Z38" s="26">
        <f t="shared" ca="1" si="5"/>
        <v>4519402.0165800825</v>
      </c>
    </row>
    <row r="39" spans="1:30">
      <c r="E39" s="26"/>
      <c r="F39" s="26"/>
      <c r="G39" s="26"/>
      <c r="H39" s="26"/>
      <c r="I39" s="26"/>
      <c r="J39" s="26"/>
      <c r="K39" s="26"/>
      <c r="L39" s="26"/>
      <c r="M39" s="26"/>
      <c r="N39" s="26"/>
      <c r="O39" s="26"/>
      <c r="P39" s="26"/>
      <c r="Q39" s="26"/>
      <c r="R39" s="26"/>
      <c r="S39" s="26"/>
      <c r="T39" s="26"/>
      <c r="U39" s="26"/>
      <c r="V39" s="26"/>
      <c r="W39" s="26"/>
      <c r="X39" s="26"/>
      <c r="Y39" s="26"/>
    </row>
    <row r="40" spans="1:30">
      <c r="E40" s="26"/>
      <c r="F40" s="26"/>
      <c r="G40" s="26"/>
      <c r="H40" s="26"/>
      <c r="I40" s="26"/>
      <c r="J40" s="26"/>
      <c r="K40" s="26"/>
      <c r="L40" s="26"/>
      <c r="M40" s="26"/>
      <c r="N40" s="26"/>
      <c r="O40" s="26"/>
      <c r="P40" s="26"/>
      <c r="Q40" s="26"/>
      <c r="R40" s="26"/>
      <c r="S40" s="26"/>
      <c r="T40" s="26"/>
      <c r="U40" s="26"/>
      <c r="V40" s="26"/>
      <c r="W40" s="26"/>
      <c r="X40" s="26"/>
      <c r="Y40" s="26"/>
    </row>
    <row r="41" spans="1:30" ht="15">
      <c r="A41" s="78" t="s">
        <v>153</v>
      </c>
      <c r="B41" s="78"/>
      <c r="E41" s="39"/>
      <c r="F41" s="39"/>
      <c r="G41" s="26"/>
      <c r="H41" s="26"/>
      <c r="I41" s="26"/>
      <c r="J41" s="26"/>
      <c r="K41" s="26"/>
      <c r="L41" s="26"/>
      <c r="M41" s="26"/>
      <c r="N41" s="26"/>
      <c r="O41" s="26"/>
      <c r="P41" s="26"/>
      <c r="Q41" s="26"/>
      <c r="R41" s="26"/>
      <c r="S41" s="26"/>
      <c r="T41" s="26"/>
      <c r="U41" s="26"/>
      <c r="V41" s="26"/>
      <c r="W41" s="26"/>
      <c r="X41" s="26"/>
      <c r="Y41" s="26"/>
    </row>
    <row r="42" spans="1:30" ht="15">
      <c r="A42" s="79" t="s">
        <v>60</v>
      </c>
      <c r="B42" s="79" t="s">
        <v>151</v>
      </c>
      <c r="C42" s="79" t="s">
        <v>150</v>
      </c>
      <c r="D42" s="79" t="str">
        <f>CONCATENATE(C8," - ",C7)</f>
        <v>Microwave - NR</v>
      </c>
      <c r="E42" s="95">
        <v>2016</v>
      </c>
      <c r="F42" s="96">
        <v>2017</v>
      </c>
      <c r="G42" s="96">
        <v>2018</v>
      </c>
      <c r="H42" s="96">
        <v>2019</v>
      </c>
      <c r="I42" s="96">
        <v>2020</v>
      </c>
      <c r="J42" s="96">
        <v>2021</v>
      </c>
      <c r="K42" s="96">
        <v>2022</v>
      </c>
      <c r="L42" s="96">
        <v>2023</v>
      </c>
      <c r="M42" s="96">
        <v>2024</v>
      </c>
      <c r="N42" s="96">
        <v>2025</v>
      </c>
      <c r="O42" s="96">
        <v>2026</v>
      </c>
      <c r="P42" s="96">
        <v>2027</v>
      </c>
      <c r="Q42" s="96">
        <v>2028</v>
      </c>
      <c r="R42" s="96">
        <v>2029</v>
      </c>
      <c r="S42" s="96">
        <v>2030</v>
      </c>
      <c r="T42" s="96">
        <v>2031</v>
      </c>
      <c r="U42" s="96">
        <v>2032</v>
      </c>
      <c r="V42" s="96">
        <v>2033</v>
      </c>
      <c r="W42" s="96">
        <v>2034</v>
      </c>
      <c r="X42" s="96">
        <v>2035</v>
      </c>
      <c r="Y42" s="97"/>
    </row>
    <row r="43" spans="1:30">
      <c r="A43" s="80">
        <f>INDEX([2]!ResApplic,MATCH($D$42,[2]APPLIC!$B$9:$B$120,0)+1,MATCH($D43,[2]APPLIC!$C$8:$F$8,0)+1)</f>
        <v>1</v>
      </c>
      <c r="B43" s="80">
        <f>VLOOKUP($C$8,[2]!ExistingSat,MATCH($D43,[2]SATS!$C$10:$F$10,0)+1,FALSE)</f>
        <v>0.95</v>
      </c>
      <c r="C43" s="80">
        <f>VLOOKUP($D$42,[2]TURN!$B$10:$F$79,MATCH(D43,$D$43:$D$46,0)+1,FALSE)</f>
        <v>0.1111111111111111</v>
      </c>
      <c r="D43" s="7" t="str">
        <f>C13</f>
        <v>Single Family</v>
      </c>
      <c r="E43" s="26">
        <f ca="1">E13*$C43*$A43*$B43*INDEX('# of Units'!$B$10:$U$10,'SC-NR'!E$32-1)</f>
        <v>450928.17683024285</v>
      </c>
      <c r="F43" s="26">
        <f ca="1">F13*$C43*$A43*$B43*INDEX('# of Units'!$B$10:$U$10,'SC-NR'!F$32-1)</f>
        <v>449904.21755784203</v>
      </c>
      <c r="G43" s="26">
        <f ca="1">G13*$C43*$A43*$B43*INDEX('# of Units'!$B$10:$U$10,'SC-NR'!G$32-1)</f>
        <v>448882.5834730108</v>
      </c>
      <c r="H43" s="26">
        <f ca="1">H13*$C43*$A43*$B43*INDEX('# of Units'!$B$10:$U$10,'SC-NR'!H$32-1)</f>
        <v>447863.26929575671</v>
      </c>
      <c r="I43" s="26">
        <f ca="1">I13*$C43*$A43*$B43*INDEX('# of Units'!$B$10:$U$10,'SC-NR'!I$32-1)</f>
        <v>449599.43512327655</v>
      </c>
      <c r="J43" s="26">
        <f ca="1">J13*$C43*$A43*$B43*INDEX('# of Units'!$B$10:$U$10,'SC-NR'!J$32-1)</f>
        <v>449881.88759631384</v>
      </c>
      <c r="K43" s="26">
        <f ca="1">K13*$C43*$A43*$B43*INDEX('# of Units'!$B$10:$U$10,'SC-NR'!K$32-1)</f>
        <v>448860.30421794177</v>
      </c>
      <c r="L43" s="26">
        <f ca="1">L13*$C43*$A43*$B43*INDEX('# of Units'!$B$10:$U$10,'SC-NR'!L$32-1)</f>
        <v>447841.04063200351</v>
      </c>
      <c r="M43" s="26">
        <f ca="1">M13*$C43*$A43*$B43*INDEX('# of Units'!$B$10:$U$10,'SC-NR'!M$32-1)</f>
        <v>446824.0915707578</v>
      </c>
      <c r="N43" s="26">
        <f ca="1">N13*$C43*$A43*$B43*INDEX('# of Units'!$B$10:$U$10,'SC-NR'!N$32-1)</f>
        <v>452463.32419302873</v>
      </c>
      <c r="O43" s="26">
        <f ca="1">O13*$C43*$A43*$B43*INDEX('# of Units'!$B$10:$U$10,'SC-NR'!O$32-1)</f>
        <v>451435.87893670093</v>
      </c>
      <c r="P43" s="26">
        <f ca="1">P13*$C43*$A43*$B43*INDEX('# of Units'!$B$10:$U$10,'SC-NR'!P$32-1)</f>
        <v>450410.76678384986</v>
      </c>
      <c r="Q43" s="26">
        <f ca="1">Q13*$C43*$A43*$B43*INDEX('# of Units'!$B$10:$U$10,'SC-NR'!Q$32-1)</f>
        <v>449387.98243650777</v>
      </c>
      <c r="R43" s="26">
        <f ca="1">R13*$C43*$A43*$B43*INDEX('# of Units'!$B$10:$U$10,'SC-NR'!R$32-1)</f>
        <v>448367.52060873737</v>
      </c>
      <c r="S43" s="26">
        <f ca="1">S13*$C43*$A43*$B43*INDEX('# of Units'!$B$10:$U$10,'SC-NR'!S$32-1)</f>
        <v>446836.59251629643</v>
      </c>
      <c r="T43" s="26">
        <f ca="1">T13*$C43*$A43*$B43*INDEX('# of Units'!$B$10:$U$10,'SC-NR'!T$32-1)</f>
        <v>446333.54342815175</v>
      </c>
      <c r="U43" s="26">
        <f ca="1">U13*$C43*$A43*$B43*INDEX('# of Units'!$B$10:$U$10,'SC-NR'!U$32-1)</f>
        <v>449685.90008850006</v>
      </c>
      <c r="V43" s="26">
        <f ca="1">V13*$C43*$A43*$B43*INDEX('# of Units'!$B$10:$U$10,'SC-NR'!V$32-1)</f>
        <v>448664.76175489608</v>
      </c>
      <c r="W43" s="26">
        <f ca="1">W13*$C43*$A43*$B43*INDEX('# of Units'!$B$10:$U$10,'SC-NR'!W$32-1)</f>
        <v>451992.01931189484</v>
      </c>
      <c r="X43" s="26">
        <f ca="1">X13*$C43*$A43*$B43*INDEX('# of Units'!$B$10:$U$10,'SC-NR'!X$32-1)</f>
        <v>450965.64428587869</v>
      </c>
      <c r="Y43" s="26"/>
      <c r="Z43" s="26">
        <f ca="1">X13*$Z$31*A43*B43*INDEX('# of Units'!$B$10:$U$10,'SC-NR'!X$32-1)</f>
        <v>3449887.1787869725</v>
      </c>
      <c r="AD43" s="26"/>
    </row>
    <row r="44" spans="1:30">
      <c r="A44" s="80">
        <f>INDEX([2]!ResApplic,MATCH($D$42,[2]APPLIC!$B$9:$B$120,0)+1,MATCH($D44,[2]APPLIC!$C$8:$F$8,0)+1)</f>
        <v>1</v>
      </c>
      <c r="B44" s="80">
        <f>VLOOKUP($C$8,[2]!ExistingSat,MATCH($D44,[2]SATS!$C$10:$F$10,0)+1,FALSE)</f>
        <v>0.95</v>
      </c>
      <c r="C44" s="80">
        <f>VLOOKUP($D$42,[2]TURN!$B$10:$F$79,MATCH(D44,$D$43:$D$46,0)+1,FALSE)</f>
        <v>0.1111111111111111</v>
      </c>
      <c r="D44" s="7" t="str">
        <f>C14</f>
        <v>Multifamily - Low Rise</v>
      </c>
      <c r="E44" s="26">
        <f ca="1">E14*$C44*$A44*$B44*INDEX('# of Units'!$B$10:$U$10,'SC-NR'!E$32-1)</f>
        <v>99361.573360473762</v>
      </c>
      <c r="F44" s="26">
        <f ca="1">F14*$C44*$A44*$B44*INDEX('# of Units'!$B$10:$U$10,'SC-NR'!F$32-1)</f>
        <v>99135.941329978479</v>
      </c>
      <c r="G44" s="26">
        <f ca="1">G14*$C44*$A44*$B44*INDEX('# of Units'!$B$10:$U$10,'SC-NR'!G$32-1)</f>
        <v>98910.821668716715</v>
      </c>
      <c r="H44" s="26">
        <f ca="1">H14*$C44*$A44*$B44*INDEX('# of Units'!$B$10:$U$10,'SC-NR'!H$32-1)</f>
        <v>98686.213213191324</v>
      </c>
      <c r="I44" s="26">
        <f ca="1">I14*$C44*$A44*$B44*INDEX('# of Units'!$B$10:$U$10,'SC-NR'!I$32-1)</f>
        <v>99068.771952008057</v>
      </c>
      <c r="J44" s="26">
        <f ca="1">J14*$C44*$A44*$B44*INDEX('# of Units'!$B$10:$U$10,'SC-NR'!J$32-1)</f>
        <v>99131.006435797637</v>
      </c>
      <c r="K44" s="26">
        <f ca="1">K14*$C44*$A44*$B44*INDEX('# of Units'!$B$10:$U$10,'SC-NR'!K$32-1)</f>
        <v>98905.897980781505</v>
      </c>
      <c r="L44" s="26">
        <f ca="1">L14*$C44*$A44*$B44*INDEX('# of Units'!$B$10:$U$10,'SC-NR'!L$32-1)</f>
        <v>98681.300706054346</v>
      </c>
      <c r="M44" s="26">
        <f ca="1">M14*$C44*$A44*$B44*INDEX('# of Units'!$B$10:$U$10,'SC-NR'!M$32-1)</f>
        <v>98457.213450818905</v>
      </c>
      <c r="N44" s="26">
        <f ca="1">N14*$C44*$A44*$B44*INDEX('# of Units'!$B$10:$U$10,'SC-NR'!N$32-1)</f>
        <v>99699.808714479703</v>
      </c>
      <c r="O44" s="26">
        <f ca="1">O14*$C44*$A44*$B44*INDEX('# of Units'!$B$10:$U$10,'SC-NR'!O$32-1)</f>
        <v>99473.408613118314</v>
      </c>
      <c r="P44" s="26">
        <f ca="1">P14*$C44*$A44*$B44*INDEX('# of Units'!$B$10:$U$10,'SC-NR'!P$32-1)</f>
        <v>99247.522625139463</v>
      </c>
      <c r="Q44" s="26">
        <f ca="1">Q14*$C44*$A44*$B44*INDEX('# of Units'!$B$10:$U$10,'SC-NR'!Q$32-1)</f>
        <v>99022.14958308528</v>
      </c>
      <c r="R44" s="26">
        <f ca="1">R14*$C44*$A44*$B44*INDEX('# of Units'!$B$10:$U$10,'SC-NR'!R$32-1)</f>
        <v>98797.288322149107</v>
      </c>
      <c r="S44" s="26">
        <f ca="1">S14*$C44*$A44*$B44*INDEX('# of Units'!$B$10:$U$10,'SC-NR'!S$32-1)</f>
        <v>98459.946403744514</v>
      </c>
      <c r="T44" s="26">
        <f ca="1">T14*$C44*$A44*$B44*INDEX('# of Units'!$B$10:$U$10,'SC-NR'!T$32-1)</f>
        <v>98349.096497623003</v>
      </c>
      <c r="U44" s="26">
        <f ca="1">U14*$C44*$A44*$B44*INDEX('# of Units'!$B$10:$U$10,'SC-NR'!U$32-1)</f>
        <v>99087.780907989698</v>
      </c>
      <c r="V44" s="26">
        <f ca="1">V14*$C44*$A44*$B44*INDEX('# of Units'!$B$10:$U$10,'SC-NR'!V$32-1)</f>
        <v>98862.770610271997</v>
      </c>
      <c r="W44" s="26">
        <f ca="1">W14*$C44*$A44*$B44*INDEX('# of Units'!$B$10:$U$10,'SC-NR'!W$32-1)</f>
        <v>99595.924389071632</v>
      </c>
      <c r="X44" s="26">
        <f ca="1">X14*$C44*$A44*$B44*INDEX('# of Units'!$B$10:$U$10,'SC-NR'!X$32-1)</f>
        <v>99369.760190086614</v>
      </c>
      <c r="Y44" s="26"/>
      <c r="Z44" s="26">
        <f ca="1">X14*$Z$31*A44*B44*INDEX('# of Units'!$B$10:$U$10,'SC-NR'!X$32-1)</f>
        <v>760178.66545416263</v>
      </c>
      <c r="AD44" s="26"/>
    </row>
    <row r="45" spans="1:30">
      <c r="A45" s="80">
        <f>INDEX([2]!ResApplic,MATCH($D$42,[2]APPLIC!$B$9:$B$120,0)+1,MATCH($D45,[2]APPLIC!$C$8:$F$8,0)+1)</f>
        <v>1</v>
      </c>
      <c r="B45" s="80">
        <f>VLOOKUP($C$8,[2]!ExistingSat,MATCH($D45,[2]SATS!$C$10:$F$10,0)+1,FALSE)</f>
        <v>0.95</v>
      </c>
      <c r="C45" s="80">
        <f>VLOOKUP($D$42,[2]TURN!$B$10:$F$79,MATCH(D45,$D$43:$D$46,0)+1,FALSE)</f>
        <v>0.1111111111111111</v>
      </c>
      <c r="D45" s="7" t="str">
        <f>C15</f>
        <v>Multifamily - High Rise</v>
      </c>
      <c r="E45" s="26">
        <f ca="1">E15*$C45*$A45*$B45*INDEX('# of Units'!$B$10:$U$10,'SC-NR'!E$32-1)</f>
        <v>22654.075869254953</v>
      </c>
      <c r="F45" s="26">
        <f ca="1">F15*$C45*$A45*$B45*INDEX('# of Units'!$B$10:$U$10,'SC-NR'!F$32-1)</f>
        <v>22602.632590284018</v>
      </c>
      <c r="G45" s="26">
        <f ca="1">G15*$C45*$A45*$B45*INDEX('# of Units'!$B$10:$U$10,'SC-NR'!G$32-1)</f>
        <v>22551.30612962721</v>
      </c>
      <c r="H45" s="26">
        <f ca="1">H15*$C45*$A45*$B45*INDEX('# of Units'!$B$10:$U$10,'SC-NR'!H$32-1)</f>
        <v>22500.096222011431</v>
      </c>
      <c r="I45" s="26">
        <f ca="1">I15*$C45*$A45*$B45*INDEX('# of Units'!$B$10:$U$10,'SC-NR'!I$32-1)</f>
        <v>22587.318217401535</v>
      </c>
      <c r="J45" s="26">
        <f ca="1">J15*$C45*$A45*$B45*INDEX('# of Units'!$B$10:$U$10,'SC-NR'!J$32-1)</f>
        <v>22601.507452432448</v>
      </c>
      <c r="K45" s="26">
        <f ca="1">K15*$C45*$A45*$B45*INDEX('# of Units'!$B$10:$U$10,'SC-NR'!K$32-1)</f>
        <v>22550.183546758719</v>
      </c>
      <c r="L45" s="26">
        <f ca="1">L15*$C45*$A45*$B45*INDEX('# of Units'!$B$10:$U$10,'SC-NR'!L$32-1)</f>
        <v>22498.976188324101</v>
      </c>
      <c r="M45" s="26">
        <f ca="1">M15*$C45*$A45*$B45*INDEX('# of Units'!$B$10:$U$10,'SC-NR'!M$32-1)</f>
        <v>22447.885112471071</v>
      </c>
      <c r="N45" s="26">
        <f ca="1">N15*$C45*$A45*$B45*INDEX('# of Units'!$B$10:$U$10,'SC-NR'!N$32-1)</f>
        <v>22731.192294772052</v>
      </c>
      <c r="O45" s="26">
        <f ca="1">O15*$C45*$A45*$B45*INDEX('# of Units'!$B$10:$U$10,'SC-NR'!O$32-1)</f>
        <v>22679.573898448547</v>
      </c>
      <c r="P45" s="26">
        <f ca="1">P15*$C45*$A45*$B45*INDEX('# of Units'!$B$10:$U$10,'SC-NR'!P$32-1)</f>
        <v>22628.072718098778</v>
      </c>
      <c r="Q45" s="26">
        <f ca="1">Q15*$C45*$A45*$B45*INDEX('# of Units'!$B$10:$U$10,'SC-NR'!Q$32-1)</f>
        <v>22576.68848754662</v>
      </c>
      <c r="R45" s="26">
        <f ca="1">R15*$C45*$A45*$B45*INDEX('# of Units'!$B$10:$U$10,'SC-NR'!R$32-1)</f>
        <v>22525.420941220393</v>
      </c>
      <c r="S45" s="26">
        <f ca="1">S15*$C45*$A45*$B45*INDEX('# of Units'!$B$10:$U$10,'SC-NR'!S$32-1)</f>
        <v>22448.508215757676</v>
      </c>
      <c r="T45" s="26">
        <f ca="1">T15*$C45*$A45*$B45*INDEX('# of Units'!$B$10:$U$10,'SC-NR'!T$32-1)</f>
        <v>22423.234841972961</v>
      </c>
      <c r="U45" s="26">
        <f ca="1">U15*$C45*$A45*$B45*INDEX('# of Units'!$B$10:$U$10,'SC-NR'!U$32-1)</f>
        <v>22591.652189946839</v>
      </c>
      <c r="V45" s="26">
        <f ca="1">V15*$C45*$A45*$B45*INDEX('# of Units'!$B$10:$U$10,'SC-NR'!V$32-1)</f>
        <v>22540.350663778689</v>
      </c>
      <c r="W45" s="26">
        <f ca="1">W15*$C45*$A45*$B45*INDEX('# of Units'!$B$10:$U$10,'SC-NR'!W$32-1)</f>
        <v>22707.507047952509</v>
      </c>
      <c r="X45" s="26">
        <f ca="1">X15*$C45*$A45*$B45*INDEX('# of Units'!$B$10:$U$10,'SC-NR'!X$32-1)</f>
        <v>22655.942436509325</v>
      </c>
      <c r="Y45" s="26"/>
      <c r="Z45" s="26">
        <f ca="1">X15*$Z$31*A45*B45*INDEX('# of Units'!$B$10:$U$10,'SC-NR'!X$32-1)</f>
        <v>173317.95963929634</v>
      </c>
      <c r="AD45" s="26"/>
    </row>
    <row r="46" spans="1:30">
      <c r="A46" s="80">
        <f>INDEX([2]!ResApplic,MATCH($D$42,[2]APPLIC!$B$9:$B$120,0)+1,MATCH($D46,[2]APPLIC!$C$8:$F$8,0)+1)</f>
        <v>1</v>
      </c>
      <c r="B46" s="80">
        <f>VLOOKUP($C$8,[2]!ExistingSat,MATCH($D46,[2]SATS!$C$10:$F$10,0)+1,FALSE)</f>
        <v>0.95</v>
      </c>
      <c r="C46" s="80">
        <f>VLOOKUP($D$42,[2]TURN!$B$10:$F$79,MATCH(D46,$D$43:$D$46,0)+1,FALSE)</f>
        <v>0.1111111111111111</v>
      </c>
      <c r="D46" s="7" t="str">
        <f>C16</f>
        <v>Manufactured</v>
      </c>
      <c r="E46" s="26">
        <f ca="1">E16*$C46*$A46*$B46*INDEX('# of Units'!$B$10:$U$10,'SC-NR'!E$32-1)</f>
        <v>61361.2550828803</v>
      </c>
      <c r="F46" s="26">
        <f ca="1">F16*$C46*$A46*$B46*INDEX('# of Units'!$B$10:$U$10,'SC-NR'!F$32-1)</f>
        <v>60705.488179572094</v>
      </c>
      <c r="G46" s="26">
        <f ca="1">G16*$C46*$A46*$B46*INDEX('# of Units'!$B$10:$U$10,'SC-NR'!G$32-1)</f>
        <v>60056.729448291888</v>
      </c>
      <c r="H46" s="26">
        <f ca="1">H16*$C46*$A46*$B46*INDEX('# of Units'!$B$10:$U$10,'SC-NR'!H$32-1)</f>
        <v>59414.903992799991</v>
      </c>
      <c r="I46" s="26">
        <f ca="1">I16*$C46*$A46*$B46*INDEX('# of Units'!$B$10:$U$10,'SC-NR'!I$32-1)</f>
        <v>59142.1000528316</v>
      </c>
      <c r="J46" s="26">
        <f ca="1">J16*$C46*$A46*$B46*INDEX('# of Units'!$B$10:$U$10,'SC-NR'!J$32-1)</f>
        <v>58680.056653659776</v>
      </c>
      <c r="K46" s="26">
        <f ca="1">K16*$C46*$A46*$B46*INDEX('# of Units'!$B$10:$U$10,'SC-NR'!K$32-1)</f>
        <v>58052.94368170794</v>
      </c>
      <c r="L46" s="26">
        <f ca="1">L16*$C46*$A46*$B46*INDEX('# of Units'!$B$10:$U$10,'SC-NR'!L$32-1)</f>
        <v>57432.532657607167</v>
      </c>
      <c r="M46" s="26">
        <f ca="1">M16*$C46*$A46*$B46*INDEX('# of Units'!$B$10:$U$10,'SC-NR'!M$32-1)</f>
        <v>56818.751957731409</v>
      </c>
      <c r="N46" s="26">
        <f ca="1">N16*$C46*$A46*$B46*INDEX('# of Units'!$B$10:$U$10,'SC-NR'!N$32-1)</f>
        <v>57050.508794401198</v>
      </c>
      <c r="O46" s="26">
        <f ca="1">O16*$C46*$A46*$B46*INDEX('# of Units'!$B$10:$U$10,'SC-NR'!O$32-1)</f>
        <v>56440.810778385559</v>
      </c>
      <c r="P46" s="26">
        <f ca="1">P16*$C46*$A46*$B46*INDEX('# of Units'!$B$10:$U$10,'SC-NR'!P$32-1)</f>
        <v>55837.628596822404</v>
      </c>
      <c r="Q46" s="26">
        <f ca="1">Q16*$C46*$A46*$B46*INDEX('# of Units'!$B$10:$U$10,'SC-NR'!Q$32-1)</f>
        <v>55240.89261507702</v>
      </c>
      <c r="R46" s="26">
        <f ca="1">R16*$C46*$A46*$B46*INDEX('# of Units'!$B$10:$U$10,'SC-NR'!R$32-1)</f>
        <v>54650.533942699141</v>
      </c>
      <c r="S46" s="26">
        <f ca="1">S16*$C46*$A46*$B46*INDEX('# of Units'!$B$10:$U$10,'SC-NR'!S$32-1)</f>
        <v>54004.509595148178</v>
      </c>
      <c r="T46" s="26">
        <f ca="1">T16*$C46*$A46*$B46*INDEX('# of Units'!$B$10:$U$10,'SC-NR'!T$32-1)</f>
        <v>53488.676637533208</v>
      </c>
      <c r="U46" s="26">
        <f ca="1">U16*$C46*$A46*$B46*INDEX('# of Units'!$B$10:$U$10,'SC-NR'!U$32-1)</f>
        <v>53435.83842139336</v>
      </c>
      <c r="V46" s="26">
        <f ca="1">V16*$C46*$A46*$B46*INDEX('# of Units'!$B$10:$U$10,'SC-NR'!V$32-1)</f>
        <v>52864.770338774397</v>
      </c>
      <c r="W46" s="26">
        <f ca="1">W16*$C46*$A46*$B46*INDEX('# of Units'!$B$10:$U$10,'SC-NR'!W$32-1)</f>
        <v>52807.570352576069</v>
      </c>
      <c r="X46" s="26">
        <f ca="1">X16*$C46*$A46*$B46*INDEX('# of Units'!$B$10:$U$10,'SC-NR'!X$32-1)</f>
        <v>52243.216562312729</v>
      </c>
      <c r="Y46" s="26"/>
      <c r="Z46" s="26">
        <f ca="1">X16*$Z$31*A46*B46*INDEX('# of Units'!$B$10:$U$10,'SC-NR'!X$32-1)</f>
        <v>399660.60670169245</v>
      </c>
      <c r="AD46" s="26"/>
    </row>
    <row r="47" spans="1:30">
      <c r="E47" s="26"/>
      <c r="F47" s="26"/>
      <c r="G47" s="26"/>
      <c r="H47" s="26"/>
      <c r="I47" s="26"/>
      <c r="J47" s="26"/>
      <c r="K47" s="26"/>
      <c r="L47" s="26"/>
      <c r="M47" s="26"/>
      <c r="N47" s="26"/>
      <c r="O47" s="26"/>
      <c r="P47" s="26"/>
      <c r="Q47" s="26"/>
      <c r="R47" s="26"/>
      <c r="S47" s="26"/>
      <c r="T47" s="26"/>
      <c r="U47" s="26"/>
      <c r="V47" s="26"/>
      <c r="W47" s="26"/>
      <c r="X47" s="26"/>
      <c r="Y47" s="26"/>
    </row>
    <row r="48" spans="1:30">
      <c r="E48" s="26">
        <f t="shared" ref="E48:X48" ca="1" si="6">SUM(E43:E46)</f>
        <v>634305.08114285185</v>
      </c>
      <c r="F48" s="26">
        <f t="shared" ca="1" si="6"/>
        <v>632348.27965767658</v>
      </c>
      <c r="G48" s="26">
        <f t="shared" ca="1" si="6"/>
        <v>630401.44071964663</v>
      </c>
      <c r="H48" s="26">
        <f t="shared" ca="1" si="6"/>
        <v>628464.48272375949</v>
      </c>
      <c r="I48" s="26">
        <f t="shared" ca="1" si="6"/>
        <v>630397.62534551765</v>
      </c>
      <c r="J48" s="26">
        <f t="shared" ca="1" si="6"/>
        <v>630294.45813820371</v>
      </c>
      <c r="K48" s="26">
        <f t="shared" ca="1" si="6"/>
        <v>628369.32942719001</v>
      </c>
      <c r="L48" s="26">
        <f t="shared" ca="1" si="6"/>
        <v>626453.85018398915</v>
      </c>
      <c r="M48" s="26">
        <f t="shared" ca="1" si="6"/>
        <v>624547.9420917792</v>
      </c>
      <c r="N48" s="26">
        <f t="shared" ca="1" si="6"/>
        <v>631944.83399668161</v>
      </c>
      <c r="O48" s="26">
        <f t="shared" ca="1" si="6"/>
        <v>630029.67222665332</v>
      </c>
      <c r="P48" s="26">
        <f t="shared" ca="1" si="6"/>
        <v>628123.99072391051</v>
      </c>
      <c r="Q48" s="26">
        <f t="shared" ca="1" si="6"/>
        <v>626227.71312221664</v>
      </c>
      <c r="R48" s="26">
        <f t="shared" ca="1" si="6"/>
        <v>624340.76381480601</v>
      </c>
      <c r="S48" s="26">
        <f t="shared" ca="1" si="6"/>
        <v>621749.55673094676</v>
      </c>
      <c r="T48" s="26">
        <f t="shared" ca="1" si="6"/>
        <v>620594.55140528094</v>
      </c>
      <c r="U48" s="26">
        <f t="shared" ca="1" si="6"/>
        <v>624801.17160782986</v>
      </c>
      <c r="V48" s="26">
        <f t="shared" ca="1" si="6"/>
        <v>622932.65336772124</v>
      </c>
      <c r="W48" s="26">
        <f t="shared" ca="1" si="6"/>
        <v>627103.02110149502</v>
      </c>
      <c r="X48" s="26">
        <f t="shared" ca="1" si="6"/>
        <v>625234.56347478728</v>
      </c>
      <c r="Y48" s="26"/>
      <c r="Z48" s="26">
        <f ca="1">SUM(E48:X48)</f>
        <v>12548664.981002944</v>
      </c>
      <c r="AD48" s="26"/>
    </row>
    <row r="49" spans="1:30">
      <c r="E49" s="26"/>
      <c r="F49" s="26"/>
      <c r="G49" s="26"/>
      <c r="H49" s="26"/>
      <c r="I49" s="26"/>
      <c r="J49" s="26"/>
      <c r="K49" s="26"/>
      <c r="L49" s="26"/>
      <c r="M49" s="26"/>
      <c r="N49" s="26"/>
      <c r="O49" s="26"/>
      <c r="P49" s="26"/>
      <c r="Q49" s="26"/>
      <c r="R49" s="26"/>
      <c r="S49" s="26"/>
      <c r="T49" s="26"/>
      <c r="U49" s="26"/>
      <c r="V49" s="26"/>
      <c r="W49" s="26"/>
      <c r="X49" s="26"/>
      <c r="Y49" s="26"/>
      <c r="Z49" s="26"/>
      <c r="AD49" s="26"/>
    </row>
    <row r="50" spans="1:30" ht="15">
      <c r="A50" s="79" t="s">
        <v>60</v>
      </c>
      <c r="B50" s="79" t="s">
        <v>151</v>
      </c>
      <c r="C50" s="79" t="s">
        <v>150</v>
      </c>
      <c r="D50" s="79" t="str">
        <f>CONCATENATE(C8," - ","NEW")</f>
        <v>Microwave - NEW</v>
      </c>
      <c r="E50" s="95">
        <v>2016</v>
      </c>
      <c r="F50" s="96">
        <v>2017</v>
      </c>
      <c r="G50" s="96">
        <v>2018</v>
      </c>
      <c r="H50" s="96">
        <v>2019</v>
      </c>
      <c r="I50" s="96">
        <v>2020</v>
      </c>
      <c r="J50" s="96">
        <v>2021</v>
      </c>
      <c r="K50" s="96">
        <v>2022</v>
      </c>
      <c r="L50" s="96">
        <v>2023</v>
      </c>
      <c r="M50" s="96">
        <v>2024</v>
      </c>
      <c r="N50" s="96">
        <v>2025</v>
      </c>
      <c r="O50" s="96">
        <v>2026</v>
      </c>
      <c r="P50" s="96">
        <v>2027</v>
      </c>
      <c r="Q50" s="96">
        <v>2028</v>
      </c>
      <c r="R50" s="96">
        <v>2029</v>
      </c>
      <c r="S50" s="96">
        <v>2030</v>
      </c>
      <c r="T50" s="96">
        <v>2031</v>
      </c>
      <c r="U50" s="96">
        <v>2032</v>
      </c>
      <c r="V50" s="96">
        <v>2033</v>
      </c>
      <c r="W50" s="96">
        <v>2034</v>
      </c>
      <c r="X50" s="96">
        <v>2035</v>
      </c>
      <c r="Y50" s="97"/>
    </row>
    <row r="51" spans="1:30">
      <c r="A51" s="80">
        <f>INDEX([2]!ResApplic,MATCH($D$50,[2]APPLIC!$B$9:$B$120,0)+1,MATCH($D51,[2]APPLIC!$C$8:$F$8,0)+1)</f>
        <v>1</v>
      </c>
      <c r="B51" s="80">
        <f>VLOOKUP($C$8,[2]!NewSat,MATCH($D51,[2]SATS!$C$10:$F$10,0)+1,FALSE)</f>
        <v>0.95</v>
      </c>
      <c r="C51" s="80">
        <f>VLOOKUP($D$50,[2]TURN!$B$10:$F$79,MATCH(D51,$D$51:$D$54,0)+1,FALSE)</f>
        <v>1</v>
      </c>
      <c r="D51" s="7" t="str">
        <f>D43</f>
        <v>Single Family</v>
      </c>
      <c r="E51" s="26">
        <f>E23*$C51*$A51*$B51*INDEX('# of Units'!$B$10:$U$10,'SC-NR'!E$32-1)</f>
        <v>0</v>
      </c>
      <c r="F51" s="26">
        <f>F23*$C51*$A51*$B51*INDEX('# of Units'!$B$10:$U$10,'SC-NR'!F$32-1)</f>
        <v>0</v>
      </c>
      <c r="G51" s="26">
        <f>G23*$C51*$A51*$B51*INDEX('# of Units'!$B$10:$U$10,'SC-NR'!G$32-1)</f>
        <v>0</v>
      </c>
      <c r="H51" s="26">
        <f>H23*$C51*$A51*$B51*INDEX('# of Units'!$B$10:$U$10,'SC-NR'!H$32-1)</f>
        <v>0</v>
      </c>
      <c r="I51" s="26">
        <f>I23*$C51*$A51*$B51*INDEX('# of Units'!$B$10:$U$10,'SC-NR'!I$32-1)</f>
        <v>0</v>
      </c>
      <c r="J51" s="26">
        <f>J23*$C51*$A51*$B51*INDEX('# of Units'!$B$10:$U$10,'SC-NR'!J$32-1)</f>
        <v>0</v>
      </c>
      <c r="K51" s="26">
        <f>K23*$C51*$A51*$B51*INDEX('# of Units'!$B$10:$U$10,'SC-NR'!K$32-1)</f>
        <v>0</v>
      </c>
      <c r="L51" s="26">
        <f>L23*$C51*$A51*$B51*INDEX('# of Units'!$B$10:$U$10,'SC-NR'!L$32-1)</f>
        <v>0</v>
      </c>
      <c r="M51" s="26">
        <f>M23*$C51*$A51*$B51*INDEX('# of Units'!$B$10:$U$10,'SC-NR'!M$32-1)</f>
        <v>0</v>
      </c>
      <c r="N51" s="26">
        <f ca="1">N23*$C51*$A51*$B51*INDEX('# of Units'!$B$10:$U$10,'SC-NR'!N$32-1)</f>
        <v>56125.965220865059</v>
      </c>
      <c r="O51" s="26">
        <f ca="1">O23*$C51*$A51*$B51*INDEX('# of Units'!$B$10:$U$10,'SC-NR'!O$32-1)</f>
        <v>48085.338892445659</v>
      </c>
      <c r="P51" s="26">
        <f ca="1">P23*$C51*$A51*$B51*INDEX('# of Units'!$B$10:$U$10,'SC-NR'!P$32-1)</f>
        <v>40267.576342743116</v>
      </c>
      <c r="Q51" s="26">
        <f ca="1">Q23*$C51*$A51*$B51*INDEX('# of Units'!$B$10:$U$10,'SC-NR'!Q$32-1)</f>
        <v>33820.883910519893</v>
      </c>
      <c r="R51" s="26">
        <f ca="1">R23*$C51*$A51*$B51*INDEX('# of Units'!$B$10:$U$10,'SC-NR'!R$32-1)</f>
        <v>27759.226719786977</v>
      </c>
      <c r="S51" s="26">
        <f ca="1">S23*$C51*$A51*$B51*INDEX('# of Units'!$B$10:$U$10,'SC-NR'!S$32-1)</f>
        <v>22028.691894002593</v>
      </c>
      <c r="T51" s="26">
        <f ca="1">T23*$C51*$A51*$B51*INDEX('# of Units'!$B$10:$U$10,'SC-NR'!T$32-1)</f>
        <v>18075.573784000138</v>
      </c>
      <c r="U51" s="26">
        <f ca="1">U23*$C51*$A51*$B51*INDEX('# of Units'!$B$10:$U$10,'SC-NR'!U$32-1)</f>
        <v>15460.893549802884</v>
      </c>
      <c r="V51" s="26">
        <f ca="1">V23*$C51*$A51*$B51*INDEX('# of Units'!$B$10:$U$10,'SC-NR'!V$32-1)</f>
        <v>13160.099478027807</v>
      </c>
      <c r="W51" s="26">
        <f ca="1">W23*$C51*$A51*$B51*INDEX('# of Units'!$B$10:$U$10,'SC-NR'!W$32-1)</f>
        <v>11191.551262431329</v>
      </c>
      <c r="X51" s="26">
        <f ca="1">X23*$C51*$A51*$B51*INDEX('# of Units'!$B$10:$U$10,'SC-NR'!X$32-1)</f>
        <v>9830.3462834786387</v>
      </c>
      <c r="Y51" s="26"/>
      <c r="Z51" s="26">
        <f ca="1">SUM($E23:$X23)*$Z$31*A51*B51*INDEX('# of Units'!$B$10:$U$10,'SC-NR'!X$32-1)</f>
        <v>255796.04802428084</v>
      </c>
      <c r="AD51" s="26"/>
    </row>
    <row r="52" spans="1:30">
      <c r="A52" s="80">
        <f>INDEX([2]!ResApplic,MATCH($D$50,[2]APPLIC!$B$9:$B$120,0)+1,MATCH($D52,[2]APPLIC!$C$8:$F$8,0)+1)</f>
        <v>1</v>
      </c>
      <c r="B52" s="80">
        <f>VLOOKUP($C$8,[2]!NewSat,MATCH($D52,[2]SATS!$C$10:$F$10,0)+1,FALSE)</f>
        <v>0.95</v>
      </c>
      <c r="C52" s="80">
        <f>VLOOKUP($D$50,[2]TURN!$B$10:$F$79,MATCH(D52,$D$51:$D$54,0)+1,FALSE)</f>
        <v>1</v>
      </c>
      <c r="D52" s="7" t="str">
        <f t="shared" ref="D52:D54" si="7">D44</f>
        <v>Multifamily - Low Rise</v>
      </c>
      <c r="E52" s="26">
        <f>E24*$C52*$A52*$B52*INDEX('# of Units'!$B$10:$U$10,'SC-NR'!E$32-1)</f>
        <v>0</v>
      </c>
      <c r="F52" s="26">
        <f>F24*$C52*$A52*$B52*INDEX('# of Units'!$B$10:$U$10,'SC-NR'!F$32-1)</f>
        <v>0</v>
      </c>
      <c r="G52" s="26">
        <f>G24*$C52*$A52*$B52*INDEX('# of Units'!$B$10:$U$10,'SC-NR'!G$32-1)</f>
        <v>0</v>
      </c>
      <c r="H52" s="26">
        <f>H24*$C52*$A52*$B52*INDEX('# of Units'!$B$10:$U$10,'SC-NR'!H$32-1)</f>
        <v>0</v>
      </c>
      <c r="I52" s="26">
        <f>I24*$C52*$A52*$B52*INDEX('# of Units'!$B$10:$U$10,'SC-NR'!I$32-1)</f>
        <v>0</v>
      </c>
      <c r="J52" s="26">
        <f>J24*$C52*$A52*$B52*INDEX('# of Units'!$B$10:$U$10,'SC-NR'!J$32-1)</f>
        <v>0</v>
      </c>
      <c r="K52" s="26">
        <f>K24*$C52*$A52*$B52*INDEX('# of Units'!$B$10:$U$10,'SC-NR'!K$32-1)</f>
        <v>0</v>
      </c>
      <c r="L52" s="26">
        <f>L24*$C52*$A52*$B52*INDEX('# of Units'!$B$10:$U$10,'SC-NR'!L$32-1)</f>
        <v>0</v>
      </c>
      <c r="M52" s="26">
        <f>M24*$C52*$A52*$B52*INDEX('# of Units'!$B$10:$U$10,'SC-NR'!M$32-1)</f>
        <v>0</v>
      </c>
      <c r="N52" s="26">
        <f ca="1">N24*$C52*$A52*$B52*INDEX('# of Units'!$B$10:$U$10,'SC-NR'!N$32-1)</f>
        <v>20844.159384191811</v>
      </c>
      <c r="O52" s="26">
        <f ca="1">O24*$C52*$A52*$B52*INDEX('# of Units'!$B$10:$U$10,'SC-NR'!O$32-1)</f>
        <v>18458.430213371797</v>
      </c>
      <c r="P52" s="26">
        <f ca="1">P24*$C52*$A52*$B52*INDEX('# of Units'!$B$10:$U$10,'SC-NR'!P$32-1)</f>
        <v>16162.297109851314</v>
      </c>
      <c r="Q52" s="26">
        <f ca="1">Q24*$C52*$A52*$B52*INDEX('# of Units'!$B$10:$U$10,'SC-NR'!Q$32-1)</f>
        <v>13584.842993724507</v>
      </c>
      <c r="R52" s="26">
        <f ca="1">R24*$C52*$A52*$B52*INDEX('# of Units'!$B$10:$U$10,'SC-NR'!R$32-1)</f>
        <v>10800.127220646271</v>
      </c>
      <c r="S52" s="26">
        <f ca="1">S24*$C52*$A52*$B52*INDEX('# of Units'!$B$10:$U$10,'SC-NR'!S$32-1)</f>
        <v>8672.1110584276794</v>
      </c>
      <c r="T52" s="26">
        <f ca="1">T24*$C52*$A52*$B52*INDEX('# of Units'!$B$10:$U$10,'SC-NR'!T$32-1)</f>
        <v>7253.2658612380974</v>
      </c>
      <c r="U52" s="26">
        <f ca="1">U24*$C52*$A52*$B52*INDEX('# of Units'!$B$10:$U$10,'SC-NR'!U$32-1)</f>
        <v>6349.7901304005982</v>
      </c>
      <c r="V52" s="26">
        <f ca="1">V24*$C52*$A52*$B52*INDEX('# of Units'!$B$10:$U$10,'SC-NR'!V$32-1)</f>
        <v>5594.030524845226</v>
      </c>
      <c r="W52" s="26">
        <f ca="1">W24*$C52*$A52*$B52*INDEX('# of Units'!$B$10:$U$10,'SC-NR'!W$32-1)</f>
        <v>4801.2248617774612</v>
      </c>
      <c r="X52" s="26">
        <f ca="1">X24*$C52*$A52*$B52*INDEX('# of Units'!$B$10:$U$10,'SC-NR'!X$32-1)</f>
        <v>4205.4994840689506</v>
      </c>
      <c r="Y52" s="26"/>
      <c r="Z52" s="26">
        <f ca="1">SUM($E24:$X24)*$Z$31*A52*B52*INDEX('# of Units'!$B$10:$U$10,'SC-NR'!X$32-1)</f>
        <v>100920.35648614538</v>
      </c>
      <c r="AD52" s="26"/>
    </row>
    <row r="53" spans="1:30">
      <c r="A53" s="80">
        <f>INDEX([2]!ResApplic,MATCH($D$50,[2]APPLIC!$B$9:$B$120,0)+1,MATCH($D53,[2]APPLIC!$C$8:$F$8,0)+1)</f>
        <v>1</v>
      </c>
      <c r="B53" s="80">
        <f>VLOOKUP($C$8,[2]!NewSat,MATCH($D53,[2]SATS!$C$10:$F$10,0)+1,FALSE)</f>
        <v>0.95</v>
      </c>
      <c r="C53" s="80">
        <f>VLOOKUP($D$50,[2]TURN!$B$10:$F$79,MATCH(D53,$D$51:$D$54,0)+1,FALSE)</f>
        <v>1</v>
      </c>
      <c r="D53" s="7" t="str">
        <f t="shared" si="7"/>
        <v>Multifamily - High Rise</v>
      </c>
      <c r="E53" s="26">
        <f>E25*$C53*$A53*$B53*INDEX('# of Units'!$B$10:$U$10,'SC-NR'!E$32-1)</f>
        <v>0</v>
      </c>
      <c r="F53" s="26">
        <f>F25*$C53*$A53*$B53*INDEX('# of Units'!$B$10:$U$10,'SC-NR'!F$32-1)</f>
        <v>0</v>
      </c>
      <c r="G53" s="26">
        <f>G25*$C53*$A53*$B53*INDEX('# of Units'!$B$10:$U$10,'SC-NR'!G$32-1)</f>
        <v>0</v>
      </c>
      <c r="H53" s="26">
        <f>H25*$C53*$A53*$B53*INDEX('# of Units'!$B$10:$U$10,'SC-NR'!H$32-1)</f>
        <v>0</v>
      </c>
      <c r="I53" s="26">
        <f>I25*$C53*$A53*$B53*INDEX('# of Units'!$B$10:$U$10,'SC-NR'!I$32-1)</f>
        <v>0</v>
      </c>
      <c r="J53" s="26">
        <f>J25*$C53*$A53*$B53*INDEX('# of Units'!$B$10:$U$10,'SC-NR'!J$32-1)</f>
        <v>0</v>
      </c>
      <c r="K53" s="26">
        <f>K25*$C53*$A53*$B53*INDEX('# of Units'!$B$10:$U$10,'SC-NR'!K$32-1)</f>
        <v>0</v>
      </c>
      <c r="L53" s="26">
        <f>L25*$C53*$A53*$B53*INDEX('# of Units'!$B$10:$U$10,'SC-NR'!L$32-1)</f>
        <v>0</v>
      </c>
      <c r="M53" s="26">
        <f>M25*$C53*$A53*$B53*INDEX('# of Units'!$B$10:$U$10,'SC-NR'!M$32-1)</f>
        <v>0</v>
      </c>
      <c r="N53" s="26">
        <f ca="1">N25*$C53*$A53*$B53*INDEX('# of Units'!$B$10:$U$10,'SC-NR'!N$32-1)</f>
        <v>4679.3354423939727</v>
      </c>
      <c r="O53" s="26">
        <f ca="1">O25*$C53*$A53*$B53*INDEX('# of Units'!$B$10:$U$10,'SC-NR'!O$32-1)</f>
        <v>4202.0920279353168</v>
      </c>
      <c r="P53" s="26">
        <f ca="1">P25*$C53*$A53*$B53*INDEX('# of Units'!$B$10:$U$10,'SC-NR'!P$32-1)</f>
        <v>3734.7515754801934</v>
      </c>
      <c r="Q53" s="26">
        <f ca="1">Q25*$C53*$A53*$B53*INDEX('# of Units'!$B$10:$U$10,'SC-NR'!Q$32-1)</f>
        <v>3066.7708820527132</v>
      </c>
      <c r="R53" s="26">
        <f ca="1">R25*$C53*$A53*$B53*INDEX('# of Units'!$B$10:$U$10,'SC-NR'!R$32-1)</f>
        <v>2390.8982898163035</v>
      </c>
      <c r="S53" s="26">
        <f ca="1">S25*$C53*$A53*$B53*INDEX('# of Units'!$B$10:$U$10,'SC-NR'!S$32-1)</f>
        <v>1948.5567401995722</v>
      </c>
      <c r="T53" s="26">
        <f ca="1">T25*$C53*$A53*$B53*INDEX('# of Units'!$B$10:$U$10,'SC-NR'!T$32-1)</f>
        <v>1634.5371643647738</v>
      </c>
      <c r="U53" s="26">
        <f ca="1">U25*$C53*$A53*$B53*INDEX('# of Units'!$B$10:$U$10,'SC-NR'!U$32-1)</f>
        <v>1448.7245760034382</v>
      </c>
      <c r="V53" s="26">
        <f ca="1">V25*$C53*$A53*$B53*INDEX('# of Units'!$B$10:$U$10,'SC-NR'!V$32-1)</f>
        <v>1267.3228752977614</v>
      </c>
      <c r="W53" s="26">
        <f ca="1">W25*$C53*$A53*$B53*INDEX('# of Units'!$B$10:$U$10,'SC-NR'!W$32-1)</f>
        <v>1087.5996221354224</v>
      </c>
      <c r="X53" s="26">
        <f ca="1">X25*$C53*$A53*$B53*INDEX('# of Units'!$B$10:$U$10,'SC-NR'!X$32-1)</f>
        <v>941.18478250203611</v>
      </c>
      <c r="Y53" s="26"/>
      <c r="Z53" s="26">
        <f ca="1">SUM($E25:$X25)*$Z$31*A53*B53*INDEX('# of Units'!$B$10:$U$10,'SC-NR'!X$32-1)</f>
        <v>22826.808885906365</v>
      </c>
      <c r="AD53" s="26"/>
    </row>
    <row r="54" spans="1:30">
      <c r="A54" s="80">
        <f>INDEX([2]!ResApplic,MATCH($D$50,[2]APPLIC!$B$9:$B$120,0)+1,MATCH($D54,[2]APPLIC!$C$8:$F$8,0)+1)</f>
        <v>1</v>
      </c>
      <c r="B54" s="80">
        <f>VLOOKUP($C$8,[2]!NewSat,MATCH($D54,[2]SATS!$C$10:$F$10,0)+1,FALSE)</f>
        <v>0.95</v>
      </c>
      <c r="C54" s="80">
        <f>VLOOKUP($D$50,[2]TURN!$B$10:$F$79,MATCH(D54,$D$51:$D$54,0)+1,FALSE)</f>
        <v>1</v>
      </c>
      <c r="D54" s="7" t="str">
        <f t="shared" si="7"/>
        <v>Manufactured</v>
      </c>
      <c r="E54" s="26">
        <f>E26*$C54*$A54*$B54*INDEX('# of Units'!$B$10:$U$10,'SC-NR'!E$32-1)</f>
        <v>0</v>
      </c>
      <c r="F54" s="26">
        <f>F26*$C54*$A54*$B54*INDEX('# of Units'!$B$10:$U$10,'SC-NR'!F$32-1)</f>
        <v>0</v>
      </c>
      <c r="G54" s="26">
        <f>G26*$C54*$A54*$B54*INDEX('# of Units'!$B$10:$U$10,'SC-NR'!G$32-1)</f>
        <v>0</v>
      </c>
      <c r="H54" s="26">
        <f>H26*$C54*$A54*$B54*INDEX('# of Units'!$B$10:$U$10,'SC-NR'!H$32-1)</f>
        <v>0</v>
      </c>
      <c r="I54" s="26">
        <f>I26*$C54*$A54*$B54*INDEX('# of Units'!$B$10:$U$10,'SC-NR'!I$32-1)</f>
        <v>0</v>
      </c>
      <c r="J54" s="26">
        <f>J26*$C54*$A54*$B54*INDEX('# of Units'!$B$10:$U$10,'SC-NR'!J$32-1)</f>
        <v>0</v>
      </c>
      <c r="K54" s="26">
        <f>K26*$C54*$A54*$B54*INDEX('# of Units'!$B$10:$U$10,'SC-NR'!K$32-1)</f>
        <v>0</v>
      </c>
      <c r="L54" s="26">
        <f>L26*$C54*$A54*$B54*INDEX('# of Units'!$B$10:$U$10,'SC-NR'!L$32-1)</f>
        <v>0</v>
      </c>
      <c r="M54" s="26">
        <f>M26*$C54*$A54*$B54*INDEX('# of Units'!$B$10:$U$10,'SC-NR'!M$32-1)</f>
        <v>0</v>
      </c>
      <c r="N54" s="26">
        <f ca="1">N26*$C54*$A54*$B54*INDEX('# of Units'!$B$10:$U$10,'SC-NR'!N$32-1)</f>
        <v>1673.9324184303418</v>
      </c>
      <c r="O54" s="26">
        <f ca="1">O26*$C54*$A54*$B54*INDEX('# of Units'!$B$10:$U$10,'SC-NR'!O$32-1)</f>
        <v>1509.0748071299372</v>
      </c>
      <c r="P54" s="26">
        <f ca="1">P26*$C54*$A54*$B54*INDEX('# of Units'!$B$10:$U$10,'SC-NR'!P$32-1)</f>
        <v>1380.9847367009852</v>
      </c>
      <c r="Q54" s="26">
        <f ca="1">Q26*$C54*$A54*$B54*INDEX('# of Units'!$B$10:$U$10,'SC-NR'!Q$32-1)</f>
        <v>1243.2191968693785</v>
      </c>
      <c r="R54" s="26">
        <f ca="1">R26*$C54*$A54*$B54*INDEX('# of Units'!$B$10:$U$10,'SC-NR'!R$32-1)</f>
        <v>1016.5752930114592</v>
      </c>
      <c r="S54" s="26">
        <f ca="1">S26*$C54*$A54*$B54*INDEX('# of Units'!$B$10:$U$10,'SC-NR'!S$32-1)</f>
        <v>833.31321699176999</v>
      </c>
      <c r="T54" s="26">
        <f ca="1">T26*$C54*$A54*$B54*INDEX('# of Units'!$B$10:$U$10,'SC-NR'!T$32-1)</f>
        <v>705.69832235892477</v>
      </c>
      <c r="U54" s="26">
        <f ca="1">U26*$C54*$A54*$B54*INDEX('# of Units'!$B$10:$U$10,'SC-NR'!U$32-1)</f>
        <v>609.93538524525593</v>
      </c>
      <c r="V54" s="26">
        <f ca="1">V26*$C54*$A54*$B54*INDEX('# of Units'!$B$10:$U$10,'SC-NR'!V$32-1)</f>
        <v>527.45781933670776</v>
      </c>
      <c r="W54" s="26">
        <f ca="1">W26*$C54*$A54*$B54*INDEX('# of Units'!$B$10:$U$10,'SC-NR'!W$32-1)</f>
        <v>441.00435172306834</v>
      </c>
      <c r="X54" s="26">
        <f ca="1">X26*$C54*$A54*$B54*INDEX('# of Units'!$B$10:$U$10,'SC-NR'!X$32-1)</f>
        <v>382.60315079671125</v>
      </c>
      <c r="Y54" s="26"/>
      <c r="Z54" s="26">
        <f ca="1">SUM($E26:$X26)*$Z$31*A54*B54*INDEX('# of Units'!$B$10:$U$10,'SC-NR'!X$32-1)</f>
        <v>8924.823907184491</v>
      </c>
      <c r="AD54" s="26"/>
    </row>
    <row r="55" spans="1:30">
      <c r="E55" s="26"/>
      <c r="F55" s="26"/>
      <c r="G55" s="26"/>
      <c r="H55" s="26"/>
      <c r="I55" s="26"/>
      <c r="J55" s="26"/>
      <c r="K55" s="26"/>
      <c r="L55" s="26"/>
      <c r="M55" s="26"/>
      <c r="N55" s="26"/>
      <c r="O55" s="26"/>
      <c r="P55" s="26"/>
      <c r="Q55" s="26"/>
      <c r="R55" s="26"/>
      <c r="S55" s="26"/>
      <c r="T55" s="26"/>
      <c r="U55" s="26"/>
      <c r="V55" s="26"/>
      <c r="W55" s="26"/>
      <c r="X55" s="26"/>
      <c r="Y55" s="26"/>
    </row>
    <row r="56" spans="1:30">
      <c r="E56" s="26">
        <f t="shared" ref="E56:X56" si="8">SUM(E51:E54)</f>
        <v>0</v>
      </c>
      <c r="F56" s="26">
        <f t="shared" si="8"/>
        <v>0</v>
      </c>
      <c r="G56" s="26">
        <f t="shared" si="8"/>
        <v>0</v>
      </c>
      <c r="H56" s="26">
        <f t="shared" si="8"/>
        <v>0</v>
      </c>
      <c r="I56" s="26">
        <f t="shared" si="8"/>
        <v>0</v>
      </c>
      <c r="J56" s="26">
        <f t="shared" si="8"/>
        <v>0</v>
      </c>
      <c r="K56" s="26">
        <f t="shared" si="8"/>
        <v>0</v>
      </c>
      <c r="L56" s="26">
        <f t="shared" si="8"/>
        <v>0</v>
      </c>
      <c r="M56" s="26">
        <f t="shared" si="8"/>
        <v>0</v>
      </c>
      <c r="N56" s="26">
        <f t="shared" ca="1" si="8"/>
        <v>83323.392465881188</v>
      </c>
      <c r="O56" s="26">
        <f t="shared" ca="1" si="8"/>
        <v>72254.9359408827</v>
      </c>
      <c r="P56" s="26">
        <f t="shared" ca="1" si="8"/>
        <v>61545.609764775611</v>
      </c>
      <c r="Q56" s="26">
        <f t="shared" ca="1" si="8"/>
        <v>51715.716983166494</v>
      </c>
      <c r="R56" s="26">
        <f t="shared" ca="1" si="8"/>
        <v>41966.82752326101</v>
      </c>
      <c r="S56" s="26">
        <f t="shared" ca="1" si="8"/>
        <v>33482.672909621615</v>
      </c>
      <c r="T56" s="26">
        <f t="shared" ca="1" si="8"/>
        <v>27669.075131961934</v>
      </c>
      <c r="U56" s="26">
        <f t="shared" ca="1" si="8"/>
        <v>23869.343641452175</v>
      </c>
      <c r="V56" s="26">
        <f t="shared" ca="1" si="8"/>
        <v>20548.910697507505</v>
      </c>
      <c r="W56" s="26">
        <f t="shared" ca="1" si="8"/>
        <v>17521.380098067282</v>
      </c>
      <c r="X56" s="26">
        <f t="shared" ca="1" si="8"/>
        <v>15359.633700846336</v>
      </c>
      <c r="Y56" s="26"/>
      <c r="Z56" s="26">
        <f ca="1">SUM(E56:X56)</f>
        <v>449257.4988574239</v>
      </c>
      <c r="AD56" s="26"/>
    </row>
    <row r="57" spans="1:30">
      <c r="E57" s="26"/>
      <c r="F57" s="26"/>
      <c r="G57" s="26"/>
      <c r="H57" s="26"/>
      <c r="I57" s="26"/>
      <c r="J57" s="26"/>
      <c r="K57" s="26"/>
      <c r="L57" s="26"/>
      <c r="M57" s="26"/>
      <c r="N57" s="26"/>
      <c r="O57" s="26"/>
      <c r="P57" s="26"/>
      <c r="Q57" s="26"/>
      <c r="R57" s="26"/>
      <c r="S57" s="26"/>
      <c r="T57" s="26"/>
      <c r="U57" s="26"/>
      <c r="V57" s="26"/>
      <c r="W57" s="26"/>
      <c r="X57" s="26"/>
      <c r="Y57" s="26"/>
      <c r="Z57" s="26"/>
      <c r="AD57" s="26"/>
    </row>
    <row r="58" spans="1:30" ht="15.75" thickBot="1">
      <c r="E58" s="95" t="s">
        <v>61</v>
      </c>
      <c r="F58" s="26"/>
      <c r="G58" s="26"/>
      <c r="H58" s="26"/>
      <c r="I58" s="26"/>
      <c r="J58" s="26"/>
      <c r="K58" s="26"/>
      <c r="L58" s="26"/>
      <c r="M58" s="26"/>
      <c r="N58" s="26"/>
      <c r="O58" s="26"/>
      <c r="P58" s="26"/>
      <c r="Q58" s="26"/>
      <c r="R58" s="26"/>
      <c r="S58" s="26"/>
      <c r="T58" s="26"/>
      <c r="U58" s="26"/>
      <c r="V58" s="26"/>
      <c r="W58" s="26"/>
      <c r="X58" s="26"/>
      <c r="Y58" s="26"/>
    </row>
    <row r="59" spans="1:30" ht="15.75" thickBot="1">
      <c r="A59" s="98" t="s">
        <v>154</v>
      </c>
      <c r="D59" s="95" t="str">
        <f>D42</f>
        <v>Microwave - NR</v>
      </c>
      <c r="E59" s="82">
        <f>VLOOKUP($D$42,[2]ACHIEV!$B$9:$X$100,MATCH(E$11,$E$11:$Y$11,0)+2,FALSE)</f>
        <v>0.10937459468255628</v>
      </c>
      <c r="F59" s="82">
        <f>VLOOKUP($D$42,[2]ACHIEV!$B$9:$X$100,MATCH(F$11,$E$11:$Y$11,0)+2,FALSE)</f>
        <v>0.21874918936511256</v>
      </c>
      <c r="G59" s="82">
        <f>VLOOKUP($D$42,[2]ACHIEV!$B$9:$X$100,MATCH(G$11,$E$11:$Y$11,0)+2,FALSE)</f>
        <v>0.32812378404766884</v>
      </c>
      <c r="H59" s="82">
        <f>VLOOKUP($D$42,[2]ACHIEV!$B$9:$X$100,MATCH(H$11,$E$11:$Y$11,0)+2,FALSE)</f>
        <v>0.43749837873022512</v>
      </c>
      <c r="I59" s="82">
        <f>VLOOKUP($D$42,[2]ACHIEV!$B$9:$X$100,MATCH(I$11,$E$11:$Y$11,0)+2,FALSE)</f>
        <v>0.5468729734127814</v>
      </c>
      <c r="J59" s="82">
        <f>VLOOKUP($D$42,[2]ACHIEV!$B$9:$X$100,MATCH(J$11,$E$11:$Y$11,0)+2,FALSE)</f>
        <v>0.64531010862708205</v>
      </c>
      <c r="K59" s="82">
        <f>VLOOKUP($D$42,[2]ACHIEV!$B$9:$X$100,MATCH(K$11,$E$11:$Y$11,0)+2,FALSE)</f>
        <v>0.7240598167985226</v>
      </c>
      <c r="L59" s="82">
        <f>VLOOKUP($D$42,[2]ACHIEV!$B$9:$X$100,MATCH(L$11,$E$11:$Y$11,0)+2,FALSE)</f>
        <v>0.78705958333567505</v>
      </c>
      <c r="M59" s="82">
        <f>VLOOKUP($D$42,[2]ACHIEV!$B$9:$X$100,MATCH(M$11,$E$11:$Y$11,0)+2,FALSE)</f>
        <v>0.83745939656539703</v>
      </c>
      <c r="N59" s="82">
        <f>VLOOKUP($D$42,[2]ACHIEV!$B$9:$X$100,MATCH(N$11,$E$11:$Y$11,0)+2,FALSE)</f>
        <v>0.87777924714917455</v>
      </c>
      <c r="O59" s="82">
        <f>VLOOKUP($D$42,[2]ACHIEV!$B$9:$X$100,MATCH(O$11,$E$11:$Y$11,0)+2,FALSE)</f>
        <v>0.91003512761619654</v>
      </c>
      <c r="P59" s="82">
        <f>VLOOKUP($D$42,[2]ACHIEV!$B$9:$X$100,MATCH(P$11,$E$11:$Y$11,0)+2,FALSE)</f>
        <v>0.93583983198981413</v>
      </c>
      <c r="Q59" s="82">
        <f>VLOOKUP($D$42,[2]ACHIEV!$B$9:$X$100,MATCH(Q$11,$E$11:$Y$11,0)+2,FALSE)</f>
        <v>0.9564835954887082</v>
      </c>
      <c r="R59" s="82">
        <f>VLOOKUP($D$42,[2]ACHIEV!$B$9:$X$100,MATCH(R$11,$E$11:$Y$11,0)+2,FALSE)</f>
        <v>0.97299860628782353</v>
      </c>
      <c r="S59" s="82">
        <f>VLOOKUP($D$42,[2]ACHIEV!$B$9:$X$100,MATCH(S$11,$E$11:$Y$11,0)+2,FALSE)</f>
        <v>0.9862106149271157</v>
      </c>
      <c r="T59" s="82">
        <f>VLOOKUP($D$42,[2]ACHIEV!$B$9:$X$100,MATCH(T$11,$E$11:$Y$11,0)+2,FALSE)</f>
        <v>0.99678022183854953</v>
      </c>
      <c r="U59" s="82">
        <f>VLOOKUP($D$42,[2]ACHIEV!$B$9:$X$100,MATCH(U$11,$E$11:$Y$11,0)+2,FALSE)</f>
        <v>0.99685231466234414</v>
      </c>
      <c r="V59" s="82">
        <f>VLOOKUP($D$42,[2]ACHIEV!$B$9:$X$100,MATCH(V$11,$E$11:$Y$11,0)+2,FALSE)</f>
        <v>0.99687806209941365</v>
      </c>
      <c r="W59" s="82">
        <f>VLOOKUP($D$42,[2]ACHIEV!$B$9:$X$100,MATCH(W$11,$E$11:$Y$11,0)+2,FALSE)</f>
        <v>0.99688683963477831</v>
      </c>
      <c r="X59" s="82">
        <f>VLOOKUP($D$42,[2]ACHIEV!$B$9:$X$100,MATCH(X$11,$E$11:$Y$11,0)+2,FALSE)</f>
        <v>0.99688970187457115</v>
      </c>
      <c r="Y59" s="153"/>
      <c r="Z59" s="152">
        <v>0.85</v>
      </c>
    </row>
    <row r="60" spans="1:30">
      <c r="D60" s="7" t="str">
        <f>C23</f>
        <v>Single Family</v>
      </c>
      <c r="E60" s="26">
        <f ca="1">(E43+E51)*E$59*$Z$59</f>
        <v>41922.073585989092</v>
      </c>
      <c r="F60" s="26">
        <f t="shared" ref="F60:X60" ca="1" si="9">(F43+F51)*F$59*$Z$59</f>
        <v>83653.755450314697</v>
      </c>
      <c r="G60" s="26">
        <f t="shared" ca="1" si="9"/>
        <v>125195.6940999192</v>
      </c>
      <c r="H60" s="26">
        <f t="shared" ca="1" si="9"/>
        <v>166548.53607825501</v>
      </c>
      <c r="I60" s="26">
        <f t="shared" ca="1" si="9"/>
        <v>208992.71294098717</v>
      </c>
      <c r="J60" s="26">
        <f t="shared" ca="1" si="9"/>
        <v>246766.3302910139</v>
      </c>
      <c r="K60" s="26">
        <f t="shared" ca="1" si="9"/>
        <v>276251.45319414622</v>
      </c>
      <c r="L60" s="26">
        <f t="shared" ca="1" si="9"/>
        <v>299605.94541437383</v>
      </c>
      <c r="M60" s="26">
        <f t="shared" ca="1" si="9"/>
        <v>318067.47898306925</v>
      </c>
      <c r="N60" s="26">
        <f t="shared" ca="1" si="9"/>
        <v>379464.75503438211</v>
      </c>
      <c r="O60" s="26">
        <f t="shared" ca="1" si="9"/>
        <v>386394.57693202351</v>
      </c>
      <c r="P60" s="26">
        <f t="shared" ca="1" si="9"/>
        <v>390316.88746373646</v>
      </c>
      <c r="Q60" s="26">
        <f t="shared" ca="1" si="9"/>
        <v>392854.15077728347</v>
      </c>
      <c r="R60" s="26">
        <f t="shared" ca="1" si="9"/>
        <v>393780.06233195757</v>
      </c>
      <c r="S60" s="26">
        <f t="shared" ca="1" si="9"/>
        <v>393039.93238781928</v>
      </c>
      <c r="T60" s="26">
        <f t="shared" ca="1" si="9"/>
        <v>393476.74944678764</v>
      </c>
      <c r="U60" s="26">
        <f t="shared" ca="1" si="9"/>
        <v>394130.25921169354</v>
      </c>
      <c r="V60" s="26">
        <f t="shared" ca="1" si="9"/>
        <v>391325.6117909266</v>
      </c>
      <c r="W60" s="26">
        <f t="shared" ca="1" si="9"/>
        <v>392480.36496450345</v>
      </c>
      <c r="X60" s="26">
        <f t="shared" ca="1" si="9"/>
        <v>390458.36101413169</v>
      </c>
      <c r="Y60" s="26"/>
    </row>
    <row r="61" spans="1:30">
      <c r="D61" s="7" t="str">
        <f>C24</f>
        <v>Multifamily - Low Rise</v>
      </c>
      <c r="E61" s="26">
        <f t="shared" ref="E61:X61" ca="1" si="10">(E44+E52)*E$59*$Z$59</f>
        <v>9237.4870413244644</v>
      </c>
      <c r="F61" s="26">
        <f t="shared" ca="1" si="10"/>
        <v>18433.020782448129</v>
      </c>
      <c r="G61" s="26">
        <f t="shared" ca="1" si="10"/>
        <v>27586.744125822963</v>
      </c>
      <c r="H61" s="26">
        <f t="shared" ca="1" si="10"/>
        <v>36698.799541227047</v>
      </c>
      <c r="I61" s="26">
        <f t="shared" ca="1" si="10"/>
        <v>46051.328806285295</v>
      </c>
      <c r="J61" s="26">
        <f t="shared" ca="1" si="10"/>
        <v>54374.704451687059</v>
      </c>
      <c r="K61" s="26">
        <f t="shared" ca="1" si="10"/>
        <v>60871.718416419317</v>
      </c>
      <c r="L61" s="26">
        <f t="shared" ca="1" si="10"/>
        <v>66017.853904220159</v>
      </c>
      <c r="M61" s="26">
        <f t="shared" ca="1" si="10"/>
        <v>70085.830779428288</v>
      </c>
      <c r="N61" s="26">
        <f t="shared" ca="1" si="10"/>
        <v>89939.344531122086</v>
      </c>
      <c r="O61" s="26">
        <f t="shared" ca="1" si="10"/>
        <v>91223.798597006011</v>
      </c>
      <c r="P61" s="26">
        <f t="shared" ca="1" si="10"/>
        <v>91804.34036415322</v>
      </c>
      <c r="Q61" s="26">
        <f t="shared" ca="1" si="10"/>
        <v>91550.729966481696</v>
      </c>
      <c r="R61" s="26">
        <f t="shared" ca="1" si="10"/>
        <v>90642.412689504257</v>
      </c>
      <c r="S61" s="26">
        <f t="shared" ca="1" si="10"/>
        <v>89806.556427949545</v>
      </c>
      <c r="T61" s="26">
        <f t="shared" ca="1" si="10"/>
        <v>89472.994251929384</v>
      </c>
      <c r="U61" s="26">
        <f t="shared" ca="1" si="10"/>
        <v>89339.833730695493</v>
      </c>
      <c r="V61" s="26">
        <f t="shared" ca="1" si="10"/>
        <v>88511.089465377547</v>
      </c>
      <c r="W61" s="26">
        <f t="shared" ca="1" si="10"/>
        <v>88461.322556025334</v>
      </c>
      <c r="X61" s="26">
        <f t="shared" ca="1" si="10"/>
        <v>87765.143277427691</v>
      </c>
      <c r="Y61" s="26"/>
    </row>
    <row r="62" spans="1:30">
      <c r="D62" s="7" t="str">
        <f>C25</f>
        <v>Multifamily - High Rise</v>
      </c>
      <c r="E62" s="26">
        <f t="shared" ref="E62:X62" ca="1" si="11">(E45+E53)*E$59*$Z$59</f>
        <v>2106.1133111914937</v>
      </c>
      <c r="F62" s="26">
        <f t="shared" ca="1" si="11"/>
        <v>4202.661423145787</v>
      </c>
      <c r="G62" s="26">
        <f t="shared" ca="1" si="11"/>
        <v>6289.6769171000687</v>
      </c>
      <c r="H62" s="26">
        <f t="shared" ca="1" si="11"/>
        <v>8367.1922756434542</v>
      </c>
      <c r="I62" s="26">
        <f t="shared" ca="1" si="11"/>
        <v>10499.534793725403</v>
      </c>
      <c r="J62" s="26">
        <f t="shared" ca="1" si="11"/>
        <v>12397.234044875238</v>
      </c>
      <c r="K62" s="26">
        <f t="shared" ca="1" si="11"/>
        <v>13878.5295024933</v>
      </c>
      <c r="L62" s="26">
        <f t="shared" ca="1" si="11"/>
        <v>15051.829600622395</v>
      </c>
      <c r="M62" s="26">
        <f t="shared" ca="1" si="11"/>
        <v>15979.313472390477</v>
      </c>
      <c r="N62" s="26">
        <f t="shared" ca="1" si="11"/>
        <v>20451.333540927488</v>
      </c>
      <c r="O62" s="26">
        <f t="shared" ca="1" si="11"/>
        <v>20793.771239574795</v>
      </c>
      <c r="P62" s="26">
        <f t="shared" ca="1" si="11"/>
        <v>20970.673899027941</v>
      </c>
      <c r="Q62" s="26">
        <f t="shared" ca="1" si="11"/>
        <v>20848.415985812528</v>
      </c>
      <c r="R62" s="26">
        <f t="shared" ca="1" si="11"/>
        <v>20607.012302778021</v>
      </c>
      <c r="S62" s="26">
        <f t="shared" ca="1" si="11"/>
        <v>20451.547767736676</v>
      </c>
      <c r="T62" s="26">
        <f t="shared" ca="1" si="11"/>
        <v>20383.264619805788</v>
      </c>
      <c r="U62" s="26">
        <f t="shared" ca="1" si="11"/>
        <v>20369.999440818516</v>
      </c>
      <c r="V62" s="26">
        <f t="shared" ca="1" si="11"/>
        <v>20173.345341620519</v>
      </c>
      <c r="W62" s="26">
        <f t="shared" ca="1" si="11"/>
        <v>20162.874384048933</v>
      </c>
      <c r="X62" s="26">
        <f t="shared" ca="1" si="11"/>
        <v>19995.173150688082</v>
      </c>
      <c r="Y62" s="26"/>
    </row>
    <row r="63" spans="1:30">
      <c r="D63" s="7" t="str">
        <f>C26</f>
        <v>Manufactured</v>
      </c>
      <c r="E63" s="26">
        <f t="shared" ref="E63:X63" ca="1" si="12">(E46+E54)*E$59*$Z$59</f>
        <v>5704.6580433175322</v>
      </c>
      <c r="F63" s="26">
        <f t="shared" ca="1" si="12"/>
        <v>11287.384879900595</v>
      </c>
      <c r="G63" s="26">
        <f t="shared" ca="1" si="12"/>
        <v>16750.135125485511</v>
      </c>
      <c r="H63" s="26">
        <f t="shared" ca="1" si="12"/>
        <v>22094.835543872679</v>
      </c>
      <c r="I63" s="26">
        <f t="shared" ca="1" si="12"/>
        <v>27491.733693302998</v>
      </c>
      <c r="J63" s="26">
        <f t="shared" ca="1" si="12"/>
        <v>32186.808673404041</v>
      </c>
      <c r="K63" s="26">
        <f t="shared" ca="1" si="12"/>
        <v>35728.733201773539</v>
      </c>
      <c r="L63" s="26">
        <f t="shared" ca="1" si="12"/>
        <v>38422.40143989752</v>
      </c>
      <c r="M63" s="26">
        <f t="shared" ca="1" si="12"/>
        <v>40445.888068902612</v>
      </c>
      <c r="N63" s="26">
        <f t="shared" ca="1" si="12"/>
        <v>43815.031427496942</v>
      </c>
      <c r="O63" s="26">
        <f t="shared" ca="1" si="12"/>
        <v>44825.966795534798</v>
      </c>
      <c r="P63" s="26">
        <f t="shared" ca="1" si="12"/>
        <v>45515.33886542447</v>
      </c>
      <c r="Q63" s="26">
        <f t="shared" ca="1" si="12"/>
        <v>45922.207400795203</v>
      </c>
      <c r="R63" s="26">
        <f t="shared" ca="1" si="12"/>
        <v>46039.416747055679</v>
      </c>
      <c r="S63" s="26">
        <f t="shared" ca="1" si="12"/>
        <v>45969.396513301042</v>
      </c>
      <c r="T63" s="26">
        <f t="shared" ca="1" si="12"/>
        <v>45916.898930684387</v>
      </c>
      <c r="U63" s="26">
        <f t="shared" ca="1" si="12"/>
        <v>45794.306509335416</v>
      </c>
      <c r="V63" s="26">
        <f t="shared" ca="1" si="12"/>
        <v>45241.709796813411</v>
      </c>
      <c r="W63" s="26">
        <f t="shared" ca="1" si="12"/>
        <v>45120.382849221387</v>
      </c>
      <c r="X63" s="26">
        <f t="shared" ca="1" si="12"/>
        <v>44592.817066000614</v>
      </c>
      <c r="Y63" s="26"/>
    </row>
    <row r="65" spans="1:29">
      <c r="E65" s="26">
        <f t="shared" ref="E65:X65" ca="1" si="13">SUM(E60:E63)</f>
        <v>58970.331981822586</v>
      </c>
      <c r="F65" s="26">
        <f t="shared" ca="1" si="13"/>
        <v>117576.82253580922</v>
      </c>
      <c r="G65" s="26">
        <f t="shared" ca="1" si="13"/>
        <v>175822.25026832774</v>
      </c>
      <c r="H65" s="26">
        <f t="shared" ca="1" si="13"/>
        <v>233709.3634389982</v>
      </c>
      <c r="I65" s="26">
        <f t="shared" ca="1" si="13"/>
        <v>293035.31023430091</v>
      </c>
      <c r="J65" s="26">
        <f t="shared" ca="1" si="13"/>
        <v>345725.07746098028</v>
      </c>
      <c r="K65" s="26">
        <f t="shared" ca="1" si="13"/>
        <v>386730.43431483238</v>
      </c>
      <c r="L65" s="26">
        <f t="shared" ca="1" si="13"/>
        <v>419098.03035911394</v>
      </c>
      <c r="M65" s="26">
        <f t="shared" ca="1" si="13"/>
        <v>444578.51130379061</v>
      </c>
      <c r="N65" s="26">
        <f t="shared" ca="1" si="13"/>
        <v>533670.46453392867</v>
      </c>
      <c r="O65" s="26">
        <f t="shared" ca="1" si="13"/>
        <v>543238.11356413912</v>
      </c>
      <c r="P65" s="26">
        <f t="shared" ca="1" si="13"/>
        <v>548607.2405923421</v>
      </c>
      <c r="Q65" s="26">
        <f t="shared" ca="1" si="13"/>
        <v>551175.50413037289</v>
      </c>
      <c r="R65" s="26">
        <f t="shared" ca="1" si="13"/>
        <v>551068.90407129552</v>
      </c>
      <c r="S65" s="26">
        <f t="shared" ca="1" si="13"/>
        <v>549267.43309680652</v>
      </c>
      <c r="T65" s="26">
        <f t="shared" ca="1" si="13"/>
        <v>549249.90724920726</v>
      </c>
      <c r="U65" s="26">
        <f t="shared" ca="1" si="13"/>
        <v>549634.39889254293</v>
      </c>
      <c r="V65" s="26">
        <f t="shared" ca="1" si="13"/>
        <v>545251.7563947381</v>
      </c>
      <c r="W65" s="26">
        <f t="shared" ca="1" si="13"/>
        <v>546224.94475379912</v>
      </c>
      <c r="X65" s="26">
        <f t="shared" ca="1" si="13"/>
        <v>542811.49450824806</v>
      </c>
      <c r="Y65" s="26"/>
      <c r="Z65" s="26">
        <f ca="1">SUM(E65:X65)</f>
        <v>8485446.2936853971</v>
      </c>
    </row>
    <row r="66" spans="1:29">
      <c r="E66" s="26"/>
      <c r="F66" s="26"/>
      <c r="G66" s="26"/>
      <c r="H66" s="26"/>
      <c r="I66" s="26"/>
      <c r="J66" s="26"/>
      <c r="K66" s="26"/>
      <c r="L66" s="26"/>
      <c r="M66" s="26"/>
      <c r="N66" s="26"/>
      <c r="O66" s="26"/>
      <c r="P66" s="26"/>
      <c r="Q66" s="26"/>
      <c r="R66" s="26"/>
      <c r="S66" s="26"/>
      <c r="T66" s="26"/>
      <c r="U66" s="26"/>
      <c r="V66" s="26"/>
      <c r="W66" s="26"/>
      <c r="X66" s="26"/>
      <c r="Y66" s="26"/>
    </row>
    <row r="68" spans="1:29" ht="15">
      <c r="A68" s="98" t="s">
        <v>152</v>
      </c>
      <c r="D68" s="95" t="str">
        <f>D42</f>
        <v>Microwave - NR</v>
      </c>
      <c r="E68" s="95">
        <v>1</v>
      </c>
      <c r="F68" s="95">
        <v>2</v>
      </c>
      <c r="G68" s="95">
        <v>3</v>
      </c>
      <c r="H68" s="95">
        <v>4</v>
      </c>
      <c r="I68" s="95">
        <v>5</v>
      </c>
      <c r="J68" s="95">
        <v>6</v>
      </c>
      <c r="K68" s="95">
        <v>7</v>
      </c>
      <c r="L68" s="95">
        <v>8</v>
      </c>
      <c r="M68" s="95">
        <v>9</v>
      </c>
      <c r="N68" s="95">
        <v>10</v>
      </c>
      <c r="O68" s="95">
        <v>11</v>
      </c>
      <c r="P68" s="95">
        <v>12</v>
      </c>
      <c r="Q68" s="95">
        <v>13</v>
      </c>
      <c r="R68" s="95">
        <v>14</v>
      </c>
      <c r="S68" s="95">
        <v>15</v>
      </c>
      <c r="T68" s="95">
        <v>16</v>
      </c>
      <c r="U68" s="95">
        <v>17</v>
      </c>
      <c r="V68" s="95">
        <v>18</v>
      </c>
      <c r="W68" s="95">
        <v>19</v>
      </c>
      <c r="X68" s="95">
        <v>20</v>
      </c>
      <c r="Y68" s="95"/>
    </row>
    <row r="69" spans="1:29">
      <c r="D69" s="7" t="str">
        <f>C13</f>
        <v>Single Family</v>
      </c>
      <c r="E69" s="26">
        <f ca="1">E60</f>
        <v>41922.073585989092</v>
      </c>
      <c r="F69" s="26">
        <f ca="1">E69+F60</f>
        <v>125575.8290363038</v>
      </c>
      <c r="G69" s="26">
        <f t="shared" ref="G69:X72" ca="1" si="14">F69+G60</f>
        <v>250771.523136223</v>
      </c>
      <c r="H69" s="26">
        <f t="shared" ca="1" si="14"/>
        <v>417320.05921447801</v>
      </c>
      <c r="I69" s="26">
        <f t="shared" ca="1" si="14"/>
        <v>626312.77215546521</v>
      </c>
      <c r="J69" s="26">
        <f t="shared" ca="1" si="14"/>
        <v>873079.10244647914</v>
      </c>
      <c r="K69" s="26">
        <f t="shared" ca="1" si="14"/>
        <v>1149330.5556406253</v>
      </c>
      <c r="L69" s="26">
        <f t="shared" ca="1" si="14"/>
        <v>1448936.5010549992</v>
      </c>
      <c r="M69" s="26">
        <f t="shared" ca="1" si="14"/>
        <v>1767003.9800380685</v>
      </c>
      <c r="N69" s="26">
        <f t="shared" ca="1" si="14"/>
        <v>2146468.7350724507</v>
      </c>
      <c r="O69" s="26">
        <f t="shared" ca="1" si="14"/>
        <v>2532863.312004474</v>
      </c>
      <c r="P69" s="26">
        <f t="shared" ca="1" si="14"/>
        <v>2923180.1994682103</v>
      </c>
      <c r="Q69" s="26">
        <f t="shared" ca="1" si="14"/>
        <v>3316034.3502454939</v>
      </c>
      <c r="R69" s="26">
        <f t="shared" ca="1" si="14"/>
        <v>3709814.4125774517</v>
      </c>
      <c r="S69" s="26">
        <f t="shared" ca="1" si="14"/>
        <v>4102854.3449652707</v>
      </c>
      <c r="T69" s="26">
        <f t="shared" ca="1" si="14"/>
        <v>4496331.0944120586</v>
      </c>
      <c r="U69" s="26">
        <f t="shared" ca="1" si="14"/>
        <v>4890461.3536237525</v>
      </c>
      <c r="V69" s="26">
        <f t="shared" ca="1" si="14"/>
        <v>5281786.9654146787</v>
      </c>
      <c r="W69" s="26">
        <f t="shared" ca="1" si="14"/>
        <v>5674267.3303791825</v>
      </c>
      <c r="X69" s="26">
        <f t="shared" ca="1" si="14"/>
        <v>6064725.6913933139</v>
      </c>
      <c r="Y69" s="26"/>
    </row>
    <row r="70" spans="1:29">
      <c r="D70" s="7" t="str">
        <f>C14</f>
        <v>Multifamily - Low Rise</v>
      </c>
      <c r="E70" s="26">
        <f t="shared" ref="E70:E72" ca="1" si="15">E61</f>
        <v>9237.4870413244644</v>
      </c>
      <c r="F70" s="26">
        <f t="shared" ref="F70:U72" ca="1" si="16">E70+F61</f>
        <v>27670.507823772594</v>
      </c>
      <c r="G70" s="26">
        <f t="shared" ca="1" si="16"/>
        <v>55257.251949595557</v>
      </c>
      <c r="H70" s="26">
        <f t="shared" ca="1" si="16"/>
        <v>91956.051490822603</v>
      </c>
      <c r="I70" s="26">
        <f t="shared" ca="1" si="16"/>
        <v>138007.38029710791</v>
      </c>
      <c r="J70" s="26">
        <f t="shared" ca="1" si="16"/>
        <v>192382.08474879496</v>
      </c>
      <c r="K70" s="26">
        <f t="shared" ca="1" si="16"/>
        <v>253253.80316521428</v>
      </c>
      <c r="L70" s="26">
        <f t="shared" ca="1" si="16"/>
        <v>319271.65706943441</v>
      </c>
      <c r="M70" s="26">
        <f t="shared" ca="1" si="16"/>
        <v>389357.48784886271</v>
      </c>
      <c r="N70" s="26">
        <f t="shared" ca="1" si="16"/>
        <v>479296.83237998479</v>
      </c>
      <c r="O70" s="26">
        <f t="shared" ca="1" si="16"/>
        <v>570520.6309769908</v>
      </c>
      <c r="P70" s="26">
        <f t="shared" ca="1" si="16"/>
        <v>662324.97134114406</v>
      </c>
      <c r="Q70" s="26">
        <f t="shared" ca="1" si="16"/>
        <v>753875.70130762574</v>
      </c>
      <c r="R70" s="26">
        <f t="shared" ca="1" si="16"/>
        <v>844518.11399712996</v>
      </c>
      <c r="S70" s="26">
        <f t="shared" ca="1" si="16"/>
        <v>934324.67042507953</v>
      </c>
      <c r="T70" s="26">
        <f t="shared" ca="1" si="16"/>
        <v>1023797.6646770089</v>
      </c>
      <c r="U70" s="26">
        <f t="shared" ca="1" si="16"/>
        <v>1113137.4984077043</v>
      </c>
      <c r="V70" s="26">
        <f t="shared" ca="1" si="14"/>
        <v>1201648.5878730819</v>
      </c>
      <c r="W70" s="26">
        <f t="shared" ca="1" si="14"/>
        <v>1290109.9104291073</v>
      </c>
      <c r="X70" s="26">
        <f t="shared" ca="1" si="14"/>
        <v>1377875.0537065349</v>
      </c>
      <c r="Y70" s="26"/>
    </row>
    <row r="71" spans="1:29">
      <c r="D71" s="7" t="str">
        <f>C15</f>
        <v>Multifamily - High Rise</v>
      </c>
      <c r="E71" s="26">
        <f t="shared" ca="1" si="15"/>
        <v>2106.1133111914937</v>
      </c>
      <c r="F71" s="26">
        <f t="shared" ca="1" si="16"/>
        <v>6308.7747343372812</v>
      </c>
      <c r="G71" s="26">
        <f t="shared" ca="1" si="14"/>
        <v>12598.45165143735</v>
      </c>
      <c r="H71" s="26">
        <f t="shared" ca="1" si="14"/>
        <v>20965.643927080804</v>
      </c>
      <c r="I71" s="26">
        <f t="shared" ca="1" si="14"/>
        <v>31465.178720806209</v>
      </c>
      <c r="J71" s="26">
        <f t="shared" ca="1" si="14"/>
        <v>43862.412765681445</v>
      </c>
      <c r="K71" s="26">
        <f t="shared" ca="1" si="14"/>
        <v>57740.942268174746</v>
      </c>
      <c r="L71" s="26">
        <f t="shared" ca="1" si="14"/>
        <v>72792.771868797136</v>
      </c>
      <c r="M71" s="26">
        <f t="shared" ca="1" si="14"/>
        <v>88772.085341187616</v>
      </c>
      <c r="N71" s="26">
        <f t="shared" ca="1" si="14"/>
        <v>109223.4188821151</v>
      </c>
      <c r="O71" s="26">
        <f t="shared" ca="1" si="14"/>
        <v>130017.1901216899</v>
      </c>
      <c r="P71" s="26">
        <f t="shared" ca="1" si="14"/>
        <v>150987.86402071785</v>
      </c>
      <c r="Q71" s="26">
        <f t="shared" ca="1" si="14"/>
        <v>171836.28000653037</v>
      </c>
      <c r="R71" s="26">
        <f t="shared" ca="1" si="14"/>
        <v>192443.2923093084</v>
      </c>
      <c r="S71" s="26">
        <f t="shared" ca="1" si="14"/>
        <v>212894.84007704508</v>
      </c>
      <c r="T71" s="26">
        <f t="shared" ca="1" si="14"/>
        <v>233278.10469685087</v>
      </c>
      <c r="U71" s="26">
        <f t="shared" ca="1" si="14"/>
        <v>253648.10413766938</v>
      </c>
      <c r="V71" s="26">
        <f t="shared" ca="1" si="14"/>
        <v>273821.44947928988</v>
      </c>
      <c r="W71" s="26">
        <f t="shared" ca="1" si="14"/>
        <v>293984.3238633388</v>
      </c>
      <c r="X71" s="26">
        <f t="shared" ca="1" si="14"/>
        <v>313979.49701402686</v>
      </c>
      <c r="Y71" s="26"/>
    </row>
    <row r="72" spans="1:29">
      <c r="D72" s="7" t="str">
        <f>C16</f>
        <v>Manufactured</v>
      </c>
      <c r="E72" s="26">
        <f t="shared" ca="1" si="15"/>
        <v>5704.6580433175322</v>
      </c>
      <c r="F72" s="26">
        <f t="shared" ca="1" si="16"/>
        <v>16992.042923218127</v>
      </c>
      <c r="G72" s="26">
        <f t="shared" ca="1" si="14"/>
        <v>33742.178048703638</v>
      </c>
      <c r="H72" s="26">
        <f t="shared" ca="1" si="14"/>
        <v>55837.013592576317</v>
      </c>
      <c r="I72" s="26">
        <f t="shared" ca="1" si="14"/>
        <v>83328.747285879319</v>
      </c>
      <c r="J72" s="26">
        <f t="shared" ca="1" si="14"/>
        <v>115515.55595928336</v>
      </c>
      <c r="K72" s="26">
        <f t="shared" ca="1" si="14"/>
        <v>151244.28916105689</v>
      </c>
      <c r="L72" s="26">
        <f t="shared" ca="1" si="14"/>
        <v>189666.6906009544</v>
      </c>
      <c r="M72" s="26">
        <f t="shared" ca="1" si="14"/>
        <v>230112.578669857</v>
      </c>
      <c r="N72" s="26">
        <f t="shared" ca="1" si="14"/>
        <v>273927.61009735393</v>
      </c>
      <c r="O72" s="26">
        <f t="shared" ca="1" si="14"/>
        <v>318753.57689288876</v>
      </c>
      <c r="P72" s="26">
        <f t="shared" ca="1" si="14"/>
        <v>364268.9157583132</v>
      </c>
      <c r="Q72" s="26">
        <f t="shared" ca="1" si="14"/>
        <v>410191.12315910839</v>
      </c>
      <c r="R72" s="26">
        <f t="shared" ca="1" si="14"/>
        <v>456230.53990616405</v>
      </c>
      <c r="S72" s="26">
        <f t="shared" ca="1" si="14"/>
        <v>502199.93641946511</v>
      </c>
      <c r="T72" s="26">
        <f t="shared" ca="1" si="14"/>
        <v>548116.83535014954</v>
      </c>
      <c r="U72" s="26">
        <f t="shared" ca="1" si="14"/>
        <v>593911.14185948495</v>
      </c>
      <c r="V72" s="26">
        <f t="shared" ca="1" si="14"/>
        <v>639152.85165629839</v>
      </c>
      <c r="W72" s="26">
        <f t="shared" ca="1" si="14"/>
        <v>684273.23450551974</v>
      </c>
      <c r="X72" s="26">
        <f t="shared" ca="1" si="14"/>
        <v>728866.05157152039</v>
      </c>
      <c r="Y72" s="26"/>
    </row>
    <row r="74" spans="1:29">
      <c r="E74" s="26">
        <f t="shared" ref="E74:X74" ca="1" si="17">SUM(E69:E72)</f>
        <v>58970.331981822586</v>
      </c>
      <c r="F74" s="26">
        <f t="shared" ca="1" si="17"/>
        <v>176547.1545176318</v>
      </c>
      <c r="G74" s="26">
        <f t="shared" ca="1" si="17"/>
        <v>352369.40478595952</v>
      </c>
      <c r="H74" s="26">
        <f t="shared" ca="1" si="17"/>
        <v>586078.76822495763</v>
      </c>
      <c r="I74" s="26">
        <f t="shared" ca="1" si="17"/>
        <v>879114.07845925877</v>
      </c>
      <c r="J74" s="26">
        <f t="shared" ca="1" si="17"/>
        <v>1224839.1559202389</v>
      </c>
      <c r="K74" s="26">
        <f t="shared" ca="1" si="17"/>
        <v>1611569.5902350715</v>
      </c>
      <c r="L74" s="26">
        <f t="shared" ca="1" si="17"/>
        <v>2030667.6205941853</v>
      </c>
      <c r="M74" s="26">
        <f t="shared" ca="1" si="17"/>
        <v>2475246.1318979757</v>
      </c>
      <c r="N74" s="26">
        <f t="shared" ca="1" si="17"/>
        <v>3008916.5964319045</v>
      </c>
      <c r="O74" s="26">
        <f t="shared" ca="1" si="17"/>
        <v>3552154.7099960432</v>
      </c>
      <c r="P74" s="26">
        <f t="shared" ca="1" si="17"/>
        <v>4100761.9505883856</v>
      </c>
      <c r="Q74" s="26">
        <f t="shared" ca="1" si="17"/>
        <v>4651937.4547187593</v>
      </c>
      <c r="R74" s="26">
        <f t="shared" ca="1" si="17"/>
        <v>5203006.358790054</v>
      </c>
      <c r="S74" s="26">
        <f t="shared" ca="1" si="17"/>
        <v>5752273.7918868605</v>
      </c>
      <c r="T74" s="26">
        <f t="shared" ca="1" si="17"/>
        <v>6301523.6991360681</v>
      </c>
      <c r="U74" s="26">
        <f t="shared" ca="1" si="17"/>
        <v>6851158.0980286105</v>
      </c>
      <c r="V74" s="26">
        <f t="shared" ca="1" si="17"/>
        <v>7396409.8544233488</v>
      </c>
      <c r="W74" s="26">
        <f t="shared" ca="1" si="17"/>
        <v>7942634.7991771474</v>
      </c>
      <c r="X74" s="26">
        <f t="shared" ca="1" si="17"/>
        <v>8485446.2936853971</v>
      </c>
      <c r="Y74" s="26"/>
    </row>
    <row r="75" spans="1:29">
      <c r="E75" s="26"/>
      <c r="F75" s="26"/>
      <c r="G75" s="26"/>
      <c r="H75" s="26"/>
      <c r="I75" s="26"/>
      <c r="J75" s="26"/>
      <c r="K75" s="26"/>
      <c r="L75" s="26"/>
      <c r="M75" s="26"/>
      <c r="N75" s="26"/>
      <c r="O75" s="26"/>
      <c r="P75" s="26"/>
      <c r="Q75" s="26"/>
      <c r="R75" s="26"/>
      <c r="S75" s="26"/>
      <c r="T75" s="26"/>
      <c r="U75" s="26"/>
      <c r="V75" s="26"/>
      <c r="W75" s="26"/>
      <c r="X75" s="26"/>
      <c r="Y75" s="26"/>
    </row>
    <row r="77" spans="1:29"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row>
    <row r="78" spans="1:29" customFormat="1" ht="15">
      <c r="A78" s="98" t="s">
        <v>62</v>
      </c>
      <c r="B78" s="7"/>
      <c r="C78" s="7"/>
      <c r="D78" s="83" t="s">
        <v>144</v>
      </c>
      <c r="E78" s="7" t="s">
        <v>451</v>
      </c>
      <c r="F78" s="7"/>
      <c r="G78" s="7"/>
      <c r="H78" s="7"/>
      <c r="I78" s="7"/>
      <c r="J78" s="7"/>
      <c r="K78" s="7"/>
      <c r="L78" s="7"/>
      <c r="M78" s="7"/>
      <c r="N78" s="7"/>
      <c r="O78" s="7"/>
      <c r="P78" s="7"/>
      <c r="Q78" s="7"/>
      <c r="R78" s="7"/>
      <c r="S78" s="7"/>
      <c r="T78" s="7"/>
      <c r="U78" s="7"/>
      <c r="V78" s="7"/>
      <c r="W78" s="7"/>
      <c r="X78" s="7"/>
      <c r="Y78" s="7"/>
      <c r="Z78" s="7"/>
      <c r="AA78" s="7"/>
      <c r="AB78" s="7"/>
      <c r="AC78" s="7"/>
    </row>
    <row r="79" spans="1:29" customFormat="1" ht="15">
      <c r="A79" s="79" t="s">
        <v>64</v>
      </c>
      <c r="B79" s="79" t="s">
        <v>24</v>
      </c>
      <c r="C79" s="79"/>
      <c r="D79" s="79">
        <v>1</v>
      </c>
      <c r="E79" s="90">
        <f t="shared" ref="E79:X79" si="18">E11</f>
        <v>2016</v>
      </c>
      <c r="F79" s="84">
        <f t="shared" si="18"/>
        <v>2017</v>
      </c>
      <c r="G79" s="84">
        <f t="shared" si="18"/>
        <v>2018</v>
      </c>
      <c r="H79" s="84">
        <f t="shared" si="18"/>
        <v>2019</v>
      </c>
      <c r="I79" s="84">
        <f t="shared" si="18"/>
        <v>2020</v>
      </c>
      <c r="J79" s="84">
        <f t="shared" si="18"/>
        <v>2021</v>
      </c>
      <c r="K79" s="84">
        <f t="shared" si="18"/>
        <v>2022</v>
      </c>
      <c r="L79" s="84">
        <f t="shared" si="18"/>
        <v>2023</v>
      </c>
      <c r="M79" s="84">
        <f t="shared" si="18"/>
        <v>2024</v>
      </c>
      <c r="N79" s="84">
        <f t="shared" si="18"/>
        <v>2025</v>
      </c>
      <c r="O79" s="84">
        <f t="shared" si="18"/>
        <v>2026</v>
      </c>
      <c r="P79" s="84">
        <f t="shared" si="18"/>
        <v>2027</v>
      </c>
      <c r="Q79" s="84">
        <f t="shared" si="18"/>
        <v>2028</v>
      </c>
      <c r="R79" s="84">
        <f t="shared" si="18"/>
        <v>2029</v>
      </c>
      <c r="S79" s="84">
        <f t="shared" si="18"/>
        <v>2030</v>
      </c>
      <c r="T79" s="84">
        <f t="shared" si="18"/>
        <v>2031</v>
      </c>
      <c r="U79" s="84">
        <f t="shared" si="18"/>
        <v>2032</v>
      </c>
      <c r="V79" s="84">
        <f t="shared" si="18"/>
        <v>2033</v>
      </c>
      <c r="W79" s="84">
        <f t="shared" si="18"/>
        <v>2034</v>
      </c>
      <c r="X79" s="84">
        <f t="shared" si="18"/>
        <v>2035</v>
      </c>
      <c r="Y79" s="85" t="s">
        <v>149</v>
      </c>
      <c r="Z79" s="7"/>
      <c r="AA79" s="7"/>
      <c r="AB79" s="7"/>
      <c r="AC79" s="7"/>
    </row>
    <row r="80" spans="1:29" customFormat="1" ht="15">
      <c r="A80" s="79" t="s">
        <v>46</v>
      </c>
      <c r="B80" s="79" t="s">
        <v>65</v>
      </c>
      <c r="C80" s="79" t="s">
        <v>66</v>
      </c>
      <c r="D80" s="79" t="s">
        <v>67</v>
      </c>
      <c r="E80" s="91" t="str">
        <f>CONCATENATE("aMW_",E79)</f>
        <v>aMW_2016</v>
      </c>
      <c r="F80" s="86" t="str">
        <f t="shared" ref="F80:X80" si="19">CONCATENATE("aMW_",F79)</f>
        <v>aMW_2017</v>
      </c>
      <c r="G80" s="86" t="str">
        <f t="shared" si="19"/>
        <v>aMW_2018</v>
      </c>
      <c r="H80" s="86" t="str">
        <f t="shared" si="19"/>
        <v>aMW_2019</v>
      </c>
      <c r="I80" s="86" t="str">
        <f t="shared" si="19"/>
        <v>aMW_2020</v>
      </c>
      <c r="J80" s="86" t="str">
        <f t="shared" si="19"/>
        <v>aMW_2021</v>
      </c>
      <c r="K80" s="86" t="str">
        <f t="shared" si="19"/>
        <v>aMW_2022</v>
      </c>
      <c r="L80" s="86" t="str">
        <f t="shared" si="19"/>
        <v>aMW_2023</v>
      </c>
      <c r="M80" s="86" t="str">
        <f t="shared" si="19"/>
        <v>aMW_2024</v>
      </c>
      <c r="N80" s="86" t="str">
        <f t="shared" si="19"/>
        <v>aMW_2025</v>
      </c>
      <c r="O80" s="86" t="str">
        <f t="shared" si="19"/>
        <v>aMW_2026</v>
      </c>
      <c r="P80" s="86" t="str">
        <f t="shared" si="19"/>
        <v>aMW_2027</v>
      </c>
      <c r="Q80" s="86" t="str">
        <f t="shared" si="19"/>
        <v>aMW_2028</v>
      </c>
      <c r="R80" s="86" t="str">
        <f t="shared" si="19"/>
        <v>aMW_2029</v>
      </c>
      <c r="S80" s="86" t="str">
        <f t="shared" si="19"/>
        <v>aMW_2030</v>
      </c>
      <c r="T80" s="86" t="str">
        <f t="shared" si="19"/>
        <v>aMW_2031</v>
      </c>
      <c r="U80" s="86" t="str">
        <f t="shared" si="19"/>
        <v>aMW_2032</v>
      </c>
      <c r="V80" s="86" t="str">
        <f t="shared" si="19"/>
        <v>aMW_2033</v>
      </c>
      <c r="W80" s="86" t="str">
        <f t="shared" si="19"/>
        <v>aMW_2034</v>
      </c>
      <c r="X80" s="86" t="str">
        <f t="shared" si="19"/>
        <v>aMW_2035</v>
      </c>
      <c r="Y80" s="87" t="s">
        <v>149</v>
      </c>
      <c r="Z80" s="7"/>
      <c r="AA80" s="44"/>
      <c r="AB80" s="7"/>
      <c r="AC80" s="44"/>
    </row>
    <row r="81" spans="1:29" customFormat="1">
      <c r="A81" s="88">
        <f>VLOOKUP($D81,MeasureOutput,3,FALSE)</f>
        <v>9.1560045331478168</v>
      </c>
      <c r="B81" s="88">
        <f>VLOOKUP($D81,MeasureOutput,11,FALSE)</f>
        <v>31.927809211436781</v>
      </c>
      <c r="C81" s="7" t="str">
        <f>C13</f>
        <v>Single Family</v>
      </c>
      <c r="D81" s="7" t="s">
        <v>182</v>
      </c>
      <c r="E81" s="20">
        <f ca="1">VLOOKUP($C81,$D$60:$Z$63,E$32,FALSE)*$D$79*$A81/8760/1000</f>
        <v>4.3817202716012839E-2</v>
      </c>
      <c r="F81" s="20">
        <f t="shared" ref="F81:X84" ca="1" si="20">VLOOKUP($C81,$D$60:$Z$63,F$32,FALSE)*$D$79*$A81/8760/1000</f>
        <v>8.7435406862776274E-2</v>
      </c>
      <c r="G81" s="20">
        <f t="shared" ca="1" si="20"/>
        <v>0.13085529026363557</v>
      </c>
      <c r="H81" s="20">
        <f t="shared" ca="1" si="20"/>
        <v>0.1740775286896844</v>
      </c>
      <c r="I81" s="20">
        <f t="shared" ca="1" si="20"/>
        <v>0.21844043688156836</v>
      </c>
      <c r="J81" s="20">
        <f t="shared" ca="1" si="20"/>
        <v>0.25792164826173225</v>
      </c>
      <c r="K81" s="20">
        <f t="shared" ca="1" si="20"/>
        <v>0.28873967554044233</v>
      </c>
      <c r="L81" s="20">
        <f t="shared" ca="1" si="20"/>
        <v>0.31314993086438858</v>
      </c>
      <c r="M81" s="20">
        <f t="shared" ca="1" si="20"/>
        <v>0.33244603646299997</v>
      </c>
      <c r="N81" s="20">
        <f t="shared" ca="1" si="20"/>
        <v>0.39661883758728633</v>
      </c>
      <c r="O81" s="20">
        <f t="shared" ca="1" si="20"/>
        <v>0.40386192899239043</v>
      </c>
      <c r="P81" s="20">
        <f t="shared" ca="1" si="20"/>
        <v>0.40796155148197688</v>
      </c>
      <c r="Q81" s="20">
        <f t="shared" ca="1" si="20"/>
        <v>0.41061351431309856</v>
      </c>
      <c r="R81" s="20">
        <f t="shared" ca="1" si="20"/>
        <v>0.41158128262267502</v>
      </c>
      <c r="S81" s="20">
        <f t="shared" ca="1" si="20"/>
        <v>0.41080769436655079</v>
      </c>
      <c r="T81" s="20">
        <f t="shared" ca="1" si="20"/>
        <v>0.41126425817614787</v>
      </c>
      <c r="U81" s="20">
        <f t="shared" ca="1" si="20"/>
        <v>0.41194731050148287</v>
      </c>
      <c r="V81" s="20">
        <f t="shared" ca="1" si="20"/>
        <v>0.40901587619800994</v>
      </c>
      <c r="W81" s="20">
        <f t="shared" ca="1" si="20"/>
        <v>0.41022283114001179</v>
      </c>
      <c r="X81" s="20">
        <f t="shared" ca="1" si="20"/>
        <v>0.40810942048525761</v>
      </c>
      <c r="Y81" s="20">
        <f ca="1">(VLOOKUP($C81,$D$51:$Z$54,$X$32+2,FALSE)+VLOOKUP($C81,$D$43:$Z$46,$X$32+2,FALSE))*$A81*$D$79/8760/1000</f>
        <v>3.873202331403387</v>
      </c>
      <c r="Z81" s="7"/>
      <c r="AA81" s="20">
        <f ca="1">SUM(E81:X81)</f>
        <v>6.3388876624081298</v>
      </c>
      <c r="AB81" s="7"/>
      <c r="AC81" s="45"/>
    </row>
    <row r="82" spans="1:29" customFormat="1">
      <c r="A82" s="88">
        <f>VLOOKUP($D82,MeasureOutput,3,FALSE)</f>
        <v>9.1560045331478168</v>
      </c>
      <c r="B82" s="88">
        <f>VLOOKUP($D82,MeasureOutput,11,FALSE)</f>
        <v>31.927809211436781</v>
      </c>
      <c r="C82" s="7" t="str">
        <f>C14</f>
        <v>Multifamily - Low Rise</v>
      </c>
      <c r="D82" s="7" t="s">
        <v>182</v>
      </c>
      <c r="E82" s="20">
        <f t="shared" ref="E82:T84" ca="1" si="21">VLOOKUP($C82,$D$60:$Z$63,E$32,FALSE)*$D$79*$A82/8760/1000</f>
        <v>9.6550768521987459E-3</v>
      </c>
      <c r="F82" s="20">
        <f t="shared" ca="1" si="21"/>
        <v>1.9266303863436411E-2</v>
      </c>
      <c r="G82" s="20">
        <f t="shared" ca="1" si="21"/>
        <v>2.8833830396212779E-2</v>
      </c>
      <c r="H82" s="20">
        <f t="shared" ca="1" si="21"/>
        <v>3.8357805360794271E-2</v>
      </c>
      <c r="I82" s="20">
        <f t="shared" ca="1" si="21"/>
        <v>4.8133125035140271E-2</v>
      </c>
      <c r="J82" s="20">
        <f t="shared" ca="1" si="21"/>
        <v>5.6832767174454284E-2</v>
      </c>
      <c r="K82" s="20">
        <f t="shared" ca="1" si="21"/>
        <v>6.3623485132560817E-2</v>
      </c>
      <c r="L82" s="20">
        <f t="shared" ca="1" si="21"/>
        <v>6.9002256805448636E-2</v>
      </c>
      <c r="M82" s="20">
        <f t="shared" ca="1" si="21"/>
        <v>7.3254130630807782E-2</v>
      </c>
      <c r="N82" s="20">
        <f t="shared" ca="1" si="21"/>
        <v>9.4005142264303315E-2</v>
      </c>
      <c r="O82" s="20">
        <f t="shared" ca="1" si="21"/>
        <v>9.5347661356752336E-2</v>
      </c>
      <c r="P82" s="20">
        <f t="shared" ca="1" si="21"/>
        <v>9.5954447093245659E-2</v>
      </c>
      <c r="Q82" s="20">
        <f t="shared" ca="1" si="21"/>
        <v>9.5689371984714403E-2</v>
      </c>
      <c r="R82" s="20">
        <f t="shared" ca="1" si="21"/>
        <v>9.4739993319698207E-2</v>
      </c>
      <c r="S82" s="20">
        <f t="shared" ca="1" si="21"/>
        <v>9.3866351342545798E-2</v>
      </c>
      <c r="T82" s="20">
        <f t="shared" ca="1" si="21"/>
        <v>9.3517710155818945E-2</v>
      </c>
      <c r="U82" s="20">
        <f t="shared" ca="1" si="20"/>
        <v>9.3378529980470332E-2</v>
      </c>
      <c r="V82" s="20">
        <f t="shared" ca="1" si="20"/>
        <v>9.2512321504434794E-2</v>
      </c>
      <c r="W82" s="20">
        <f t="shared" ca="1" si="20"/>
        <v>9.2460304832330961E-2</v>
      </c>
      <c r="X82" s="20">
        <f t="shared" ca="1" si="20"/>
        <v>9.1732654075399045E-2</v>
      </c>
      <c r="Y82" s="20">
        <f t="shared" ref="Y82:Y84" ca="1" si="22">(VLOOKUP($C82,$D$51:$Z$54,$X$32+2,FALSE)+VLOOKUP($C82,$D$43:$Z$46,$X$32+2,FALSE))*$A82*$D$79/8760/1000</f>
        <v>0.90002586168659959</v>
      </c>
      <c r="Z82" s="7"/>
      <c r="AA82" s="20">
        <f t="shared" ref="AA82:AA84" ca="1" si="23">SUM(E82:X82)</f>
        <v>1.4401632691607678</v>
      </c>
      <c r="AB82" s="7"/>
      <c r="AC82" s="45"/>
    </row>
    <row r="83" spans="1:29" customFormat="1">
      <c r="A83" s="88">
        <f>VLOOKUP($D83,MeasureOutput,3,FALSE)</f>
        <v>9.1560045331478168</v>
      </c>
      <c r="B83" s="88">
        <f>VLOOKUP($D83,MeasureOutput,11,FALSE)</f>
        <v>31.927809211436781</v>
      </c>
      <c r="C83" s="7" t="str">
        <f>C15</f>
        <v>Multifamily - High Rise</v>
      </c>
      <c r="D83" s="7" t="s">
        <v>182</v>
      </c>
      <c r="E83" s="20">
        <f t="shared" ca="1" si="21"/>
        <v>2.2013222630813097E-3</v>
      </c>
      <c r="F83" s="20">
        <f t="shared" ca="1" si="20"/>
        <v>4.3926469225580231E-3</v>
      </c>
      <c r="G83" s="20">
        <f t="shared" ca="1" si="20"/>
        <v>6.5740080325346366E-3</v>
      </c>
      <c r="H83" s="20">
        <f t="shared" ca="1" si="20"/>
        <v>8.7454395440080893E-3</v>
      </c>
      <c r="I83" s="20">
        <f t="shared" ca="1" si="20"/>
        <v>1.0974176731426142E-2</v>
      </c>
      <c r="J83" s="20">
        <f t="shared" ca="1" si="20"/>
        <v>1.2957663369106408E-2</v>
      </c>
      <c r="K83" s="20">
        <f t="shared" ca="1" si="20"/>
        <v>1.4505922264640911E-2</v>
      </c>
      <c r="L83" s="20">
        <f t="shared" ca="1" si="20"/>
        <v>1.5732262563409493E-2</v>
      </c>
      <c r="M83" s="20">
        <f t="shared" ca="1" si="20"/>
        <v>1.6701674268241689E-2</v>
      </c>
      <c r="N83" s="20">
        <f t="shared" ca="1" si="20"/>
        <v>2.1375856462288824E-2</v>
      </c>
      <c r="O83" s="20">
        <f t="shared" ca="1" si="20"/>
        <v>2.1733774398491498E-2</v>
      </c>
      <c r="P83" s="20">
        <f t="shared" ca="1" si="20"/>
        <v>2.1918674119025622E-2</v>
      </c>
      <c r="Q83" s="20">
        <f t="shared" ca="1" si="20"/>
        <v>2.179088941496015E-2</v>
      </c>
      <c r="R83" s="20">
        <f t="shared" ca="1" si="20"/>
        <v>2.1538572837770362E-2</v>
      </c>
      <c r="S83" s="20">
        <f t="shared" ca="1" si="20"/>
        <v>2.1376080373434487E-2</v>
      </c>
      <c r="T83" s="20">
        <f t="shared" ca="1" si="20"/>
        <v>2.1304710417727545E-2</v>
      </c>
      <c r="U83" s="20">
        <f t="shared" ca="1" si="20"/>
        <v>2.1290845573099636E-2</v>
      </c>
      <c r="V83" s="20">
        <f t="shared" ca="1" si="20"/>
        <v>2.1085301529296104E-2</v>
      </c>
      <c r="W83" s="20">
        <f t="shared" ca="1" si="20"/>
        <v>2.1074357221648632E-2</v>
      </c>
      <c r="X83" s="20">
        <f t="shared" ca="1" si="20"/>
        <v>2.089907488684653E-2</v>
      </c>
      <c r="Y83" s="20">
        <f t="shared" ca="1" si="22"/>
        <v>0.20501168832990696</v>
      </c>
      <c r="Z83" s="7"/>
      <c r="AA83" s="20">
        <f t="shared" ca="1" si="23"/>
        <v>0.32817325319359614</v>
      </c>
      <c r="AB83" s="7"/>
      <c r="AC83" s="45"/>
    </row>
    <row r="84" spans="1:29" customFormat="1">
      <c r="A84" s="88">
        <f>VLOOKUP($D84,MeasureOutput,3,FALSE)</f>
        <v>9.1560045331478168</v>
      </c>
      <c r="B84" s="88">
        <f>VLOOKUP($D84,MeasureOutput,11,FALSE)</f>
        <v>31.927809211436781</v>
      </c>
      <c r="C84" s="7" t="str">
        <f>C16</f>
        <v>Manufactured</v>
      </c>
      <c r="D84" s="7" t="s">
        <v>182</v>
      </c>
      <c r="E84" s="20">
        <f t="shared" ca="1" si="21"/>
        <v>5.962542797337155E-3</v>
      </c>
      <c r="F84" s="20">
        <f t="shared" ca="1" si="20"/>
        <v>1.179764236618196E-2</v>
      </c>
      <c r="G84" s="20">
        <f t="shared" ca="1" si="20"/>
        <v>1.7507341682623721E-2</v>
      </c>
      <c r="H84" s="20">
        <f t="shared" ca="1" si="20"/>
        <v>2.3093654611741298E-2</v>
      </c>
      <c r="I84" s="20">
        <f t="shared" ca="1" si="20"/>
        <v>2.8734524922371555E-2</v>
      </c>
      <c r="J84" s="20">
        <f t="shared" ca="1" si="20"/>
        <v>3.3641845447631151E-2</v>
      </c>
      <c r="K84" s="20">
        <f t="shared" ca="1" si="20"/>
        <v>3.7343886205372996E-2</v>
      </c>
      <c r="L84" s="20">
        <f t="shared" ca="1" si="20"/>
        <v>4.0159324401612656E-2</v>
      </c>
      <c r="M84" s="20">
        <f t="shared" ca="1" si="20"/>
        <v>4.2274284760965924E-2</v>
      </c>
      <c r="N84" s="20">
        <f t="shared" ca="1" si="20"/>
        <v>4.5795733603901385E-2</v>
      </c>
      <c r="O84" s="20">
        <f t="shared" ca="1" si="20"/>
        <v>4.6852369313087915E-2</v>
      </c>
      <c r="P84" s="20">
        <f t="shared" ca="1" si="20"/>
        <v>4.7572905134655868E-2</v>
      </c>
      <c r="Q84" s="20">
        <f t="shared" ca="1" si="20"/>
        <v>4.7998166567789387E-2</v>
      </c>
      <c r="R84" s="20">
        <f t="shared" ca="1" si="20"/>
        <v>4.8120674479397642E-2</v>
      </c>
      <c r="S84" s="20">
        <f t="shared" ca="1" si="20"/>
        <v>4.8047488911170527E-2</v>
      </c>
      <c r="T84" s="20">
        <f t="shared" ca="1" si="20"/>
        <v>4.7992618122995025E-2</v>
      </c>
      <c r="U84" s="20">
        <f t="shared" ca="1" si="20"/>
        <v>4.786448378902234E-2</v>
      </c>
      <c r="V84" s="20">
        <f t="shared" ca="1" si="20"/>
        <v>4.7286906391207952E-2</v>
      </c>
      <c r="W84" s="20">
        <f t="shared" ca="1" si="20"/>
        <v>4.7160094737994977E-2</v>
      </c>
      <c r="X84" s="20">
        <f t="shared" ca="1" si="20"/>
        <v>4.6608679817595082E-2</v>
      </c>
      <c r="Y84" s="20">
        <f t="shared" ca="1" si="22"/>
        <v>0.42705594233253763</v>
      </c>
      <c r="Z84" s="7"/>
      <c r="AA84" s="20">
        <f t="shared" ca="1" si="23"/>
        <v>0.76181516806465643</v>
      </c>
      <c r="AB84" s="7"/>
      <c r="AC84" s="45"/>
    </row>
    <row r="85" spans="1:29"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row>
    <row r="86" spans="1:29" customFormat="1">
      <c r="A86" s="7"/>
      <c r="B86" s="89">
        <f ca="1">SUMPRODUCT(B81:B84,AA81:AA84)/SUM(AA81:AA84)</f>
        <v>31.927809211436784</v>
      </c>
      <c r="C86" s="7"/>
      <c r="D86" s="45"/>
      <c r="E86" s="20">
        <f ca="1">SUM(E81:E84)</f>
        <v>6.1636144628630055E-2</v>
      </c>
      <c r="F86" s="20">
        <f t="shared" ref="F86:X86" ca="1" si="24">SUM(F81:F84)</f>
        <v>0.12289200001495267</v>
      </c>
      <c r="G86" s="20">
        <f t="shared" ca="1" si="24"/>
        <v>0.18377047037500671</v>
      </c>
      <c r="H86" s="20">
        <f t="shared" ca="1" si="24"/>
        <v>0.24427442820622805</v>
      </c>
      <c r="I86" s="20">
        <f t="shared" ca="1" si="24"/>
        <v>0.30628226357050631</v>
      </c>
      <c r="J86" s="20">
        <f t="shared" ca="1" si="24"/>
        <v>0.36135392425292412</v>
      </c>
      <c r="K86" s="20">
        <f t="shared" ca="1" si="24"/>
        <v>0.40421296914301708</v>
      </c>
      <c r="L86" s="20">
        <f t="shared" ca="1" si="24"/>
        <v>0.43804377463485933</v>
      </c>
      <c r="M86" s="20">
        <f t="shared" ca="1" si="24"/>
        <v>0.46467612612301534</v>
      </c>
      <c r="N86" s="20">
        <f t="shared" ca="1" si="24"/>
        <v>0.5577955699177799</v>
      </c>
      <c r="O86" s="20">
        <f t="shared" ca="1" si="24"/>
        <v>0.56779573406072215</v>
      </c>
      <c r="P86" s="20">
        <f t="shared" ca="1" si="24"/>
        <v>0.57340757782890395</v>
      </c>
      <c r="Q86" s="20">
        <f t="shared" ca="1" si="24"/>
        <v>0.57609194228056249</v>
      </c>
      <c r="R86" s="20">
        <f t="shared" ca="1" si="24"/>
        <v>0.57598052325954119</v>
      </c>
      <c r="S86" s="20">
        <f t="shared" ca="1" si="24"/>
        <v>0.5740976149937016</v>
      </c>
      <c r="T86" s="20">
        <f t="shared" ca="1" si="24"/>
        <v>0.57407929687268933</v>
      </c>
      <c r="U86" s="20">
        <f t="shared" ca="1" si="24"/>
        <v>0.57448116984407516</v>
      </c>
      <c r="V86" s="20">
        <f t="shared" ca="1" si="24"/>
        <v>0.56990040562294875</v>
      </c>
      <c r="W86" s="20">
        <f t="shared" ca="1" si="24"/>
        <v>0.57091758793198633</v>
      </c>
      <c r="X86" s="20">
        <f t="shared" ca="1" si="24"/>
        <v>0.56734982926509825</v>
      </c>
      <c r="Y86" s="20">
        <f ca="1">SUM(Y81:Y84)</f>
        <v>5.4052958237524305</v>
      </c>
      <c r="Z86" s="26"/>
      <c r="AA86" s="20">
        <f ca="1">SUM(E86:X86)</f>
        <v>8.8690393528271478</v>
      </c>
      <c r="AB86" s="7"/>
      <c r="AC86" s="20"/>
    </row>
    <row r="87" spans="1:29"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row>
    <row r="88" spans="1:29"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customFormat="1" ht="15">
      <c r="A89" s="98" t="s">
        <v>68</v>
      </c>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row>
    <row r="90" spans="1:29" customFormat="1" ht="15">
      <c r="A90" s="7"/>
      <c r="B90" s="7"/>
      <c r="C90" s="7"/>
      <c r="D90" s="7"/>
      <c r="E90" s="90">
        <f t="shared" ref="E90:X90" si="25">E11</f>
        <v>2016</v>
      </c>
      <c r="F90" s="84">
        <f t="shared" si="25"/>
        <v>2017</v>
      </c>
      <c r="G90" s="84">
        <f t="shared" si="25"/>
        <v>2018</v>
      </c>
      <c r="H90" s="84">
        <f t="shared" si="25"/>
        <v>2019</v>
      </c>
      <c r="I90" s="84">
        <f t="shared" si="25"/>
        <v>2020</v>
      </c>
      <c r="J90" s="84">
        <f t="shared" si="25"/>
        <v>2021</v>
      </c>
      <c r="K90" s="84">
        <f t="shared" si="25"/>
        <v>2022</v>
      </c>
      <c r="L90" s="84">
        <f t="shared" si="25"/>
        <v>2023</v>
      </c>
      <c r="M90" s="84">
        <f t="shared" si="25"/>
        <v>2024</v>
      </c>
      <c r="N90" s="84">
        <f t="shared" si="25"/>
        <v>2025</v>
      </c>
      <c r="O90" s="84">
        <f t="shared" si="25"/>
        <v>2026</v>
      </c>
      <c r="P90" s="84">
        <f t="shared" si="25"/>
        <v>2027</v>
      </c>
      <c r="Q90" s="84">
        <f t="shared" si="25"/>
        <v>2028</v>
      </c>
      <c r="R90" s="84">
        <f t="shared" si="25"/>
        <v>2029</v>
      </c>
      <c r="S90" s="84">
        <f t="shared" si="25"/>
        <v>2030</v>
      </c>
      <c r="T90" s="84">
        <f t="shared" si="25"/>
        <v>2031</v>
      </c>
      <c r="U90" s="84">
        <f t="shared" si="25"/>
        <v>2032</v>
      </c>
      <c r="V90" s="84">
        <f t="shared" si="25"/>
        <v>2033</v>
      </c>
      <c r="W90" s="84">
        <f t="shared" si="25"/>
        <v>2034</v>
      </c>
      <c r="X90" s="84">
        <f t="shared" si="25"/>
        <v>2035</v>
      </c>
      <c r="Y90" s="85" t="s">
        <v>149</v>
      </c>
      <c r="Z90" s="7"/>
      <c r="AA90" s="7"/>
      <c r="AB90" s="7"/>
      <c r="AC90" s="7"/>
    </row>
    <row r="91" spans="1:29" customFormat="1" ht="15">
      <c r="A91" s="7"/>
      <c r="B91" s="7"/>
      <c r="C91" s="37" t="s">
        <v>65</v>
      </c>
      <c r="D91" s="37" t="s">
        <v>65</v>
      </c>
      <c r="E91" s="91" t="str">
        <f>CONCATENATE("aMW_",E90)</f>
        <v>aMW_2016</v>
      </c>
      <c r="F91" s="86" t="str">
        <f t="shared" ref="F91:X91" si="26">CONCATENATE("aMW_",F90)</f>
        <v>aMW_2017</v>
      </c>
      <c r="G91" s="86" t="str">
        <f t="shared" si="26"/>
        <v>aMW_2018</v>
      </c>
      <c r="H91" s="86" t="str">
        <f t="shared" si="26"/>
        <v>aMW_2019</v>
      </c>
      <c r="I91" s="86" t="str">
        <f t="shared" si="26"/>
        <v>aMW_2020</v>
      </c>
      <c r="J91" s="86" t="str">
        <f t="shared" si="26"/>
        <v>aMW_2021</v>
      </c>
      <c r="K91" s="86" t="str">
        <f t="shared" si="26"/>
        <v>aMW_2022</v>
      </c>
      <c r="L91" s="86" t="str">
        <f t="shared" si="26"/>
        <v>aMW_2023</v>
      </c>
      <c r="M91" s="86" t="str">
        <f t="shared" si="26"/>
        <v>aMW_2024</v>
      </c>
      <c r="N91" s="86" t="str">
        <f t="shared" si="26"/>
        <v>aMW_2025</v>
      </c>
      <c r="O91" s="86" t="str">
        <f t="shared" si="26"/>
        <v>aMW_2026</v>
      </c>
      <c r="P91" s="86" t="str">
        <f t="shared" si="26"/>
        <v>aMW_2027</v>
      </c>
      <c r="Q91" s="86" t="str">
        <f t="shared" si="26"/>
        <v>aMW_2028</v>
      </c>
      <c r="R91" s="86" t="str">
        <f t="shared" si="26"/>
        <v>aMW_2029</v>
      </c>
      <c r="S91" s="86" t="str">
        <f t="shared" si="26"/>
        <v>aMW_2030</v>
      </c>
      <c r="T91" s="86" t="str">
        <f t="shared" si="26"/>
        <v>aMW_2031</v>
      </c>
      <c r="U91" s="86" t="str">
        <f t="shared" si="26"/>
        <v>aMW_2032</v>
      </c>
      <c r="V91" s="86" t="str">
        <f t="shared" si="26"/>
        <v>aMW_2033</v>
      </c>
      <c r="W91" s="86" t="str">
        <f t="shared" si="26"/>
        <v>aMW_2034</v>
      </c>
      <c r="X91" s="86" t="str">
        <f t="shared" si="26"/>
        <v>aMW_2035</v>
      </c>
      <c r="Y91" s="87" t="s">
        <v>149</v>
      </c>
      <c r="Z91" s="7"/>
      <c r="AA91" s="7"/>
      <c r="AB91" s="7"/>
      <c r="AC91" s="7"/>
    </row>
    <row r="92" spans="1:29" customFormat="1">
      <c r="A92" s="7"/>
      <c r="B92" s="7" t="s">
        <v>69</v>
      </c>
      <c r="C92" s="38" t="s">
        <v>70</v>
      </c>
      <c r="D92" s="38" t="s">
        <v>71</v>
      </c>
      <c r="E92" s="20">
        <f>DSUM($B$80:$Y$84,E$80,$C$91:$D92)</f>
        <v>0</v>
      </c>
      <c r="F92" s="20">
        <f>DSUM($B$80:$Y$84,F$80,$C$91:$D92)</f>
        <v>0</v>
      </c>
      <c r="G92" s="20">
        <f>DSUM($B$80:$Y$84,G$80,$C$91:$D92)</f>
        <v>0</v>
      </c>
      <c r="H92" s="20">
        <f>DSUM($B$80:$Y$84,H$80,$C$91:$D92)</f>
        <v>0</v>
      </c>
      <c r="I92" s="20">
        <f>DSUM($B$80:$Y$84,I$80,$C$91:$D92)</f>
        <v>0</v>
      </c>
      <c r="J92" s="20">
        <f>DSUM($B$80:$Y$84,J$80,$C$91:$D92)</f>
        <v>0</v>
      </c>
      <c r="K92" s="20">
        <f>DSUM($B$80:$Y$84,K$80,$C$91:$D92)</f>
        <v>0</v>
      </c>
      <c r="L92" s="20">
        <f>DSUM($B$80:$Y$84,L$80,$C$91:$D92)</f>
        <v>0</v>
      </c>
      <c r="M92" s="20">
        <f>DSUM($B$80:$Y$84,M$80,$C$91:$D92)</f>
        <v>0</v>
      </c>
      <c r="N92" s="20">
        <f>DSUM($B$80:$Y$84,N$80,$C$91:$D92)</f>
        <v>0</v>
      </c>
      <c r="O92" s="20">
        <f>DSUM($B$80:$Y$84,O$80,$C$91:$D92)</f>
        <v>0</v>
      </c>
      <c r="P92" s="20">
        <f>DSUM($B$80:$Y$84,P$80,$C$91:$D92)</f>
        <v>0</v>
      </c>
      <c r="Q92" s="20">
        <f>DSUM($B$80:$Y$84,Q$80,$C$91:$D92)</f>
        <v>0</v>
      </c>
      <c r="R92" s="20">
        <f>DSUM($B$80:$Y$84,R$80,$C$91:$D92)</f>
        <v>0</v>
      </c>
      <c r="S92" s="20">
        <f>DSUM($B$80:$Y$84,S$80,$C$91:$D92)</f>
        <v>0</v>
      </c>
      <c r="T92" s="20">
        <f>DSUM($B$80:$Y$84,T$80,$C$91:$D92)</f>
        <v>0</v>
      </c>
      <c r="U92" s="20">
        <f>DSUM($B$80:$Y$84,U$80,$C$91:$D92)</f>
        <v>0</v>
      </c>
      <c r="V92" s="20">
        <f>DSUM($B$80:$Y$84,V$80,$C$91:$D92)</f>
        <v>0</v>
      </c>
      <c r="W92" s="20">
        <f>DSUM($B$80:$Y$84,W$80,$C$91:$D92)</f>
        <v>0</v>
      </c>
      <c r="X92" s="20">
        <f>DSUM($B$80:$Y$84,X$80,$C$91:$D92)</f>
        <v>0</v>
      </c>
      <c r="Y92" s="20">
        <f>DSUM($B$80:$Y$84,Y$80,$C$91:$D92)</f>
        <v>0</v>
      </c>
      <c r="Z92" s="7"/>
      <c r="AA92" s="7"/>
      <c r="AB92" s="7"/>
      <c r="AC92" s="7"/>
    </row>
    <row r="93" spans="1:29" customFormat="1">
      <c r="A93" s="7"/>
      <c r="B93" s="7" t="s">
        <v>450</v>
      </c>
      <c r="C93" s="38" t="s">
        <v>73</v>
      </c>
      <c r="D93" s="38" t="s">
        <v>74</v>
      </c>
      <c r="E93" s="20">
        <f>DSUM($B$80:$Y$84,E$80,$C$91:$D93)</f>
        <v>0</v>
      </c>
      <c r="F93" s="20">
        <f>DSUM($B$80:$Y$84,F$80,$C$91:$D93)</f>
        <v>0</v>
      </c>
      <c r="G93" s="20">
        <f>DSUM($B$80:$Y$84,G$80,$C$91:$D93)</f>
        <v>0</v>
      </c>
      <c r="H93" s="20">
        <f>DSUM($B$80:$Y$84,H$80,$C$91:$D93)</f>
        <v>0</v>
      </c>
      <c r="I93" s="20">
        <f>DSUM($B$80:$Y$84,I$80,$C$91:$D93)</f>
        <v>0</v>
      </c>
      <c r="J93" s="20">
        <f>DSUM($B$80:$Y$84,J$80,$C$91:$D93)</f>
        <v>0</v>
      </c>
      <c r="K93" s="20">
        <f>DSUM($B$80:$Y$84,K$80,$C$91:$D93)</f>
        <v>0</v>
      </c>
      <c r="L93" s="20">
        <f>DSUM($B$80:$Y$84,L$80,$C$91:$D93)</f>
        <v>0</v>
      </c>
      <c r="M93" s="20">
        <f>DSUM($B$80:$Y$84,M$80,$C$91:$D93)</f>
        <v>0</v>
      </c>
      <c r="N93" s="20">
        <f>DSUM($B$80:$Y$84,N$80,$C$91:$D93)</f>
        <v>0</v>
      </c>
      <c r="O93" s="20">
        <f>DSUM($B$80:$Y$84,O$80,$C$91:$D93)</f>
        <v>0</v>
      </c>
      <c r="P93" s="20">
        <f>DSUM($B$80:$Y$84,P$80,$C$91:$D93)</f>
        <v>0</v>
      </c>
      <c r="Q93" s="20">
        <f>DSUM($B$80:$Y$84,Q$80,$C$91:$D93)</f>
        <v>0</v>
      </c>
      <c r="R93" s="20">
        <f>DSUM($B$80:$Y$84,R$80,$C$91:$D93)</f>
        <v>0</v>
      </c>
      <c r="S93" s="20">
        <f>DSUM($B$80:$Y$84,S$80,$C$91:$D93)</f>
        <v>0</v>
      </c>
      <c r="T93" s="20">
        <f>DSUM($B$80:$Y$84,T$80,$C$91:$D93)</f>
        <v>0</v>
      </c>
      <c r="U93" s="20">
        <f>DSUM($B$80:$Y$84,U$80,$C$91:$D93)</f>
        <v>0</v>
      </c>
      <c r="V93" s="20">
        <f>DSUM($B$80:$Y$84,V$80,$C$91:$D93)</f>
        <v>0</v>
      </c>
      <c r="W93" s="20">
        <f>DSUM($B$80:$Y$84,W$80,$C$91:$D93)</f>
        <v>0</v>
      </c>
      <c r="X93" s="20">
        <f>DSUM($B$80:$Y$84,X$80,$C$91:$D93)</f>
        <v>0</v>
      </c>
      <c r="Y93" s="20">
        <f>DSUM($B$80:$Y$84,Y$80,$C$91:$D93)</f>
        <v>0</v>
      </c>
      <c r="Z93" s="7"/>
      <c r="AA93" s="7"/>
      <c r="AB93" s="7"/>
      <c r="AC93" s="7"/>
    </row>
    <row r="94" spans="1:29" customFormat="1">
      <c r="A94" s="7"/>
      <c r="B94" s="7" t="s">
        <v>75</v>
      </c>
      <c r="C94" s="38" t="s">
        <v>76</v>
      </c>
      <c r="D94" s="38" t="s">
        <v>77</v>
      </c>
      <c r="E94" s="20">
        <f>DSUM($B$80:$Y$84,E$80,$C$91:$D94)</f>
        <v>0</v>
      </c>
      <c r="F94" s="20">
        <f>DSUM($B$80:$Y$84,F$80,$C$91:$D94)</f>
        <v>0</v>
      </c>
      <c r="G94" s="20">
        <f>DSUM($B$80:$Y$84,G$80,$C$91:$D94)</f>
        <v>0</v>
      </c>
      <c r="H94" s="20">
        <f>DSUM($B$80:$Y$84,H$80,$C$91:$D94)</f>
        <v>0</v>
      </c>
      <c r="I94" s="20">
        <f>DSUM($B$80:$Y$84,I$80,$C$91:$D94)</f>
        <v>0</v>
      </c>
      <c r="J94" s="20">
        <f>DSUM($B$80:$Y$84,J$80,$C$91:$D94)</f>
        <v>0</v>
      </c>
      <c r="K94" s="20">
        <f>DSUM($B$80:$Y$84,K$80,$C$91:$D94)</f>
        <v>0</v>
      </c>
      <c r="L94" s="20">
        <f>DSUM($B$80:$Y$84,L$80,$C$91:$D94)</f>
        <v>0</v>
      </c>
      <c r="M94" s="20">
        <f>DSUM($B$80:$Y$84,M$80,$C$91:$D94)</f>
        <v>0</v>
      </c>
      <c r="N94" s="20">
        <f>DSUM($B$80:$Y$84,N$80,$C$91:$D94)</f>
        <v>0</v>
      </c>
      <c r="O94" s="20">
        <f>DSUM($B$80:$Y$84,O$80,$C$91:$D94)</f>
        <v>0</v>
      </c>
      <c r="P94" s="20">
        <f>DSUM($B$80:$Y$84,P$80,$C$91:$D94)</f>
        <v>0</v>
      </c>
      <c r="Q94" s="20">
        <f>DSUM($B$80:$Y$84,Q$80,$C$91:$D94)</f>
        <v>0</v>
      </c>
      <c r="R94" s="20">
        <f>DSUM($B$80:$Y$84,R$80,$C$91:$D94)</f>
        <v>0</v>
      </c>
      <c r="S94" s="20">
        <f>DSUM($B$80:$Y$84,S$80,$C$91:$D94)</f>
        <v>0</v>
      </c>
      <c r="T94" s="20">
        <f>DSUM($B$80:$Y$84,T$80,$C$91:$D94)</f>
        <v>0</v>
      </c>
      <c r="U94" s="20">
        <f>DSUM($B$80:$Y$84,U$80,$C$91:$D94)</f>
        <v>0</v>
      </c>
      <c r="V94" s="20">
        <f>DSUM($B$80:$Y$84,V$80,$C$91:$D94)</f>
        <v>0</v>
      </c>
      <c r="W94" s="20">
        <f>DSUM($B$80:$Y$84,W$80,$C$91:$D94)</f>
        <v>0</v>
      </c>
      <c r="X94" s="20">
        <f>DSUM($B$80:$Y$84,X$80,$C$91:$D94)</f>
        <v>0</v>
      </c>
      <c r="Y94" s="20">
        <f>DSUM($B$80:$Y$84,Y$80,$C$91:$D94)</f>
        <v>0</v>
      </c>
      <c r="Z94" s="7"/>
      <c r="AA94" s="7"/>
      <c r="AB94" s="7"/>
      <c r="AC94" s="7"/>
    </row>
    <row r="95" spans="1:29" customFormat="1">
      <c r="A95" s="7"/>
      <c r="B95" s="7" t="s">
        <v>78</v>
      </c>
      <c r="C95" s="38" t="s">
        <v>79</v>
      </c>
      <c r="D95" s="38" t="s">
        <v>80</v>
      </c>
      <c r="E95" s="20">
        <f>DSUM($B$80:$Y$84,E$80,$C$91:$D95)</f>
        <v>0</v>
      </c>
      <c r="F95" s="20">
        <f>DSUM($B$80:$Y$84,F$80,$C$91:$D95)</f>
        <v>0</v>
      </c>
      <c r="G95" s="20">
        <f>DSUM($B$80:$Y$84,G$80,$C$91:$D95)</f>
        <v>0</v>
      </c>
      <c r="H95" s="20">
        <f>DSUM($B$80:$Y$84,H$80,$C$91:$D95)</f>
        <v>0</v>
      </c>
      <c r="I95" s="20">
        <f>DSUM($B$80:$Y$84,I$80,$C$91:$D95)</f>
        <v>0</v>
      </c>
      <c r="J95" s="20">
        <f>DSUM($B$80:$Y$84,J$80,$C$91:$D95)</f>
        <v>0</v>
      </c>
      <c r="K95" s="20">
        <f>DSUM($B$80:$Y$84,K$80,$C$91:$D95)</f>
        <v>0</v>
      </c>
      <c r="L95" s="20">
        <f>DSUM($B$80:$Y$84,L$80,$C$91:$D95)</f>
        <v>0</v>
      </c>
      <c r="M95" s="20">
        <f>DSUM($B$80:$Y$84,M$80,$C$91:$D95)</f>
        <v>0</v>
      </c>
      <c r="N95" s="20">
        <f>DSUM($B$80:$Y$84,N$80,$C$91:$D95)</f>
        <v>0</v>
      </c>
      <c r="O95" s="20">
        <f>DSUM($B$80:$Y$84,O$80,$C$91:$D95)</f>
        <v>0</v>
      </c>
      <c r="P95" s="20">
        <f>DSUM($B$80:$Y$84,P$80,$C$91:$D95)</f>
        <v>0</v>
      </c>
      <c r="Q95" s="20">
        <f>DSUM($B$80:$Y$84,Q$80,$C$91:$D95)</f>
        <v>0</v>
      </c>
      <c r="R95" s="20">
        <f>DSUM($B$80:$Y$84,R$80,$C$91:$D95)</f>
        <v>0</v>
      </c>
      <c r="S95" s="20">
        <f>DSUM($B$80:$Y$84,S$80,$C$91:$D95)</f>
        <v>0</v>
      </c>
      <c r="T95" s="20">
        <f>DSUM($B$80:$Y$84,T$80,$C$91:$D95)</f>
        <v>0</v>
      </c>
      <c r="U95" s="20">
        <f>DSUM($B$80:$Y$84,U$80,$C$91:$D95)</f>
        <v>0</v>
      </c>
      <c r="V95" s="20">
        <f>DSUM($B$80:$Y$84,V$80,$C$91:$D95)</f>
        <v>0</v>
      </c>
      <c r="W95" s="20">
        <f>DSUM($B$80:$Y$84,W$80,$C$91:$D95)</f>
        <v>0</v>
      </c>
      <c r="X95" s="20">
        <f>DSUM($B$80:$Y$84,X$80,$C$91:$D95)</f>
        <v>0</v>
      </c>
      <c r="Y95" s="20">
        <f>DSUM($B$80:$Y$84,Y$80,$C$91:$D95)</f>
        <v>0</v>
      </c>
      <c r="Z95" s="7"/>
      <c r="AA95" s="7"/>
      <c r="AB95" s="7"/>
      <c r="AC95" s="7"/>
    </row>
    <row r="96" spans="1:29" customFormat="1">
      <c r="A96" s="7"/>
      <c r="B96" s="7" t="s">
        <v>81</v>
      </c>
      <c r="C96" s="38" t="s">
        <v>82</v>
      </c>
      <c r="D96" s="38" t="s">
        <v>83</v>
      </c>
      <c r="E96" s="20">
        <f ca="1">DSUM($B$80:$Y$84,E$80,$C$91:$D96)</f>
        <v>6.1636144628630055E-2</v>
      </c>
      <c r="F96" s="20">
        <f ca="1">DSUM($B$80:$Y$84,F$80,$C$91:$D96)</f>
        <v>0.12289200001495267</v>
      </c>
      <c r="G96" s="20">
        <f ca="1">DSUM($B$80:$Y$84,G$80,$C$91:$D96)</f>
        <v>0.18377047037500671</v>
      </c>
      <c r="H96" s="20">
        <f ca="1">DSUM($B$80:$Y$84,H$80,$C$91:$D96)</f>
        <v>0.24427442820622805</v>
      </c>
      <c r="I96" s="20">
        <f ca="1">DSUM($B$80:$Y$84,I$80,$C$91:$D96)</f>
        <v>0.30628226357050631</v>
      </c>
      <c r="J96" s="20">
        <f ca="1">DSUM($B$80:$Y$84,J$80,$C$91:$D96)</f>
        <v>0.36135392425292412</v>
      </c>
      <c r="K96" s="20">
        <f ca="1">DSUM($B$80:$Y$84,K$80,$C$91:$D96)</f>
        <v>0.40421296914301708</v>
      </c>
      <c r="L96" s="20">
        <f ca="1">DSUM($B$80:$Y$84,L$80,$C$91:$D96)</f>
        <v>0.43804377463485933</v>
      </c>
      <c r="M96" s="20">
        <f ca="1">DSUM($B$80:$Y$84,M$80,$C$91:$D96)</f>
        <v>0.46467612612301534</v>
      </c>
      <c r="N96" s="20">
        <f ca="1">DSUM($B$80:$Y$84,N$80,$C$91:$D96)</f>
        <v>0.5577955699177799</v>
      </c>
      <c r="O96" s="20">
        <f ca="1">DSUM($B$80:$Y$84,O$80,$C$91:$D96)</f>
        <v>0.56779573406072215</v>
      </c>
      <c r="P96" s="20">
        <f ca="1">DSUM($B$80:$Y$84,P$80,$C$91:$D96)</f>
        <v>0.57340757782890395</v>
      </c>
      <c r="Q96" s="20">
        <f ca="1">DSUM($B$80:$Y$84,Q$80,$C$91:$D96)</f>
        <v>0.57609194228056249</v>
      </c>
      <c r="R96" s="20">
        <f ca="1">DSUM($B$80:$Y$84,R$80,$C$91:$D96)</f>
        <v>0.57598052325954119</v>
      </c>
      <c r="S96" s="20">
        <f ca="1">DSUM($B$80:$Y$84,S$80,$C$91:$D96)</f>
        <v>0.5740976149937016</v>
      </c>
      <c r="T96" s="20">
        <f ca="1">DSUM($B$80:$Y$84,T$80,$C$91:$D96)</f>
        <v>0.57407929687268933</v>
      </c>
      <c r="U96" s="20">
        <f ca="1">DSUM($B$80:$Y$84,U$80,$C$91:$D96)</f>
        <v>0.57448116984407516</v>
      </c>
      <c r="V96" s="20">
        <f ca="1">DSUM($B$80:$Y$84,V$80,$C$91:$D96)</f>
        <v>0.56990040562294875</v>
      </c>
      <c r="W96" s="20">
        <f ca="1">DSUM($B$80:$Y$84,W$80,$C$91:$D96)</f>
        <v>0.57091758793198633</v>
      </c>
      <c r="X96" s="20">
        <f ca="1">DSUM($B$80:$Y$84,X$80,$C$91:$D96)</f>
        <v>0.56734982926509825</v>
      </c>
      <c r="Y96" s="20">
        <f ca="1">DSUM($B$80:$Y$84,Y$80,$C$91:$D96)</f>
        <v>5.4052958237524305</v>
      </c>
      <c r="Z96" s="7"/>
      <c r="AA96" s="7"/>
      <c r="AB96" s="7"/>
      <c r="AC96" s="7"/>
    </row>
    <row r="97" spans="1:29" customFormat="1">
      <c r="A97" s="7"/>
      <c r="B97" s="7" t="s">
        <v>84</v>
      </c>
      <c r="C97" s="38" t="s">
        <v>85</v>
      </c>
      <c r="D97" s="38" t="s">
        <v>86</v>
      </c>
      <c r="E97" s="20">
        <f ca="1">DSUM($B$80:$Y$84,E$80,$C$91:$D97)</f>
        <v>6.1636144628630055E-2</v>
      </c>
      <c r="F97" s="20">
        <f ca="1">DSUM($B$80:$Y$84,F$80,$C$91:$D97)</f>
        <v>0.12289200001495267</v>
      </c>
      <c r="G97" s="20">
        <f ca="1">DSUM($B$80:$Y$84,G$80,$C$91:$D97)</f>
        <v>0.18377047037500671</v>
      </c>
      <c r="H97" s="20">
        <f ca="1">DSUM($B$80:$Y$84,H$80,$C$91:$D97)</f>
        <v>0.24427442820622805</v>
      </c>
      <c r="I97" s="20">
        <f ca="1">DSUM($B$80:$Y$84,I$80,$C$91:$D97)</f>
        <v>0.30628226357050631</v>
      </c>
      <c r="J97" s="20">
        <f ca="1">DSUM($B$80:$Y$84,J$80,$C$91:$D97)</f>
        <v>0.36135392425292412</v>
      </c>
      <c r="K97" s="20">
        <f ca="1">DSUM($B$80:$Y$84,K$80,$C$91:$D97)</f>
        <v>0.40421296914301708</v>
      </c>
      <c r="L97" s="20">
        <f ca="1">DSUM($B$80:$Y$84,L$80,$C$91:$D97)</f>
        <v>0.43804377463485933</v>
      </c>
      <c r="M97" s="20">
        <f ca="1">DSUM($B$80:$Y$84,M$80,$C$91:$D97)</f>
        <v>0.46467612612301534</v>
      </c>
      <c r="N97" s="20">
        <f ca="1">DSUM($B$80:$Y$84,N$80,$C$91:$D97)</f>
        <v>0.5577955699177799</v>
      </c>
      <c r="O97" s="20">
        <f ca="1">DSUM($B$80:$Y$84,O$80,$C$91:$D97)</f>
        <v>0.56779573406072215</v>
      </c>
      <c r="P97" s="20">
        <f ca="1">DSUM($B$80:$Y$84,P$80,$C$91:$D97)</f>
        <v>0.57340757782890395</v>
      </c>
      <c r="Q97" s="20">
        <f ca="1">DSUM($B$80:$Y$84,Q$80,$C$91:$D97)</f>
        <v>0.57609194228056249</v>
      </c>
      <c r="R97" s="20">
        <f ca="1">DSUM($B$80:$Y$84,R$80,$C$91:$D97)</f>
        <v>0.57598052325954119</v>
      </c>
      <c r="S97" s="20">
        <f ca="1">DSUM($B$80:$Y$84,S$80,$C$91:$D97)</f>
        <v>0.5740976149937016</v>
      </c>
      <c r="T97" s="20">
        <f ca="1">DSUM($B$80:$Y$84,T$80,$C$91:$D97)</f>
        <v>0.57407929687268933</v>
      </c>
      <c r="U97" s="20">
        <f ca="1">DSUM($B$80:$Y$84,U$80,$C$91:$D97)</f>
        <v>0.57448116984407516</v>
      </c>
      <c r="V97" s="20">
        <f ca="1">DSUM($B$80:$Y$84,V$80,$C$91:$D97)</f>
        <v>0.56990040562294875</v>
      </c>
      <c r="W97" s="20">
        <f ca="1">DSUM($B$80:$Y$84,W$80,$C$91:$D97)</f>
        <v>0.57091758793198633</v>
      </c>
      <c r="X97" s="20">
        <f ca="1">DSUM($B$80:$Y$84,X$80,$C$91:$D97)</f>
        <v>0.56734982926509825</v>
      </c>
      <c r="Y97" s="20">
        <f ca="1">DSUM($B$80:$Y$84,Y$80,$C$91:$D97)</f>
        <v>5.4052958237524305</v>
      </c>
      <c r="Z97" s="7"/>
      <c r="AA97" s="7"/>
      <c r="AB97" s="7"/>
      <c r="AC97" s="7"/>
    </row>
    <row r="98" spans="1:29" customFormat="1">
      <c r="A98" s="7"/>
      <c r="B98" s="7" t="s">
        <v>87</v>
      </c>
      <c r="C98" s="38" t="s">
        <v>88</v>
      </c>
      <c r="D98" s="38" t="s">
        <v>89</v>
      </c>
      <c r="E98" s="20">
        <f ca="1">DSUM($B$80:$Y$84,E$80,$C$91:$D98)</f>
        <v>6.1636144628630055E-2</v>
      </c>
      <c r="F98" s="20">
        <f ca="1">DSUM($B$80:$Y$84,F$80,$C$91:$D98)</f>
        <v>0.12289200001495267</v>
      </c>
      <c r="G98" s="20">
        <f ca="1">DSUM($B$80:$Y$84,G$80,$C$91:$D98)</f>
        <v>0.18377047037500671</v>
      </c>
      <c r="H98" s="20">
        <f ca="1">DSUM($B$80:$Y$84,H$80,$C$91:$D98)</f>
        <v>0.24427442820622805</v>
      </c>
      <c r="I98" s="20">
        <f ca="1">DSUM($B$80:$Y$84,I$80,$C$91:$D98)</f>
        <v>0.30628226357050631</v>
      </c>
      <c r="J98" s="20">
        <f ca="1">DSUM($B$80:$Y$84,J$80,$C$91:$D98)</f>
        <v>0.36135392425292412</v>
      </c>
      <c r="K98" s="20">
        <f ca="1">DSUM($B$80:$Y$84,K$80,$C$91:$D98)</f>
        <v>0.40421296914301708</v>
      </c>
      <c r="L98" s="20">
        <f ca="1">DSUM($B$80:$Y$84,L$80,$C$91:$D98)</f>
        <v>0.43804377463485933</v>
      </c>
      <c r="M98" s="20">
        <f ca="1">DSUM($B$80:$Y$84,M$80,$C$91:$D98)</f>
        <v>0.46467612612301534</v>
      </c>
      <c r="N98" s="20">
        <f ca="1">DSUM($B$80:$Y$84,N$80,$C$91:$D98)</f>
        <v>0.5577955699177799</v>
      </c>
      <c r="O98" s="20">
        <f ca="1">DSUM($B$80:$Y$84,O$80,$C$91:$D98)</f>
        <v>0.56779573406072215</v>
      </c>
      <c r="P98" s="20">
        <f ca="1">DSUM($B$80:$Y$84,P$80,$C$91:$D98)</f>
        <v>0.57340757782890395</v>
      </c>
      <c r="Q98" s="20">
        <f ca="1">DSUM($B$80:$Y$84,Q$80,$C$91:$D98)</f>
        <v>0.57609194228056249</v>
      </c>
      <c r="R98" s="20">
        <f ca="1">DSUM($B$80:$Y$84,R$80,$C$91:$D98)</f>
        <v>0.57598052325954119</v>
      </c>
      <c r="S98" s="20">
        <f ca="1">DSUM($B$80:$Y$84,S$80,$C$91:$D98)</f>
        <v>0.5740976149937016</v>
      </c>
      <c r="T98" s="20">
        <f ca="1">DSUM($B$80:$Y$84,T$80,$C$91:$D98)</f>
        <v>0.57407929687268933</v>
      </c>
      <c r="U98" s="20">
        <f ca="1">DSUM($B$80:$Y$84,U$80,$C$91:$D98)</f>
        <v>0.57448116984407516</v>
      </c>
      <c r="V98" s="20">
        <f ca="1">DSUM($B$80:$Y$84,V$80,$C$91:$D98)</f>
        <v>0.56990040562294875</v>
      </c>
      <c r="W98" s="20">
        <f ca="1">DSUM($B$80:$Y$84,W$80,$C$91:$D98)</f>
        <v>0.57091758793198633</v>
      </c>
      <c r="X98" s="20">
        <f ca="1">DSUM($B$80:$Y$84,X$80,$C$91:$D98)</f>
        <v>0.56734982926509825</v>
      </c>
      <c r="Y98" s="20">
        <f ca="1">DSUM($B$80:$Y$84,Y$80,$C$91:$D98)</f>
        <v>5.4052958237524305</v>
      </c>
      <c r="Z98" s="7"/>
      <c r="AA98" s="7"/>
      <c r="AB98" s="7"/>
      <c r="AC98" s="7"/>
    </row>
    <row r="99" spans="1:29" customFormat="1">
      <c r="A99" s="7"/>
      <c r="B99" s="7" t="s">
        <v>90</v>
      </c>
      <c r="C99" s="38" t="s">
        <v>91</v>
      </c>
      <c r="D99" s="38" t="s">
        <v>92</v>
      </c>
      <c r="E99" s="20">
        <f ca="1">DSUM($B$80:$Y$84,E$80,$C$91:$D99)</f>
        <v>6.1636144628630055E-2</v>
      </c>
      <c r="F99" s="20">
        <f ca="1">DSUM($B$80:$Y$84,F$80,$C$91:$D99)</f>
        <v>0.12289200001495267</v>
      </c>
      <c r="G99" s="20">
        <f ca="1">DSUM($B$80:$Y$84,G$80,$C$91:$D99)</f>
        <v>0.18377047037500671</v>
      </c>
      <c r="H99" s="20">
        <f ca="1">DSUM($B$80:$Y$84,H$80,$C$91:$D99)</f>
        <v>0.24427442820622805</v>
      </c>
      <c r="I99" s="20">
        <f ca="1">DSUM($B$80:$Y$84,I$80,$C$91:$D99)</f>
        <v>0.30628226357050631</v>
      </c>
      <c r="J99" s="20">
        <f ca="1">DSUM($B$80:$Y$84,J$80,$C$91:$D99)</f>
        <v>0.36135392425292412</v>
      </c>
      <c r="K99" s="20">
        <f ca="1">DSUM($B$80:$Y$84,K$80,$C$91:$D99)</f>
        <v>0.40421296914301708</v>
      </c>
      <c r="L99" s="20">
        <f ca="1">DSUM($B$80:$Y$84,L$80,$C$91:$D99)</f>
        <v>0.43804377463485933</v>
      </c>
      <c r="M99" s="20">
        <f ca="1">DSUM($B$80:$Y$84,M$80,$C$91:$D99)</f>
        <v>0.46467612612301534</v>
      </c>
      <c r="N99" s="20">
        <f ca="1">DSUM($B$80:$Y$84,N$80,$C$91:$D99)</f>
        <v>0.5577955699177799</v>
      </c>
      <c r="O99" s="20">
        <f ca="1">DSUM($B$80:$Y$84,O$80,$C$91:$D99)</f>
        <v>0.56779573406072215</v>
      </c>
      <c r="P99" s="20">
        <f ca="1">DSUM($B$80:$Y$84,P$80,$C$91:$D99)</f>
        <v>0.57340757782890395</v>
      </c>
      <c r="Q99" s="20">
        <f ca="1">DSUM($B$80:$Y$84,Q$80,$C$91:$D99)</f>
        <v>0.57609194228056249</v>
      </c>
      <c r="R99" s="20">
        <f ca="1">DSUM($B$80:$Y$84,R$80,$C$91:$D99)</f>
        <v>0.57598052325954119</v>
      </c>
      <c r="S99" s="20">
        <f ca="1">DSUM($B$80:$Y$84,S$80,$C$91:$D99)</f>
        <v>0.5740976149937016</v>
      </c>
      <c r="T99" s="20">
        <f ca="1">DSUM($B$80:$Y$84,T$80,$C$91:$D99)</f>
        <v>0.57407929687268933</v>
      </c>
      <c r="U99" s="20">
        <f ca="1">DSUM($B$80:$Y$84,U$80,$C$91:$D99)</f>
        <v>0.57448116984407516</v>
      </c>
      <c r="V99" s="20">
        <f ca="1">DSUM($B$80:$Y$84,V$80,$C$91:$D99)</f>
        <v>0.56990040562294875</v>
      </c>
      <c r="W99" s="20">
        <f ca="1">DSUM($B$80:$Y$84,W$80,$C$91:$D99)</f>
        <v>0.57091758793198633</v>
      </c>
      <c r="X99" s="20">
        <f ca="1">DSUM($B$80:$Y$84,X$80,$C$91:$D99)</f>
        <v>0.56734982926509825</v>
      </c>
      <c r="Y99" s="20">
        <f ca="1">DSUM($B$80:$Y$84,Y$80,$C$91:$D99)</f>
        <v>5.4052958237524305</v>
      </c>
      <c r="Z99" s="7"/>
      <c r="AA99" s="7"/>
      <c r="AB99" s="7"/>
      <c r="AC99" s="7"/>
    </row>
    <row r="100" spans="1:29" customFormat="1">
      <c r="A100" s="7"/>
      <c r="B100" s="7" t="s">
        <v>93</v>
      </c>
      <c r="C100" s="38" t="s">
        <v>94</v>
      </c>
      <c r="D100" s="38" t="s">
        <v>95</v>
      </c>
      <c r="E100" s="20">
        <f ca="1">DSUM($B$80:$Y$84,E$80,$C$91:$D100)</f>
        <v>6.1636144628630055E-2</v>
      </c>
      <c r="F100" s="20">
        <f ca="1">DSUM($B$80:$Y$84,F$80,$C$91:$D100)</f>
        <v>0.12289200001495267</v>
      </c>
      <c r="G100" s="20">
        <f ca="1">DSUM($B$80:$Y$84,G$80,$C$91:$D100)</f>
        <v>0.18377047037500671</v>
      </c>
      <c r="H100" s="20">
        <f ca="1">DSUM($B$80:$Y$84,H$80,$C$91:$D100)</f>
        <v>0.24427442820622805</v>
      </c>
      <c r="I100" s="20">
        <f ca="1">DSUM($B$80:$Y$84,I$80,$C$91:$D100)</f>
        <v>0.30628226357050631</v>
      </c>
      <c r="J100" s="20">
        <f ca="1">DSUM($B$80:$Y$84,J$80,$C$91:$D100)</f>
        <v>0.36135392425292412</v>
      </c>
      <c r="K100" s="20">
        <f ca="1">DSUM($B$80:$Y$84,K$80,$C$91:$D100)</f>
        <v>0.40421296914301708</v>
      </c>
      <c r="L100" s="20">
        <f ca="1">DSUM($B$80:$Y$84,L$80,$C$91:$D100)</f>
        <v>0.43804377463485933</v>
      </c>
      <c r="M100" s="20">
        <f ca="1">DSUM($B$80:$Y$84,M$80,$C$91:$D100)</f>
        <v>0.46467612612301534</v>
      </c>
      <c r="N100" s="20">
        <f ca="1">DSUM($B$80:$Y$84,N$80,$C$91:$D100)</f>
        <v>0.5577955699177799</v>
      </c>
      <c r="O100" s="20">
        <f ca="1">DSUM($B$80:$Y$84,O$80,$C$91:$D100)</f>
        <v>0.56779573406072215</v>
      </c>
      <c r="P100" s="20">
        <f ca="1">DSUM($B$80:$Y$84,P$80,$C$91:$D100)</f>
        <v>0.57340757782890395</v>
      </c>
      <c r="Q100" s="20">
        <f ca="1">DSUM($B$80:$Y$84,Q$80,$C$91:$D100)</f>
        <v>0.57609194228056249</v>
      </c>
      <c r="R100" s="20">
        <f ca="1">DSUM($B$80:$Y$84,R$80,$C$91:$D100)</f>
        <v>0.57598052325954119</v>
      </c>
      <c r="S100" s="20">
        <f ca="1">DSUM($B$80:$Y$84,S$80,$C$91:$D100)</f>
        <v>0.5740976149937016</v>
      </c>
      <c r="T100" s="20">
        <f ca="1">DSUM($B$80:$Y$84,T$80,$C$91:$D100)</f>
        <v>0.57407929687268933</v>
      </c>
      <c r="U100" s="20">
        <f ca="1">DSUM($B$80:$Y$84,U$80,$C$91:$D100)</f>
        <v>0.57448116984407516</v>
      </c>
      <c r="V100" s="20">
        <f ca="1">DSUM($B$80:$Y$84,V$80,$C$91:$D100)</f>
        <v>0.56990040562294875</v>
      </c>
      <c r="W100" s="20">
        <f ca="1">DSUM($B$80:$Y$84,W$80,$C$91:$D100)</f>
        <v>0.57091758793198633</v>
      </c>
      <c r="X100" s="20">
        <f ca="1">DSUM($B$80:$Y$84,X$80,$C$91:$D100)</f>
        <v>0.56734982926509825</v>
      </c>
      <c r="Y100" s="20">
        <f ca="1">DSUM($B$80:$Y$84,Y$80,$C$91:$D100)</f>
        <v>5.4052958237524305</v>
      </c>
      <c r="Z100" s="7"/>
      <c r="AA100" s="7"/>
      <c r="AB100" s="7"/>
      <c r="AC100" s="7"/>
    </row>
    <row r="101" spans="1:29" customFormat="1">
      <c r="A101" s="7"/>
      <c r="B101" s="7" t="s">
        <v>96</v>
      </c>
      <c r="C101" s="38" t="s">
        <v>97</v>
      </c>
      <c r="D101" s="38" t="s">
        <v>98</v>
      </c>
      <c r="E101" s="20">
        <f ca="1">DSUM($B$80:$Y$84,E$80,$C$91:$D101)</f>
        <v>6.1636144628630055E-2</v>
      </c>
      <c r="F101" s="20">
        <f ca="1">DSUM($B$80:$Y$84,F$80,$C$91:$D101)</f>
        <v>0.12289200001495267</v>
      </c>
      <c r="G101" s="20">
        <f ca="1">DSUM($B$80:$Y$84,G$80,$C$91:$D101)</f>
        <v>0.18377047037500671</v>
      </c>
      <c r="H101" s="20">
        <f ca="1">DSUM($B$80:$Y$84,H$80,$C$91:$D101)</f>
        <v>0.24427442820622805</v>
      </c>
      <c r="I101" s="20">
        <f ca="1">DSUM($B$80:$Y$84,I$80,$C$91:$D101)</f>
        <v>0.30628226357050631</v>
      </c>
      <c r="J101" s="20">
        <f ca="1">DSUM($B$80:$Y$84,J$80,$C$91:$D101)</f>
        <v>0.36135392425292412</v>
      </c>
      <c r="K101" s="20">
        <f ca="1">DSUM($B$80:$Y$84,K$80,$C$91:$D101)</f>
        <v>0.40421296914301708</v>
      </c>
      <c r="L101" s="20">
        <f ca="1">DSUM($B$80:$Y$84,L$80,$C$91:$D101)</f>
        <v>0.43804377463485933</v>
      </c>
      <c r="M101" s="20">
        <f ca="1">DSUM($B$80:$Y$84,M$80,$C$91:$D101)</f>
        <v>0.46467612612301534</v>
      </c>
      <c r="N101" s="20">
        <f ca="1">DSUM($B$80:$Y$84,N$80,$C$91:$D101)</f>
        <v>0.5577955699177799</v>
      </c>
      <c r="O101" s="20">
        <f ca="1">DSUM($B$80:$Y$84,O$80,$C$91:$D101)</f>
        <v>0.56779573406072215</v>
      </c>
      <c r="P101" s="20">
        <f ca="1">DSUM($B$80:$Y$84,P$80,$C$91:$D101)</f>
        <v>0.57340757782890395</v>
      </c>
      <c r="Q101" s="20">
        <f ca="1">DSUM($B$80:$Y$84,Q$80,$C$91:$D101)</f>
        <v>0.57609194228056249</v>
      </c>
      <c r="R101" s="20">
        <f ca="1">DSUM($B$80:$Y$84,R$80,$C$91:$D101)</f>
        <v>0.57598052325954119</v>
      </c>
      <c r="S101" s="20">
        <f ca="1">DSUM($B$80:$Y$84,S$80,$C$91:$D101)</f>
        <v>0.5740976149937016</v>
      </c>
      <c r="T101" s="20">
        <f ca="1">DSUM($B$80:$Y$84,T$80,$C$91:$D101)</f>
        <v>0.57407929687268933</v>
      </c>
      <c r="U101" s="20">
        <f ca="1">DSUM($B$80:$Y$84,U$80,$C$91:$D101)</f>
        <v>0.57448116984407516</v>
      </c>
      <c r="V101" s="20">
        <f ca="1">DSUM($B$80:$Y$84,V$80,$C$91:$D101)</f>
        <v>0.56990040562294875</v>
      </c>
      <c r="W101" s="20">
        <f ca="1">DSUM($B$80:$Y$84,W$80,$C$91:$D101)</f>
        <v>0.57091758793198633</v>
      </c>
      <c r="X101" s="20">
        <f ca="1">DSUM($B$80:$Y$84,X$80,$C$91:$D101)</f>
        <v>0.56734982926509825</v>
      </c>
      <c r="Y101" s="20">
        <f ca="1">DSUM($B$80:$Y$84,Y$80,$C$91:$D101)</f>
        <v>5.4052958237524305</v>
      </c>
      <c r="Z101" s="7"/>
      <c r="AA101" s="7"/>
      <c r="AB101" s="7"/>
      <c r="AC101" s="7"/>
    </row>
    <row r="102" spans="1:29" customFormat="1">
      <c r="A102" s="7"/>
      <c r="B102" s="7" t="s">
        <v>99</v>
      </c>
      <c r="C102" s="38" t="s">
        <v>100</v>
      </c>
      <c r="D102" s="38" t="s">
        <v>101</v>
      </c>
      <c r="E102" s="20">
        <f ca="1">DSUM($B$80:$Y$84,E$80,$C$91:$D102)</f>
        <v>6.1636144628630055E-2</v>
      </c>
      <c r="F102" s="20">
        <f ca="1">DSUM($B$80:$Y$84,F$80,$C$91:$D102)</f>
        <v>0.12289200001495267</v>
      </c>
      <c r="G102" s="20">
        <f ca="1">DSUM($B$80:$Y$84,G$80,$C$91:$D102)</f>
        <v>0.18377047037500671</v>
      </c>
      <c r="H102" s="20">
        <f ca="1">DSUM($B$80:$Y$84,H$80,$C$91:$D102)</f>
        <v>0.24427442820622805</v>
      </c>
      <c r="I102" s="20">
        <f ca="1">DSUM($B$80:$Y$84,I$80,$C$91:$D102)</f>
        <v>0.30628226357050631</v>
      </c>
      <c r="J102" s="20">
        <f ca="1">DSUM($B$80:$Y$84,J$80,$C$91:$D102)</f>
        <v>0.36135392425292412</v>
      </c>
      <c r="K102" s="20">
        <f ca="1">DSUM($B$80:$Y$84,K$80,$C$91:$D102)</f>
        <v>0.40421296914301708</v>
      </c>
      <c r="L102" s="20">
        <f ca="1">DSUM($B$80:$Y$84,L$80,$C$91:$D102)</f>
        <v>0.43804377463485933</v>
      </c>
      <c r="M102" s="20">
        <f ca="1">DSUM($B$80:$Y$84,M$80,$C$91:$D102)</f>
        <v>0.46467612612301534</v>
      </c>
      <c r="N102" s="20">
        <f ca="1">DSUM($B$80:$Y$84,N$80,$C$91:$D102)</f>
        <v>0.5577955699177799</v>
      </c>
      <c r="O102" s="20">
        <f ca="1">DSUM($B$80:$Y$84,O$80,$C$91:$D102)</f>
        <v>0.56779573406072215</v>
      </c>
      <c r="P102" s="20">
        <f ca="1">DSUM($B$80:$Y$84,P$80,$C$91:$D102)</f>
        <v>0.57340757782890395</v>
      </c>
      <c r="Q102" s="20">
        <f ca="1">DSUM($B$80:$Y$84,Q$80,$C$91:$D102)</f>
        <v>0.57609194228056249</v>
      </c>
      <c r="R102" s="20">
        <f ca="1">DSUM($B$80:$Y$84,R$80,$C$91:$D102)</f>
        <v>0.57598052325954119</v>
      </c>
      <c r="S102" s="20">
        <f ca="1">DSUM($B$80:$Y$84,S$80,$C$91:$D102)</f>
        <v>0.5740976149937016</v>
      </c>
      <c r="T102" s="20">
        <f ca="1">DSUM($B$80:$Y$84,T$80,$C$91:$D102)</f>
        <v>0.57407929687268933</v>
      </c>
      <c r="U102" s="20">
        <f ca="1">DSUM($B$80:$Y$84,U$80,$C$91:$D102)</f>
        <v>0.57448116984407516</v>
      </c>
      <c r="V102" s="20">
        <f ca="1">DSUM($B$80:$Y$84,V$80,$C$91:$D102)</f>
        <v>0.56990040562294875</v>
      </c>
      <c r="W102" s="20">
        <f ca="1">DSUM($B$80:$Y$84,W$80,$C$91:$D102)</f>
        <v>0.57091758793198633</v>
      </c>
      <c r="X102" s="20">
        <f ca="1">DSUM($B$80:$Y$84,X$80,$C$91:$D102)</f>
        <v>0.56734982926509825</v>
      </c>
      <c r="Y102" s="20">
        <f ca="1">DSUM($B$80:$Y$84,Y$80,$C$91:$D102)</f>
        <v>5.4052958237524305</v>
      </c>
      <c r="Z102" s="7"/>
      <c r="AA102" s="7"/>
      <c r="AB102" s="7"/>
      <c r="AC102" s="7"/>
    </row>
    <row r="103" spans="1:29" customFormat="1">
      <c r="A103" s="7"/>
      <c r="B103" s="7" t="s">
        <v>102</v>
      </c>
      <c r="C103" s="38" t="s">
        <v>103</v>
      </c>
      <c r="D103" s="38" t="s">
        <v>104</v>
      </c>
      <c r="E103" s="20">
        <f ca="1">DSUM($B$80:$Y$84,E$80,$C$91:$D103)</f>
        <v>6.1636144628630055E-2</v>
      </c>
      <c r="F103" s="20">
        <f ca="1">DSUM($B$80:$Y$84,F$80,$C$91:$D103)</f>
        <v>0.12289200001495267</v>
      </c>
      <c r="G103" s="20">
        <f ca="1">DSUM($B$80:$Y$84,G$80,$C$91:$D103)</f>
        <v>0.18377047037500671</v>
      </c>
      <c r="H103" s="20">
        <f ca="1">DSUM($B$80:$Y$84,H$80,$C$91:$D103)</f>
        <v>0.24427442820622805</v>
      </c>
      <c r="I103" s="20">
        <f ca="1">DSUM($B$80:$Y$84,I$80,$C$91:$D103)</f>
        <v>0.30628226357050631</v>
      </c>
      <c r="J103" s="20">
        <f ca="1">DSUM($B$80:$Y$84,J$80,$C$91:$D103)</f>
        <v>0.36135392425292412</v>
      </c>
      <c r="K103" s="20">
        <f ca="1">DSUM($B$80:$Y$84,K$80,$C$91:$D103)</f>
        <v>0.40421296914301708</v>
      </c>
      <c r="L103" s="20">
        <f ca="1">DSUM($B$80:$Y$84,L$80,$C$91:$D103)</f>
        <v>0.43804377463485933</v>
      </c>
      <c r="M103" s="20">
        <f ca="1">DSUM($B$80:$Y$84,M$80,$C$91:$D103)</f>
        <v>0.46467612612301534</v>
      </c>
      <c r="N103" s="20">
        <f ca="1">DSUM($B$80:$Y$84,N$80,$C$91:$D103)</f>
        <v>0.5577955699177799</v>
      </c>
      <c r="O103" s="20">
        <f ca="1">DSUM($B$80:$Y$84,O$80,$C$91:$D103)</f>
        <v>0.56779573406072215</v>
      </c>
      <c r="P103" s="20">
        <f ca="1">DSUM($B$80:$Y$84,P$80,$C$91:$D103)</f>
        <v>0.57340757782890395</v>
      </c>
      <c r="Q103" s="20">
        <f ca="1">DSUM($B$80:$Y$84,Q$80,$C$91:$D103)</f>
        <v>0.57609194228056249</v>
      </c>
      <c r="R103" s="20">
        <f ca="1">DSUM($B$80:$Y$84,R$80,$C$91:$D103)</f>
        <v>0.57598052325954119</v>
      </c>
      <c r="S103" s="20">
        <f ca="1">DSUM($B$80:$Y$84,S$80,$C$91:$D103)</f>
        <v>0.5740976149937016</v>
      </c>
      <c r="T103" s="20">
        <f ca="1">DSUM($B$80:$Y$84,T$80,$C$91:$D103)</f>
        <v>0.57407929687268933</v>
      </c>
      <c r="U103" s="20">
        <f ca="1">DSUM($B$80:$Y$84,U$80,$C$91:$D103)</f>
        <v>0.57448116984407516</v>
      </c>
      <c r="V103" s="20">
        <f ca="1">DSUM($B$80:$Y$84,V$80,$C$91:$D103)</f>
        <v>0.56990040562294875</v>
      </c>
      <c r="W103" s="20">
        <f ca="1">DSUM($B$80:$Y$84,W$80,$C$91:$D103)</f>
        <v>0.57091758793198633</v>
      </c>
      <c r="X103" s="20">
        <f ca="1">DSUM($B$80:$Y$84,X$80,$C$91:$D103)</f>
        <v>0.56734982926509825</v>
      </c>
      <c r="Y103" s="20">
        <f ca="1">DSUM($B$80:$Y$84,Y$80,$C$91:$D103)</f>
        <v>5.4052958237524305</v>
      </c>
      <c r="Z103" s="7"/>
      <c r="AA103" s="7"/>
      <c r="AB103" s="7"/>
      <c r="AC103" s="7"/>
    </row>
    <row r="104" spans="1:29" customFormat="1">
      <c r="A104" s="7"/>
      <c r="B104" s="7" t="s">
        <v>105</v>
      </c>
      <c r="C104" s="38" t="s">
        <v>106</v>
      </c>
      <c r="D104" s="38" t="s">
        <v>107</v>
      </c>
      <c r="E104" s="20">
        <f ca="1">DSUM($B$80:$Y$84,E$80,$C$91:$D104)</f>
        <v>6.1636144628630055E-2</v>
      </c>
      <c r="F104" s="20">
        <f ca="1">DSUM($B$80:$Y$84,F$80,$C$91:$D104)</f>
        <v>0.12289200001495267</v>
      </c>
      <c r="G104" s="20">
        <f ca="1">DSUM($B$80:$Y$84,G$80,$C$91:$D104)</f>
        <v>0.18377047037500671</v>
      </c>
      <c r="H104" s="20">
        <f ca="1">DSUM($B$80:$Y$84,H$80,$C$91:$D104)</f>
        <v>0.24427442820622805</v>
      </c>
      <c r="I104" s="20">
        <f ca="1">DSUM($B$80:$Y$84,I$80,$C$91:$D104)</f>
        <v>0.30628226357050631</v>
      </c>
      <c r="J104" s="20">
        <f ca="1">DSUM($B$80:$Y$84,J$80,$C$91:$D104)</f>
        <v>0.36135392425292412</v>
      </c>
      <c r="K104" s="20">
        <f ca="1">DSUM($B$80:$Y$84,K$80,$C$91:$D104)</f>
        <v>0.40421296914301708</v>
      </c>
      <c r="L104" s="20">
        <f ca="1">DSUM($B$80:$Y$84,L$80,$C$91:$D104)</f>
        <v>0.43804377463485933</v>
      </c>
      <c r="M104" s="20">
        <f ca="1">DSUM($B$80:$Y$84,M$80,$C$91:$D104)</f>
        <v>0.46467612612301534</v>
      </c>
      <c r="N104" s="20">
        <f ca="1">DSUM($B$80:$Y$84,N$80,$C$91:$D104)</f>
        <v>0.5577955699177799</v>
      </c>
      <c r="O104" s="20">
        <f ca="1">DSUM($B$80:$Y$84,O$80,$C$91:$D104)</f>
        <v>0.56779573406072215</v>
      </c>
      <c r="P104" s="20">
        <f ca="1">DSUM($B$80:$Y$84,P$80,$C$91:$D104)</f>
        <v>0.57340757782890395</v>
      </c>
      <c r="Q104" s="20">
        <f ca="1">DSUM($B$80:$Y$84,Q$80,$C$91:$D104)</f>
        <v>0.57609194228056249</v>
      </c>
      <c r="R104" s="20">
        <f ca="1">DSUM($B$80:$Y$84,R$80,$C$91:$D104)</f>
        <v>0.57598052325954119</v>
      </c>
      <c r="S104" s="20">
        <f ca="1">DSUM($B$80:$Y$84,S$80,$C$91:$D104)</f>
        <v>0.5740976149937016</v>
      </c>
      <c r="T104" s="20">
        <f ca="1">DSUM($B$80:$Y$84,T$80,$C$91:$D104)</f>
        <v>0.57407929687268933</v>
      </c>
      <c r="U104" s="20">
        <f ca="1">DSUM($B$80:$Y$84,U$80,$C$91:$D104)</f>
        <v>0.57448116984407516</v>
      </c>
      <c r="V104" s="20">
        <f ca="1">DSUM($B$80:$Y$84,V$80,$C$91:$D104)</f>
        <v>0.56990040562294875</v>
      </c>
      <c r="W104" s="20">
        <f ca="1">DSUM($B$80:$Y$84,W$80,$C$91:$D104)</f>
        <v>0.57091758793198633</v>
      </c>
      <c r="X104" s="20">
        <f ca="1">DSUM($B$80:$Y$84,X$80,$C$91:$D104)</f>
        <v>0.56734982926509825</v>
      </c>
      <c r="Y104" s="20">
        <f ca="1">DSUM($B$80:$Y$84,Y$80,$C$91:$D104)</f>
        <v>5.4052958237524305</v>
      </c>
      <c r="Z104" s="7"/>
      <c r="AA104" s="7"/>
      <c r="AB104" s="7"/>
      <c r="AC104" s="7"/>
    </row>
    <row r="105" spans="1:29" customFormat="1">
      <c r="A105" s="7"/>
      <c r="B105" s="7" t="s">
        <v>108</v>
      </c>
      <c r="C105" s="38" t="s">
        <v>109</v>
      </c>
      <c r="D105" s="38" t="s">
        <v>110</v>
      </c>
      <c r="E105" s="20">
        <f ca="1">DSUM($B$80:$Y$84,E$80,$C$91:$D105)</f>
        <v>6.1636144628630055E-2</v>
      </c>
      <c r="F105" s="20">
        <f ca="1">DSUM($B$80:$Y$84,F$80,$C$91:$D105)</f>
        <v>0.12289200001495267</v>
      </c>
      <c r="G105" s="20">
        <f ca="1">DSUM($B$80:$Y$84,G$80,$C$91:$D105)</f>
        <v>0.18377047037500671</v>
      </c>
      <c r="H105" s="20">
        <f ca="1">DSUM($B$80:$Y$84,H$80,$C$91:$D105)</f>
        <v>0.24427442820622805</v>
      </c>
      <c r="I105" s="20">
        <f ca="1">DSUM($B$80:$Y$84,I$80,$C$91:$D105)</f>
        <v>0.30628226357050631</v>
      </c>
      <c r="J105" s="20">
        <f ca="1">DSUM($B$80:$Y$84,J$80,$C$91:$D105)</f>
        <v>0.36135392425292412</v>
      </c>
      <c r="K105" s="20">
        <f ca="1">DSUM($B$80:$Y$84,K$80,$C$91:$D105)</f>
        <v>0.40421296914301708</v>
      </c>
      <c r="L105" s="20">
        <f ca="1">DSUM($B$80:$Y$84,L$80,$C$91:$D105)</f>
        <v>0.43804377463485933</v>
      </c>
      <c r="M105" s="20">
        <f ca="1">DSUM($B$80:$Y$84,M$80,$C$91:$D105)</f>
        <v>0.46467612612301534</v>
      </c>
      <c r="N105" s="20">
        <f ca="1">DSUM($B$80:$Y$84,N$80,$C$91:$D105)</f>
        <v>0.5577955699177799</v>
      </c>
      <c r="O105" s="20">
        <f ca="1">DSUM($B$80:$Y$84,O$80,$C$91:$D105)</f>
        <v>0.56779573406072215</v>
      </c>
      <c r="P105" s="20">
        <f ca="1">DSUM($B$80:$Y$84,P$80,$C$91:$D105)</f>
        <v>0.57340757782890395</v>
      </c>
      <c r="Q105" s="20">
        <f ca="1">DSUM($B$80:$Y$84,Q$80,$C$91:$D105)</f>
        <v>0.57609194228056249</v>
      </c>
      <c r="R105" s="20">
        <f ca="1">DSUM($B$80:$Y$84,R$80,$C$91:$D105)</f>
        <v>0.57598052325954119</v>
      </c>
      <c r="S105" s="20">
        <f ca="1">DSUM($B$80:$Y$84,S$80,$C$91:$D105)</f>
        <v>0.5740976149937016</v>
      </c>
      <c r="T105" s="20">
        <f ca="1">DSUM($B$80:$Y$84,T$80,$C$91:$D105)</f>
        <v>0.57407929687268933</v>
      </c>
      <c r="U105" s="20">
        <f ca="1">DSUM($B$80:$Y$84,U$80,$C$91:$D105)</f>
        <v>0.57448116984407516</v>
      </c>
      <c r="V105" s="20">
        <f ca="1">DSUM($B$80:$Y$84,V$80,$C$91:$D105)</f>
        <v>0.56990040562294875</v>
      </c>
      <c r="W105" s="20">
        <f ca="1">DSUM($B$80:$Y$84,W$80,$C$91:$D105)</f>
        <v>0.57091758793198633</v>
      </c>
      <c r="X105" s="20">
        <f ca="1">DSUM($B$80:$Y$84,X$80,$C$91:$D105)</f>
        <v>0.56734982926509825</v>
      </c>
      <c r="Y105" s="20">
        <f ca="1">DSUM($B$80:$Y$84,Y$80,$C$91:$D105)</f>
        <v>5.4052958237524305</v>
      </c>
      <c r="Z105" s="7"/>
      <c r="AA105" s="7"/>
      <c r="AB105" s="7"/>
      <c r="AC105" s="7"/>
    </row>
    <row r="106" spans="1:29" customFormat="1">
      <c r="A106" s="7"/>
      <c r="B106" s="7" t="s">
        <v>111</v>
      </c>
      <c r="C106" s="38" t="s">
        <v>112</v>
      </c>
      <c r="D106" s="38" t="s">
        <v>113</v>
      </c>
      <c r="E106" s="20">
        <f ca="1">DSUM($B$80:$Y$84,E$80,$C$91:$D106)</f>
        <v>6.1636144628630055E-2</v>
      </c>
      <c r="F106" s="20">
        <f ca="1">DSUM($B$80:$Y$84,F$80,$C$91:$D106)</f>
        <v>0.12289200001495267</v>
      </c>
      <c r="G106" s="20">
        <f ca="1">DSUM($B$80:$Y$84,G$80,$C$91:$D106)</f>
        <v>0.18377047037500671</v>
      </c>
      <c r="H106" s="20">
        <f ca="1">DSUM($B$80:$Y$84,H$80,$C$91:$D106)</f>
        <v>0.24427442820622805</v>
      </c>
      <c r="I106" s="20">
        <f ca="1">DSUM($B$80:$Y$84,I$80,$C$91:$D106)</f>
        <v>0.30628226357050631</v>
      </c>
      <c r="J106" s="20">
        <f ca="1">DSUM($B$80:$Y$84,J$80,$C$91:$D106)</f>
        <v>0.36135392425292412</v>
      </c>
      <c r="K106" s="20">
        <f ca="1">DSUM($B$80:$Y$84,K$80,$C$91:$D106)</f>
        <v>0.40421296914301708</v>
      </c>
      <c r="L106" s="20">
        <f ca="1">DSUM($B$80:$Y$84,L$80,$C$91:$D106)</f>
        <v>0.43804377463485933</v>
      </c>
      <c r="M106" s="20">
        <f ca="1">DSUM($B$80:$Y$84,M$80,$C$91:$D106)</f>
        <v>0.46467612612301534</v>
      </c>
      <c r="N106" s="20">
        <f ca="1">DSUM($B$80:$Y$84,N$80,$C$91:$D106)</f>
        <v>0.5577955699177799</v>
      </c>
      <c r="O106" s="20">
        <f ca="1">DSUM($B$80:$Y$84,O$80,$C$91:$D106)</f>
        <v>0.56779573406072215</v>
      </c>
      <c r="P106" s="20">
        <f ca="1">DSUM($B$80:$Y$84,P$80,$C$91:$D106)</f>
        <v>0.57340757782890395</v>
      </c>
      <c r="Q106" s="20">
        <f ca="1">DSUM($B$80:$Y$84,Q$80,$C$91:$D106)</f>
        <v>0.57609194228056249</v>
      </c>
      <c r="R106" s="20">
        <f ca="1">DSUM($B$80:$Y$84,R$80,$C$91:$D106)</f>
        <v>0.57598052325954119</v>
      </c>
      <c r="S106" s="20">
        <f ca="1">DSUM($B$80:$Y$84,S$80,$C$91:$D106)</f>
        <v>0.5740976149937016</v>
      </c>
      <c r="T106" s="20">
        <f ca="1">DSUM($B$80:$Y$84,T$80,$C$91:$D106)</f>
        <v>0.57407929687268933</v>
      </c>
      <c r="U106" s="20">
        <f ca="1">DSUM($B$80:$Y$84,U$80,$C$91:$D106)</f>
        <v>0.57448116984407516</v>
      </c>
      <c r="V106" s="20">
        <f ca="1">DSUM($B$80:$Y$84,V$80,$C$91:$D106)</f>
        <v>0.56990040562294875</v>
      </c>
      <c r="W106" s="20">
        <f ca="1">DSUM($B$80:$Y$84,W$80,$C$91:$D106)</f>
        <v>0.57091758793198633</v>
      </c>
      <c r="X106" s="20">
        <f ca="1">DSUM($B$80:$Y$84,X$80,$C$91:$D106)</f>
        <v>0.56734982926509825</v>
      </c>
      <c r="Y106" s="20">
        <f ca="1">DSUM($B$80:$Y$84,Y$80,$C$91:$D106)</f>
        <v>5.4052958237524305</v>
      </c>
      <c r="Z106" s="7"/>
      <c r="AA106" s="7"/>
      <c r="AB106" s="7"/>
      <c r="AC106" s="7"/>
    </row>
    <row r="107" spans="1:29" customFormat="1">
      <c r="A107" s="7"/>
      <c r="B107" s="7" t="s">
        <v>114</v>
      </c>
      <c r="C107" s="38" t="s">
        <v>115</v>
      </c>
      <c r="D107" s="38" t="s">
        <v>116</v>
      </c>
      <c r="E107" s="20">
        <f ca="1">DSUM($B$80:$Y$84,E$80,$C$91:$D107)</f>
        <v>6.1636144628630055E-2</v>
      </c>
      <c r="F107" s="20">
        <f ca="1">DSUM($B$80:$Y$84,F$80,$C$91:$D107)</f>
        <v>0.12289200001495267</v>
      </c>
      <c r="G107" s="20">
        <f ca="1">DSUM($B$80:$Y$84,G$80,$C$91:$D107)</f>
        <v>0.18377047037500671</v>
      </c>
      <c r="H107" s="20">
        <f ca="1">DSUM($B$80:$Y$84,H$80,$C$91:$D107)</f>
        <v>0.24427442820622805</v>
      </c>
      <c r="I107" s="20">
        <f ca="1">DSUM($B$80:$Y$84,I$80,$C$91:$D107)</f>
        <v>0.30628226357050631</v>
      </c>
      <c r="J107" s="20">
        <f ca="1">DSUM($B$80:$Y$84,J$80,$C$91:$D107)</f>
        <v>0.36135392425292412</v>
      </c>
      <c r="K107" s="20">
        <f ca="1">DSUM($B$80:$Y$84,K$80,$C$91:$D107)</f>
        <v>0.40421296914301708</v>
      </c>
      <c r="L107" s="20">
        <f ca="1">DSUM($B$80:$Y$84,L$80,$C$91:$D107)</f>
        <v>0.43804377463485933</v>
      </c>
      <c r="M107" s="20">
        <f ca="1">DSUM($B$80:$Y$84,M$80,$C$91:$D107)</f>
        <v>0.46467612612301534</v>
      </c>
      <c r="N107" s="20">
        <f ca="1">DSUM($B$80:$Y$84,N$80,$C$91:$D107)</f>
        <v>0.5577955699177799</v>
      </c>
      <c r="O107" s="20">
        <f ca="1">DSUM($B$80:$Y$84,O$80,$C$91:$D107)</f>
        <v>0.56779573406072215</v>
      </c>
      <c r="P107" s="20">
        <f ca="1">DSUM($B$80:$Y$84,P$80,$C$91:$D107)</f>
        <v>0.57340757782890395</v>
      </c>
      <c r="Q107" s="20">
        <f ca="1">DSUM($B$80:$Y$84,Q$80,$C$91:$D107)</f>
        <v>0.57609194228056249</v>
      </c>
      <c r="R107" s="20">
        <f ca="1">DSUM($B$80:$Y$84,R$80,$C$91:$D107)</f>
        <v>0.57598052325954119</v>
      </c>
      <c r="S107" s="20">
        <f ca="1">DSUM($B$80:$Y$84,S$80,$C$91:$D107)</f>
        <v>0.5740976149937016</v>
      </c>
      <c r="T107" s="20">
        <f ca="1">DSUM($B$80:$Y$84,T$80,$C$91:$D107)</f>
        <v>0.57407929687268933</v>
      </c>
      <c r="U107" s="20">
        <f ca="1">DSUM($B$80:$Y$84,U$80,$C$91:$D107)</f>
        <v>0.57448116984407516</v>
      </c>
      <c r="V107" s="20">
        <f ca="1">DSUM($B$80:$Y$84,V$80,$C$91:$D107)</f>
        <v>0.56990040562294875</v>
      </c>
      <c r="W107" s="20">
        <f ca="1">DSUM($B$80:$Y$84,W$80,$C$91:$D107)</f>
        <v>0.57091758793198633</v>
      </c>
      <c r="X107" s="20">
        <f ca="1">DSUM($B$80:$Y$84,X$80,$C$91:$D107)</f>
        <v>0.56734982926509825</v>
      </c>
      <c r="Y107" s="20">
        <f ca="1">DSUM($B$80:$Y$84,Y$80,$C$91:$D107)</f>
        <v>5.4052958237524305</v>
      </c>
      <c r="Z107" s="7"/>
      <c r="AA107" s="7"/>
      <c r="AB107" s="7"/>
      <c r="AC107" s="7"/>
    </row>
    <row r="108" spans="1:29" customFormat="1">
      <c r="A108" s="7"/>
      <c r="B108" s="7" t="s">
        <v>117</v>
      </c>
      <c r="C108" s="38" t="s">
        <v>118</v>
      </c>
      <c r="D108" s="38" t="s">
        <v>119</v>
      </c>
      <c r="E108" s="20">
        <f ca="1">DSUM($B$80:$Y$84,E$80,$C$91:$D108)</f>
        <v>6.1636144628630055E-2</v>
      </c>
      <c r="F108" s="20">
        <f ca="1">DSUM($B$80:$Y$84,F$80,$C$91:$D108)</f>
        <v>0.12289200001495267</v>
      </c>
      <c r="G108" s="20">
        <f ca="1">DSUM($B$80:$Y$84,G$80,$C$91:$D108)</f>
        <v>0.18377047037500671</v>
      </c>
      <c r="H108" s="20">
        <f ca="1">DSUM($B$80:$Y$84,H$80,$C$91:$D108)</f>
        <v>0.24427442820622805</v>
      </c>
      <c r="I108" s="20">
        <f ca="1">DSUM($B$80:$Y$84,I$80,$C$91:$D108)</f>
        <v>0.30628226357050631</v>
      </c>
      <c r="J108" s="20">
        <f ca="1">DSUM($B$80:$Y$84,J$80,$C$91:$D108)</f>
        <v>0.36135392425292412</v>
      </c>
      <c r="K108" s="20">
        <f ca="1">DSUM($B$80:$Y$84,K$80,$C$91:$D108)</f>
        <v>0.40421296914301708</v>
      </c>
      <c r="L108" s="20">
        <f ca="1">DSUM($B$80:$Y$84,L$80,$C$91:$D108)</f>
        <v>0.43804377463485933</v>
      </c>
      <c r="M108" s="20">
        <f ca="1">DSUM($B$80:$Y$84,M$80,$C$91:$D108)</f>
        <v>0.46467612612301534</v>
      </c>
      <c r="N108" s="20">
        <f ca="1">DSUM($B$80:$Y$84,N$80,$C$91:$D108)</f>
        <v>0.5577955699177799</v>
      </c>
      <c r="O108" s="20">
        <f ca="1">DSUM($B$80:$Y$84,O$80,$C$91:$D108)</f>
        <v>0.56779573406072215</v>
      </c>
      <c r="P108" s="20">
        <f ca="1">DSUM($B$80:$Y$84,P$80,$C$91:$D108)</f>
        <v>0.57340757782890395</v>
      </c>
      <c r="Q108" s="20">
        <f ca="1">DSUM($B$80:$Y$84,Q$80,$C$91:$D108)</f>
        <v>0.57609194228056249</v>
      </c>
      <c r="R108" s="20">
        <f ca="1">DSUM($B$80:$Y$84,R$80,$C$91:$D108)</f>
        <v>0.57598052325954119</v>
      </c>
      <c r="S108" s="20">
        <f ca="1">DSUM($B$80:$Y$84,S$80,$C$91:$D108)</f>
        <v>0.5740976149937016</v>
      </c>
      <c r="T108" s="20">
        <f ca="1">DSUM($B$80:$Y$84,T$80,$C$91:$D108)</f>
        <v>0.57407929687268933</v>
      </c>
      <c r="U108" s="20">
        <f ca="1">DSUM($B$80:$Y$84,U$80,$C$91:$D108)</f>
        <v>0.57448116984407516</v>
      </c>
      <c r="V108" s="20">
        <f ca="1">DSUM($B$80:$Y$84,V$80,$C$91:$D108)</f>
        <v>0.56990040562294875</v>
      </c>
      <c r="W108" s="20">
        <f ca="1">DSUM($B$80:$Y$84,W$80,$C$91:$D108)</f>
        <v>0.57091758793198633</v>
      </c>
      <c r="X108" s="20">
        <f ca="1">DSUM($B$80:$Y$84,X$80,$C$91:$D108)</f>
        <v>0.56734982926509825</v>
      </c>
      <c r="Y108" s="20">
        <f ca="1">DSUM($B$80:$Y$84,Y$80,$C$91:$D108)</f>
        <v>5.4052958237524305</v>
      </c>
      <c r="Z108" s="7"/>
      <c r="AA108" s="7"/>
      <c r="AB108" s="7"/>
      <c r="AC108" s="7"/>
    </row>
    <row r="109" spans="1:29" customFormat="1">
      <c r="A109" s="7"/>
      <c r="B109" s="7" t="s">
        <v>120</v>
      </c>
      <c r="C109" s="38" t="s">
        <v>121</v>
      </c>
      <c r="D109" s="38" t="s">
        <v>122</v>
      </c>
      <c r="E109" s="20">
        <f ca="1">DSUM($B$80:$Y$84,E$80,$C$91:$D109)</f>
        <v>6.1636144628630055E-2</v>
      </c>
      <c r="F109" s="20">
        <f ca="1">DSUM($B$80:$Y$84,F$80,$C$91:$D109)</f>
        <v>0.12289200001495267</v>
      </c>
      <c r="G109" s="20">
        <f ca="1">DSUM($B$80:$Y$84,G$80,$C$91:$D109)</f>
        <v>0.18377047037500671</v>
      </c>
      <c r="H109" s="20">
        <f ca="1">DSUM($B$80:$Y$84,H$80,$C$91:$D109)</f>
        <v>0.24427442820622805</v>
      </c>
      <c r="I109" s="20">
        <f ca="1">DSUM($B$80:$Y$84,I$80,$C$91:$D109)</f>
        <v>0.30628226357050631</v>
      </c>
      <c r="J109" s="20">
        <f ca="1">DSUM($B$80:$Y$84,J$80,$C$91:$D109)</f>
        <v>0.36135392425292412</v>
      </c>
      <c r="K109" s="20">
        <f ca="1">DSUM($B$80:$Y$84,K$80,$C$91:$D109)</f>
        <v>0.40421296914301708</v>
      </c>
      <c r="L109" s="20">
        <f ca="1">DSUM($B$80:$Y$84,L$80,$C$91:$D109)</f>
        <v>0.43804377463485933</v>
      </c>
      <c r="M109" s="20">
        <f ca="1">DSUM($B$80:$Y$84,M$80,$C$91:$D109)</f>
        <v>0.46467612612301534</v>
      </c>
      <c r="N109" s="20">
        <f ca="1">DSUM($B$80:$Y$84,N$80,$C$91:$D109)</f>
        <v>0.5577955699177799</v>
      </c>
      <c r="O109" s="20">
        <f ca="1">DSUM($B$80:$Y$84,O$80,$C$91:$D109)</f>
        <v>0.56779573406072215</v>
      </c>
      <c r="P109" s="20">
        <f ca="1">DSUM($B$80:$Y$84,P$80,$C$91:$D109)</f>
        <v>0.57340757782890395</v>
      </c>
      <c r="Q109" s="20">
        <f ca="1">DSUM($B$80:$Y$84,Q$80,$C$91:$D109)</f>
        <v>0.57609194228056249</v>
      </c>
      <c r="R109" s="20">
        <f ca="1">DSUM($B$80:$Y$84,R$80,$C$91:$D109)</f>
        <v>0.57598052325954119</v>
      </c>
      <c r="S109" s="20">
        <f ca="1">DSUM($B$80:$Y$84,S$80,$C$91:$D109)</f>
        <v>0.5740976149937016</v>
      </c>
      <c r="T109" s="20">
        <f ca="1">DSUM($B$80:$Y$84,T$80,$C$91:$D109)</f>
        <v>0.57407929687268933</v>
      </c>
      <c r="U109" s="20">
        <f ca="1">DSUM($B$80:$Y$84,U$80,$C$91:$D109)</f>
        <v>0.57448116984407516</v>
      </c>
      <c r="V109" s="20">
        <f ca="1">DSUM($B$80:$Y$84,V$80,$C$91:$D109)</f>
        <v>0.56990040562294875</v>
      </c>
      <c r="W109" s="20">
        <f ca="1">DSUM($B$80:$Y$84,W$80,$C$91:$D109)</f>
        <v>0.57091758793198633</v>
      </c>
      <c r="X109" s="20">
        <f ca="1">DSUM($B$80:$Y$84,X$80,$C$91:$D109)</f>
        <v>0.56734982926509825</v>
      </c>
      <c r="Y109" s="20">
        <f ca="1">DSUM($B$80:$Y$84,Y$80,$C$91:$D109)</f>
        <v>5.4052958237524305</v>
      </c>
      <c r="Z109" s="7"/>
      <c r="AA109" s="7"/>
      <c r="AB109" s="7"/>
      <c r="AC109" s="7"/>
    </row>
    <row r="110" spans="1:29" customFormat="1">
      <c r="A110" s="7"/>
      <c r="B110" s="7" t="s">
        <v>123</v>
      </c>
      <c r="C110" s="38" t="s">
        <v>124</v>
      </c>
      <c r="D110" s="38" t="s">
        <v>125</v>
      </c>
      <c r="E110" s="20">
        <f ca="1">DSUM($B$80:$Y$84,E$80,$C$91:$D110)</f>
        <v>6.1636144628630055E-2</v>
      </c>
      <c r="F110" s="20">
        <f ca="1">DSUM($B$80:$Y$84,F$80,$C$91:$D110)</f>
        <v>0.12289200001495267</v>
      </c>
      <c r="G110" s="20">
        <f ca="1">DSUM($B$80:$Y$84,G$80,$C$91:$D110)</f>
        <v>0.18377047037500671</v>
      </c>
      <c r="H110" s="20">
        <f ca="1">DSUM($B$80:$Y$84,H$80,$C$91:$D110)</f>
        <v>0.24427442820622805</v>
      </c>
      <c r="I110" s="20">
        <f ca="1">DSUM($B$80:$Y$84,I$80,$C$91:$D110)</f>
        <v>0.30628226357050631</v>
      </c>
      <c r="J110" s="20">
        <f ca="1">DSUM($B$80:$Y$84,J$80,$C$91:$D110)</f>
        <v>0.36135392425292412</v>
      </c>
      <c r="K110" s="20">
        <f ca="1">DSUM($B$80:$Y$84,K$80,$C$91:$D110)</f>
        <v>0.40421296914301708</v>
      </c>
      <c r="L110" s="20">
        <f ca="1">DSUM($B$80:$Y$84,L$80,$C$91:$D110)</f>
        <v>0.43804377463485933</v>
      </c>
      <c r="M110" s="20">
        <f ca="1">DSUM($B$80:$Y$84,M$80,$C$91:$D110)</f>
        <v>0.46467612612301534</v>
      </c>
      <c r="N110" s="20">
        <f ca="1">DSUM($B$80:$Y$84,N$80,$C$91:$D110)</f>
        <v>0.5577955699177799</v>
      </c>
      <c r="O110" s="20">
        <f ca="1">DSUM($B$80:$Y$84,O$80,$C$91:$D110)</f>
        <v>0.56779573406072215</v>
      </c>
      <c r="P110" s="20">
        <f ca="1">DSUM($B$80:$Y$84,P$80,$C$91:$D110)</f>
        <v>0.57340757782890395</v>
      </c>
      <c r="Q110" s="20">
        <f ca="1">DSUM($B$80:$Y$84,Q$80,$C$91:$D110)</f>
        <v>0.57609194228056249</v>
      </c>
      <c r="R110" s="20">
        <f ca="1">DSUM($B$80:$Y$84,R$80,$C$91:$D110)</f>
        <v>0.57598052325954119</v>
      </c>
      <c r="S110" s="20">
        <f ca="1">DSUM($B$80:$Y$84,S$80,$C$91:$D110)</f>
        <v>0.5740976149937016</v>
      </c>
      <c r="T110" s="20">
        <f ca="1">DSUM($B$80:$Y$84,T$80,$C$91:$D110)</f>
        <v>0.57407929687268933</v>
      </c>
      <c r="U110" s="20">
        <f ca="1">DSUM($B$80:$Y$84,U$80,$C$91:$D110)</f>
        <v>0.57448116984407516</v>
      </c>
      <c r="V110" s="20">
        <f ca="1">DSUM($B$80:$Y$84,V$80,$C$91:$D110)</f>
        <v>0.56990040562294875</v>
      </c>
      <c r="W110" s="20">
        <f ca="1">DSUM($B$80:$Y$84,W$80,$C$91:$D110)</f>
        <v>0.57091758793198633</v>
      </c>
      <c r="X110" s="20">
        <f ca="1">DSUM($B$80:$Y$84,X$80,$C$91:$D110)</f>
        <v>0.56734982926509825</v>
      </c>
      <c r="Y110" s="20">
        <f ca="1">DSUM($B$80:$Y$84,Y$80,$C$91:$D110)</f>
        <v>5.4052958237524305</v>
      </c>
      <c r="Z110" s="7"/>
      <c r="AA110" s="7"/>
      <c r="AB110" s="7"/>
      <c r="AC110" s="7"/>
    </row>
    <row r="111" spans="1:29" customFormat="1">
      <c r="A111" s="7"/>
      <c r="B111" s="7" t="s">
        <v>126</v>
      </c>
      <c r="C111" s="38" t="s">
        <v>127</v>
      </c>
      <c r="D111" s="38" t="s">
        <v>128</v>
      </c>
      <c r="E111" s="20">
        <f ca="1">DSUM($B$80:$Y$84,E$80,$C$91:$D111)</f>
        <v>6.1636144628630055E-2</v>
      </c>
      <c r="F111" s="20">
        <f ca="1">DSUM($B$80:$Y$84,F$80,$C$91:$D111)</f>
        <v>0.12289200001495267</v>
      </c>
      <c r="G111" s="20">
        <f ca="1">DSUM($B$80:$Y$84,G$80,$C$91:$D111)</f>
        <v>0.18377047037500671</v>
      </c>
      <c r="H111" s="20">
        <f ca="1">DSUM($B$80:$Y$84,H$80,$C$91:$D111)</f>
        <v>0.24427442820622805</v>
      </c>
      <c r="I111" s="20">
        <f ca="1">DSUM($B$80:$Y$84,I$80,$C$91:$D111)</f>
        <v>0.30628226357050631</v>
      </c>
      <c r="J111" s="20">
        <f ca="1">DSUM($B$80:$Y$84,J$80,$C$91:$D111)</f>
        <v>0.36135392425292412</v>
      </c>
      <c r="K111" s="20">
        <f ca="1">DSUM($B$80:$Y$84,K$80,$C$91:$D111)</f>
        <v>0.40421296914301708</v>
      </c>
      <c r="L111" s="20">
        <f ca="1">DSUM($B$80:$Y$84,L$80,$C$91:$D111)</f>
        <v>0.43804377463485933</v>
      </c>
      <c r="M111" s="20">
        <f ca="1">DSUM($B$80:$Y$84,M$80,$C$91:$D111)</f>
        <v>0.46467612612301534</v>
      </c>
      <c r="N111" s="20">
        <f ca="1">DSUM($B$80:$Y$84,N$80,$C$91:$D111)</f>
        <v>0.5577955699177799</v>
      </c>
      <c r="O111" s="20">
        <f ca="1">DSUM($B$80:$Y$84,O$80,$C$91:$D111)</f>
        <v>0.56779573406072215</v>
      </c>
      <c r="P111" s="20">
        <f ca="1">DSUM($B$80:$Y$84,P$80,$C$91:$D111)</f>
        <v>0.57340757782890395</v>
      </c>
      <c r="Q111" s="20">
        <f ca="1">DSUM($B$80:$Y$84,Q$80,$C$91:$D111)</f>
        <v>0.57609194228056249</v>
      </c>
      <c r="R111" s="20">
        <f ca="1">DSUM($B$80:$Y$84,R$80,$C$91:$D111)</f>
        <v>0.57598052325954119</v>
      </c>
      <c r="S111" s="20">
        <f ca="1">DSUM($B$80:$Y$84,S$80,$C$91:$D111)</f>
        <v>0.5740976149937016</v>
      </c>
      <c r="T111" s="20">
        <f ca="1">DSUM($B$80:$Y$84,T$80,$C$91:$D111)</f>
        <v>0.57407929687268933</v>
      </c>
      <c r="U111" s="20">
        <f ca="1">DSUM($B$80:$Y$84,U$80,$C$91:$D111)</f>
        <v>0.57448116984407516</v>
      </c>
      <c r="V111" s="20">
        <f ca="1">DSUM($B$80:$Y$84,V$80,$C$91:$D111)</f>
        <v>0.56990040562294875</v>
      </c>
      <c r="W111" s="20">
        <f ca="1">DSUM($B$80:$Y$84,W$80,$C$91:$D111)</f>
        <v>0.57091758793198633</v>
      </c>
      <c r="X111" s="20">
        <f ca="1">DSUM($B$80:$Y$84,X$80,$C$91:$D111)</f>
        <v>0.56734982926509825</v>
      </c>
      <c r="Y111" s="20">
        <f ca="1">DSUM($B$80:$Y$84,Y$80,$C$91:$D111)</f>
        <v>5.4052958237524305</v>
      </c>
      <c r="Z111" s="7"/>
      <c r="AA111" s="7"/>
      <c r="AB111" s="7"/>
      <c r="AC111" s="7"/>
    </row>
    <row r="112" spans="1:29" customFormat="1">
      <c r="A112" s="7"/>
      <c r="B112" s="7" t="s">
        <v>129</v>
      </c>
      <c r="C112" s="38" t="s">
        <v>130</v>
      </c>
      <c r="D112" s="38" t="s">
        <v>131</v>
      </c>
      <c r="E112" s="20">
        <f ca="1">DSUM($B$80:$Y$84,E$80,$C$91:$D112)</f>
        <v>6.1636144628630055E-2</v>
      </c>
      <c r="F112" s="20">
        <f ca="1">DSUM($B$80:$Y$84,F$80,$C$91:$D112)</f>
        <v>0.12289200001495267</v>
      </c>
      <c r="G112" s="20">
        <f ca="1">DSUM($B$80:$Y$84,G$80,$C$91:$D112)</f>
        <v>0.18377047037500671</v>
      </c>
      <c r="H112" s="20">
        <f ca="1">DSUM($B$80:$Y$84,H$80,$C$91:$D112)</f>
        <v>0.24427442820622805</v>
      </c>
      <c r="I112" s="20">
        <f ca="1">DSUM($B$80:$Y$84,I$80,$C$91:$D112)</f>
        <v>0.30628226357050631</v>
      </c>
      <c r="J112" s="20">
        <f ca="1">DSUM($B$80:$Y$84,J$80,$C$91:$D112)</f>
        <v>0.36135392425292412</v>
      </c>
      <c r="K112" s="20">
        <f ca="1">DSUM($B$80:$Y$84,K$80,$C$91:$D112)</f>
        <v>0.40421296914301708</v>
      </c>
      <c r="L112" s="20">
        <f ca="1">DSUM($B$80:$Y$84,L$80,$C$91:$D112)</f>
        <v>0.43804377463485933</v>
      </c>
      <c r="M112" s="20">
        <f ca="1">DSUM($B$80:$Y$84,M$80,$C$91:$D112)</f>
        <v>0.46467612612301534</v>
      </c>
      <c r="N112" s="20">
        <f ca="1">DSUM($B$80:$Y$84,N$80,$C$91:$D112)</f>
        <v>0.5577955699177799</v>
      </c>
      <c r="O112" s="20">
        <f ca="1">DSUM($B$80:$Y$84,O$80,$C$91:$D112)</f>
        <v>0.56779573406072215</v>
      </c>
      <c r="P112" s="20">
        <f ca="1">DSUM($B$80:$Y$84,P$80,$C$91:$D112)</f>
        <v>0.57340757782890395</v>
      </c>
      <c r="Q112" s="20">
        <f ca="1">DSUM($B$80:$Y$84,Q$80,$C$91:$D112)</f>
        <v>0.57609194228056249</v>
      </c>
      <c r="R112" s="20">
        <f ca="1">DSUM($B$80:$Y$84,R$80,$C$91:$D112)</f>
        <v>0.57598052325954119</v>
      </c>
      <c r="S112" s="20">
        <f ca="1">DSUM($B$80:$Y$84,S$80,$C$91:$D112)</f>
        <v>0.5740976149937016</v>
      </c>
      <c r="T112" s="20">
        <f ca="1">DSUM($B$80:$Y$84,T$80,$C$91:$D112)</f>
        <v>0.57407929687268933</v>
      </c>
      <c r="U112" s="20">
        <f ca="1">DSUM($B$80:$Y$84,U$80,$C$91:$D112)</f>
        <v>0.57448116984407516</v>
      </c>
      <c r="V112" s="20">
        <f ca="1">DSUM($B$80:$Y$84,V$80,$C$91:$D112)</f>
        <v>0.56990040562294875</v>
      </c>
      <c r="W112" s="20">
        <f ca="1">DSUM($B$80:$Y$84,W$80,$C$91:$D112)</f>
        <v>0.57091758793198633</v>
      </c>
      <c r="X112" s="20">
        <f ca="1">DSUM($B$80:$Y$84,X$80,$C$91:$D112)</f>
        <v>0.56734982926509825</v>
      </c>
      <c r="Y112" s="20">
        <f ca="1">DSUM($B$80:$Y$84,Y$80,$C$91:$D112)</f>
        <v>5.4052958237524305</v>
      </c>
      <c r="Z112" s="7"/>
      <c r="AA112" s="7"/>
      <c r="AB112" s="7"/>
      <c r="AC112" s="7"/>
    </row>
    <row r="113" spans="1:29" customFormat="1">
      <c r="A113" s="7"/>
      <c r="B113" s="7" t="s">
        <v>406</v>
      </c>
      <c r="C113" s="38" t="s">
        <v>133</v>
      </c>
      <c r="D113" s="38" t="s">
        <v>427</v>
      </c>
      <c r="E113" s="20">
        <f ca="1">DSUM($B$80:$Y$84,E$80,$C$91:$D113)</f>
        <v>6.1636144628630055E-2</v>
      </c>
      <c r="F113" s="20">
        <f ca="1">DSUM($B$80:$Y$84,F$80,$C$91:$D113)</f>
        <v>0.12289200001495267</v>
      </c>
      <c r="G113" s="20">
        <f ca="1">DSUM($B$80:$Y$84,G$80,$C$91:$D113)</f>
        <v>0.18377047037500671</v>
      </c>
      <c r="H113" s="20">
        <f ca="1">DSUM($B$80:$Y$84,H$80,$C$91:$D113)</f>
        <v>0.24427442820622805</v>
      </c>
      <c r="I113" s="20">
        <f ca="1">DSUM($B$80:$Y$84,I$80,$C$91:$D113)</f>
        <v>0.30628226357050631</v>
      </c>
      <c r="J113" s="20">
        <f ca="1">DSUM($B$80:$Y$84,J$80,$C$91:$D113)</f>
        <v>0.36135392425292412</v>
      </c>
      <c r="K113" s="20">
        <f ca="1">DSUM($B$80:$Y$84,K$80,$C$91:$D113)</f>
        <v>0.40421296914301708</v>
      </c>
      <c r="L113" s="20">
        <f ca="1">DSUM($B$80:$Y$84,L$80,$C$91:$D113)</f>
        <v>0.43804377463485933</v>
      </c>
      <c r="M113" s="20">
        <f ca="1">DSUM($B$80:$Y$84,M$80,$C$91:$D113)</f>
        <v>0.46467612612301534</v>
      </c>
      <c r="N113" s="20">
        <f ca="1">DSUM($B$80:$Y$84,N$80,$C$91:$D113)</f>
        <v>0.5577955699177799</v>
      </c>
      <c r="O113" s="20">
        <f ca="1">DSUM($B$80:$Y$84,O$80,$C$91:$D113)</f>
        <v>0.56779573406072215</v>
      </c>
      <c r="P113" s="20">
        <f ca="1">DSUM($B$80:$Y$84,P$80,$C$91:$D113)</f>
        <v>0.57340757782890395</v>
      </c>
      <c r="Q113" s="20">
        <f ca="1">DSUM($B$80:$Y$84,Q$80,$C$91:$D113)</f>
        <v>0.57609194228056249</v>
      </c>
      <c r="R113" s="20">
        <f ca="1">DSUM($B$80:$Y$84,R$80,$C$91:$D113)</f>
        <v>0.57598052325954119</v>
      </c>
      <c r="S113" s="20">
        <f ca="1">DSUM($B$80:$Y$84,S$80,$C$91:$D113)</f>
        <v>0.5740976149937016</v>
      </c>
      <c r="T113" s="20">
        <f ca="1">DSUM($B$80:$Y$84,T$80,$C$91:$D113)</f>
        <v>0.57407929687268933</v>
      </c>
      <c r="U113" s="20">
        <f ca="1">DSUM($B$80:$Y$84,U$80,$C$91:$D113)</f>
        <v>0.57448116984407516</v>
      </c>
      <c r="V113" s="20">
        <f ca="1">DSUM($B$80:$Y$84,V$80,$C$91:$D113)</f>
        <v>0.56990040562294875</v>
      </c>
      <c r="W113" s="20">
        <f ca="1">DSUM($B$80:$Y$84,W$80,$C$91:$D113)</f>
        <v>0.57091758793198633</v>
      </c>
      <c r="X113" s="20">
        <f ca="1">DSUM($B$80:$Y$84,X$80,$C$91:$D113)</f>
        <v>0.56734982926509825</v>
      </c>
      <c r="Y113" s="20">
        <f ca="1">DSUM($B$80:$Y$84,Y$80,$C$91:$D113)</f>
        <v>5.4052958237524305</v>
      </c>
      <c r="Z113" s="7"/>
      <c r="AA113" s="7"/>
      <c r="AB113" s="7"/>
      <c r="AC113" s="7"/>
    </row>
    <row r="114" spans="1:29" customFormat="1">
      <c r="A114" s="7"/>
      <c r="B114" s="7" t="s">
        <v>407</v>
      </c>
      <c r="C114" s="38" t="s">
        <v>417</v>
      </c>
      <c r="D114" s="38" t="s">
        <v>428</v>
      </c>
      <c r="E114" s="20">
        <f ca="1">DSUM($B$80:$Y$84,E$80,$C$91:$D114)</f>
        <v>6.1636144628630055E-2</v>
      </c>
      <c r="F114" s="20">
        <f ca="1">DSUM($B$80:$Y$84,F$80,$C$91:$D114)</f>
        <v>0.12289200001495267</v>
      </c>
      <c r="G114" s="20">
        <f ca="1">DSUM($B$80:$Y$84,G$80,$C$91:$D114)</f>
        <v>0.18377047037500671</v>
      </c>
      <c r="H114" s="20">
        <f ca="1">DSUM($B$80:$Y$84,H$80,$C$91:$D114)</f>
        <v>0.24427442820622805</v>
      </c>
      <c r="I114" s="20">
        <f ca="1">DSUM($B$80:$Y$84,I$80,$C$91:$D114)</f>
        <v>0.30628226357050631</v>
      </c>
      <c r="J114" s="20">
        <f ca="1">DSUM($B$80:$Y$84,J$80,$C$91:$D114)</f>
        <v>0.36135392425292412</v>
      </c>
      <c r="K114" s="20">
        <f ca="1">DSUM($B$80:$Y$84,K$80,$C$91:$D114)</f>
        <v>0.40421296914301708</v>
      </c>
      <c r="L114" s="20">
        <f ca="1">DSUM($B$80:$Y$84,L$80,$C$91:$D114)</f>
        <v>0.43804377463485933</v>
      </c>
      <c r="M114" s="20">
        <f ca="1">DSUM($B$80:$Y$84,M$80,$C$91:$D114)</f>
        <v>0.46467612612301534</v>
      </c>
      <c r="N114" s="20">
        <f ca="1">DSUM($B$80:$Y$84,N$80,$C$91:$D114)</f>
        <v>0.5577955699177799</v>
      </c>
      <c r="O114" s="20">
        <f ca="1">DSUM($B$80:$Y$84,O$80,$C$91:$D114)</f>
        <v>0.56779573406072215</v>
      </c>
      <c r="P114" s="20">
        <f ca="1">DSUM($B$80:$Y$84,P$80,$C$91:$D114)</f>
        <v>0.57340757782890395</v>
      </c>
      <c r="Q114" s="20">
        <f ca="1">DSUM($B$80:$Y$84,Q$80,$C$91:$D114)</f>
        <v>0.57609194228056249</v>
      </c>
      <c r="R114" s="20">
        <f ca="1">DSUM($B$80:$Y$84,R$80,$C$91:$D114)</f>
        <v>0.57598052325954119</v>
      </c>
      <c r="S114" s="20">
        <f ca="1">DSUM($B$80:$Y$84,S$80,$C$91:$D114)</f>
        <v>0.5740976149937016</v>
      </c>
      <c r="T114" s="20">
        <f ca="1">DSUM($B$80:$Y$84,T$80,$C$91:$D114)</f>
        <v>0.57407929687268933</v>
      </c>
      <c r="U114" s="20">
        <f ca="1">DSUM($B$80:$Y$84,U$80,$C$91:$D114)</f>
        <v>0.57448116984407516</v>
      </c>
      <c r="V114" s="20">
        <f ca="1">DSUM($B$80:$Y$84,V$80,$C$91:$D114)</f>
        <v>0.56990040562294875</v>
      </c>
      <c r="W114" s="20">
        <f ca="1">DSUM($B$80:$Y$84,W$80,$C$91:$D114)</f>
        <v>0.57091758793198633</v>
      </c>
      <c r="X114" s="20">
        <f ca="1">DSUM($B$80:$Y$84,X$80,$C$91:$D114)</f>
        <v>0.56734982926509825</v>
      </c>
      <c r="Y114" s="20">
        <f ca="1">DSUM($B$80:$Y$84,Y$80,$C$91:$D114)</f>
        <v>5.4052958237524305</v>
      </c>
      <c r="Z114" s="7"/>
      <c r="AA114" s="7"/>
      <c r="AB114" s="7"/>
      <c r="AC114" s="7"/>
    </row>
    <row r="115" spans="1:29" customFormat="1">
      <c r="A115" s="7"/>
      <c r="B115" s="7" t="s">
        <v>408</v>
      </c>
      <c r="C115" s="38" t="s">
        <v>418</v>
      </c>
      <c r="D115" s="38" t="s">
        <v>429</v>
      </c>
      <c r="E115" s="20">
        <f ca="1">DSUM($B$80:$Y$84,E$80,$C$91:$D115)</f>
        <v>6.1636144628630055E-2</v>
      </c>
      <c r="F115" s="20">
        <f ca="1">DSUM($B$80:$Y$84,F$80,$C$91:$D115)</f>
        <v>0.12289200001495267</v>
      </c>
      <c r="G115" s="20">
        <f ca="1">DSUM($B$80:$Y$84,G$80,$C$91:$D115)</f>
        <v>0.18377047037500671</v>
      </c>
      <c r="H115" s="20">
        <f ca="1">DSUM($B$80:$Y$84,H$80,$C$91:$D115)</f>
        <v>0.24427442820622805</v>
      </c>
      <c r="I115" s="20">
        <f ca="1">DSUM($B$80:$Y$84,I$80,$C$91:$D115)</f>
        <v>0.30628226357050631</v>
      </c>
      <c r="J115" s="20">
        <f ca="1">DSUM($B$80:$Y$84,J$80,$C$91:$D115)</f>
        <v>0.36135392425292412</v>
      </c>
      <c r="K115" s="20">
        <f ca="1">DSUM($B$80:$Y$84,K$80,$C$91:$D115)</f>
        <v>0.40421296914301708</v>
      </c>
      <c r="L115" s="20">
        <f ca="1">DSUM($B$80:$Y$84,L$80,$C$91:$D115)</f>
        <v>0.43804377463485933</v>
      </c>
      <c r="M115" s="20">
        <f ca="1">DSUM($B$80:$Y$84,M$80,$C$91:$D115)</f>
        <v>0.46467612612301534</v>
      </c>
      <c r="N115" s="20">
        <f ca="1">DSUM($B$80:$Y$84,N$80,$C$91:$D115)</f>
        <v>0.5577955699177799</v>
      </c>
      <c r="O115" s="20">
        <f ca="1">DSUM($B$80:$Y$84,O$80,$C$91:$D115)</f>
        <v>0.56779573406072215</v>
      </c>
      <c r="P115" s="20">
        <f ca="1">DSUM($B$80:$Y$84,P$80,$C$91:$D115)</f>
        <v>0.57340757782890395</v>
      </c>
      <c r="Q115" s="20">
        <f ca="1">DSUM($B$80:$Y$84,Q$80,$C$91:$D115)</f>
        <v>0.57609194228056249</v>
      </c>
      <c r="R115" s="20">
        <f ca="1">DSUM($B$80:$Y$84,R$80,$C$91:$D115)</f>
        <v>0.57598052325954119</v>
      </c>
      <c r="S115" s="20">
        <f ca="1">DSUM($B$80:$Y$84,S$80,$C$91:$D115)</f>
        <v>0.5740976149937016</v>
      </c>
      <c r="T115" s="20">
        <f ca="1">DSUM($B$80:$Y$84,T$80,$C$91:$D115)</f>
        <v>0.57407929687268933</v>
      </c>
      <c r="U115" s="20">
        <f ca="1">DSUM($B$80:$Y$84,U$80,$C$91:$D115)</f>
        <v>0.57448116984407516</v>
      </c>
      <c r="V115" s="20">
        <f ca="1">DSUM($B$80:$Y$84,V$80,$C$91:$D115)</f>
        <v>0.56990040562294875</v>
      </c>
      <c r="W115" s="20">
        <f ca="1">DSUM($B$80:$Y$84,W$80,$C$91:$D115)</f>
        <v>0.57091758793198633</v>
      </c>
      <c r="X115" s="20">
        <f ca="1">DSUM($B$80:$Y$84,X$80,$C$91:$D115)</f>
        <v>0.56734982926509825</v>
      </c>
      <c r="Y115" s="20">
        <f ca="1">DSUM($B$80:$Y$84,Y$80,$C$91:$D115)</f>
        <v>5.4052958237524305</v>
      </c>
      <c r="Z115" s="7"/>
      <c r="AA115" s="7"/>
      <c r="AB115" s="7"/>
      <c r="AC115" s="7"/>
    </row>
    <row r="116" spans="1:29" customFormat="1">
      <c r="A116" s="7"/>
      <c r="B116" s="7" t="s">
        <v>409</v>
      </c>
      <c r="C116" s="38" t="s">
        <v>419</v>
      </c>
      <c r="D116" s="38" t="s">
        <v>430</v>
      </c>
      <c r="E116" s="20">
        <f ca="1">DSUM($B$80:$Y$84,E$80,$C$91:$D116)</f>
        <v>6.1636144628630055E-2</v>
      </c>
      <c r="F116" s="20">
        <f ca="1">DSUM($B$80:$Y$84,F$80,$C$91:$D116)</f>
        <v>0.12289200001495267</v>
      </c>
      <c r="G116" s="20">
        <f ca="1">DSUM($B$80:$Y$84,G$80,$C$91:$D116)</f>
        <v>0.18377047037500671</v>
      </c>
      <c r="H116" s="20">
        <f ca="1">DSUM($B$80:$Y$84,H$80,$C$91:$D116)</f>
        <v>0.24427442820622805</v>
      </c>
      <c r="I116" s="20">
        <f ca="1">DSUM($B$80:$Y$84,I$80,$C$91:$D116)</f>
        <v>0.30628226357050631</v>
      </c>
      <c r="J116" s="20">
        <f ca="1">DSUM($B$80:$Y$84,J$80,$C$91:$D116)</f>
        <v>0.36135392425292412</v>
      </c>
      <c r="K116" s="20">
        <f ca="1">DSUM($B$80:$Y$84,K$80,$C$91:$D116)</f>
        <v>0.40421296914301708</v>
      </c>
      <c r="L116" s="20">
        <f ca="1">DSUM($B$80:$Y$84,L$80,$C$91:$D116)</f>
        <v>0.43804377463485933</v>
      </c>
      <c r="M116" s="20">
        <f ca="1">DSUM($B$80:$Y$84,M$80,$C$91:$D116)</f>
        <v>0.46467612612301534</v>
      </c>
      <c r="N116" s="20">
        <f ca="1">DSUM($B$80:$Y$84,N$80,$C$91:$D116)</f>
        <v>0.5577955699177799</v>
      </c>
      <c r="O116" s="20">
        <f ca="1">DSUM($B$80:$Y$84,O$80,$C$91:$D116)</f>
        <v>0.56779573406072215</v>
      </c>
      <c r="P116" s="20">
        <f ca="1">DSUM($B$80:$Y$84,P$80,$C$91:$D116)</f>
        <v>0.57340757782890395</v>
      </c>
      <c r="Q116" s="20">
        <f ca="1">DSUM($B$80:$Y$84,Q$80,$C$91:$D116)</f>
        <v>0.57609194228056249</v>
      </c>
      <c r="R116" s="20">
        <f ca="1">DSUM($B$80:$Y$84,R$80,$C$91:$D116)</f>
        <v>0.57598052325954119</v>
      </c>
      <c r="S116" s="20">
        <f ca="1">DSUM($B$80:$Y$84,S$80,$C$91:$D116)</f>
        <v>0.5740976149937016</v>
      </c>
      <c r="T116" s="20">
        <f ca="1">DSUM($B$80:$Y$84,T$80,$C$91:$D116)</f>
        <v>0.57407929687268933</v>
      </c>
      <c r="U116" s="20">
        <f ca="1">DSUM($B$80:$Y$84,U$80,$C$91:$D116)</f>
        <v>0.57448116984407516</v>
      </c>
      <c r="V116" s="20">
        <f ca="1">DSUM($B$80:$Y$84,V$80,$C$91:$D116)</f>
        <v>0.56990040562294875</v>
      </c>
      <c r="W116" s="20">
        <f ca="1">DSUM($B$80:$Y$84,W$80,$C$91:$D116)</f>
        <v>0.57091758793198633</v>
      </c>
      <c r="X116" s="20">
        <f ca="1">DSUM($B$80:$Y$84,X$80,$C$91:$D116)</f>
        <v>0.56734982926509825</v>
      </c>
      <c r="Y116" s="20">
        <f ca="1">DSUM($B$80:$Y$84,Y$80,$C$91:$D116)</f>
        <v>5.4052958237524305</v>
      </c>
      <c r="Z116" s="7"/>
      <c r="AA116" s="7"/>
      <c r="AB116" s="7"/>
      <c r="AC116" s="7"/>
    </row>
    <row r="117" spans="1:29" customFormat="1">
      <c r="A117" s="7"/>
      <c r="B117" s="7" t="s">
        <v>410</v>
      </c>
      <c r="C117" s="38" t="s">
        <v>420</v>
      </c>
      <c r="D117" s="38" t="s">
        <v>431</v>
      </c>
      <c r="E117" s="20">
        <f ca="1">DSUM($B$80:$Y$84,E$80,$C$91:$D117)</f>
        <v>6.1636144628630055E-2</v>
      </c>
      <c r="F117" s="20">
        <f ca="1">DSUM($B$80:$Y$84,F$80,$C$91:$D117)</f>
        <v>0.12289200001495267</v>
      </c>
      <c r="G117" s="20">
        <f ca="1">DSUM($B$80:$Y$84,G$80,$C$91:$D117)</f>
        <v>0.18377047037500671</v>
      </c>
      <c r="H117" s="20">
        <f ca="1">DSUM($B$80:$Y$84,H$80,$C$91:$D117)</f>
        <v>0.24427442820622805</v>
      </c>
      <c r="I117" s="20">
        <f ca="1">DSUM($B$80:$Y$84,I$80,$C$91:$D117)</f>
        <v>0.30628226357050631</v>
      </c>
      <c r="J117" s="20">
        <f ca="1">DSUM($B$80:$Y$84,J$80,$C$91:$D117)</f>
        <v>0.36135392425292412</v>
      </c>
      <c r="K117" s="20">
        <f ca="1">DSUM($B$80:$Y$84,K$80,$C$91:$D117)</f>
        <v>0.40421296914301708</v>
      </c>
      <c r="L117" s="20">
        <f ca="1">DSUM($B$80:$Y$84,L$80,$C$91:$D117)</f>
        <v>0.43804377463485933</v>
      </c>
      <c r="M117" s="20">
        <f ca="1">DSUM($B$80:$Y$84,M$80,$C$91:$D117)</f>
        <v>0.46467612612301534</v>
      </c>
      <c r="N117" s="20">
        <f ca="1">DSUM($B$80:$Y$84,N$80,$C$91:$D117)</f>
        <v>0.5577955699177799</v>
      </c>
      <c r="O117" s="20">
        <f ca="1">DSUM($B$80:$Y$84,O$80,$C$91:$D117)</f>
        <v>0.56779573406072215</v>
      </c>
      <c r="P117" s="20">
        <f ca="1">DSUM($B$80:$Y$84,P$80,$C$91:$D117)</f>
        <v>0.57340757782890395</v>
      </c>
      <c r="Q117" s="20">
        <f ca="1">DSUM($B$80:$Y$84,Q$80,$C$91:$D117)</f>
        <v>0.57609194228056249</v>
      </c>
      <c r="R117" s="20">
        <f ca="1">DSUM($B$80:$Y$84,R$80,$C$91:$D117)</f>
        <v>0.57598052325954119</v>
      </c>
      <c r="S117" s="20">
        <f ca="1">DSUM($B$80:$Y$84,S$80,$C$91:$D117)</f>
        <v>0.5740976149937016</v>
      </c>
      <c r="T117" s="20">
        <f ca="1">DSUM($B$80:$Y$84,T$80,$C$91:$D117)</f>
        <v>0.57407929687268933</v>
      </c>
      <c r="U117" s="20">
        <f ca="1">DSUM($B$80:$Y$84,U$80,$C$91:$D117)</f>
        <v>0.57448116984407516</v>
      </c>
      <c r="V117" s="20">
        <f ca="1">DSUM($B$80:$Y$84,V$80,$C$91:$D117)</f>
        <v>0.56990040562294875</v>
      </c>
      <c r="W117" s="20">
        <f ca="1">DSUM($B$80:$Y$84,W$80,$C$91:$D117)</f>
        <v>0.57091758793198633</v>
      </c>
      <c r="X117" s="20">
        <f ca="1">DSUM($B$80:$Y$84,X$80,$C$91:$D117)</f>
        <v>0.56734982926509825</v>
      </c>
      <c r="Y117" s="20">
        <f ca="1">DSUM($B$80:$Y$84,Y$80,$C$91:$D117)</f>
        <v>5.4052958237524305</v>
      </c>
      <c r="Z117" s="7"/>
      <c r="AA117" s="7"/>
      <c r="AB117" s="7"/>
      <c r="AC117" s="7"/>
    </row>
    <row r="118" spans="1:29" customFormat="1">
      <c r="A118" s="7"/>
      <c r="B118" s="7" t="s">
        <v>411</v>
      </c>
      <c r="C118" s="38" t="s">
        <v>421</v>
      </c>
      <c r="D118" s="38" t="s">
        <v>432</v>
      </c>
      <c r="E118" s="20">
        <f ca="1">DSUM($B$80:$Y$84,E$80,$C$91:$D118)</f>
        <v>6.1636144628630055E-2</v>
      </c>
      <c r="F118" s="20">
        <f ca="1">DSUM($B$80:$Y$84,F$80,$C$91:$D118)</f>
        <v>0.12289200001495267</v>
      </c>
      <c r="G118" s="20">
        <f ca="1">DSUM($B$80:$Y$84,G$80,$C$91:$D118)</f>
        <v>0.18377047037500671</v>
      </c>
      <c r="H118" s="20">
        <f ca="1">DSUM($B$80:$Y$84,H$80,$C$91:$D118)</f>
        <v>0.24427442820622805</v>
      </c>
      <c r="I118" s="20">
        <f ca="1">DSUM($B$80:$Y$84,I$80,$C$91:$D118)</f>
        <v>0.30628226357050631</v>
      </c>
      <c r="J118" s="20">
        <f ca="1">DSUM($B$80:$Y$84,J$80,$C$91:$D118)</f>
        <v>0.36135392425292412</v>
      </c>
      <c r="K118" s="20">
        <f ca="1">DSUM($B$80:$Y$84,K$80,$C$91:$D118)</f>
        <v>0.40421296914301708</v>
      </c>
      <c r="L118" s="20">
        <f ca="1">DSUM($B$80:$Y$84,L$80,$C$91:$D118)</f>
        <v>0.43804377463485933</v>
      </c>
      <c r="M118" s="20">
        <f ca="1">DSUM($B$80:$Y$84,M$80,$C$91:$D118)</f>
        <v>0.46467612612301534</v>
      </c>
      <c r="N118" s="20">
        <f ca="1">DSUM($B$80:$Y$84,N$80,$C$91:$D118)</f>
        <v>0.5577955699177799</v>
      </c>
      <c r="O118" s="20">
        <f ca="1">DSUM($B$80:$Y$84,O$80,$C$91:$D118)</f>
        <v>0.56779573406072215</v>
      </c>
      <c r="P118" s="20">
        <f ca="1">DSUM($B$80:$Y$84,P$80,$C$91:$D118)</f>
        <v>0.57340757782890395</v>
      </c>
      <c r="Q118" s="20">
        <f ca="1">DSUM($B$80:$Y$84,Q$80,$C$91:$D118)</f>
        <v>0.57609194228056249</v>
      </c>
      <c r="R118" s="20">
        <f ca="1">DSUM($B$80:$Y$84,R$80,$C$91:$D118)</f>
        <v>0.57598052325954119</v>
      </c>
      <c r="S118" s="20">
        <f ca="1">DSUM($B$80:$Y$84,S$80,$C$91:$D118)</f>
        <v>0.5740976149937016</v>
      </c>
      <c r="T118" s="20">
        <f ca="1">DSUM($B$80:$Y$84,T$80,$C$91:$D118)</f>
        <v>0.57407929687268933</v>
      </c>
      <c r="U118" s="20">
        <f ca="1">DSUM($B$80:$Y$84,U$80,$C$91:$D118)</f>
        <v>0.57448116984407516</v>
      </c>
      <c r="V118" s="20">
        <f ca="1">DSUM($B$80:$Y$84,V$80,$C$91:$D118)</f>
        <v>0.56990040562294875</v>
      </c>
      <c r="W118" s="20">
        <f ca="1">DSUM($B$80:$Y$84,W$80,$C$91:$D118)</f>
        <v>0.57091758793198633</v>
      </c>
      <c r="X118" s="20">
        <f ca="1">DSUM($B$80:$Y$84,X$80,$C$91:$D118)</f>
        <v>0.56734982926509825</v>
      </c>
      <c r="Y118" s="20">
        <f ca="1">DSUM($B$80:$Y$84,Y$80,$C$91:$D118)</f>
        <v>5.4052958237524305</v>
      </c>
      <c r="Z118" s="7"/>
      <c r="AA118" s="7"/>
      <c r="AB118" s="7"/>
      <c r="AC118" s="7"/>
    </row>
    <row r="119" spans="1:29" customFormat="1">
      <c r="A119" s="7"/>
      <c r="B119" s="7" t="s">
        <v>412</v>
      </c>
      <c r="C119" s="38" t="s">
        <v>422</v>
      </c>
      <c r="D119" s="38" t="s">
        <v>433</v>
      </c>
      <c r="E119" s="20">
        <f ca="1">DSUM($B$80:$Y$84,E$80,$C$91:$D119)</f>
        <v>6.1636144628630055E-2</v>
      </c>
      <c r="F119" s="20">
        <f ca="1">DSUM($B$80:$Y$84,F$80,$C$91:$D119)</f>
        <v>0.12289200001495267</v>
      </c>
      <c r="G119" s="20">
        <f ca="1">DSUM($B$80:$Y$84,G$80,$C$91:$D119)</f>
        <v>0.18377047037500671</v>
      </c>
      <c r="H119" s="20">
        <f ca="1">DSUM($B$80:$Y$84,H$80,$C$91:$D119)</f>
        <v>0.24427442820622805</v>
      </c>
      <c r="I119" s="20">
        <f ca="1">DSUM($B$80:$Y$84,I$80,$C$91:$D119)</f>
        <v>0.30628226357050631</v>
      </c>
      <c r="J119" s="20">
        <f ca="1">DSUM($B$80:$Y$84,J$80,$C$91:$D119)</f>
        <v>0.36135392425292412</v>
      </c>
      <c r="K119" s="20">
        <f ca="1">DSUM($B$80:$Y$84,K$80,$C$91:$D119)</f>
        <v>0.40421296914301708</v>
      </c>
      <c r="L119" s="20">
        <f ca="1">DSUM($B$80:$Y$84,L$80,$C$91:$D119)</f>
        <v>0.43804377463485933</v>
      </c>
      <c r="M119" s="20">
        <f ca="1">DSUM($B$80:$Y$84,M$80,$C$91:$D119)</f>
        <v>0.46467612612301534</v>
      </c>
      <c r="N119" s="20">
        <f ca="1">DSUM($B$80:$Y$84,N$80,$C$91:$D119)</f>
        <v>0.5577955699177799</v>
      </c>
      <c r="O119" s="20">
        <f ca="1">DSUM($B$80:$Y$84,O$80,$C$91:$D119)</f>
        <v>0.56779573406072215</v>
      </c>
      <c r="P119" s="20">
        <f ca="1">DSUM($B$80:$Y$84,P$80,$C$91:$D119)</f>
        <v>0.57340757782890395</v>
      </c>
      <c r="Q119" s="20">
        <f ca="1">DSUM($B$80:$Y$84,Q$80,$C$91:$D119)</f>
        <v>0.57609194228056249</v>
      </c>
      <c r="R119" s="20">
        <f ca="1">DSUM($B$80:$Y$84,R$80,$C$91:$D119)</f>
        <v>0.57598052325954119</v>
      </c>
      <c r="S119" s="20">
        <f ca="1">DSUM($B$80:$Y$84,S$80,$C$91:$D119)</f>
        <v>0.5740976149937016</v>
      </c>
      <c r="T119" s="20">
        <f ca="1">DSUM($B$80:$Y$84,T$80,$C$91:$D119)</f>
        <v>0.57407929687268933</v>
      </c>
      <c r="U119" s="20">
        <f ca="1">DSUM($B$80:$Y$84,U$80,$C$91:$D119)</f>
        <v>0.57448116984407516</v>
      </c>
      <c r="V119" s="20">
        <f ca="1">DSUM($B$80:$Y$84,V$80,$C$91:$D119)</f>
        <v>0.56990040562294875</v>
      </c>
      <c r="W119" s="20">
        <f ca="1">DSUM($B$80:$Y$84,W$80,$C$91:$D119)</f>
        <v>0.57091758793198633</v>
      </c>
      <c r="X119" s="20">
        <f ca="1">DSUM($B$80:$Y$84,X$80,$C$91:$D119)</f>
        <v>0.56734982926509825</v>
      </c>
      <c r="Y119" s="20">
        <f ca="1">DSUM($B$80:$Y$84,Y$80,$C$91:$D119)</f>
        <v>5.4052958237524305</v>
      </c>
      <c r="Z119" s="7"/>
      <c r="AA119" s="7"/>
      <c r="AB119" s="7"/>
      <c r="AC119" s="7"/>
    </row>
    <row r="120" spans="1:29" customFormat="1">
      <c r="A120" s="7"/>
      <c r="B120" s="7" t="s">
        <v>413</v>
      </c>
      <c r="C120" s="38" t="s">
        <v>423</v>
      </c>
      <c r="D120" s="38" t="s">
        <v>434</v>
      </c>
      <c r="E120" s="20">
        <f ca="1">DSUM($B$80:$Y$84,E$80,$C$91:$D120)</f>
        <v>6.1636144628630055E-2</v>
      </c>
      <c r="F120" s="20">
        <f ca="1">DSUM($B$80:$Y$84,F$80,$C$91:$D120)</f>
        <v>0.12289200001495267</v>
      </c>
      <c r="G120" s="20">
        <f ca="1">DSUM($B$80:$Y$84,G$80,$C$91:$D120)</f>
        <v>0.18377047037500671</v>
      </c>
      <c r="H120" s="20">
        <f ca="1">DSUM($B$80:$Y$84,H$80,$C$91:$D120)</f>
        <v>0.24427442820622805</v>
      </c>
      <c r="I120" s="20">
        <f ca="1">DSUM($B$80:$Y$84,I$80,$C$91:$D120)</f>
        <v>0.30628226357050631</v>
      </c>
      <c r="J120" s="20">
        <f ca="1">DSUM($B$80:$Y$84,J$80,$C$91:$D120)</f>
        <v>0.36135392425292412</v>
      </c>
      <c r="K120" s="20">
        <f ca="1">DSUM($B$80:$Y$84,K$80,$C$91:$D120)</f>
        <v>0.40421296914301708</v>
      </c>
      <c r="L120" s="20">
        <f ca="1">DSUM($B$80:$Y$84,L$80,$C$91:$D120)</f>
        <v>0.43804377463485933</v>
      </c>
      <c r="M120" s="20">
        <f ca="1">DSUM($B$80:$Y$84,M$80,$C$91:$D120)</f>
        <v>0.46467612612301534</v>
      </c>
      <c r="N120" s="20">
        <f ca="1">DSUM($B$80:$Y$84,N$80,$C$91:$D120)</f>
        <v>0.5577955699177799</v>
      </c>
      <c r="O120" s="20">
        <f ca="1">DSUM($B$80:$Y$84,O$80,$C$91:$D120)</f>
        <v>0.56779573406072215</v>
      </c>
      <c r="P120" s="20">
        <f ca="1">DSUM($B$80:$Y$84,P$80,$C$91:$D120)</f>
        <v>0.57340757782890395</v>
      </c>
      <c r="Q120" s="20">
        <f ca="1">DSUM($B$80:$Y$84,Q$80,$C$91:$D120)</f>
        <v>0.57609194228056249</v>
      </c>
      <c r="R120" s="20">
        <f ca="1">DSUM($B$80:$Y$84,R$80,$C$91:$D120)</f>
        <v>0.57598052325954119</v>
      </c>
      <c r="S120" s="20">
        <f ca="1">DSUM($B$80:$Y$84,S$80,$C$91:$D120)</f>
        <v>0.5740976149937016</v>
      </c>
      <c r="T120" s="20">
        <f ca="1">DSUM($B$80:$Y$84,T$80,$C$91:$D120)</f>
        <v>0.57407929687268933</v>
      </c>
      <c r="U120" s="20">
        <f ca="1">DSUM($B$80:$Y$84,U$80,$C$91:$D120)</f>
        <v>0.57448116984407516</v>
      </c>
      <c r="V120" s="20">
        <f ca="1">DSUM($B$80:$Y$84,V$80,$C$91:$D120)</f>
        <v>0.56990040562294875</v>
      </c>
      <c r="W120" s="20">
        <f ca="1">DSUM($B$80:$Y$84,W$80,$C$91:$D120)</f>
        <v>0.57091758793198633</v>
      </c>
      <c r="X120" s="20">
        <f ca="1">DSUM($B$80:$Y$84,X$80,$C$91:$D120)</f>
        <v>0.56734982926509825</v>
      </c>
      <c r="Y120" s="20">
        <f ca="1">DSUM($B$80:$Y$84,Y$80,$C$91:$D120)</f>
        <v>5.4052958237524305</v>
      </c>
      <c r="Z120" s="7"/>
      <c r="AA120" s="7"/>
      <c r="AB120" s="7"/>
      <c r="AC120" s="7"/>
    </row>
    <row r="121" spans="1:29" customFormat="1">
      <c r="A121" s="7"/>
      <c r="B121" s="7" t="s">
        <v>414</v>
      </c>
      <c r="C121" s="38" t="s">
        <v>424</v>
      </c>
      <c r="D121" s="38" t="s">
        <v>435</v>
      </c>
      <c r="E121" s="20">
        <f ca="1">DSUM($B$80:$Y$84,E$80,$C$91:$D121)</f>
        <v>6.1636144628630055E-2</v>
      </c>
      <c r="F121" s="20">
        <f ca="1">DSUM($B$80:$Y$84,F$80,$C$91:$D121)</f>
        <v>0.12289200001495267</v>
      </c>
      <c r="G121" s="20">
        <f ca="1">DSUM($B$80:$Y$84,G$80,$C$91:$D121)</f>
        <v>0.18377047037500671</v>
      </c>
      <c r="H121" s="20">
        <f ca="1">DSUM($B$80:$Y$84,H$80,$C$91:$D121)</f>
        <v>0.24427442820622805</v>
      </c>
      <c r="I121" s="20">
        <f ca="1">DSUM($B$80:$Y$84,I$80,$C$91:$D121)</f>
        <v>0.30628226357050631</v>
      </c>
      <c r="J121" s="20">
        <f ca="1">DSUM($B$80:$Y$84,J$80,$C$91:$D121)</f>
        <v>0.36135392425292412</v>
      </c>
      <c r="K121" s="20">
        <f ca="1">DSUM($B$80:$Y$84,K$80,$C$91:$D121)</f>
        <v>0.40421296914301708</v>
      </c>
      <c r="L121" s="20">
        <f ca="1">DSUM($B$80:$Y$84,L$80,$C$91:$D121)</f>
        <v>0.43804377463485933</v>
      </c>
      <c r="M121" s="20">
        <f ca="1">DSUM($B$80:$Y$84,M$80,$C$91:$D121)</f>
        <v>0.46467612612301534</v>
      </c>
      <c r="N121" s="20">
        <f ca="1">DSUM($B$80:$Y$84,N$80,$C$91:$D121)</f>
        <v>0.5577955699177799</v>
      </c>
      <c r="O121" s="20">
        <f ca="1">DSUM($B$80:$Y$84,O$80,$C$91:$D121)</f>
        <v>0.56779573406072215</v>
      </c>
      <c r="P121" s="20">
        <f ca="1">DSUM($B$80:$Y$84,P$80,$C$91:$D121)</f>
        <v>0.57340757782890395</v>
      </c>
      <c r="Q121" s="20">
        <f ca="1">DSUM($B$80:$Y$84,Q$80,$C$91:$D121)</f>
        <v>0.57609194228056249</v>
      </c>
      <c r="R121" s="20">
        <f ca="1">DSUM($B$80:$Y$84,R$80,$C$91:$D121)</f>
        <v>0.57598052325954119</v>
      </c>
      <c r="S121" s="20">
        <f ca="1">DSUM($B$80:$Y$84,S$80,$C$91:$D121)</f>
        <v>0.5740976149937016</v>
      </c>
      <c r="T121" s="20">
        <f ca="1">DSUM($B$80:$Y$84,T$80,$C$91:$D121)</f>
        <v>0.57407929687268933</v>
      </c>
      <c r="U121" s="20">
        <f ca="1">DSUM($B$80:$Y$84,U$80,$C$91:$D121)</f>
        <v>0.57448116984407516</v>
      </c>
      <c r="V121" s="20">
        <f ca="1">DSUM($B$80:$Y$84,V$80,$C$91:$D121)</f>
        <v>0.56990040562294875</v>
      </c>
      <c r="W121" s="20">
        <f ca="1">DSUM($B$80:$Y$84,W$80,$C$91:$D121)</f>
        <v>0.57091758793198633</v>
      </c>
      <c r="X121" s="20">
        <f ca="1">DSUM($B$80:$Y$84,X$80,$C$91:$D121)</f>
        <v>0.56734982926509825</v>
      </c>
      <c r="Y121" s="20">
        <f ca="1">DSUM($B$80:$Y$84,Y$80,$C$91:$D121)</f>
        <v>5.4052958237524305</v>
      </c>
      <c r="Z121" s="7"/>
      <c r="AA121" s="7"/>
      <c r="AB121" s="7"/>
      <c r="AC121" s="7"/>
    </row>
    <row r="122" spans="1:29" customFormat="1">
      <c r="A122" s="7"/>
      <c r="B122" s="7" t="s">
        <v>415</v>
      </c>
      <c r="C122" s="38" t="s">
        <v>425</v>
      </c>
      <c r="D122" s="38" t="s">
        <v>436</v>
      </c>
      <c r="E122" s="20">
        <f ca="1">DSUM($B$80:$Y$84,E$80,$C$91:$D122)</f>
        <v>6.1636144628630055E-2</v>
      </c>
      <c r="F122" s="20">
        <f ca="1">DSUM($B$80:$Y$84,F$80,$C$91:$D122)</f>
        <v>0.12289200001495267</v>
      </c>
      <c r="G122" s="20">
        <f ca="1">DSUM($B$80:$Y$84,G$80,$C$91:$D122)</f>
        <v>0.18377047037500671</v>
      </c>
      <c r="H122" s="20">
        <f ca="1">DSUM($B$80:$Y$84,H$80,$C$91:$D122)</f>
        <v>0.24427442820622805</v>
      </c>
      <c r="I122" s="20">
        <f ca="1">DSUM($B$80:$Y$84,I$80,$C$91:$D122)</f>
        <v>0.30628226357050631</v>
      </c>
      <c r="J122" s="20">
        <f ca="1">DSUM($B$80:$Y$84,J$80,$C$91:$D122)</f>
        <v>0.36135392425292412</v>
      </c>
      <c r="K122" s="20">
        <f ca="1">DSUM($B$80:$Y$84,K$80,$C$91:$D122)</f>
        <v>0.40421296914301708</v>
      </c>
      <c r="L122" s="20">
        <f ca="1">DSUM($B$80:$Y$84,L$80,$C$91:$D122)</f>
        <v>0.43804377463485933</v>
      </c>
      <c r="M122" s="20">
        <f ca="1">DSUM($B$80:$Y$84,M$80,$C$91:$D122)</f>
        <v>0.46467612612301534</v>
      </c>
      <c r="N122" s="20">
        <f ca="1">DSUM($B$80:$Y$84,N$80,$C$91:$D122)</f>
        <v>0.5577955699177799</v>
      </c>
      <c r="O122" s="20">
        <f ca="1">DSUM($B$80:$Y$84,O$80,$C$91:$D122)</f>
        <v>0.56779573406072215</v>
      </c>
      <c r="P122" s="20">
        <f ca="1">DSUM($B$80:$Y$84,P$80,$C$91:$D122)</f>
        <v>0.57340757782890395</v>
      </c>
      <c r="Q122" s="20">
        <f ca="1">DSUM($B$80:$Y$84,Q$80,$C$91:$D122)</f>
        <v>0.57609194228056249</v>
      </c>
      <c r="R122" s="20">
        <f ca="1">DSUM($B$80:$Y$84,R$80,$C$91:$D122)</f>
        <v>0.57598052325954119</v>
      </c>
      <c r="S122" s="20">
        <f ca="1">DSUM($B$80:$Y$84,S$80,$C$91:$D122)</f>
        <v>0.5740976149937016</v>
      </c>
      <c r="T122" s="20">
        <f ca="1">DSUM($B$80:$Y$84,T$80,$C$91:$D122)</f>
        <v>0.57407929687268933</v>
      </c>
      <c r="U122" s="20">
        <f ca="1">DSUM($B$80:$Y$84,U$80,$C$91:$D122)</f>
        <v>0.57448116984407516</v>
      </c>
      <c r="V122" s="20">
        <f ca="1">DSUM($B$80:$Y$84,V$80,$C$91:$D122)</f>
        <v>0.56990040562294875</v>
      </c>
      <c r="W122" s="20">
        <f ca="1">DSUM($B$80:$Y$84,W$80,$C$91:$D122)</f>
        <v>0.57091758793198633</v>
      </c>
      <c r="X122" s="20">
        <f ca="1">DSUM($B$80:$Y$84,X$80,$C$91:$D122)</f>
        <v>0.56734982926509825</v>
      </c>
      <c r="Y122" s="20">
        <f ca="1">DSUM($B$80:$Y$84,Y$80,$C$91:$D122)</f>
        <v>5.4052958237524305</v>
      </c>
      <c r="Z122" s="7"/>
      <c r="AA122" s="7"/>
      <c r="AB122" s="7"/>
      <c r="AC122" s="7"/>
    </row>
    <row r="123" spans="1:29" customFormat="1">
      <c r="A123" s="7"/>
      <c r="B123" s="7" t="s">
        <v>416</v>
      </c>
      <c r="C123" s="38" t="s">
        <v>426</v>
      </c>
      <c r="D123" s="38" t="s">
        <v>134</v>
      </c>
      <c r="E123" s="20">
        <f ca="1">DSUM($B$80:$Y$84,E$80,$C$91:$D123)</f>
        <v>6.1636144628630055E-2</v>
      </c>
      <c r="F123" s="20">
        <f ca="1">DSUM($B$80:$Y$84,F$80,$C$91:$D123)</f>
        <v>0.12289200001495267</v>
      </c>
      <c r="G123" s="20">
        <f ca="1">DSUM($B$80:$Y$84,G$80,$C$91:$D123)</f>
        <v>0.18377047037500671</v>
      </c>
      <c r="H123" s="20">
        <f ca="1">DSUM($B$80:$Y$84,H$80,$C$91:$D123)</f>
        <v>0.24427442820622805</v>
      </c>
      <c r="I123" s="20">
        <f ca="1">DSUM($B$80:$Y$84,I$80,$C$91:$D123)</f>
        <v>0.30628226357050631</v>
      </c>
      <c r="J123" s="20">
        <f ca="1">DSUM($B$80:$Y$84,J$80,$C$91:$D123)</f>
        <v>0.36135392425292412</v>
      </c>
      <c r="K123" s="20">
        <f ca="1">DSUM($B$80:$Y$84,K$80,$C$91:$D123)</f>
        <v>0.40421296914301708</v>
      </c>
      <c r="L123" s="20">
        <f ca="1">DSUM($B$80:$Y$84,L$80,$C$91:$D123)</f>
        <v>0.43804377463485933</v>
      </c>
      <c r="M123" s="20">
        <f ca="1">DSUM($B$80:$Y$84,M$80,$C$91:$D123)</f>
        <v>0.46467612612301534</v>
      </c>
      <c r="N123" s="20">
        <f ca="1">DSUM($B$80:$Y$84,N$80,$C$91:$D123)</f>
        <v>0.5577955699177799</v>
      </c>
      <c r="O123" s="20">
        <f ca="1">DSUM($B$80:$Y$84,O$80,$C$91:$D123)</f>
        <v>0.56779573406072215</v>
      </c>
      <c r="P123" s="20">
        <f ca="1">DSUM($B$80:$Y$84,P$80,$C$91:$D123)</f>
        <v>0.57340757782890395</v>
      </c>
      <c r="Q123" s="20">
        <f ca="1">DSUM($B$80:$Y$84,Q$80,$C$91:$D123)</f>
        <v>0.57609194228056249</v>
      </c>
      <c r="R123" s="20">
        <f ca="1">DSUM($B$80:$Y$84,R$80,$C$91:$D123)</f>
        <v>0.57598052325954119</v>
      </c>
      <c r="S123" s="20">
        <f ca="1">DSUM($B$80:$Y$84,S$80,$C$91:$D123)</f>
        <v>0.5740976149937016</v>
      </c>
      <c r="T123" s="20">
        <f ca="1">DSUM($B$80:$Y$84,T$80,$C$91:$D123)</f>
        <v>0.57407929687268933</v>
      </c>
      <c r="U123" s="20">
        <f ca="1">DSUM($B$80:$Y$84,U$80,$C$91:$D123)</f>
        <v>0.57448116984407516</v>
      </c>
      <c r="V123" s="20">
        <f ca="1">DSUM($B$80:$Y$84,V$80,$C$91:$D123)</f>
        <v>0.56990040562294875</v>
      </c>
      <c r="W123" s="20">
        <f ca="1">DSUM($B$80:$Y$84,W$80,$C$91:$D123)</f>
        <v>0.57091758793198633</v>
      </c>
      <c r="X123" s="20">
        <f ca="1">DSUM($B$80:$Y$84,X$80,$C$91:$D123)</f>
        <v>0.56734982926509825</v>
      </c>
      <c r="Y123" s="20">
        <f ca="1">DSUM($B$80:$Y$84,Y$80,$C$91:$D123)</f>
        <v>5.4052958237524305</v>
      </c>
      <c r="Z123" s="7"/>
      <c r="AA123" s="7"/>
      <c r="AB123" s="7"/>
      <c r="AC123" s="7"/>
    </row>
    <row r="124" spans="1:29" customForma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row>
    <row r="125" spans="1:29" customForma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row>
    <row r="126" spans="1:29" customFormat="1" ht="15">
      <c r="A126" s="98" t="s">
        <v>135</v>
      </c>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row>
    <row r="127" spans="1:29" customFormat="1" ht="15">
      <c r="A127" s="7"/>
      <c r="B127" s="7"/>
      <c r="C127" s="7"/>
      <c r="D127" s="79" t="str">
        <f>C8</f>
        <v>Microwave</v>
      </c>
      <c r="E127" s="90">
        <f t="shared" ref="E127:X127" si="27">E11</f>
        <v>2016</v>
      </c>
      <c r="F127" s="84">
        <f t="shared" si="27"/>
        <v>2017</v>
      </c>
      <c r="G127" s="84">
        <f t="shared" si="27"/>
        <v>2018</v>
      </c>
      <c r="H127" s="84">
        <f t="shared" si="27"/>
        <v>2019</v>
      </c>
      <c r="I127" s="84">
        <f t="shared" si="27"/>
        <v>2020</v>
      </c>
      <c r="J127" s="84">
        <f t="shared" si="27"/>
        <v>2021</v>
      </c>
      <c r="K127" s="84">
        <f t="shared" si="27"/>
        <v>2022</v>
      </c>
      <c r="L127" s="84">
        <f t="shared" si="27"/>
        <v>2023</v>
      </c>
      <c r="M127" s="84">
        <f t="shared" si="27"/>
        <v>2024</v>
      </c>
      <c r="N127" s="84">
        <f t="shared" si="27"/>
        <v>2025</v>
      </c>
      <c r="O127" s="84">
        <f t="shared" si="27"/>
        <v>2026</v>
      </c>
      <c r="P127" s="84">
        <f t="shared" si="27"/>
        <v>2027</v>
      </c>
      <c r="Q127" s="84">
        <f t="shared" si="27"/>
        <v>2028</v>
      </c>
      <c r="R127" s="84">
        <f t="shared" si="27"/>
        <v>2029</v>
      </c>
      <c r="S127" s="84">
        <f t="shared" si="27"/>
        <v>2030</v>
      </c>
      <c r="T127" s="84">
        <f t="shared" si="27"/>
        <v>2031</v>
      </c>
      <c r="U127" s="84">
        <f t="shared" si="27"/>
        <v>2032</v>
      </c>
      <c r="V127" s="84">
        <f t="shared" si="27"/>
        <v>2033</v>
      </c>
      <c r="W127" s="84">
        <f t="shared" si="27"/>
        <v>2034</v>
      </c>
      <c r="X127" s="84">
        <f t="shared" si="27"/>
        <v>2035</v>
      </c>
      <c r="Y127" s="85" t="s">
        <v>149</v>
      </c>
      <c r="Z127" s="7"/>
      <c r="AA127" s="7"/>
      <c r="AB127" s="7"/>
      <c r="AC127" s="7"/>
    </row>
    <row r="128" spans="1:29" customFormat="1" ht="15">
      <c r="A128" s="7"/>
      <c r="B128" s="7"/>
      <c r="C128" s="7"/>
      <c r="D128" s="79" t="str">
        <f>C8</f>
        <v>Microwave</v>
      </c>
      <c r="E128" s="91" t="str">
        <f>CONCATENATE("aMW_",E127)</f>
        <v>aMW_2016</v>
      </c>
      <c r="F128" s="86" t="str">
        <f t="shared" ref="F128:X128" si="28">CONCATENATE("aMW_",F127)</f>
        <v>aMW_2017</v>
      </c>
      <c r="G128" s="86" t="str">
        <f t="shared" si="28"/>
        <v>aMW_2018</v>
      </c>
      <c r="H128" s="86" t="str">
        <f t="shared" si="28"/>
        <v>aMW_2019</v>
      </c>
      <c r="I128" s="86" t="str">
        <f t="shared" si="28"/>
        <v>aMW_2020</v>
      </c>
      <c r="J128" s="86" t="str">
        <f t="shared" si="28"/>
        <v>aMW_2021</v>
      </c>
      <c r="K128" s="86" t="str">
        <f t="shared" si="28"/>
        <v>aMW_2022</v>
      </c>
      <c r="L128" s="86" t="str">
        <f t="shared" si="28"/>
        <v>aMW_2023</v>
      </c>
      <c r="M128" s="86" t="str">
        <f t="shared" si="28"/>
        <v>aMW_2024</v>
      </c>
      <c r="N128" s="86" t="str">
        <f t="shared" si="28"/>
        <v>aMW_2025</v>
      </c>
      <c r="O128" s="86" t="str">
        <f t="shared" si="28"/>
        <v>aMW_2026</v>
      </c>
      <c r="P128" s="86" t="str">
        <f t="shared" si="28"/>
        <v>aMW_2027</v>
      </c>
      <c r="Q128" s="86" t="str">
        <f t="shared" si="28"/>
        <v>aMW_2028</v>
      </c>
      <c r="R128" s="86" t="str">
        <f t="shared" si="28"/>
        <v>aMW_2029</v>
      </c>
      <c r="S128" s="86" t="str">
        <f t="shared" si="28"/>
        <v>aMW_2030</v>
      </c>
      <c r="T128" s="86" t="str">
        <f t="shared" si="28"/>
        <v>aMW_2031</v>
      </c>
      <c r="U128" s="86" t="str">
        <f t="shared" si="28"/>
        <v>aMW_2032</v>
      </c>
      <c r="V128" s="86" t="str">
        <f t="shared" si="28"/>
        <v>aMW_2033</v>
      </c>
      <c r="W128" s="86" t="str">
        <f t="shared" si="28"/>
        <v>aMW_2034</v>
      </c>
      <c r="X128" s="86" t="str">
        <f t="shared" si="28"/>
        <v>aMW_2035</v>
      </c>
      <c r="Y128" s="87" t="s">
        <v>149</v>
      </c>
      <c r="Z128" s="7"/>
      <c r="AA128" s="7"/>
      <c r="AB128" s="7"/>
      <c r="AC128" s="7"/>
    </row>
    <row r="129" spans="1:29" customFormat="1">
      <c r="A129" s="7"/>
      <c r="B129" s="7"/>
      <c r="C129" s="7"/>
      <c r="D129" s="7" t="s">
        <v>69</v>
      </c>
      <c r="E129" s="20">
        <f>E92</f>
        <v>0</v>
      </c>
      <c r="F129" s="20">
        <f t="shared" ref="F129:Y129" si="29">F92</f>
        <v>0</v>
      </c>
      <c r="G129" s="20">
        <f t="shared" si="29"/>
        <v>0</v>
      </c>
      <c r="H129" s="20">
        <f t="shared" si="29"/>
        <v>0</v>
      </c>
      <c r="I129" s="20">
        <f t="shared" si="29"/>
        <v>0</v>
      </c>
      <c r="J129" s="20">
        <f t="shared" si="29"/>
        <v>0</v>
      </c>
      <c r="K129" s="20">
        <f t="shared" si="29"/>
        <v>0</v>
      </c>
      <c r="L129" s="20">
        <f t="shared" si="29"/>
        <v>0</v>
      </c>
      <c r="M129" s="20">
        <f t="shared" si="29"/>
        <v>0</v>
      </c>
      <c r="N129" s="20">
        <f t="shared" si="29"/>
        <v>0</v>
      </c>
      <c r="O129" s="20">
        <f t="shared" si="29"/>
        <v>0</v>
      </c>
      <c r="P129" s="20">
        <f t="shared" si="29"/>
        <v>0</v>
      </c>
      <c r="Q129" s="20">
        <f t="shared" si="29"/>
        <v>0</v>
      </c>
      <c r="R129" s="20">
        <f t="shared" si="29"/>
        <v>0</v>
      </c>
      <c r="S129" s="20">
        <f t="shared" si="29"/>
        <v>0</v>
      </c>
      <c r="T129" s="20">
        <f t="shared" si="29"/>
        <v>0</v>
      </c>
      <c r="U129" s="20">
        <f t="shared" si="29"/>
        <v>0</v>
      </c>
      <c r="V129" s="20">
        <f t="shared" si="29"/>
        <v>0</v>
      </c>
      <c r="W129" s="20">
        <f t="shared" si="29"/>
        <v>0</v>
      </c>
      <c r="X129" s="20">
        <f t="shared" si="29"/>
        <v>0</v>
      </c>
      <c r="Y129" s="20">
        <f t="shared" si="29"/>
        <v>0</v>
      </c>
      <c r="Z129" s="7"/>
      <c r="AA129" s="7"/>
      <c r="AB129" s="7"/>
      <c r="AC129" s="7"/>
    </row>
    <row r="130" spans="1:29" customFormat="1">
      <c r="A130" s="7"/>
      <c r="B130" s="7"/>
      <c r="C130" s="7"/>
      <c r="D130" s="7" t="s">
        <v>450</v>
      </c>
      <c r="E130" s="20">
        <f t="shared" ref="E130:X134" si="30">E93-E92</f>
        <v>0</v>
      </c>
      <c r="F130" s="20">
        <f t="shared" si="30"/>
        <v>0</v>
      </c>
      <c r="G130" s="20">
        <f t="shared" si="30"/>
        <v>0</v>
      </c>
      <c r="H130" s="20">
        <f t="shared" si="30"/>
        <v>0</v>
      </c>
      <c r="I130" s="20">
        <f t="shared" si="30"/>
        <v>0</v>
      </c>
      <c r="J130" s="20">
        <f t="shared" si="30"/>
        <v>0</v>
      </c>
      <c r="K130" s="20">
        <f t="shared" si="30"/>
        <v>0</v>
      </c>
      <c r="L130" s="20">
        <f t="shared" si="30"/>
        <v>0</v>
      </c>
      <c r="M130" s="20">
        <f t="shared" si="30"/>
        <v>0</v>
      </c>
      <c r="N130" s="20">
        <f t="shared" si="30"/>
        <v>0</v>
      </c>
      <c r="O130" s="20">
        <f t="shared" si="30"/>
        <v>0</v>
      </c>
      <c r="P130" s="20">
        <f t="shared" si="30"/>
        <v>0</v>
      </c>
      <c r="Q130" s="20">
        <f t="shared" si="30"/>
        <v>0</v>
      </c>
      <c r="R130" s="20">
        <f t="shared" si="30"/>
        <v>0</v>
      </c>
      <c r="S130" s="20">
        <f t="shared" si="30"/>
        <v>0</v>
      </c>
      <c r="T130" s="20">
        <f t="shared" si="30"/>
        <v>0</v>
      </c>
      <c r="U130" s="20">
        <f t="shared" si="30"/>
        <v>0</v>
      </c>
      <c r="V130" s="20">
        <f t="shared" si="30"/>
        <v>0</v>
      </c>
      <c r="W130" s="20">
        <f t="shared" si="30"/>
        <v>0</v>
      </c>
      <c r="X130" s="20">
        <f t="shared" si="30"/>
        <v>0</v>
      </c>
      <c r="Y130" s="20">
        <f t="shared" ref="Y130" si="31">Y93-Y92</f>
        <v>0</v>
      </c>
      <c r="Z130" s="7"/>
      <c r="AA130" s="7"/>
      <c r="AB130" s="7"/>
      <c r="AC130" s="7"/>
    </row>
    <row r="131" spans="1:29" customFormat="1">
      <c r="A131" s="7"/>
      <c r="B131" s="7"/>
      <c r="C131" s="7"/>
      <c r="D131" s="7" t="s">
        <v>75</v>
      </c>
      <c r="E131" s="20">
        <f t="shared" si="30"/>
        <v>0</v>
      </c>
      <c r="F131" s="20">
        <f t="shared" si="30"/>
        <v>0</v>
      </c>
      <c r="G131" s="20">
        <f t="shared" si="30"/>
        <v>0</v>
      </c>
      <c r="H131" s="20">
        <f t="shared" si="30"/>
        <v>0</v>
      </c>
      <c r="I131" s="20">
        <f t="shared" si="30"/>
        <v>0</v>
      </c>
      <c r="J131" s="20">
        <f t="shared" si="30"/>
        <v>0</v>
      </c>
      <c r="K131" s="20">
        <f t="shared" si="30"/>
        <v>0</v>
      </c>
      <c r="L131" s="20">
        <f t="shared" si="30"/>
        <v>0</v>
      </c>
      <c r="M131" s="20">
        <f t="shared" si="30"/>
        <v>0</v>
      </c>
      <c r="N131" s="20">
        <f t="shared" si="30"/>
        <v>0</v>
      </c>
      <c r="O131" s="20">
        <f t="shared" si="30"/>
        <v>0</v>
      </c>
      <c r="P131" s="20">
        <f t="shared" si="30"/>
        <v>0</v>
      </c>
      <c r="Q131" s="20">
        <f t="shared" si="30"/>
        <v>0</v>
      </c>
      <c r="R131" s="20">
        <f t="shared" si="30"/>
        <v>0</v>
      </c>
      <c r="S131" s="20">
        <f t="shared" si="30"/>
        <v>0</v>
      </c>
      <c r="T131" s="20">
        <f t="shared" si="30"/>
        <v>0</v>
      </c>
      <c r="U131" s="20">
        <f t="shared" si="30"/>
        <v>0</v>
      </c>
      <c r="V131" s="20">
        <f t="shared" si="30"/>
        <v>0</v>
      </c>
      <c r="W131" s="20">
        <f t="shared" si="30"/>
        <v>0</v>
      </c>
      <c r="X131" s="20">
        <f t="shared" si="30"/>
        <v>0</v>
      </c>
      <c r="Y131" s="20">
        <f t="shared" ref="Y131" si="32">Y94-Y93</f>
        <v>0</v>
      </c>
      <c r="Z131" s="7"/>
      <c r="AA131" s="7"/>
      <c r="AB131" s="7"/>
      <c r="AC131" s="7"/>
    </row>
    <row r="132" spans="1:29" customFormat="1">
      <c r="A132" s="7"/>
      <c r="B132" s="7"/>
      <c r="C132" s="7"/>
      <c r="D132" s="7" t="s">
        <v>78</v>
      </c>
      <c r="E132" s="20">
        <f t="shared" si="30"/>
        <v>0</v>
      </c>
      <c r="F132" s="20">
        <f t="shared" si="30"/>
        <v>0</v>
      </c>
      <c r="G132" s="20">
        <f t="shared" si="30"/>
        <v>0</v>
      </c>
      <c r="H132" s="20">
        <f t="shared" si="30"/>
        <v>0</v>
      </c>
      <c r="I132" s="20">
        <f t="shared" si="30"/>
        <v>0</v>
      </c>
      <c r="J132" s="20">
        <f t="shared" si="30"/>
        <v>0</v>
      </c>
      <c r="K132" s="20">
        <f t="shared" si="30"/>
        <v>0</v>
      </c>
      <c r="L132" s="20">
        <f t="shared" si="30"/>
        <v>0</v>
      </c>
      <c r="M132" s="20">
        <f t="shared" si="30"/>
        <v>0</v>
      </c>
      <c r="N132" s="20">
        <f t="shared" si="30"/>
        <v>0</v>
      </c>
      <c r="O132" s="20">
        <f t="shared" si="30"/>
        <v>0</v>
      </c>
      <c r="P132" s="20">
        <f t="shared" si="30"/>
        <v>0</v>
      </c>
      <c r="Q132" s="20">
        <f t="shared" si="30"/>
        <v>0</v>
      </c>
      <c r="R132" s="20">
        <f t="shared" si="30"/>
        <v>0</v>
      </c>
      <c r="S132" s="20">
        <f t="shared" si="30"/>
        <v>0</v>
      </c>
      <c r="T132" s="20">
        <f t="shared" si="30"/>
        <v>0</v>
      </c>
      <c r="U132" s="20">
        <f t="shared" si="30"/>
        <v>0</v>
      </c>
      <c r="V132" s="20">
        <f t="shared" si="30"/>
        <v>0</v>
      </c>
      <c r="W132" s="20">
        <f t="shared" si="30"/>
        <v>0</v>
      </c>
      <c r="X132" s="20">
        <f t="shared" si="30"/>
        <v>0</v>
      </c>
      <c r="Y132" s="20">
        <f t="shared" ref="Y132" si="33">Y95-Y94</f>
        <v>0</v>
      </c>
      <c r="Z132" s="7"/>
      <c r="AA132" s="7"/>
      <c r="AB132" s="7"/>
      <c r="AC132" s="7"/>
    </row>
    <row r="133" spans="1:29" customFormat="1">
      <c r="A133" s="7"/>
      <c r="B133" s="7"/>
      <c r="C133" s="7"/>
      <c r="D133" s="7" t="s">
        <v>81</v>
      </c>
      <c r="E133" s="20">
        <f t="shared" ca="1" si="30"/>
        <v>6.1636144628630055E-2</v>
      </c>
      <c r="F133" s="20">
        <f t="shared" ca="1" si="30"/>
        <v>0.12289200001495267</v>
      </c>
      <c r="G133" s="20">
        <f t="shared" ca="1" si="30"/>
        <v>0.18377047037500671</v>
      </c>
      <c r="H133" s="20">
        <f t="shared" ca="1" si="30"/>
        <v>0.24427442820622805</v>
      </c>
      <c r="I133" s="20">
        <f t="shared" ca="1" si="30"/>
        <v>0.30628226357050631</v>
      </c>
      <c r="J133" s="20">
        <f t="shared" ca="1" si="30"/>
        <v>0.36135392425292412</v>
      </c>
      <c r="K133" s="20">
        <f t="shared" ca="1" si="30"/>
        <v>0.40421296914301708</v>
      </c>
      <c r="L133" s="20">
        <f t="shared" ca="1" si="30"/>
        <v>0.43804377463485933</v>
      </c>
      <c r="M133" s="20">
        <f t="shared" ca="1" si="30"/>
        <v>0.46467612612301534</v>
      </c>
      <c r="N133" s="20">
        <f t="shared" ca="1" si="30"/>
        <v>0.5577955699177799</v>
      </c>
      <c r="O133" s="20">
        <f t="shared" ca="1" si="30"/>
        <v>0.56779573406072215</v>
      </c>
      <c r="P133" s="20">
        <f t="shared" ca="1" si="30"/>
        <v>0.57340757782890395</v>
      </c>
      <c r="Q133" s="20">
        <f t="shared" ca="1" si="30"/>
        <v>0.57609194228056249</v>
      </c>
      <c r="R133" s="20">
        <f t="shared" ca="1" si="30"/>
        <v>0.57598052325954119</v>
      </c>
      <c r="S133" s="20">
        <f t="shared" ca="1" si="30"/>
        <v>0.5740976149937016</v>
      </c>
      <c r="T133" s="20">
        <f t="shared" ca="1" si="30"/>
        <v>0.57407929687268933</v>
      </c>
      <c r="U133" s="20">
        <f t="shared" ca="1" si="30"/>
        <v>0.57448116984407516</v>
      </c>
      <c r="V133" s="20">
        <f t="shared" ca="1" si="30"/>
        <v>0.56990040562294875</v>
      </c>
      <c r="W133" s="20">
        <f t="shared" ca="1" si="30"/>
        <v>0.57091758793198633</v>
      </c>
      <c r="X133" s="20">
        <f t="shared" ca="1" si="30"/>
        <v>0.56734982926509825</v>
      </c>
      <c r="Y133" s="20">
        <f t="shared" ref="Y133" ca="1" si="34">Y96-Y95</f>
        <v>5.4052958237524305</v>
      </c>
      <c r="Z133" s="7"/>
      <c r="AA133" s="7"/>
      <c r="AB133" s="7"/>
      <c r="AC133" s="7"/>
    </row>
    <row r="134" spans="1:29" customFormat="1">
      <c r="A134" s="7"/>
      <c r="B134" s="7"/>
      <c r="C134" s="7"/>
      <c r="D134" s="7" t="s">
        <v>84</v>
      </c>
      <c r="E134" s="20">
        <f t="shared" ca="1" si="30"/>
        <v>0</v>
      </c>
      <c r="F134" s="20">
        <f t="shared" ref="F134" ca="1" si="35">F97-F96</f>
        <v>0</v>
      </c>
      <c r="G134" s="20">
        <f t="shared" ca="1" si="30"/>
        <v>0</v>
      </c>
      <c r="H134" s="20">
        <f t="shared" ref="H134" ca="1" si="36">H97-H96</f>
        <v>0</v>
      </c>
      <c r="I134" s="20">
        <f t="shared" ca="1" si="30"/>
        <v>0</v>
      </c>
      <c r="J134" s="20">
        <f t="shared" ref="J134" ca="1" si="37">J97-J96</f>
        <v>0</v>
      </c>
      <c r="K134" s="20">
        <f t="shared" ca="1" si="30"/>
        <v>0</v>
      </c>
      <c r="L134" s="20">
        <f t="shared" ref="L134" ca="1" si="38">L97-L96</f>
        <v>0</v>
      </c>
      <c r="M134" s="20">
        <f t="shared" ca="1" si="30"/>
        <v>0</v>
      </c>
      <c r="N134" s="20">
        <f t="shared" ref="N134" ca="1" si="39">N97-N96</f>
        <v>0</v>
      </c>
      <c r="O134" s="20">
        <f t="shared" ca="1" si="30"/>
        <v>0</v>
      </c>
      <c r="P134" s="20">
        <f t="shared" ref="P134" ca="1" si="40">P97-P96</f>
        <v>0</v>
      </c>
      <c r="Q134" s="20">
        <f t="shared" ca="1" si="30"/>
        <v>0</v>
      </c>
      <c r="R134" s="20">
        <f t="shared" ref="R134" ca="1" si="41">R97-R96</f>
        <v>0</v>
      </c>
      <c r="S134" s="20">
        <f t="shared" ca="1" si="30"/>
        <v>0</v>
      </c>
      <c r="T134" s="20">
        <f t="shared" ref="T134" ca="1" si="42">T97-T96</f>
        <v>0</v>
      </c>
      <c r="U134" s="20">
        <f t="shared" ca="1" si="30"/>
        <v>0</v>
      </c>
      <c r="V134" s="20">
        <f t="shared" ref="V134" ca="1" si="43">V97-V96</f>
        <v>0</v>
      </c>
      <c r="W134" s="20">
        <f t="shared" ca="1" si="30"/>
        <v>0</v>
      </c>
      <c r="X134" s="20">
        <f t="shared" ca="1" si="30"/>
        <v>0</v>
      </c>
      <c r="Y134" s="20">
        <f t="shared" ref="Y134" ca="1" si="44">Y97-Y96</f>
        <v>0</v>
      </c>
      <c r="Z134" s="7"/>
      <c r="AA134" s="7"/>
      <c r="AB134" s="7"/>
      <c r="AC134" s="7"/>
    </row>
    <row r="135" spans="1:29" customFormat="1">
      <c r="A135" s="7"/>
      <c r="B135" s="7"/>
      <c r="C135" s="7"/>
      <c r="D135" s="7" t="s">
        <v>87</v>
      </c>
      <c r="E135" s="20">
        <f t="shared" ref="E135:W135" ca="1" si="45">E98-E97</f>
        <v>0</v>
      </c>
      <c r="F135" s="20">
        <f t="shared" ca="1" si="45"/>
        <v>0</v>
      </c>
      <c r="G135" s="20">
        <f t="shared" ca="1" si="45"/>
        <v>0</v>
      </c>
      <c r="H135" s="20">
        <f t="shared" ca="1" si="45"/>
        <v>0</v>
      </c>
      <c r="I135" s="20">
        <f t="shared" ca="1" si="45"/>
        <v>0</v>
      </c>
      <c r="J135" s="20">
        <f t="shared" ca="1" si="45"/>
        <v>0</v>
      </c>
      <c r="K135" s="20">
        <f t="shared" ca="1" si="45"/>
        <v>0</v>
      </c>
      <c r="L135" s="20">
        <f t="shared" ca="1" si="45"/>
        <v>0</v>
      </c>
      <c r="M135" s="20">
        <f t="shared" ca="1" si="45"/>
        <v>0</v>
      </c>
      <c r="N135" s="20">
        <f t="shared" ca="1" si="45"/>
        <v>0</v>
      </c>
      <c r="O135" s="20">
        <f t="shared" ca="1" si="45"/>
        <v>0</v>
      </c>
      <c r="P135" s="20">
        <f t="shared" ca="1" si="45"/>
        <v>0</v>
      </c>
      <c r="Q135" s="20">
        <f t="shared" ca="1" si="45"/>
        <v>0</v>
      </c>
      <c r="R135" s="20">
        <f t="shared" ca="1" si="45"/>
        <v>0</v>
      </c>
      <c r="S135" s="20">
        <f t="shared" ca="1" si="45"/>
        <v>0</v>
      </c>
      <c r="T135" s="20">
        <f t="shared" ca="1" si="45"/>
        <v>0</v>
      </c>
      <c r="U135" s="20">
        <f t="shared" ca="1" si="45"/>
        <v>0</v>
      </c>
      <c r="V135" s="20">
        <f t="shared" ca="1" si="45"/>
        <v>0</v>
      </c>
      <c r="W135" s="20">
        <f t="shared" ca="1" si="45"/>
        <v>0</v>
      </c>
      <c r="X135" s="20">
        <f t="shared" ref="X135:Y135" ca="1" si="46">X98-X97</f>
        <v>0</v>
      </c>
      <c r="Y135" s="20">
        <f t="shared" ca="1" si="46"/>
        <v>0</v>
      </c>
      <c r="Z135" s="7"/>
      <c r="AA135" s="7"/>
      <c r="AB135" s="7"/>
      <c r="AC135" s="7"/>
    </row>
    <row r="136" spans="1:29" customFormat="1">
      <c r="A136" s="7"/>
      <c r="B136" s="7"/>
      <c r="C136" s="7"/>
      <c r="D136" s="7" t="s">
        <v>90</v>
      </c>
      <c r="E136" s="20">
        <f t="shared" ref="E136:W136" ca="1" si="47">E99-E98</f>
        <v>0</v>
      </c>
      <c r="F136" s="20">
        <f t="shared" ca="1" si="47"/>
        <v>0</v>
      </c>
      <c r="G136" s="20">
        <f t="shared" ca="1" si="47"/>
        <v>0</v>
      </c>
      <c r="H136" s="20">
        <f t="shared" ca="1" si="47"/>
        <v>0</v>
      </c>
      <c r="I136" s="20">
        <f t="shared" ca="1" si="47"/>
        <v>0</v>
      </c>
      <c r="J136" s="20">
        <f t="shared" ca="1" si="47"/>
        <v>0</v>
      </c>
      <c r="K136" s="20">
        <f t="shared" ca="1" si="47"/>
        <v>0</v>
      </c>
      <c r="L136" s="20">
        <f t="shared" ca="1" si="47"/>
        <v>0</v>
      </c>
      <c r="M136" s="20">
        <f t="shared" ca="1" si="47"/>
        <v>0</v>
      </c>
      <c r="N136" s="20">
        <f t="shared" ca="1" si="47"/>
        <v>0</v>
      </c>
      <c r="O136" s="20">
        <f t="shared" ca="1" si="47"/>
        <v>0</v>
      </c>
      <c r="P136" s="20">
        <f t="shared" ca="1" si="47"/>
        <v>0</v>
      </c>
      <c r="Q136" s="20">
        <f t="shared" ca="1" si="47"/>
        <v>0</v>
      </c>
      <c r="R136" s="20">
        <f t="shared" ca="1" si="47"/>
        <v>0</v>
      </c>
      <c r="S136" s="20">
        <f t="shared" ca="1" si="47"/>
        <v>0</v>
      </c>
      <c r="T136" s="20">
        <f t="shared" ca="1" si="47"/>
        <v>0</v>
      </c>
      <c r="U136" s="20">
        <f t="shared" ca="1" si="47"/>
        <v>0</v>
      </c>
      <c r="V136" s="20">
        <f t="shared" ca="1" si="47"/>
        <v>0</v>
      </c>
      <c r="W136" s="20">
        <f t="shared" ca="1" si="47"/>
        <v>0</v>
      </c>
      <c r="X136" s="20">
        <f t="shared" ref="X136:Y136" ca="1" si="48">X99-X98</f>
        <v>0</v>
      </c>
      <c r="Y136" s="20">
        <f t="shared" ca="1" si="48"/>
        <v>0</v>
      </c>
      <c r="Z136" s="7"/>
      <c r="AA136" s="7"/>
      <c r="AB136" s="7"/>
      <c r="AC136" s="7"/>
    </row>
    <row r="137" spans="1:29" customFormat="1">
      <c r="A137" s="7"/>
      <c r="B137" s="7"/>
      <c r="C137" s="7"/>
      <c r="D137" s="7" t="s">
        <v>93</v>
      </c>
      <c r="E137" s="20">
        <f t="shared" ref="E137:W137" ca="1" si="49">E100-E99</f>
        <v>0</v>
      </c>
      <c r="F137" s="20">
        <f t="shared" ca="1" si="49"/>
        <v>0</v>
      </c>
      <c r="G137" s="20">
        <f t="shared" ca="1" si="49"/>
        <v>0</v>
      </c>
      <c r="H137" s="20">
        <f t="shared" ca="1" si="49"/>
        <v>0</v>
      </c>
      <c r="I137" s="20">
        <f t="shared" ca="1" si="49"/>
        <v>0</v>
      </c>
      <c r="J137" s="20">
        <f t="shared" ca="1" si="49"/>
        <v>0</v>
      </c>
      <c r="K137" s="20">
        <f t="shared" ca="1" si="49"/>
        <v>0</v>
      </c>
      <c r="L137" s="20">
        <f t="shared" ca="1" si="49"/>
        <v>0</v>
      </c>
      <c r="M137" s="20">
        <f t="shared" ca="1" si="49"/>
        <v>0</v>
      </c>
      <c r="N137" s="20">
        <f t="shared" ca="1" si="49"/>
        <v>0</v>
      </c>
      <c r="O137" s="20">
        <f t="shared" ca="1" si="49"/>
        <v>0</v>
      </c>
      <c r="P137" s="20">
        <f t="shared" ca="1" si="49"/>
        <v>0</v>
      </c>
      <c r="Q137" s="20">
        <f t="shared" ca="1" si="49"/>
        <v>0</v>
      </c>
      <c r="R137" s="20">
        <f t="shared" ca="1" si="49"/>
        <v>0</v>
      </c>
      <c r="S137" s="20">
        <f t="shared" ca="1" si="49"/>
        <v>0</v>
      </c>
      <c r="T137" s="20">
        <f t="shared" ca="1" si="49"/>
        <v>0</v>
      </c>
      <c r="U137" s="20">
        <f t="shared" ca="1" si="49"/>
        <v>0</v>
      </c>
      <c r="V137" s="20">
        <f t="shared" ca="1" si="49"/>
        <v>0</v>
      </c>
      <c r="W137" s="20">
        <f t="shared" ca="1" si="49"/>
        <v>0</v>
      </c>
      <c r="X137" s="20">
        <f t="shared" ref="X137:Y137" ca="1" si="50">X100-X99</f>
        <v>0</v>
      </c>
      <c r="Y137" s="20">
        <f t="shared" ca="1" si="50"/>
        <v>0</v>
      </c>
      <c r="Z137" s="7"/>
      <c r="AA137" s="7"/>
      <c r="AB137" s="7"/>
      <c r="AC137" s="7"/>
    </row>
    <row r="138" spans="1:29" customFormat="1">
      <c r="A138" s="7"/>
      <c r="B138" s="7"/>
      <c r="C138" s="7"/>
      <c r="D138" s="7" t="s">
        <v>96</v>
      </c>
      <c r="E138" s="20">
        <f t="shared" ref="E138:W138" ca="1" si="51">E101-E100</f>
        <v>0</v>
      </c>
      <c r="F138" s="20">
        <f t="shared" ca="1" si="51"/>
        <v>0</v>
      </c>
      <c r="G138" s="20">
        <f t="shared" ca="1" si="51"/>
        <v>0</v>
      </c>
      <c r="H138" s="20">
        <f t="shared" ca="1" si="51"/>
        <v>0</v>
      </c>
      <c r="I138" s="20">
        <f t="shared" ca="1" si="51"/>
        <v>0</v>
      </c>
      <c r="J138" s="20">
        <f t="shared" ca="1" si="51"/>
        <v>0</v>
      </c>
      <c r="K138" s="20">
        <f t="shared" ca="1" si="51"/>
        <v>0</v>
      </c>
      <c r="L138" s="20">
        <f t="shared" ca="1" si="51"/>
        <v>0</v>
      </c>
      <c r="M138" s="20">
        <f t="shared" ca="1" si="51"/>
        <v>0</v>
      </c>
      <c r="N138" s="20">
        <f t="shared" ca="1" si="51"/>
        <v>0</v>
      </c>
      <c r="O138" s="20">
        <f t="shared" ca="1" si="51"/>
        <v>0</v>
      </c>
      <c r="P138" s="20">
        <f t="shared" ca="1" si="51"/>
        <v>0</v>
      </c>
      <c r="Q138" s="20">
        <f t="shared" ca="1" si="51"/>
        <v>0</v>
      </c>
      <c r="R138" s="20">
        <f t="shared" ca="1" si="51"/>
        <v>0</v>
      </c>
      <c r="S138" s="20">
        <f t="shared" ca="1" si="51"/>
        <v>0</v>
      </c>
      <c r="T138" s="20">
        <f t="shared" ca="1" si="51"/>
        <v>0</v>
      </c>
      <c r="U138" s="20">
        <f t="shared" ca="1" si="51"/>
        <v>0</v>
      </c>
      <c r="V138" s="20">
        <f t="shared" ca="1" si="51"/>
        <v>0</v>
      </c>
      <c r="W138" s="20">
        <f t="shared" ca="1" si="51"/>
        <v>0</v>
      </c>
      <c r="X138" s="20">
        <f t="shared" ref="X138:Y138" ca="1" si="52">X101-X100</f>
        <v>0</v>
      </c>
      <c r="Y138" s="20">
        <f t="shared" ca="1" si="52"/>
        <v>0</v>
      </c>
      <c r="Z138" s="7"/>
      <c r="AA138" s="7"/>
      <c r="AB138" s="7"/>
      <c r="AC138" s="7"/>
    </row>
    <row r="139" spans="1:29" customFormat="1">
      <c r="A139" s="7"/>
      <c r="B139" s="7"/>
      <c r="C139" s="7"/>
      <c r="D139" s="7" t="s">
        <v>99</v>
      </c>
      <c r="E139" s="20">
        <f t="shared" ref="E139:W139" ca="1" si="53">E102-E101</f>
        <v>0</v>
      </c>
      <c r="F139" s="20">
        <f t="shared" ca="1" si="53"/>
        <v>0</v>
      </c>
      <c r="G139" s="20">
        <f t="shared" ca="1" si="53"/>
        <v>0</v>
      </c>
      <c r="H139" s="20">
        <f t="shared" ca="1" si="53"/>
        <v>0</v>
      </c>
      <c r="I139" s="20">
        <f t="shared" ca="1" si="53"/>
        <v>0</v>
      </c>
      <c r="J139" s="20">
        <f t="shared" ca="1" si="53"/>
        <v>0</v>
      </c>
      <c r="K139" s="20">
        <f t="shared" ca="1" si="53"/>
        <v>0</v>
      </c>
      <c r="L139" s="20">
        <f t="shared" ca="1" si="53"/>
        <v>0</v>
      </c>
      <c r="M139" s="20">
        <f t="shared" ca="1" si="53"/>
        <v>0</v>
      </c>
      <c r="N139" s="20">
        <f t="shared" ca="1" si="53"/>
        <v>0</v>
      </c>
      <c r="O139" s="20">
        <f t="shared" ca="1" si="53"/>
        <v>0</v>
      </c>
      <c r="P139" s="20">
        <f t="shared" ca="1" si="53"/>
        <v>0</v>
      </c>
      <c r="Q139" s="20">
        <f t="shared" ca="1" si="53"/>
        <v>0</v>
      </c>
      <c r="R139" s="20">
        <f t="shared" ca="1" si="53"/>
        <v>0</v>
      </c>
      <c r="S139" s="20">
        <f t="shared" ca="1" si="53"/>
        <v>0</v>
      </c>
      <c r="T139" s="20">
        <f t="shared" ca="1" si="53"/>
        <v>0</v>
      </c>
      <c r="U139" s="20">
        <f t="shared" ca="1" si="53"/>
        <v>0</v>
      </c>
      <c r="V139" s="20">
        <f t="shared" ca="1" si="53"/>
        <v>0</v>
      </c>
      <c r="W139" s="20">
        <f t="shared" ca="1" si="53"/>
        <v>0</v>
      </c>
      <c r="X139" s="20">
        <f t="shared" ref="X139:Y139" ca="1" si="54">X102-X101</f>
        <v>0</v>
      </c>
      <c r="Y139" s="20">
        <f t="shared" ca="1" si="54"/>
        <v>0</v>
      </c>
      <c r="Z139" s="7"/>
      <c r="AA139" s="7"/>
      <c r="AB139" s="7"/>
      <c r="AC139" s="7"/>
    </row>
    <row r="140" spans="1:29" customFormat="1">
      <c r="A140" s="7"/>
      <c r="B140" s="7"/>
      <c r="C140" s="7"/>
      <c r="D140" s="7" t="s">
        <v>102</v>
      </c>
      <c r="E140" s="20">
        <f t="shared" ref="E140:W140" ca="1" si="55">E103-E102</f>
        <v>0</v>
      </c>
      <c r="F140" s="20">
        <f t="shared" ca="1" si="55"/>
        <v>0</v>
      </c>
      <c r="G140" s="20">
        <f t="shared" ca="1" si="55"/>
        <v>0</v>
      </c>
      <c r="H140" s="20">
        <f t="shared" ca="1" si="55"/>
        <v>0</v>
      </c>
      <c r="I140" s="20">
        <f t="shared" ca="1" si="55"/>
        <v>0</v>
      </c>
      <c r="J140" s="20">
        <f t="shared" ca="1" si="55"/>
        <v>0</v>
      </c>
      <c r="K140" s="20">
        <f t="shared" ca="1" si="55"/>
        <v>0</v>
      </c>
      <c r="L140" s="20">
        <f t="shared" ca="1" si="55"/>
        <v>0</v>
      </c>
      <c r="M140" s="20">
        <f t="shared" ca="1" si="55"/>
        <v>0</v>
      </c>
      <c r="N140" s="20">
        <f t="shared" ca="1" si="55"/>
        <v>0</v>
      </c>
      <c r="O140" s="20">
        <f t="shared" ca="1" si="55"/>
        <v>0</v>
      </c>
      <c r="P140" s="20">
        <f t="shared" ca="1" si="55"/>
        <v>0</v>
      </c>
      <c r="Q140" s="20">
        <f t="shared" ca="1" si="55"/>
        <v>0</v>
      </c>
      <c r="R140" s="20">
        <f t="shared" ca="1" si="55"/>
        <v>0</v>
      </c>
      <c r="S140" s="20">
        <f t="shared" ca="1" si="55"/>
        <v>0</v>
      </c>
      <c r="T140" s="20">
        <f t="shared" ca="1" si="55"/>
        <v>0</v>
      </c>
      <c r="U140" s="20">
        <f t="shared" ca="1" si="55"/>
        <v>0</v>
      </c>
      <c r="V140" s="20">
        <f t="shared" ca="1" si="55"/>
        <v>0</v>
      </c>
      <c r="W140" s="20">
        <f t="shared" ca="1" si="55"/>
        <v>0</v>
      </c>
      <c r="X140" s="20">
        <f t="shared" ref="X140:Y140" ca="1" si="56">X103-X102</f>
        <v>0</v>
      </c>
      <c r="Y140" s="20">
        <f t="shared" ca="1" si="56"/>
        <v>0</v>
      </c>
      <c r="Z140" s="7"/>
      <c r="AA140" s="7"/>
      <c r="AB140" s="7"/>
      <c r="AC140" s="7"/>
    </row>
    <row r="141" spans="1:29" customFormat="1">
      <c r="A141" s="7"/>
      <c r="B141" s="7"/>
      <c r="C141" s="7"/>
      <c r="D141" s="7" t="s">
        <v>105</v>
      </c>
      <c r="E141" s="20">
        <f t="shared" ref="E141:W154" ca="1" si="57">E104-E103</f>
        <v>0</v>
      </c>
      <c r="F141" s="20">
        <f t="shared" ca="1" si="57"/>
        <v>0</v>
      </c>
      <c r="G141" s="20">
        <f t="shared" ca="1" si="57"/>
        <v>0</v>
      </c>
      <c r="H141" s="20">
        <f t="shared" ca="1" si="57"/>
        <v>0</v>
      </c>
      <c r="I141" s="20">
        <f t="shared" ca="1" si="57"/>
        <v>0</v>
      </c>
      <c r="J141" s="20">
        <f t="shared" ca="1" si="57"/>
        <v>0</v>
      </c>
      <c r="K141" s="20">
        <f t="shared" ca="1" si="57"/>
        <v>0</v>
      </c>
      <c r="L141" s="20">
        <f t="shared" ca="1" si="57"/>
        <v>0</v>
      </c>
      <c r="M141" s="20">
        <f t="shared" ca="1" si="57"/>
        <v>0</v>
      </c>
      <c r="N141" s="20">
        <f t="shared" ca="1" si="57"/>
        <v>0</v>
      </c>
      <c r="O141" s="20">
        <f t="shared" ca="1" si="57"/>
        <v>0</v>
      </c>
      <c r="P141" s="20">
        <f t="shared" ca="1" si="57"/>
        <v>0</v>
      </c>
      <c r="Q141" s="20">
        <f t="shared" ca="1" si="57"/>
        <v>0</v>
      </c>
      <c r="R141" s="20">
        <f t="shared" ca="1" si="57"/>
        <v>0</v>
      </c>
      <c r="S141" s="20">
        <f t="shared" ca="1" si="57"/>
        <v>0</v>
      </c>
      <c r="T141" s="20">
        <f t="shared" ca="1" si="57"/>
        <v>0</v>
      </c>
      <c r="U141" s="20">
        <f t="shared" ca="1" si="57"/>
        <v>0</v>
      </c>
      <c r="V141" s="20">
        <f t="shared" ca="1" si="57"/>
        <v>0</v>
      </c>
      <c r="W141" s="20">
        <f t="shared" ca="1" si="57"/>
        <v>0</v>
      </c>
      <c r="X141" s="20">
        <f t="shared" ref="X141:Y141" ca="1" si="58">X104-X103</f>
        <v>0</v>
      </c>
      <c r="Y141" s="20">
        <f t="shared" ca="1" si="58"/>
        <v>0</v>
      </c>
      <c r="Z141" s="7"/>
      <c r="AA141" s="7"/>
      <c r="AB141" s="7"/>
      <c r="AC141" s="7"/>
    </row>
    <row r="142" spans="1:29" customFormat="1">
      <c r="A142" s="7"/>
      <c r="B142" s="7"/>
      <c r="C142" s="7"/>
      <c r="D142" s="7" t="s">
        <v>108</v>
      </c>
      <c r="E142" s="20">
        <f t="shared" ca="1" si="57"/>
        <v>0</v>
      </c>
      <c r="F142" s="20">
        <f t="shared" ca="1" si="57"/>
        <v>0</v>
      </c>
      <c r="G142" s="20">
        <f t="shared" ca="1" si="57"/>
        <v>0</v>
      </c>
      <c r="H142" s="20">
        <f t="shared" ca="1" si="57"/>
        <v>0</v>
      </c>
      <c r="I142" s="20">
        <f t="shared" ca="1" si="57"/>
        <v>0</v>
      </c>
      <c r="J142" s="20">
        <f t="shared" ca="1" si="57"/>
        <v>0</v>
      </c>
      <c r="K142" s="20">
        <f t="shared" ca="1" si="57"/>
        <v>0</v>
      </c>
      <c r="L142" s="20">
        <f t="shared" ca="1" si="57"/>
        <v>0</v>
      </c>
      <c r="M142" s="20">
        <f t="shared" ca="1" si="57"/>
        <v>0</v>
      </c>
      <c r="N142" s="20">
        <f t="shared" ca="1" si="57"/>
        <v>0</v>
      </c>
      <c r="O142" s="20">
        <f t="shared" ca="1" si="57"/>
        <v>0</v>
      </c>
      <c r="P142" s="20">
        <f t="shared" ca="1" si="57"/>
        <v>0</v>
      </c>
      <c r="Q142" s="20">
        <f t="shared" ca="1" si="57"/>
        <v>0</v>
      </c>
      <c r="R142" s="20">
        <f t="shared" ca="1" si="57"/>
        <v>0</v>
      </c>
      <c r="S142" s="20">
        <f t="shared" ca="1" si="57"/>
        <v>0</v>
      </c>
      <c r="T142" s="20">
        <f t="shared" ca="1" si="57"/>
        <v>0</v>
      </c>
      <c r="U142" s="20">
        <f t="shared" ca="1" si="57"/>
        <v>0</v>
      </c>
      <c r="V142" s="20">
        <f t="shared" ca="1" si="57"/>
        <v>0</v>
      </c>
      <c r="W142" s="20">
        <f t="shared" ca="1" si="57"/>
        <v>0</v>
      </c>
      <c r="X142" s="20">
        <f t="shared" ref="X142" ca="1" si="59">X105-X104</f>
        <v>0</v>
      </c>
      <c r="Y142" s="20">
        <f t="shared" ref="Y142" ca="1" si="60">Y105-Y104</f>
        <v>0</v>
      </c>
      <c r="Z142" s="7"/>
      <c r="AA142" s="7"/>
      <c r="AB142" s="7"/>
      <c r="AC142" s="7"/>
    </row>
    <row r="143" spans="1:29" customFormat="1">
      <c r="A143" s="7"/>
      <c r="B143" s="7"/>
      <c r="C143" s="7"/>
      <c r="D143" s="7" t="s">
        <v>111</v>
      </c>
      <c r="E143" s="20">
        <f t="shared" ca="1" si="57"/>
        <v>0</v>
      </c>
      <c r="F143" s="20">
        <f t="shared" ca="1" si="57"/>
        <v>0</v>
      </c>
      <c r="G143" s="20">
        <f t="shared" ca="1" si="57"/>
        <v>0</v>
      </c>
      <c r="H143" s="20">
        <f t="shared" ca="1" si="57"/>
        <v>0</v>
      </c>
      <c r="I143" s="20">
        <f t="shared" ca="1" si="57"/>
        <v>0</v>
      </c>
      <c r="J143" s="20">
        <f t="shared" ca="1" si="57"/>
        <v>0</v>
      </c>
      <c r="K143" s="20">
        <f t="shared" ca="1" si="57"/>
        <v>0</v>
      </c>
      <c r="L143" s="20">
        <f t="shared" ca="1" si="57"/>
        <v>0</v>
      </c>
      <c r="M143" s="20">
        <f t="shared" ca="1" si="57"/>
        <v>0</v>
      </c>
      <c r="N143" s="20">
        <f t="shared" ca="1" si="57"/>
        <v>0</v>
      </c>
      <c r="O143" s="20">
        <f t="shared" ca="1" si="57"/>
        <v>0</v>
      </c>
      <c r="P143" s="20">
        <f t="shared" ca="1" si="57"/>
        <v>0</v>
      </c>
      <c r="Q143" s="20">
        <f t="shared" ca="1" si="57"/>
        <v>0</v>
      </c>
      <c r="R143" s="20">
        <f t="shared" ca="1" si="57"/>
        <v>0</v>
      </c>
      <c r="S143" s="20">
        <f t="shared" ca="1" si="57"/>
        <v>0</v>
      </c>
      <c r="T143" s="20">
        <f t="shared" ca="1" si="57"/>
        <v>0</v>
      </c>
      <c r="U143" s="20">
        <f t="shared" ca="1" si="57"/>
        <v>0</v>
      </c>
      <c r="V143" s="20">
        <f t="shared" ca="1" si="57"/>
        <v>0</v>
      </c>
      <c r="W143" s="20">
        <f t="shared" ca="1" si="57"/>
        <v>0</v>
      </c>
      <c r="X143" s="20">
        <f t="shared" ref="X143" ca="1" si="61">X106-X105</f>
        <v>0</v>
      </c>
      <c r="Y143" s="20">
        <f t="shared" ref="Y143" ca="1" si="62">Y106-Y105</f>
        <v>0</v>
      </c>
      <c r="Z143" s="7"/>
      <c r="AA143" s="7"/>
      <c r="AB143" s="7"/>
      <c r="AC143" s="7"/>
    </row>
    <row r="144" spans="1:29" customFormat="1">
      <c r="A144" s="7"/>
      <c r="B144" s="7"/>
      <c r="C144" s="7"/>
      <c r="D144" s="7" t="s">
        <v>114</v>
      </c>
      <c r="E144" s="20">
        <f t="shared" ca="1" si="57"/>
        <v>0</v>
      </c>
      <c r="F144" s="20">
        <f t="shared" ca="1" si="57"/>
        <v>0</v>
      </c>
      <c r="G144" s="20">
        <f t="shared" ca="1" si="57"/>
        <v>0</v>
      </c>
      <c r="H144" s="20">
        <f t="shared" ca="1" si="57"/>
        <v>0</v>
      </c>
      <c r="I144" s="20">
        <f t="shared" ca="1" si="57"/>
        <v>0</v>
      </c>
      <c r="J144" s="20">
        <f t="shared" ca="1" si="57"/>
        <v>0</v>
      </c>
      <c r="K144" s="20">
        <f t="shared" ca="1" si="57"/>
        <v>0</v>
      </c>
      <c r="L144" s="20">
        <f t="shared" ca="1" si="57"/>
        <v>0</v>
      </c>
      <c r="M144" s="20">
        <f t="shared" ca="1" si="57"/>
        <v>0</v>
      </c>
      <c r="N144" s="20">
        <f t="shared" ca="1" si="57"/>
        <v>0</v>
      </c>
      <c r="O144" s="20">
        <f t="shared" ca="1" si="57"/>
        <v>0</v>
      </c>
      <c r="P144" s="20">
        <f t="shared" ca="1" si="57"/>
        <v>0</v>
      </c>
      <c r="Q144" s="20">
        <f t="shared" ca="1" si="57"/>
        <v>0</v>
      </c>
      <c r="R144" s="20">
        <f t="shared" ca="1" si="57"/>
        <v>0</v>
      </c>
      <c r="S144" s="20">
        <f t="shared" ca="1" si="57"/>
        <v>0</v>
      </c>
      <c r="T144" s="20">
        <f t="shared" ca="1" si="57"/>
        <v>0</v>
      </c>
      <c r="U144" s="20">
        <f t="shared" ca="1" si="57"/>
        <v>0</v>
      </c>
      <c r="V144" s="20">
        <f t="shared" ca="1" si="57"/>
        <v>0</v>
      </c>
      <c r="W144" s="20">
        <f t="shared" ca="1" si="57"/>
        <v>0</v>
      </c>
      <c r="X144" s="20">
        <f t="shared" ref="X144" ca="1" si="63">X107-X106</f>
        <v>0</v>
      </c>
      <c r="Y144" s="20">
        <f t="shared" ref="Y144" ca="1" si="64">Y107-Y106</f>
        <v>0</v>
      </c>
      <c r="Z144" s="7"/>
      <c r="AA144" s="7"/>
      <c r="AB144" s="7"/>
      <c r="AC144" s="7"/>
    </row>
    <row r="145" spans="1:29" customFormat="1">
      <c r="A145" s="7"/>
      <c r="B145" s="7"/>
      <c r="C145" s="7"/>
      <c r="D145" s="7" t="s">
        <v>117</v>
      </c>
      <c r="E145" s="20">
        <f t="shared" ca="1" si="57"/>
        <v>0</v>
      </c>
      <c r="F145" s="20">
        <f t="shared" ca="1" si="57"/>
        <v>0</v>
      </c>
      <c r="G145" s="20">
        <f t="shared" ca="1" si="57"/>
        <v>0</v>
      </c>
      <c r="H145" s="20">
        <f t="shared" ca="1" si="57"/>
        <v>0</v>
      </c>
      <c r="I145" s="20">
        <f t="shared" ca="1" si="57"/>
        <v>0</v>
      </c>
      <c r="J145" s="20">
        <f t="shared" ca="1" si="57"/>
        <v>0</v>
      </c>
      <c r="K145" s="20">
        <f t="shared" ca="1" si="57"/>
        <v>0</v>
      </c>
      <c r="L145" s="20">
        <f t="shared" ca="1" si="57"/>
        <v>0</v>
      </c>
      <c r="M145" s="20">
        <f t="shared" ca="1" si="57"/>
        <v>0</v>
      </c>
      <c r="N145" s="20">
        <f t="shared" ca="1" si="57"/>
        <v>0</v>
      </c>
      <c r="O145" s="20">
        <f t="shared" ca="1" si="57"/>
        <v>0</v>
      </c>
      <c r="P145" s="20">
        <f t="shared" ca="1" si="57"/>
        <v>0</v>
      </c>
      <c r="Q145" s="20">
        <f t="shared" ca="1" si="57"/>
        <v>0</v>
      </c>
      <c r="R145" s="20">
        <f t="shared" ca="1" si="57"/>
        <v>0</v>
      </c>
      <c r="S145" s="20">
        <f t="shared" ca="1" si="57"/>
        <v>0</v>
      </c>
      <c r="T145" s="20">
        <f t="shared" ca="1" si="57"/>
        <v>0</v>
      </c>
      <c r="U145" s="20">
        <f t="shared" ca="1" si="57"/>
        <v>0</v>
      </c>
      <c r="V145" s="20">
        <f t="shared" ca="1" si="57"/>
        <v>0</v>
      </c>
      <c r="W145" s="20">
        <f t="shared" ca="1" si="57"/>
        <v>0</v>
      </c>
      <c r="X145" s="20">
        <f t="shared" ref="X145" ca="1" si="65">X108-X107</f>
        <v>0</v>
      </c>
      <c r="Y145" s="20">
        <f t="shared" ref="Y145" ca="1" si="66">Y108-Y107</f>
        <v>0</v>
      </c>
      <c r="Z145" s="7"/>
      <c r="AA145" s="7"/>
      <c r="AB145" s="7"/>
      <c r="AC145" s="7"/>
    </row>
    <row r="146" spans="1:29" customFormat="1">
      <c r="A146" s="7"/>
      <c r="B146" s="7"/>
      <c r="C146" s="7"/>
      <c r="D146" s="7" t="s">
        <v>120</v>
      </c>
      <c r="E146" s="20">
        <f t="shared" ca="1" si="57"/>
        <v>0</v>
      </c>
      <c r="F146" s="20">
        <f t="shared" ca="1" si="57"/>
        <v>0</v>
      </c>
      <c r="G146" s="20">
        <f t="shared" ca="1" si="57"/>
        <v>0</v>
      </c>
      <c r="H146" s="20">
        <f t="shared" ca="1" si="57"/>
        <v>0</v>
      </c>
      <c r="I146" s="20">
        <f t="shared" ca="1" si="57"/>
        <v>0</v>
      </c>
      <c r="J146" s="20">
        <f t="shared" ca="1" si="57"/>
        <v>0</v>
      </c>
      <c r="K146" s="20">
        <f t="shared" ca="1" si="57"/>
        <v>0</v>
      </c>
      <c r="L146" s="20">
        <f t="shared" ca="1" si="57"/>
        <v>0</v>
      </c>
      <c r="M146" s="20">
        <f t="shared" ca="1" si="57"/>
        <v>0</v>
      </c>
      <c r="N146" s="20">
        <f t="shared" ca="1" si="57"/>
        <v>0</v>
      </c>
      <c r="O146" s="20">
        <f t="shared" ca="1" si="57"/>
        <v>0</v>
      </c>
      <c r="P146" s="20">
        <f t="shared" ca="1" si="57"/>
        <v>0</v>
      </c>
      <c r="Q146" s="20">
        <f t="shared" ca="1" si="57"/>
        <v>0</v>
      </c>
      <c r="R146" s="20">
        <f t="shared" ca="1" si="57"/>
        <v>0</v>
      </c>
      <c r="S146" s="20">
        <f t="shared" ca="1" si="57"/>
        <v>0</v>
      </c>
      <c r="T146" s="20">
        <f t="shared" ca="1" si="57"/>
        <v>0</v>
      </c>
      <c r="U146" s="20">
        <f t="shared" ca="1" si="57"/>
        <v>0</v>
      </c>
      <c r="V146" s="20">
        <f t="shared" ca="1" si="57"/>
        <v>0</v>
      </c>
      <c r="W146" s="20">
        <f t="shared" ca="1" si="57"/>
        <v>0</v>
      </c>
      <c r="X146" s="20">
        <f t="shared" ref="X146" ca="1" si="67">X109-X108</f>
        <v>0</v>
      </c>
      <c r="Y146" s="20">
        <f t="shared" ref="Y146" ca="1" si="68">Y109-Y108</f>
        <v>0</v>
      </c>
      <c r="Z146" s="7"/>
      <c r="AA146" s="7"/>
      <c r="AB146" s="7"/>
      <c r="AC146" s="7"/>
    </row>
    <row r="147" spans="1:29" customFormat="1">
      <c r="A147" s="7"/>
      <c r="B147" s="7"/>
      <c r="C147" s="7"/>
      <c r="D147" s="7" t="s">
        <v>123</v>
      </c>
      <c r="E147" s="20">
        <f t="shared" ca="1" si="57"/>
        <v>0</v>
      </c>
      <c r="F147" s="20">
        <f t="shared" ca="1" si="57"/>
        <v>0</v>
      </c>
      <c r="G147" s="20">
        <f t="shared" ca="1" si="57"/>
        <v>0</v>
      </c>
      <c r="H147" s="20">
        <f t="shared" ca="1" si="57"/>
        <v>0</v>
      </c>
      <c r="I147" s="20">
        <f t="shared" ca="1" si="57"/>
        <v>0</v>
      </c>
      <c r="J147" s="20">
        <f t="shared" ca="1" si="57"/>
        <v>0</v>
      </c>
      <c r="K147" s="20">
        <f t="shared" ca="1" si="57"/>
        <v>0</v>
      </c>
      <c r="L147" s="20">
        <f t="shared" ca="1" si="57"/>
        <v>0</v>
      </c>
      <c r="M147" s="20">
        <f t="shared" ca="1" si="57"/>
        <v>0</v>
      </c>
      <c r="N147" s="20">
        <f t="shared" ca="1" si="57"/>
        <v>0</v>
      </c>
      <c r="O147" s="20">
        <f t="shared" ca="1" si="57"/>
        <v>0</v>
      </c>
      <c r="P147" s="20">
        <f t="shared" ca="1" si="57"/>
        <v>0</v>
      </c>
      <c r="Q147" s="20">
        <f t="shared" ca="1" si="57"/>
        <v>0</v>
      </c>
      <c r="R147" s="20">
        <f t="shared" ca="1" si="57"/>
        <v>0</v>
      </c>
      <c r="S147" s="20">
        <f t="shared" ca="1" si="57"/>
        <v>0</v>
      </c>
      <c r="T147" s="20">
        <f t="shared" ca="1" si="57"/>
        <v>0</v>
      </c>
      <c r="U147" s="20">
        <f t="shared" ca="1" si="57"/>
        <v>0</v>
      </c>
      <c r="V147" s="20">
        <f t="shared" ca="1" si="57"/>
        <v>0</v>
      </c>
      <c r="W147" s="20">
        <f t="shared" ca="1" si="57"/>
        <v>0</v>
      </c>
      <c r="X147" s="20">
        <f t="shared" ref="X147" ca="1" si="69">X110-X109</f>
        <v>0</v>
      </c>
      <c r="Y147" s="20">
        <f t="shared" ref="Y147" ca="1" si="70">Y110-Y109</f>
        <v>0</v>
      </c>
      <c r="Z147" s="7"/>
      <c r="AA147" s="7"/>
      <c r="AB147" s="7"/>
      <c r="AC147" s="7"/>
    </row>
    <row r="148" spans="1:29" customFormat="1">
      <c r="A148" s="7"/>
      <c r="B148" s="7"/>
      <c r="C148" s="7"/>
      <c r="D148" s="7" t="s">
        <v>126</v>
      </c>
      <c r="E148" s="20">
        <f t="shared" ca="1" si="57"/>
        <v>0</v>
      </c>
      <c r="F148" s="20">
        <f t="shared" ca="1" si="57"/>
        <v>0</v>
      </c>
      <c r="G148" s="20">
        <f t="shared" ca="1" si="57"/>
        <v>0</v>
      </c>
      <c r="H148" s="20">
        <f t="shared" ca="1" si="57"/>
        <v>0</v>
      </c>
      <c r="I148" s="20">
        <f t="shared" ca="1" si="57"/>
        <v>0</v>
      </c>
      <c r="J148" s="20">
        <f t="shared" ca="1" si="57"/>
        <v>0</v>
      </c>
      <c r="K148" s="20">
        <f t="shared" ca="1" si="57"/>
        <v>0</v>
      </c>
      <c r="L148" s="20">
        <f t="shared" ca="1" si="57"/>
        <v>0</v>
      </c>
      <c r="M148" s="20">
        <f t="shared" ca="1" si="57"/>
        <v>0</v>
      </c>
      <c r="N148" s="20">
        <f t="shared" ca="1" si="57"/>
        <v>0</v>
      </c>
      <c r="O148" s="20">
        <f t="shared" ca="1" si="57"/>
        <v>0</v>
      </c>
      <c r="P148" s="20">
        <f t="shared" ca="1" si="57"/>
        <v>0</v>
      </c>
      <c r="Q148" s="20">
        <f t="shared" ca="1" si="57"/>
        <v>0</v>
      </c>
      <c r="R148" s="20">
        <f t="shared" ca="1" si="57"/>
        <v>0</v>
      </c>
      <c r="S148" s="20">
        <f t="shared" ca="1" si="57"/>
        <v>0</v>
      </c>
      <c r="T148" s="20">
        <f t="shared" ca="1" si="57"/>
        <v>0</v>
      </c>
      <c r="U148" s="20">
        <f t="shared" ca="1" si="57"/>
        <v>0</v>
      </c>
      <c r="V148" s="20">
        <f t="shared" ca="1" si="57"/>
        <v>0</v>
      </c>
      <c r="W148" s="20">
        <f t="shared" ca="1" si="57"/>
        <v>0</v>
      </c>
      <c r="X148" s="20">
        <f t="shared" ref="X148" ca="1" si="71">X111-X110</f>
        <v>0</v>
      </c>
      <c r="Y148" s="20">
        <f t="shared" ref="Y148" ca="1" si="72">Y111-Y110</f>
        <v>0</v>
      </c>
      <c r="Z148" s="7"/>
      <c r="AA148" s="7"/>
      <c r="AB148" s="7"/>
      <c r="AC148" s="7"/>
    </row>
    <row r="149" spans="1:29" customFormat="1">
      <c r="A149" s="7"/>
      <c r="B149" s="7"/>
      <c r="C149" s="7"/>
      <c r="D149" s="7" t="s">
        <v>129</v>
      </c>
      <c r="E149" s="20">
        <f t="shared" ca="1" si="57"/>
        <v>0</v>
      </c>
      <c r="F149" s="20">
        <f t="shared" ca="1" si="57"/>
        <v>0</v>
      </c>
      <c r="G149" s="20">
        <f t="shared" ca="1" si="57"/>
        <v>0</v>
      </c>
      <c r="H149" s="20">
        <f t="shared" ca="1" si="57"/>
        <v>0</v>
      </c>
      <c r="I149" s="20">
        <f t="shared" ca="1" si="57"/>
        <v>0</v>
      </c>
      <c r="J149" s="20">
        <f t="shared" ca="1" si="57"/>
        <v>0</v>
      </c>
      <c r="K149" s="20">
        <f t="shared" ca="1" si="57"/>
        <v>0</v>
      </c>
      <c r="L149" s="20">
        <f t="shared" ca="1" si="57"/>
        <v>0</v>
      </c>
      <c r="M149" s="20">
        <f t="shared" ca="1" si="57"/>
        <v>0</v>
      </c>
      <c r="N149" s="20">
        <f t="shared" ca="1" si="57"/>
        <v>0</v>
      </c>
      <c r="O149" s="20">
        <f t="shared" ca="1" si="57"/>
        <v>0</v>
      </c>
      <c r="P149" s="20">
        <f t="shared" ca="1" si="57"/>
        <v>0</v>
      </c>
      <c r="Q149" s="20">
        <f t="shared" ca="1" si="57"/>
        <v>0</v>
      </c>
      <c r="R149" s="20">
        <f t="shared" ca="1" si="57"/>
        <v>0</v>
      </c>
      <c r="S149" s="20">
        <f t="shared" ca="1" si="57"/>
        <v>0</v>
      </c>
      <c r="T149" s="20">
        <f t="shared" ca="1" si="57"/>
        <v>0</v>
      </c>
      <c r="U149" s="20">
        <f t="shared" ca="1" si="57"/>
        <v>0</v>
      </c>
      <c r="V149" s="20">
        <f t="shared" ca="1" si="57"/>
        <v>0</v>
      </c>
      <c r="W149" s="20">
        <f t="shared" ca="1" si="57"/>
        <v>0</v>
      </c>
      <c r="X149" s="20">
        <f t="shared" ref="X149" ca="1" si="73">X112-X111</f>
        <v>0</v>
      </c>
      <c r="Y149" s="20">
        <f t="shared" ref="Y149" ca="1" si="74">Y112-Y111</f>
        <v>0</v>
      </c>
      <c r="Z149" s="7"/>
      <c r="AA149" s="7"/>
      <c r="AB149" s="7"/>
      <c r="AC149" s="7"/>
    </row>
    <row r="150" spans="1:29" customFormat="1">
      <c r="A150" s="7"/>
      <c r="B150" s="7"/>
      <c r="C150" s="7"/>
      <c r="D150" s="7" t="s">
        <v>406</v>
      </c>
      <c r="E150" s="20">
        <f t="shared" ca="1" si="57"/>
        <v>0</v>
      </c>
      <c r="F150" s="20">
        <f t="shared" ca="1" si="57"/>
        <v>0</v>
      </c>
      <c r="G150" s="20">
        <f t="shared" ca="1" si="57"/>
        <v>0</v>
      </c>
      <c r="H150" s="20">
        <f t="shared" ca="1" si="57"/>
        <v>0</v>
      </c>
      <c r="I150" s="20">
        <f t="shared" ca="1" si="57"/>
        <v>0</v>
      </c>
      <c r="J150" s="20">
        <f t="shared" ca="1" si="57"/>
        <v>0</v>
      </c>
      <c r="K150" s="20">
        <f t="shared" ca="1" si="57"/>
        <v>0</v>
      </c>
      <c r="L150" s="20">
        <f t="shared" ca="1" si="57"/>
        <v>0</v>
      </c>
      <c r="M150" s="20">
        <f t="shared" ca="1" si="57"/>
        <v>0</v>
      </c>
      <c r="N150" s="20">
        <f t="shared" ca="1" si="57"/>
        <v>0</v>
      </c>
      <c r="O150" s="20">
        <f t="shared" ca="1" si="57"/>
        <v>0</v>
      </c>
      <c r="P150" s="20">
        <f t="shared" ca="1" si="57"/>
        <v>0</v>
      </c>
      <c r="Q150" s="20">
        <f t="shared" ca="1" si="57"/>
        <v>0</v>
      </c>
      <c r="R150" s="20">
        <f t="shared" ca="1" si="57"/>
        <v>0</v>
      </c>
      <c r="S150" s="20">
        <f t="shared" ca="1" si="57"/>
        <v>0</v>
      </c>
      <c r="T150" s="20">
        <f t="shared" ca="1" si="57"/>
        <v>0</v>
      </c>
      <c r="U150" s="20">
        <f t="shared" ca="1" si="57"/>
        <v>0</v>
      </c>
      <c r="V150" s="20">
        <f t="shared" ca="1" si="57"/>
        <v>0</v>
      </c>
      <c r="W150" s="20">
        <f t="shared" ca="1" si="57"/>
        <v>0</v>
      </c>
      <c r="X150" s="20">
        <f t="shared" ref="X150" ca="1" si="75">X113-X112</f>
        <v>0</v>
      </c>
      <c r="Y150" s="20">
        <f t="shared" ref="Y150" ca="1" si="76">Y113-Y112</f>
        <v>0</v>
      </c>
      <c r="Z150" s="7"/>
      <c r="AA150" s="7"/>
      <c r="AB150" s="7"/>
      <c r="AC150" s="7"/>
    </row>
    <row r="151" spans="1:29" customFormat="1">
      <c r="A151" s="7"/>
      <c r="B151" s="7"/>
      <c r="C151" s="7"/>
      <c r="D151" s="7" t="s">
        <v>407</v>
      </c>
      <c r="E151" s="20">
        <f t="shared" ca="1" si="57"/>
        <v>0</v>
      </c>
      <c r="F151" s="20">
        <f t="shared" ca="1" si="57"/>
        <v>0</v>
      </c>
      <c r="G151" s="20">
        <f t="shared" ca="1" si="57"/>
        <v>0</v>
      </c>
      <c r="H151" s="20">
        <f t="shared" ca="1" si="57"/>
        <v>0</v>
      </c>
      <c r="I151" s="20">
        <f t="shared" ca="1" si="57"/>
        <v>0</v>
      </c>
      <c r="J151" s="20">
        <f t="shared" ca="1" si="57"/>
        <v>0</v>
      </c>
      <c r="K151" s="20">
        <f t="shared" ca="1" si="57"/>
        <v>0</v>
      </c>
      <c r="L151" s="20">
        <f t="shared" ca="1" si="57"/>
        <v>0</v>
      </c>
      <c r="M151" s="20">
        <f t="shared" ca="1" si="57"/>
        <v>0</v>
      </c>
      <c r="N151" s="20">
        <f t="shared" ca="1" si="57"/>
        <v>0</v>
      </c>
      <c r="O151" s="20">
        <f t="shared" ca="1" si="57"/>
        <v>0</v>
      </c>
      <c r="P151" s="20">
        <f t="shared" ca="1" si="57"/>
        <v>0</v>
      </c>
      <c r="Q151" s="20">
        <f t="shared" ca="1" si="57"/>
        <v>0</v>
      </c>
      <c r="R151" s="20">
        <f t="shared" ca="1" si="57"/>
        <v>0</v>
      </c>
      <c r="S151" s="20">
        <f t="shared" ca="1" si="57"/>
        <v>0</v>
      </c>
      <c r="T151" s="20">
        <f t="shared" ca="1" si="57"/>
        <v>0</v>
      </c>
      <c r="U151" s="20">
        <f t="shared" ca="1" si="57"/>
        <v>0</v>
      </c>
      <c r="V151" s="20">
        <f t="shared" ca="1" si="57"/>
        <v>0</v>
      </c>
      <c r="W151" s="20">
        <f t="shared" ca="1" si="57"/>
        <v>0</v>
      </c>
      <c r="X151" s="20">
        <f t="shared" ref="X151" ca="1" si="77">X114-X113</f>
        <v>0</v>
      </c>
      <c r="Y151" s="20">
        <f t="shared" ref="Y151" ca="1" si="78">Y114-Y113</f>
        <v>0</v>
      </c>
      <c r="Z151" s="7"/>
      <c r="AA151" s="7"/>
      <c r="AB151" s="7"/>
      <c r="AC151" s="7"/>
    </row>
    <row r="152" spans="1:29" customFormat="1">
      <c r="A152" s="7"/>
      <c r="B152" s="7"/>
      <c r="C152" s="7"/>
      <c r="D152" s="7" t="s">
        <v>408</v>
      </c>
      <c r="E152" s="20">
        <f t="shared" ca="1" si="57"/>
        <v>0</v>
      </c>
      <c r="F152" s="20">
        <f t="shared" ca="1" si="57"/>
        <v>0</v>
      </c>
      <c r="G152" s="20">
        <f t="shared" ca="1" si="57"/>
        <v>0</v>
      </c>
      <c r="H152" s="20">
        <f t="shared" ca="1" si="57"/>
        <v>0</v>
      </c>
      <c r="I152" s="20">
        <f t="shared" ca="1" si="57"/>
        <v>0</v>
      </c>
      <c r="J152" s="20">
        <f t="shared" ca="1" si="57"/>
        <v>0</v>
      </c>
      <c r="K152" s="20">
        <f t="shared" ca="1" si="57"/>
        <v>0</v>
      </c>
      <c r="L152" s="20">
        <f t="shared" ca="1" si="57"/>
        <v>0</v>
      </c>
      <c r="M152" s="20">
        <f t="shared" ca="1" si="57"/>
        <v>0</v>
      </c>
      <c r="N152" s="20">
        <f t="shared" ca="1" si="57"/>
        <v>0</v>
      </c>
      <c r="O152" s="20">
        <f t="shared" ca="1" si="57"/>
        <v>0</v>
      </c>
      <c r="P152" s="20">
        <f t="shared" ca="1" si="57"/>
        <v>0</v>
      </c>
      <c r="Q152" s="20">
        <f t="shared" ca="1" si="57"/>
        <v>0</v>
      </c>
      <c r="R152" s="20">
        <f t="shared" ca="1" si="57"/>
        <v>0</v>
      </c>
      <c r="S152" s="20">
        <f t="shared" ca="1" si="57"/>
        <v>0</v>
      </c>
      <c r="T152" s="20">
        <f t="shared" ca="1" si="57"/>
        <v>0</v>
      </c>
      <c r="U152" s="20">
        <f t="shared" ca="1" si="57"/>
        <v>0</v>
      </c>
      <c r="V152" s="20">
        <f t="shared" ca="1" si="57"/>
        <v>0</v>
      </c>
      <c r="W152" s="20">
        <f t="shared" ca="1" si="57"/>
        <v>0</v>
      </c>
      <c r="X152" s="20">
        <f t="shared" ref="X152" ca="1" si="79">X115-X114</f>
        <v>0</v>
      </c>
      <c r="Y152" s="20">
        <f t="shared" ref="Y152" ca="1" si="80">Y115-Y114</f>
        <v>0</v>
      </c>
      <c r="Z152" s="7"/>
      <c r="AA152" s="7"/>
      <c r="AB152" s="7"/>
      <c r="AC152" s="7"/>
    </row>
    <row r="153" spans="1:29" customFormat="1">
      <c r="A153" s="7"/>
      <c r="B153" s="7"/>
      <c r="C153" s="7"/>
      <c r="D153" s="7" t="s">
        <v>409</v>
      </c>
      <c r="E153" s="20">
        <f t="shared" ca="1" si="57"/>
        <v>0</v>
      </c>
      <c r="F153" s="20">
        <f t="shared" ca="1" si="57"/>
        <v>0</v>
      </c>
      <c r="G153" s="20">
        <f t="shared" ca="1" si="57"/>
        <v>0</v>
      </c>
      <c r="H153" s="20">
        <f t="shared" ca="1" si="57"/>
        <v>0</v>
      </c>
      <c r="I153" s="20">
        <f t="shared" ca="1" si="57"/>
        <v>0</v>
      </c>
      <c r="J153" s="20">
        <f t="shared" ca="1" si="57"/>
        <v>0</v>
      </c>
      <c r="K153" s="20">
        <f t="shared" ca="1" si="57"/>
        <v>0</v>
      </c>
      <c r="L153" s="20">
        <f t="shared" ca="1" si="57"/>
        <v>0</v>
      </c>
      <c r="M153" s="20">
        <f t="shared" ca="1" si="57"/>
        <v>0</v>
      </c>
      <c r="N153" s="20">
        <f t="shared" ca="1" si="57"/>
        <v>0</v>
      </c>
      <c r="O153" s="20">
        <f t="shared" ca="1" si="57"/>
        <v>0</v>
      </c>
      <c r="P153" s="20">
        <f t="shared" ca="1" si="57"/>
        <v>0</v>
      </c>
      <c r="Q153" s="20">
        <f t="shared" ca="1" si="57"/>
        <v>0</v>
      </c>
      <c r="R153" s="20">
        <f t="shared" ca="1" si="57"/>
        <v>0</v>
      </c>
      <c r="S153" s="20">
        <f t="shared" ca="1" si="57"/>
        <v>0</v>
      </c>
      <c r="T153" s="20">
        <f t="shared" ca="1" si="57"/>
        <v>0</v>
      </c>
      <c r="U153" s="20">
        <f t="shared" ca="1" si="57"/>
        <v>0</v>
      </c>
      <c r="V153" s="20">
        <f t="shared" ca="1" si="57"/>
        <v>0</v>
      </c>
      <c r="W153" s="20">
        <f t="shared" ca="1" si="57"/>
        <v>0</v>
      </c>
      <c r="X153" s="20">
        <f t="shared" ref="X153" ca="1" si="81">X116-X115</f>
        <v>0</v>
      </c>
      <c r="Y153" s="20">
        <f t="shared" ref="Y153" ca="1" si="82">Y116-Y115</f>
        <v>0</v>
      </c>
      <c r="Z153" s="7"/>
      <c r="AA153" s="7"/>
      <c r="AB153" s="7"/>
      <c r="AC153" s="7"/>
    </row>
    <row r="154" spans="1:29" customFormat="1">
      <c r="A154" s="7"/>
      <c r="B154" s="7"/>
      <c r="C154" s="7"/>
      <c r="D154" s="7" t="s">
        <v>410</v>
      </c>
      <c r="E154" s="20">
        <f t="shared" ca="1" si="57"/>
        <v>0</v>
      </c>
      <c r="F154" s="20">
        <f t="shared" ca="1" si="57"/>
        <v>0</v>
      </c>
      <c r="G154" s="20">
        <f t="shared" ca="1" si="57"/>
        <v>0</v>
      </c>
      <c r="H154" s="20">
        <f t="shared" ca="1" si="57"/>
        <v>0</v>
      </c>
      <c r="I154" s="20">
        <f t="shared" ca="1" si="57"/>
        <v>0</v>
      </c>
      <c r="J154" s="20">
        <f t="shared" ca="1" si="57"/>
        <v>0</v>
      </c>
      <c r="K154" s="20">
        <f t="shared" ca="1" si="57"/>
        <v>0</v>
      </c>
      <c r="L154" s="20">
        <f t="shared" ca="1" si="57"/>
        <v>0</v>
      </c>
      <c r="M154" s="20">
        <f t="shared" ref="M154:W154" ca="1" si="83">M117-M116</f>
        <v>0</v>
      </c>
      <c r="N154" s="20">
        <f t="shared" ca="1" si="83"/>
        <v>0</v>
      </c>
      <c r="O154" s="20">
        <f t="shared" ca="1" si="83"/>
        <v>0</v>
      </c>
      <c r="P154" s="20">
        <f t="shared" ca="1" si="83"/>
        <v>0</v>
      </c>
      <c r="Q154" s="20">
        <f t="shared" ca="1" si="83"/>
        <v>0</v>
      </c>
      <c r="R154" s="20">
        <f t="shared" ca="1" si="83"/>
        <v>0</v>
      </c>
      <c r="S154" s="20">
        <f t="shared" ca="1" si="83"/>
        <v>0</v>
      </c>
      <c r="T154" s="20">
        <f t="shared" ca="1" si="83"/>
        <v>0</v>
      </c>
      <c r="U154" s="20">
        <f t="shared" ca="1" si="83"/>
        <v>0</v>
      </c>
      <c r="V154" s="20">
        <f t="shared" ca="1" si="83"/>
        <v>0</v>
      </c>
      <c r="W154" s="20">
        <f t="shared" ca="1" si="83"/>
        <v>0</v>
      </c>
      <c r="X154" s="20">
        <f t="shared" ref="X154" ca="1" si="84">X117-X116</f>
        <v>0</v>
      </c>
      <c r="Y154" s="20">
        <f t="shared" ref="Y154" ca="1" si="85">Y117-Y116</f>
        <v>0</v>
      </c>
      <c r="Z154" s="7"/>
      <c r="AA154" s="7"/>
      <c r="AB154" s="7"/>
      <c r="AC154" s="7"/>
    </row>
    <row r="155" spans="1:29" customFormat="1">
      <c r="A155" s="7"/>
      <c r="B155" s="7"/>
      <c r="C155" s="7"/>
      <c r="D155" s="7" t="s">
        <v>411</v>
      </c>
      <c r="E155" s="20">
        <f t="shared" ref="E155:W159" ca="1" si="86">E118-E117</f>
        <v>0</v>
      </c>
      <c r="F155" s="20">
        <f t="shared" ca="1" si="86"/>
        <v>0</v>
      </c>
      <c r="G155" s="20">
        <f t="shared" ca="1" si="86"/>
        <v>0</v>
      </c>
      <c r="H155" s="20">
        <f t="shared" ca="1" si="86"/>
        <v>0</v>
      </c>
      <c r="I155" s="20">
        <f t="shared" ca="1" si="86"/>
        <v>0</v>
      </c>
      <c r="J155" s="20">
        <f t="shared" ca="1" si="86"/>
        <v>0</v>
      </c>
      <c r="K155" s="20">
        <f t="shared" ca="1" si="86"/>
        <v>0</v>
      </c>
      <c r="L155" s="20">
        <f t="shared" ca="1" si="86"/>
        <v>0</v>
      </c>
      <c r="M155" s="20">
        <f t="shared" ca="1" si="86"/>
        <v>0</v>
      </c>
      <c r="N155" s="20">
        <f t="shared" ca="1" si="86"/>
        <v>0</v>
      </c>
      <c r="O155" s="20">
        <f t="shared" ca="1" si="86"/>
        <v>0</v>
      </c>
      <c r="P155" s="20">
        <f t="shared" ca="1" si="86"/>
        <v>0</v>
      </c>
      <c r="Q155" s="20">
        <f t="shared" ca="1" si="86"/>
        <v>0</v>
      </c>
      <c r="R155" s="20">
        <f t="shared" ca="1" si="86"/>
        <v>0</v>
      </c>
      <c r="S155" s="20">
        <f t="shared" ca="1" si="86"/>
        <v>0</v>
      </c>
      <c r="T155" s="20">
        <f t="shared" ca="1" si="86"/>
        <v>0</v>
      </c>
      <c r="U155" s="20">
        <f t="shared" ca="1" si="86"/>
        <v>0</v>
      </c>
      <c r="V155" s="20">
        <f t="shared" ca="1" si="86"/>
        <v>0</v>
      </c>
      <c r="W155" s="20">
        <f t="shared" ca="1" si="86"/>
        <v>0</v>
      </c>
      <c r="X155" s="20">
        <f t="shared" ref="X155" ca="1" si="87">X118-X117</f>
        <v>0</v>
      </c>
      <c r="Y155" s="20">
        <f t="shared" ref="Y155" ca="1" si="88">Y118-Y117</f>
        <v>0</v>
      </c>
      <c r="Z155" s="7"/>
      <c r="AA155" s="7"/>
      <c r="AB155" s="7"/>
      <c r="AC155" s="7"/>
    </row>
    <row r="156" spans="1:29" customFormat="1">
      <c r="A156" s="7"/>
      <c r="B156" s="7"/>
      <c r="C156" s="7"/>
      <c r="D156" s="7" t="s">
        <v>412</v>
      </c>
      <c r="E156" s="20">
        <f t="shared" ca="1" si="86"/>
        <v>0</v>
      </c>
      <c r="F156" s="20">
        <f t="shared" ca="1" si="86"/>
        <v>0</v>
      </c>
      <c r="G156" s="20">
        <f t="shared" ca="1" si="86"/>
        <v>0</v>
      </c>
      <c r="H156" s="20">
        <f t="shared" ca="1" si="86"/>
        <v>0</v>
      </c>
      <c r="I156" s="20">
        <f t="shared" ca="1" si="86"/>
        <v>0</v>
      </c>
      <c r="J156" s="20">
        <f t="shared" ca="1" si="86"/>
        <v>0</v>
      </c>
      <c r="K156" s="20">
        <f t="shared" ca="1" si="86"/>
        <v>0</v>
      </c>
      <c r="L156" s="20">
        <f t="shared" ca="1" si="86"/>
        <v>0</v>
      </c>
      <c r="M156" s="20">
        <f t="shared" ca="1" si="86"/>
        <v>0</v>
      </c>
      <c r="N156" s="20">
        <f t="shared" ca="1" si="86"/>
        <v>0</v>
      </c>
      <c r="O156" s="20">
        <f t="shared" ca="1" si="86"/>
        <v>0</v>
      </c>
      <c r="P156" s="20">
        <f t="shared" ca="1" si="86"/>
        <v>0</v>
      </c>
      <c r="Q156" s="20">
        <f t="shared" ca="1" si="86"/>
        <v>0</v>
      </c>
      <c r="R156" s="20">
        <f t="shared" ca="1" si="86"/>
        <v>0</v>
      </c>
      <c r="S156" s="20">
        <f t="shared" ca="1" si="86"/>
        <v>0</v>
      </c>
      <c r="T156" s="20">
        <f t="shared" ca="1" si="86"/>
        <v>0</v>
      </c>
      <c r="U156" s="20">
        <f t="shared" ca="1" si="86"/>
        <v>0</v>
      </c>
      <c r="V156" s="20">
        <f t="shared" ca="1" si="86"/>
        <v>0</v>
      </c>
      <c r="W156" s="20">
        <f t="shared" ca="1" si="86"/>
        <v>0</v>
      </c>
      <c r="X156" s="20">
        <f t="shared" ref="X156" ca="1" si="89">X119-X118</f>
        <v>0</v>
      </c>
      <c r="Y156" s="20">
        <f t="shared" ref="Y156" ca="1" si="90">Y119-Y118</f>
        <v>0</v>
      </c>
      <c r="Z156" s="7"/>
      <c r="AA156" s="7"/>
      <c r="AB156" s="7"/>
      <c r="AC156" s="7"/>
    </row>
    <row r="157" spans="1:29" customFormat="1">
      <c r="A157" s="7"/>
      <c r="B157" s="7"/>
      <c r="C157" s="7"/>
      <c r="D157" s="7" t="s">
        <v>413</v>
      </c>
      <c r="E157" s="20">
        <f t="shared" ca="1" si="86"/>
        <v>0</v>
      </c>
      <c r="F157" s="20">
        <f t="shared" ca="1" si="86"/>
        <v>0</v>
      </c>
      <c r="G157" s="20">
        <f t="shared" ca="1" si="86"/>
        <v>0</v>
      </c>
      <c r="H157" s="20">
        <f t="shared" ca="1" si="86"/>
        <v>0</v>
      </c>
      <c r="I157" s="20">
        <f t="shared" ca="1" si="86"/>
        <v>0</v>
      </c>
      <c r="J157" s="20">
        <f t="shared" ca="1" si="86"/>
        <v>0</v>
      </c>
      <c r="K157" s="20">
        <f t="shared" ca="1" si="86"/>
        <v>0</v>
      </c>
      <c r="L157" s="20">
        <f t="shared" ca="1" si="86"/>
        <v>0</v>
      </c>
      <c r="M157" s="20">
        <f t="shared" ca="1" si="86"/>
        <v>0</v>
      </c>
      <c r="N157" s="20">
        <f t="shared" ca="1" si="86"/>
        <v>0</v>
      </c>
      <c r="O157" s="20">
        <f t="shared" ca="1" si="86"/>
        <v>0</v>
      </c>
      <c r="P157" s="20">
        <f t="shared" ca="1" si="86"/>
        <v>0</v>
      </c>
      <c r="Q157" s="20">
        <f t="shared" ca="1" si="86"/>
        <v>0</v>
      </c>
      <c r="R157" s="20">
        <f t="shared" ca="1" si="86"/>
        <v>0</v>
      </c>
      <c r="S157" s="20">
        <f t="shared" ca="1" si="86"/>
        <v>0</v>
      </c>
      <c r="T157" s="20">
        <f t="shared" ca="1" si="86"/>
        <v>0</v>
      </c>
      <c r="U157" s="20">
        <f t="shared" ca="1" si="86"/>
        <v>0</v>
      </c>
      <c r="V157" s="20">
        <f t="shared" ca="1" si="86"/>
        <v>0</v>
      </c>
      <c r="W157" s="20">
        <f t="shared" ca="1" si="86"/>
        <v>0</v>
      </c>
      <c r="X157" s="20">
        <f t="shared" ref="X157" ca="1" si="91">X120-X119</f>
        <v>0</v>
      </c>
      <c r="Y157" s="20">
        <f t="shared" ref="Y157" ca="1" si="92">Y120-Y119</f>
        <v>0</v>
      </c>
      <c r="Z157" s="7"/>
      <c r="AA157" s="7"/>
      <c r="AB157" s="7"/>
      <c r="AC157" s="7"/>
    </row>
    <row r="158" spans="1:29" customFormat="1">
      <c r="A158" s="7"/>
      <c r="B158" s="7"/>
      <c r="C158" s="7"/>
      <c r="D158" s="7" t="s">
        <v>414</v>
      </c>
      <c r="E158" s="20">
        <f t="shared" ca="1" si="86"/>
        <v>0</v>
      </c>
      <c r="F158" s="20">
        <f t="shared" ca="1" si="86"/>
        <v>0</v>
      </c>
      <c r="G158" s="20">
        <f t="shared" ca="1" si="86"/>
        <v>0</v>
      </c>
      <c r="H158" s="20">
        <f t="shared" ca="1" si="86"/>
        <v>0</v>
      </c>
      <c r="I158" s="20">
        <f t="shared" ca="1" si="86"/>
        <v>0</v>
      </c>
      <c r="J158" s="20">
        <f t="shared" ca="1" si="86"/>
        <v>0</v>
      </c>
      <c r="K158" s="20">
        <f t="shared" ca="1" si="86"/>
        <v>0</v>
      </c>
      <c r="L158" s="20">
        <f t="shared" ca="1" si="86"/>
        <v>0</v>
      </c>
      <c r="M158" s="20">
        <f t="shared" ca="1" si="86"/>
        <v>0</v>
      </c>
      <c r="N158" s="20">
        <f t="shared" ca="1" si="86"/>
        <v>0</v>
      </c>
      <c r="O158" s="20">
        <f t="shared" ca="1" si="86"/>
        <v>0</v>
      </c>
      <c r="P158" s="20">
        <f t="shared" ca="1" si="86"/>
        <v>0</v>
      </c>
      <c r="Q158" s="20">
        <f t="shared" ca="1" si="86"/>
        <v>0</v>
      </c>
      <c r="R158" s="20">
        <f t="shared" ca="1" si="86"/>
        <v>0</v>
      </c>
      <c r="S158" s="20">
        <f t="shared" ca="1" si="86"/>
        <v>0</v>
      </c>
      <c r="T158" s="20">
        <f t="shared" ca="1" si="86"/>
        <v>0</v>
      </c>
      <c r="U158" s="20">
        <f t="shared" ca="1" si="86"/>
        <v>0</v>
      </c>
      <c r="V158" s="20">
        <f t="shared" ca="1" si="86"/>
        <v>0</v>
      </c>
      <c r="W158" s="20">
        <f t="shared" ca="1" si="86"/>
        <v>0</v>
      </c>
      <c r="X158" s="20">
        <f t="shared" ref="X158" ca="1" si="93">X121-X120</f>
        <v>0</v>
      </c>
      <c r="Y158" s="20">
        <f t="shared" ref="Y158" ca="1" si="94">Y121-Y120</f>
        <v>0</v>
      </c>
      <c r="Z158" s="7"/>
      <c r="AA158" s="7"/>
      <c r="AB158" s="7"/>
      <c r="AC158" s="7"/>
    </row>
    <row r="159" spans="1:29" customFormat="1">
      <c r="A159" s="7"/>
      <c r="B159" s="7"/>
      <c r="C159" s="7"/>
      <c r="D159" s="7" t="s">
        <v>415</v>
      </c>
      <c r="E159" s="20">
        <f t="shared" ca="1" si="86"/>
        <v>0</v>
      </c>
      <c r="F159" s="20">
        <f t="shared" ca="1" si="86"/>
        <v>0</v>
      </c>
      <c r="G159" s="20">
        <f t="shared" ca="1" si="86"/>
        <v>0</v>
      </c>
      <c r="H159" s="20">
        <f t="shared" ca="1" si="86"/>
        <v>0</v>
      </c>
      <c r="I159" s="20">
        <f t="shared" ca="1" si="86"/>
        <v>0</v>
      </c>
      <c r="J159" s="20">
        <f t="shared" ca="1" si="86"/>
        <v>0</v>
      </c>
      <c r="K159" s="20">
        <f t="shared" ca="1" si="86"/>
        <v>0</v>
      </c>
      <c r="L159" s="20">
        <f t="shared" ca="1" si="86"/>
        <v>0</v>
      </c>
      <c r="M159" s="20">
        <f t="shared" ca="1" si="86"/>
        <v>0</v>
      </c>
      <c r="N159" s="20">
        <f t="shared" ca="1" si="86"/>
        <v>0</v>
      </c>
      <c r="O159" s="20">
        <f t="shared" ca="1" si="86"/>
        <v>0</v>
      </c>
      <c r="P159" s="20">
        <f t="shared" ca="1" si="86"/>
        <v>0</v>
      </c>
      <c r="Q159" s="20">
        <f t="shared" ca="1" si="86"/>
        <v>0</v>
      </c>
      <c r="R159" s="20">
        <f t="shared" ca="1" si="86"/>
        <v>0</v>
      </c>
      <c r="S159" s="20">
        <f t="shared" ca="1" si="86"/>
        <v>0</v>
      </c>
      <c r="T159" s="20">
        <f t="shared" ca="1" si="86"/>
        <v>0</v>
      </c>
      <c r="U159" s="20">
        <f t="shared" ca="1" si="86"/>
        <v>0</v>
      </c>
      <c r="V159" s="20">
        <f t="shared" ca="1" si="86"/>
        <v>0</v>
      </c>
      <c r="W159" s="20">
        <f t="shared" ca="1" si="86"/>
        <v>0</v>
      </c>
      <c r="X159" s="20">
        <f t="shared" ref="X159" ca="1" si="95">X122-X121</f>
        <v>0</v>
      </c>
      <c r="Y159" s="20">
        <f t="shared" ref="Y159" ca="1" si="96">Y122-Y121</f>
        <v>0</v>
      </c>
      <c r="Z159" s="7"/>
      <c r="AA159" s="7"/>
      <c r="AB159" s="7"/>
      <c r="AC159" s="7"/>
    </row>
    <row r="160" spans="1:29" customFormat="1">
      <c r="A160" s="7"/>
      <c r="B160" s="7"/>
      <c r="C160" s="7"/>
      <c r="D160" s="7" t="s">
        <v>416</v>
      </c>
      <c r="E160" s="20">
        <f t="shared" ref="E160:W160" ca="1" si="97">E123-E122</f>
        <v>0</v>
      </c>
      <c r="F160" s="20">
        <f ca="1">F123-F122</f>
        <v>0</v>
      </c>
      <c r="G160" s="20">
        <f t="shared" ca="1" si="97"/>
        <v>0</v>
      </c>
      <c r="H160" s="20">
        <f t="shared" ca="1" si="97"/>
        <v>0</v>
      </c>
      <c r="I160" s="20">
        <f t="shared" ca="1" si="97"/>
        <v>0</v>
      </c>
      <c r="J160" s="20">
        <f t="shared" ca="1" si="97"/>
        <v>0</v>
      </c>
      <c r="K160" s="20">
        <f t="shared" ca="1" si="97"/>
        <v>0</v>
      </c>
      <c r="L160" s="20">
        <f t="shared" ca="1" si="97"/>
        <v>0</v>
      </c>
      <c r="M160" s="20">
        <f t="shared" ca="1" si="97"/>
        <v>0</v>
      </c>
      <c r="N160" s="20">
        <f t="shared" ca="1" si="97"/>
        <v>0</v>
      </c>
      <c r="O160" s="20">
        <f t="shared" ca="1" si="97"/>
        <v>0</v>
      </c>
      <c r="P160" s="20">
        <f t="shared" ca="1" si="97"/>
        <v>0</v>
      </c>
      <c r="Q160" s="20">
        <f t="shared" ca="1" si="97"/>
        <v>0</v>
      </c>
      <c r="R160" s="20">
        <f t="shared" ca="1" si="97"/>
        <v>0</v>
      </c>
      <c r="S160" s="20">
        <f t="shared" ca="1" si="97"/>
        <v>0</v>
      </c>
      <c r="T160" s="20">
        <f t="shared" ca="1" si="97"/>
        <v>0</v>
      </c>
      <c r="U160" s="20">
        <f t="shared" ca="1" si="97"/>
        <v>0</v>
      </c>
      <c r="V160" s="20">
        <f t="shared" ca="1" si="97"/>
        <v>0</v>
      </c>
      <c r="W160" s="20">
        <f t="shared" ca="1" si="97"/>
        <v>0</v>
      </c>
      <c r="X160" s="20">
        <f t="shared" ref="X160:Y160" ca="1" si="98">X123-X122</f>
        <v>0</v>
      </c>
      <c r="Y160" s="20">
        <f t="shared" ca="1" si="98"/>
        <v>0</v>
      </c>
      <c r="Z160" s="7"/>
      <c r="AA160" s="7"/>
      <c r="AB160" s="7"/>
      <c r="AC160" s="7"/>
    </row>
    <row r="161" spans="1:29" customForma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row>
    <row r="162" spans="1:29" customFormat="1" ht="15">
      <c r="A162" s="7"/>
      <c r="B162" s="7"/>
      <c r="C162" s="7"/>
      <c r="D162" s="92" t="s">
        <v>137</v>
      </c>
      <c r="E162" s="93">
        <f t="shared" ref="E162:X162" ca="1" si="99">SUM(E129:E160)</f>
        <v>6.1636144628630055E-2</v>
      </c>
      <c r="F162" s="93">
        <f ca="1">SUM(F129:F160)</f>
        <v>0.12289200001495267</v>
      </c>
      <c r="G162" s="93">
        <f t="shared" ca="1" si="99"/>
        <v>0.18377047037500671</v>
      </c>
      <c r="H162" s="93">
        <f t="shared" ca="1" si="99"/>
        <v>0.24427442820622805</v>
      </c>
      <c r="I162" s="93">
        <f t="shared" ca="1" si="99"/>
        <v>0.30628226357050631</v>
      </c>
      <c r="J162" s="93">
        <f t="shared" ca="1" si="99"/>
        <v>0.36135392425292412</v>
      </c>
      <c r="K162" s="93">
        <f t="shared" ca="1" si="99"/>
        <v>0.40421296914301708</v>
      </c>
      <c r="L162" s="93">
        <f t="shared" ca="1" si="99"/>
        <v>0.43804377463485933</v>
      </c>
      <c r="M162" s="93">
        <f t="shared" ca="1" si="99"/>
        <v>0.46467612612301534</v>
      </c>
      <c r="N162" s="93">
        <f t="shared" ca="1" si="99"/>
        <v>0.5577955699177799</v>
      </c>
      <c r="O162" s="93">
        <f t="shared" ca="1" si="99"/>
        <v>0.56779573406072215</v>
      </c>
      <c r="P162" s="93">
        <f t="shared" ca="1" si="99"/>
        <v>0.57340757782890395</v>
      </c>
      <c r="Q162" s="93">
        <f t="shared" ca="1" si="99"/>
        <v>0.57609194228056249</v>
      </c>
      <c r="R162" s="93">
        <f t="shared" ca="1" si="99"/>
        <v>0.57598052325954119</v>
      </c>
      <c r="S162" s="93">
        <f t="shared" ca="1" si="99"/>
        <v>0.5740976149937016</v>
      </c>
      <c r="T162" s="93">
        <f t="shared" ca="1" si="99"/>
        <v>0.57407929687268933</v>
      </c>
      <c r="U162" s="93">
        <f t="shared" ca="1" si="99"/>
        <v>0.57448116984407516</v>
      </c>
      <c r="V162" s="93">
        <f t="shared" ca="1" si="99"/>
        <v>0.56990040562294875</v>
      </c>
      <c r="W162" s="93">
        <f t="shared" ca="1" si="99"/>
        <v>0.57091758793198633</v>
      </c>
      <c r="X162" s="93">
        <f t="shared" ca="1" si="99"/>
        <v>0.56734982926509825</v>
      </c>
      <c r="Y162" s="93"/>
      <c r="Z162" s="93"/>
      <c r="AA162" s="7"/>
      <c r="AB162" s="7"/>
      <c r="AC162" s="7"/>
    </row>
    <row r="163" spans="1:29" ht="15">
      <c r="D163" s="92" t="s">
        <v>138</v>
      </c>
      <c r="E163" s="93">
        <f ca="1">E162</f>
        <v>6.1636144628630055E-2</v>
      </c>
      <c r="F163" s="93">
        <f t="shared" ref="F163:X163" ca="1" si="100">E163+F162</f>
        <v>0.18452814464358272</v>
      </c>
      <c r="G163" s="93">
        <f t="shared" ca="1" si="100"/>
        <v>0.3682986150185894</v>
      </c>
      <c r="H163" s="93">
        <f t="shared" ca="1" si="100"/>
        <v>0.61257304322481743</v>
      </c>
      <c r="I163" s="93">
        <f t="shared" ca="1" si="100"/>
        <v>0.91885530679532379</v>
      </c>
      <c r="J163" s="93">
        <f t="shared" ca="1" si="100"/>
        <v>1.2802092310482478</v>
      </c>
      <c r="K163" s="93">
        <f t="shared" ca="1" si="100"/>
        <v>1.684422200191265</v>
      </c>
      <c r="L163" s="93">
        <f t="shared" ca="1" si="100"/>
        <v>2.1224659748261243</v>
      </c>
      <c r="M163" s="93">
        <f t="shared" ca="1" si="100"/>
        <v>2.5871421009491398</v>
      </c>
      <c r="N163" s="93">
        <f t="shared" ca="1" si="100"/>
        <v>3.1449376708669199</v>
      </c>
      <c r="O163" s="93">
        <f t="shared" ca="1" si="100"/>
        <v>3.7127334049276421</v>
      </c>
      <c r="P163" s="93">
        <f t="shared" ca="1" si="100"/>
        <v>4.286140982756546</v>
      </c>
      <c r="Q163" s="93">
        <f t="shared" ca="1" si="100"/>
        <v>4.8622329250371088</v>
      </c>
      <c r="R163" s="93">
        <f t="shared" ca="1" si="100"/>
        <v>5.4382134482966498</v>
      </c>
      <c r="S163" s="93">
        <f t="shared" ca="1" si="100"/>
        <v>6.0123110632903511</v>
      </c>
      <c r="T163" s="93">
        <f t="shared" ca="1" si="100"/>
        <v>6.5863903601630405</v>
      </c>
      <c r="U163" s="93">
        <f t="shared" ca="1" si="100"/>
        <v>7.1608715300071157</v>
      </c>
      <c r="V163" s="93">
        <f t="shared" ca="1" si="100"/>
        <v>7.7307719356300648</v>
      </c>
      <c r="W163" s="93">
        <f t="shared" ca="1" si="100"/>
        <v>8.3016895235620503</v>
      </c>
      <c r="X163" s="93">
        <f t="shared" ca="1" si="100"/>
        <v>8.8690393528271478</v>
      </c>
      <c r="Y163" s="93">
        <f ca="1">SUM(Y129:Y160)</f>
        <v>5.4052958237524305</v>
      </c>
      <c r="Z163" s="93"/>
    </row>
    <row r="164" spans="1:29">
      <c r="E164" s="39"/>
      <c r="F164" s="46"/>
      <c r="G164" s="46"/>
      <c r="H164" s="46"/>
      <c r="I164" s="46"/>
      <c r="J164" s="46"/>
      <c r="K164" s="46"/>
      <c r="L164" s="46"/>
      <c r="M164" s="46"/>
      <c r="N164" s="46"/>
      <c r="O164" s="46"/>
      <c r="P164" s="46"/>
      <c r="Q164" s="46"/>
      <c r="R164" s="46"/>
      <c r="S164" s="46"/>
      <c r="T164" s="46"/>
      <c r="U164" s="46"/>
      <c r="V164" s="46"/>
      <c r="W164" s="46"/>
      <c r="X164" s="46"/>
      <c r="Y164" s="46"/>
      <c r="Z164" s="46"/>
    </row>
    <row r="165" spans="1:29">
      <c r="E165" s="39"/>
      <c r="F165" s="46"/>
      <c r="G165" s="46"/>
      <c r="H165" s="46"/>
      <c r="I165" s="46"/>
      <c r="J165" s="46"/>
      <c r="K165" s="46"/>
      <c r="L165" s="46"/>
      <c r="M165" s="46"/>
      <c r="N165" s="46"/>
      <c r="O165" s="46"/>
      <c r="P165" s="46"/>
      <c r="Q165" s="46"/>
      <c r="R165" s="46"/>
      <c r="S165" s="46"/>
      <c r="T165" s="46"/>
      <c r="U165" s="46"/>
      <c r="V165" s="46"/>
      <c r="W165" s="46"/>
      <c r="X165" s="46"/>
      <c r="Y165" s="46"/>
      <c r="Z165" s="46"/>
    </row>
    <row r="166" spans="1:29" ht="15">
      <c r="A166" s="98" t="str">
        <f>CONCATENATE("ACHIEVABLE SAVINGS - CUMULATIVE BY MILL BIN - FOR MEASURE - ",D167)</f>
        <v>ACHIEVABLE SAVINGS - CUMULATIVE BY MILL BIN - FOR MEASURE - Microwave</v>
      </c>
      <c r="D166" s="79" t="s">
        <v>63</v>
      </c>
      <c r="E166" s="90">
        <f>E127</f>
        <v>2016</v>
      </c>
      <c r="F166" s="84">
        <f t="shared" ref="F166:X166" si="101">F127</f>
        <v>2017</v>
      </c>
      <c r="G166" s="84">
        <f t="shared" si="101"/>
        <v>2018</v>
      </c>
      <c r="H166" s="84">
        <f t="shared" si="101"/>
        <v>2019</v>
      </c>
      <c r="I166" s="84">
        <f t="shared" si="101"/>
        <v>2020</v>
      </c>
      <c r="J166" s="84">
        <f t="shared" si="101"/>
        <v>2021</v>
      </c>
      <c r="K166" s="84">
        <f t="shared" si="101"/>
        <v>2022</v>
      </c>
      <c r="L166" s="84">
        <f t="shared" si="101"/>
        <v>2023</v>
      </c>
      <c r="M166" s="84">
        <f t="shared" si="101"/>
        <v>2024</v>
      </c>
      <c r="N166" s="84">
        <f t="shared" si="101"/>
        <v>2025</v>
      </c>
      <c r="O166" s="84">
        <f t="shared" si="101"/>
        <v>2026</v>
      </c>
      <c r="P166" s="84">
        <f t="shared" si="101"/>
        <v>2027</v>
      </c>
      <c r="Q166" s="84">
        <f t="shared" si="101"/>
        <v>2028</v>
      </c>
      <c r="R166" s="84">
        <f t="shared" si="101"/>
        <v>2029</v>
      </c>
      <c r="S166" s="84">
        <f t="shared" si="101"/>
        <v>2030</v>
      </c>
      <c r="T166" s="84">
        <f t="shared" si="101"/>
        <v>2031</v>
      </c>
      <c r="U166" s="84">
        <f t="shared" si="101"/>
        <v>2032</v>
      </c>
      <c r="V166" s="84">
        <f t="shared" si="101"/>
        <v>2033</v>
      </c>
      <c r="W166" s="84">
        <f t="shared" si="101"/>
        <v>2034</v>
      </c>
      <c r="X166" s="84">
        <f t="shared" si="101"/>
        <v>2035</v>
      </c>
      <c r="Y166" s="85"/>
    </row>
    <row r="167" spans="1:29" ht="15">
      <c r="D167" s="79" t="str">
        <f>$C$8</f>
        <v>Microwave</v>
      </c>
      <c r="E167" s="91" t="str">
        <f>CONCATENATE("aMW_",E166)</f>
        <v>aMW_2016</v>
      </c>
      <c r="F167" s="86" t="str">
        <f t="shared" ref="F167:X167" si="102">CONCATENATE("aMW_",F166)</f>
        <v>aMW_2017</v>
      </c>
      <c r="G167" s="86" t="str">
        <f t="shared" si="102"/>
        <v>aMW_2018</v>
      </c>
      <c r="H167" s="86" t="str">
        <f t="shared" si="102"/>
        <v>aMW_2019</v>
      </c>
      <c r="I167" s="86" t="str">
        <f t="shared" si="102"/>
        <v>aMW_2020</v>
      </c>
      <c r="J167" s="86" t="str">
        <f t="shared" si="102"/>
        <v>aMW_2021</v>
      </c>
      <c r="K167" s="86" t="str">
        <f t="shared" si="102"/>
        <v>aMW_2022</v>
      </c>
      <c r="L167" s="86" t="str">
        <f t="shared" si="102"/>
        <v>aMW_2023</v>
      </c>
      <c r="M167" s="86" t="str">
        <f t="shared" si="102"/>
        <v>aMW_2024</v>
      </c>
      <c r="N167" s="86" t="str">
        <f t="shared" si="102"/>
        <v>aMW_2025</v>
      </c>
      <c r="O167" s="86" t="str">
        <f t="shared" si="102"/>
        <v>aMW_2026</v>
      </c>
      <c r="P167" s="86" t="str">
        <f t="shared" si="102"/>
        <v>aMW_2027</v>
      </c>
      <c r="Q167" s="86" t="str">
        <f t="shared" si="102"/>
        <v>aMW_2028</v>
      </c>
      <c r="R167" s="86" t="str">
        <f t="shared" si="102"/>
        <v>aMW_2029</v>
      </c>
      <c r="S167" s="86" t="str">
        <f t="shared" si="102"/>
        <v>aMW_2030</v>
      </c>
      <c r="T167" s="86" t="str">
        <f t="shared" si="102"/>
        <v>aMW_2031</v>
      </c>
      <c r="U167" s="86" t="str">
        <f t="shared" si="102"/>
        <v>aMW_2032</v>
      </c>
      <c r="V167" s="86" t="str">
        <f t="shared" si="102"/>
        <v>aMW_2033</v>
      </c>
      <c r="W167" s="86" t="str">
        <f t="shared" si="102"/>
        <v>aMW_2034</v>
      </c>
      <c r="X167" s="86" t="str">
        <f t="shared" si="102"/>
        <v>aMW_2035</v>
      </c>
      <c r="Y167" s="87"/>
    </row>
    <row r="168" spans="1:29">
      <c r="D168" s="7" t="s">
        <v>69</v>
      </c>
      <c r="E168" s="47">
        <f t="shared" ref="E168:E198" si="103">E129</f>
        <v>0</v>
      </c>
      <c r="F168" s="48">
        <f t="shared" ref="F168:X168" si="104">E168+F129</f>
        <v>0</v>
      </c>
      <c r="G168" s="48">
        <f t="shared" si="104"/>
        <v>0</v>
      </c>
      <c r="H168" s="48">
        <f t="shared" si="104"/>
        <v>0</v>
      </c>
      <c r="I168" s="48">
        <f t="shared" si="104"/>
        <v>0</v>
      </c>
      <c r="J168" s="48">
        <f t="shared" si="104"/>
        <v>0</v>
      </c>
      <c r="K168" s="48">
        <f t="shared" si="104"/>
        <v>0</v>
      </c>
      <c r="L168" s="48">
        <f t="shared" si="104"/>
        <v>0</v>
      </c>
      <c r="M168" s="48">
        <f t="shared" si="104"/>
        <v>0</v>
      </c>
      <c r="N168" s="48">
        <f t="shared" si="104"/>
        <v>0</v>
      </c>
      <c r="O168" s="48">
        <f t="shared" si="104"/>
        <v>0</v>
      </c>
      <c r="P168" s="48">
        <f t="shared" si="104"/>
        <v>0</v>
      </c>
      <c r="Q168" s="48">
        <f t="shared" si="104"/>
        <v>0</v>
      </c>
      <c r="R168" s="48">
        <f t="shared" si="104"/>
        <v>0</v>
      </c>
      <c r="S168" s="48">
        <f t="shared" si="104"/>
        <v>0</v>
      </c>
      <c r="T168" s="48">
        <f t="shared" si="104"/>
        <v>0</v>
      </c>
      <c r="U168" s="48">
        <f t="shared" si="104"/>
        <v>0</v>
      </c>
      <c r="V168" s="48">
        <f t="shared" si="104"/>
        <v>0</v>
      </c>
      <c r="W168" s="48">
        <f t="shared" si="104"/>
        <v>0</v>
      </c>
      <c r="X168" s="48">
        <f t="shared" si="104"/>
        <v>0</v>
      </c>
      <c r="Y168" s="48"/>
    </row>
    <row r="169" spans="1:29">
      <c r="D169" s="7" t="s">
        <v>72</v>
      </c>
      <c r="E169" s="47">
        <f t="shared" si="103"/>
        <v>0</v>
      </c>
      <c r="F169" s="48">
        <f t="shared" ref="F169:X169" si="105">E169+F130</f>
        <v>0</v>
      </c>
      <c r="G169" s="48">
        <f t="shared" si="105"/>
        <v>0</v>
      </c>
      <c r="H169" s="48">
        <f t="shared" si="105"/>
        <v>0</v>
      </c>
      <c r="I169" s="48">
        <f t="shared" si="105"/>
        <v>0</v>
      </c>
      <c r="J169" s="48">
        <f t="shared" si="105"/>
        <v>0</v>
      </c>
      <c r="K169" s="48">
        <f t="shared" si="105"/>
        <v>0</v>
      </c>
      <c r="L169" s="48">
        <f t="shared" si="105"/>
        <v>0</v>
      </c>
      <c r="M169" s="48">
        <f t="shared" si="105"/>
        <v>0</v>
      </c>
      <c r="N169" s="48">
        <f t="shared" si="105"/>
        <v>0</v>
      </c>
      <c r="O169" s="48">
        <f t="shared" si="105"/>
        <v>0</v>
      </c>
      <c r="P169" s="48">
        <f t="shared" si="105"/>
        <v>0</v>
      </c>
      <c r="Q169" s="48">
        <f t="shared" si="105"/>
        <v>0</v>
      </c>
      <c r="R169" s="48">
        <f t="shared" si="105"/>
        <v>0</v>
      </c>
      <c r="S169" s="48">
        <f t="shared" si="105"/>
        <v>0</v>
      </c>
      <c r="T169" s="48">
        <f t="shared" si="105"/>
        <v>0</v>
      </c>
      <c r="U169" s="48">
        <f t="shared" si="105"/>
        <v>0</v>
      </c>
      <c r="V169" s="48">
        <f t="shared" si="105"/>
        <v>0</v>
      </c>
      <c r="W169" s="48">
        <f t="shared" si="105"/>
        <v>0</v>
      </c>
      <c r="X169" s="48">
        <f t="shared" si="105"/>
        <v>0</v>
      </c>
      <c r="Y169" s="48"/>
    </row>
    <row r="170" spans="1:29">
      <c r="D170" s="7" t="s">
        <v>75</v>
      </c>
      <c r="E170" s="47">
        <f t="shared" si="103"/>
        <v>0</v>
      </c>
      <c r="F170" s="48">
        <f t="shared" ref="F170:X170" si="106">E170+F131</f>
        <v>0</v>
      </c>
      <c r="G170" s="48">
        <f t="shared" si="106"/>
        <v>0</v>
      </c>
      <c r="H170" s="48">
        <f t="shared" si="106"/>
        <v>0</v>
      </c>
      <c r="I170" s="48">
        <f t="shared" si="106"/>
        <v>0</v>
      </c>
      <c r="J170" s="48">
        <f t="shared" si="106"/>
        <v>0</v>
      </c>
      <c r="K170" s="48">
        <f t="shared" si="106"/>
        <v>0</v>
      </c>
      <c r="L170" s="48">
        <f t="shared" si="106"/>
        <v>0</v>
      </c>
      <c r="M170" s="48">
        <f t="shared" si="106"/>
        <v>0</v>
      </c>
      <c r="N170" s="48">
        <f t="shared" si="106"/>
        <v>0</v>
      </c>
      <c r="O170" s="48">
        <f t="shared" si="106"/>
        <v>0</v>
      </c>
      <c r="P170" s="48">
        <f t="shared" si="106"/>
        <v>0</v>
      </c>
      <c r="Q170" s="48">
        <f t="shared" si="106"/>
        <v>0</v>
      </c>
      <c r="R170" s="48">
        <f t="shared" si="106"/>
        <v>0</v>
      </c>
      <c r="S170" s="48">
        <f t="shared" si="106"/>
        <v>0</v>
      </c>
      <c r="T170" s="48">
        <f t="shared" si="106"/>
        <v>0</v>
      </c>
      <c r="U170" s="48">
        <f t="shared" si="106"/>
        <v>0</v>
      </c>
      <c r="V170" s="48">
        <f t="shared" si="106"/>
        <v>0</v>
      </c>
      <c r="W170" s="48">
        <f t="shared" si="106"/>
        <v>0</v>
      </c>
      <c r="X170" s="48">
        <f t="shared" si="106"/>
        <v>0</v>
      </c>
      <c r="Y170" s="48"/>
    </row>
    <row r="171" spans="1:29">
      <c r="D171" s="7" t="s">
        <v>78</v>
      </c>
      <c r="E171" s="47">
        <f t="shared" si="103"/>
        <v>0</v>
      </c>
      <c r="F171" s="48">
        <f t="shared" ref="F171:X171" si="107">E171+F132</f>
        <v>0</v>
      </c>
      <c r="G171" s="48">
        <f t="shared" si="107"/>
        <v>0</v>
      </c>
      <c r="H171" s="48">
        <f t="shared" si="107"/>
        <v>0</v>
      </c>
      <c r="I171" s="48">
        <f t="shared" si="107"/>
        <v>0</v>
      </c>
      <c r="J171" s="48">
        <f t="shared" si="107"/>
        <v>0</v>
      </c>
      <c r="K171" s="48">
        <f t="shared" si="107"/>
        <v>0</v>
      </c>
      <c r="L171" s="48">
        <f t="shared" si="107"/>
        <v>0</v>
      </c>
      <c r="M171" s="48">
        <f t="shared" si="107"/>
        <v>0</v>
      </c>
      <c r="N171" s="48">
        <f t="shared" si="107"/>
        <v>0</v>
      </c>
      <c r="O171" s="48">
        <f t="shared" si="107"/>
        <v>0</v>
      </c>
      <c r="P171" s="48">
        <f t="shared" si="107"/>
        <v>0</v>
      </c>
      <c r="Q171" s="48">
        <f t="shared" si="107"/>
        <v>0</v>
      </c>
      <c r="R171" s="48">
        <f t="shared" si="107"/>
        <v>0</v>
      </c>
      <c r="S171" s="48">
        <f t="shared" si="107"/>
        <v>0</v>
      </c>
      <c r="T171" s="48">
        <f t="shared" si="107"/>
        <v>0</v>
      </c>
      <c r="U171" s="48">
        <f t="shared" si="107"/>
        <v>0</v>
      </c>
      <c r="V171" s="48">
        <f t="shared" si="107"/>
        <v>0</v>
      </c>
      <c r="W171" s="48">
        <f t="shared" si="107"/>
        <v>0</v>
      </c>
      <c r="X171" s="48">
        <f t="shared" si="107"/>
        <v>0</v>
      </c>
      <c r="Y171" s="48"/>
    </row>
    <row r="172" spans="1:29">
      <c r="D172" s="7" t="s">
        <v>81</v>
      </c>
      <c r="E172" s="47">
        <f t="shared" ca="1" si="103"/>
        <v>6.1636144628630055E-2</v>
      </c>
      <c r="F172" s="48">
        <f t="shared" ref="F172:X172" ca="1" si="108">E172+F133</f>
        <v>0.18452814464358272</v>
      </c>
      <c r="G172" s="48">
        <f t="shared" ca="1" si="108"/>
        <v>0.3682986150185894</v>
      </c>
      <c r="H172" s="48">
        <f t="shared" ca="1" si="108"/>
        <v>0.61257304322481743</v>
      </c>
      <c r="I172" s="48">
        <f t="shared" ca="1" si="108"/>
        <v>0.91885530679532379</v>
      </c>
      <c r="J172" s="48">
        <f t="shared" ca="1" si="108"/>
        <v>1.2802092310482478</v>
      </c>
      <c r="K172" s="48">
        <f t="shared" ca="1" si="108"/>
        <v>1.684422200191265</v>
      </c>
      <c r="L172" s="48">
        <f t="shared" ca="1" si="108"/>
        <v>2.1224659748261243</v>
      </c>
      <c r="M172" s="48">
        <f t="shared" ca="1" si="108"/>
        <v>2.5871421009491398</v>
      </c>
      <c r="N172" s="48">
        <f t="shared" ca="1" si="108"/>
        <v>3.1449376708669199</v>
      </c>
      <c r="O172" s="48">
        <f t="shared" ca="1" si="108"/>
        <v>3.7127334049276421</v>
      </c>
      <c r="P172" s="48">
        <f t="shared" ca="1" si="108"/>
        <v>4.286140982756546</v>
      </c>
      <c r="Q172" s="48">
        <f t="shared" ca="1" si="108"/>
        <v>4.8622329250371088</v>
      </c>
      <c r="R172" s="48">
        <f t="shared" ca="1" si="108"/>
        <v>5.4382134482966498</v>
      </c>
      <c r="S172" s="48">
        <f t="shared" ca="1" si="108"/>
        <v>6.0123110632903511</v>
      </c>
      <c r="T172" s="48">
        <f t="shared" ca="1" si="108"/>
        <v>6.5863903601630405</v>
      </c>
      <c r="U172" s="48">
        <f t="shared" ca="1" si="108"/>
        <v>7.1608715300071157</v>
      </c>
      <c r="V172" s="48">
        <f t="shared" ca="1" si="108"/>
        <v>7.7307719356300648</v>
      </c>
      <c r="W172" s="48">
        <f t="shared" ca="1" si="108"/>
        <v>8.3016895235620503</v>
      </c>
      <c r="X172" s="48">
        <f t="shared" ca="1" si="108"/>
        <v>8.8690393528271478</v>
      </c>
      <c r="Y172" s="48"/>
    </row>
    <row r="173" spans="1:29">
      <c r="D173" s="7" t="s">
        <v>84</v>
      </c>
      <c r="E173" s="47">
        <f t="shared" ca="1" si="103"/>
        <v>0</v>
      </c>
      <c r="F173" s="48">
        <f t="shared" ref="F173:X173" ca="1" si="109">E173+F134</f>
        <v>0</v>
      </c>
      <c r="G173" s="48">
        <f t="shared" ca="1" si="109"/>
        <v>0</v>
      </c>
      <c r="H173" s="48">
        <f t="shared" ca="1" si="109"/>
        <v>0</v>
      </c>
      <c r="I173" s="48">
        <f t="shared" ca="1" si="109"/>
        <v>0</v>
      </c>
      <c r="J173" s="48">
        <f t="shared" ca="1" si="109"/>
        <v>0</v>
      </c>
      <c r="K173" s="48">
        <f t="shared" ca="1" si="109"/>
        <v>0</v>
      </c>
      <c r="L173" s="48">
        <f t="shared" ca="1" si="109"/>
        <v>0</v>
      </c>
      <c r="M173" s="48">
        <f t="shared" ca="1" si="109"/>
        <v>0</v>
      </c>
      <c r="N173" s="48">
        <f t="shared" ca="1" si="109"/>
        <v>0</v>
      </c>
      <c r="O173" s="48">
        <f t="shared" ca="1" si="109"/>
        <v>0</v>
      </c>
      <c r="P173" s="48">
        <f t="shared" ca="1" si="109"/>
        <v>0</v>
      </c>
      <c r="Q173" s="48">
        <f t="shared" ca="1" si="109"/>
        <v>0</v>
      </c>
      <c r="R173" s="48">
        <f t="shared" ca="1" si="109"/>
        <v>0</v>
      </c>
      <c r="S173" s="48">
        <f t="shared" ca="1" si="109"/>
        <v>0</v>
      </c>
      <c r="T173" s="48">
        <f t="shared" ca="1" si="109"/>
        <v>0</v>
      </c>
      <c r="U173" s="48">
        <f t="shared" ca="1" si="109"/>
        <v>0</v>
      </c>
      <c r="V173" s="48">
        <f t="shared" ca="1" si="109"/>
        <v>0</v>
      </c>
      <c r="W173" s="48">
        <f t="shared" ca="1" si="109"/>
        <v>0</v>
      </c>
      <c r="X173" s="48">
        <f t="shared" ca="1" si="109"/>
        <v>0</v>
      </c>
      <c r="Y173" s="48"/>
    </row>
    <row r="174" spans="1:29">
      <c r="D174" s="7" t="s">
        <v>87</v>
      </c>
      <c r="E174" s="47">
        <f t="shared" ca="1" si="103"/>
        <v>0</v>
      </c>
      <c r="F174" s="48">
        <f t="shared" ref="F174:X174" ca="1" si="110">E174+F135</f>
        <v>0</v>
      </c>
      <c r="G174" s="48">
        <f t="shared" ca="1" si="110"/>
        <v>0</v>
      </c>
      <c r="H174" s="48">
        <f t="shared" ca="1" si="110"/>
        <v>0</v>
      </c>
      <c r="I174" s="48">
        <f t="shared" ca="1" si="110"/>
        <v>0</v>
      </c>
      <c r="J174" s="48">
        <f t="shared" ca="1" si="110"/>
        <v>0</v>
      </c>
      <c r="K174" s="48">
        <f t="shared" ca="1" si="110"/>
        <v>0</v>
      </c>
      <c r="L174" s="48">
        <f t="shared" ca="1" si="110"/>
        <v>0</v>
      </c>
      <c r="M174" s="48">
        <f t="shared" ca="1" si="110"/>
        <v>0</v>
      </c>
      <c r="N174" s="48">
        <f t="shared" ca="1" si="110"/>
        <v>0</v>
      </c>
      <c r="O174" s="48">
        <f t="shared" ca="1" si="110"/>
        <v>0</v>
      </c>
      <c r="P174" s="48">
        <f t="shared" ca="1" si="110"/>
        <v>0</v>
      </c>
      <c r="Q174" s="48">
        <f t="shared" ca="1" si="110"/>
        <v>0</v>
      </c>
      <c r="R174" s="48">
        <f t="shared" ca="1" si="110"/>
        <v>0</v>
      </c>
      <c r="S174" s="48">
        <f t="shared" ca="1" si="110"/>
        <v>0</v>
      </c>
      <c r="T174" s="48">
        <f t="shared" ca="1" si="110"/>
        <v>0</v>
      </c>
      <c r="U174" s="48">
        <f t="shared" ca="1" si="110"/>
        <v>0</v>
      </c>
      <c r="V174" s="48">
        <f t="shared" ca="1" si="110"/>
        <v>0</v>
      </c>
      <c r="W174" s="48">
        <f t="shared" ca="1" si="110"/>
        <v>0</v>
      </c>
      <c r="X174" s="48">
        <f t="shared" ca="1" si="110"/>
        <v>0</v>
      </c>
      <c r="Y174" s="48"/>
    </row>
    <row r="175" spans="1:29">
      <c r="D175" s="7" t="s">
        <v>90</v>
      </c>
      <c r="E175" s="47">
        <f t="shared" ca="1" si="103"/>
        <v>0</v>
      </c>
      <c r="F175" s="48">
        <f t="shared" ref="F175:X175" ca="1" si="111">E175+F136</f>
        <v>0</v>
      </c>
      <c r="G175" s="48">
        <f t="shared" ca="1" si="111"/>
        <v>0</v>
      </c>
      <c r="H175" s="48">
        <f t="shared" ca="1" si="111"/>
        <v>0</v>
      </c>
      <c r="I175" s="48">
        <f t="shared" ca="1" si="111"/>
        <v>0</v>
      </c>
      <c r="J175" s="48">
        <f t="shared" ca="1" si="111"/>
        <v>0</v>
      </c>
      <c r="K175" s="48">
        <f t="shared" ca="1" si="111"/>
        <v>0</v>
      </c>
      <c r="L175" s="48">
        <f t="shared" ca="1" si="111"/>
        <v>0</v>
      </c>
      <c r="M175" s="48">
        <f t="shared" ca="1" si="111"/>
        <v>0</v>
      </c>
      <c r="N175" s="48">
        <f t="shared" ca="1" si="111"/>
        <v>0</v>
      </c>
      <c r="O175" s="48">
        <f t="shared" ca="1" si="111"/>
        <v>0</v>
      </c>
      <c r="P175" s="48">
        <f t="shared" ca="1" si="111"/>
        <v>0</v>
      </c>
      <c r="Q175" s="48">
        <f t="shared" ca="1" si="111"/>
        <v>0</v>
      </c>
      <c r="R175" s="48">
        <f t="shared" ca="1" si="111"/>
        <v>0</v>
      </c>
      <c r="S175" s="48">
        <f t="shared" ca="1" si="111"/>
        <v>0</v>
      </c>
      <c r="T175" s="48">
        <f t="shared" ca="1" si="111"/>
        <v>0</v>
      </c>
      <c r="U175" s="48">
        <f t="shared" ca="1" si="111"/>
        <v>0</v>
      </c>
      <c r="V175" s="48">
        <f t="shared" ca="1" si="111"/>
        <v>0</v>
      </c>
      <c r="W175" s="48">
        <f t="shared" ca="1" si="111"/>
        <v>0</v>
      </c>
      <c r="X175" s="48">
        <f t="shared" ca="1" si="111"/>
        <v>0</v>
      </c>
      <c r="Y175" s="48"/>
    </row>
    <row r="176" spans="1:29">
      <c r="D176" s="7" t="s">
        <v>93</v>
      </c>
      <c r="E176" s="47">
        <f t="shared" ca="1" si="103"/>
        <v>0</v>
      </c>
      <c r="F176" s="48">
        <f t="shared" ref="F176:X176" ca="1" si="112">E176+F137</f>
        <v>0</v>
      </c>
      <c r="G176" s="48">
        <f t="shared" ca="1" si="112"/>
        <v>0</v>
      </c>
      <c r="H176" s="48">
        <f t="shared" ca="1" si="112"/>
        <v>0</v>
      </c>
      <c r="I176" s="48">
        <f t="shared" ca="1" si="112"/>
        <v>0</v>
      </c>
      <c r="J176" s="48">
        <f t="shared" ca="1" si="112"/>
        <v>0</v>
      </c>
      <c r="K176" s="48">
        <f t="shared" ca="1" si="112"/>
        <v>0</v>
      </c>
      <c r="L176" s="48">
        <f t="shared" ca="1" si="112"/>
        <v>0</v>
      </c>
      <c r="M176" s="48">
        <f t="shared" ca="1" si="112"/>
        <v>0</v>
      </c>
      <c r="N176" s="48">
        <f t="shared" ca="1" si="112"/>
        <v>0</v>
      </c>
      <c r="O176" s="48">
        <f t="shared" ca="1" si="112"/>
        <v>0</v>
      </c>
      <c r="P176" s="48">
        <f t="shared" ca="1" si="112"/>
        <v>0</v>
      </c>
      <c r="Q176" s="48">
        <f t="shared" ca="1" si="112"/>
        <v>0</v>
      </c>
      <c r="R176" s="48">
        <f t="shared" ca="1" si="112"/>
        <v>0</v>
      </c>
      <c r="S176" s="48">
        <f t="shared" ca="1" si="112"/>
        <v>0</v>
      </c>
      <c r="T176" s="48">
        <f t="shared" ca="1" si="112"/>
        <v>0</v>
      </c>
      <c r="U176" s="48">
        <f t="shared" ca="1" si="112"/>
        <v>0</v>
      </c>
      <c r="V176" s="48">
        <f t="shared" ca="1" si="112"/>
        <v>0</v>
      </c>
      <c r="W176" s="48">
        <f t="shared" ca="1" si="112"/>
        <v>0</v>
      </c>
      <c r="X176" s="48">
        <f t="shared" ca="1" si="112"/>
        <v>0</v>
      </c>
      <c r="Y176" s="48"/>
    </row>
    <row r="177" spans="4:25">
      <c r="D177" s="7" t="s">
        <v>96</v>
      </c>
      <c r="E177" s="47">
        <f t="shared" ca="1" si="103"/>
        <v>0</v>
      </c>
      <c r="F177" s="48">
        <f t="shared" ref="F177:X177" ca="1" si="113">E177+F138</f>
        <v>0</v>
      </c>
      <c r="G177" s="48">
        <f t="shared" ca="1" si="113"/>
        <v>0</v>
      </c>
      <c r="H177" s="48">
        <f t="shared" ca="1" si="113"/>
        <v>0</v>
      </c>
      <c r="I177" s="48">
        <f t="shared" ca="1" si="113"/>
        <v>0</v>
      </c>
      <c r="J177" s="48">
        <f t="shared" ca="1" si="113"/>
        <v>0</v>
      </c>
      <c r="K177" s="48">
        <f t="shared" ca="1" si="113"/>
        <v>0</v>
      </c>
      <c r="L177" s="48">
        <f t="shared" ca="1" si="113"/>
        <v>0</v>
      </c>
      <c r="M177" s="48">
        <f t="shared" ca="1" si="113"/>
        <v>0</v>
      </c>
      <c r="N177" s="48">
        <f t="shared" ca="1" si="113"/>
        <v>0</v>
      </c>
      <c r="O177" s="48">
        <f t="shared" ca="1" si="113"/>
        <v>0</v>
      </c>
      <c r="P177" s="48">
        <f t="shared" ca="1" si="113"/>
        <v>0</v>
      </c>
      <c r="Q177" s="48">
        <f t="shared" ca="1" si="113"/>
        <v>0</v>
      </c>
      <c r="R177" s="48">
        <f t="shared" ca="1" si="113"/>
        <v>0</v>
      </c>
      <c r="S177" s="48">
        <f t="shared" ca="1" si="113"/>
        <v>0</v>
      </c>
      <c r="T177" s="48">
        <f t="shared" ca="1" si="113"/>
        <v>0</v>
      </c>
      <c r="U177" s="48">
        <f t="shared" ca="1" si="113"/>
        <v>0</v>
      </c>
      <c r="V177" s="48">
        <f t="shared" ca="1" si="113"/>
        <v>0</v>
      </c>
      <c r="W177" s="48">
        <f t="shared" ca="1" si="113"/>
        <v>0</v>
      </c>
      <c r="X177" s="48">
        <f t="shared" ca="1" si="113"/>
        <v>0</v>
      </c>
      <c r="Y177" s="48"/>
    </row>
    <row r="178" spans="4:25">
      <c r="D178" s="7" t="s">
        <v>99</v>
      </c>
      <c r="E178" s="47">
        <f t="shared" ca="1" si="103"/>
        <v>0</v>
      </c>
      <c r="F178" s="48">
        <f t="shared" ref="F178:X178" ca="1" si="114">E178+F139</f>
        <v>0</v>
      </c>
      <c r="G178" s="48">
        <f t="shared" ca="1" si="114"/>
        <v>0</v>
      </c>
      <c r="H178" s="48">
        <f t="shared" ca="1" si="114"/>
        <v>0</v>
      </c>
      <c r="I178" s="48">
        <f t="shared" ca="1" si="114"/>
        <v>0</v>
      </c>
      <c r="J178" s="48">
        <f t="shared" ca="1" si="114"/>
        <v>0</v>
      </c>
      <c r="K178" s="48">
        <f t="shared" ca="1" si="114"/>
        <v>0</v>
      </c>
      <c r="L178" s="48">
        <f t="shared" ca="1" si="114"/>
        <v>0</v>
      </c>
      <c r="M178" s="48">
        <f t="shared" ca="1" si="114"/>
        <v>0</v>
      </c>
      <c r="N178" s="48">
        <f t="shared" ca="1" si="114"/>
        <v>0</v>
      </c>
      <c r="O178" s="48">
        <f t="shared" ca="1" si="114"/>
        <v>0</v>
      </c>
      <c r="P178" s="48">
        <f t="shared" ca="1" si="114"/>
        <v>0</v>
      </c>
      <c r="Q178" s="48">
        <f t="shared" ca="1" si="114"/>
        <v>0</v>
      </c>
      <c r="R178" s="48">
        <f t="shared" ca="1" si="114"/>
        <v>0</v>
      </c>
      <c r="S178" s="48">
        <f t="shared" ca="1" si="114"/>
        <v>0</v>
      </c>
      <c r="T178" s="48">
        <f t="shared" ca="1" si="114"/>
        <v>0</v>
      </c>
      <c r="U178" s="48">
        <f t="shared" ca="1" si="114"/>
        <v>0</v>
      </c>
      <c r="V178" s="48">
        <f t="shared" ca="1" si="114"/>
        <v>0</v>
      </c>
      <c r="W178" s="48">
        <f t="shared" ca="1" si="114"/>
        <v>0</v>
      </c>
      <c r="X178" s="48">
        <f t="shared" ca="1" si="114"/>
        <v>0</v>
      </c>
      <c r="Y178" s="48"/>
    </row>
    <row r="179" spans="4:25">
      <c r="D179" s="7" t="s">
        <v>102</v>
      </c>
      <c r="E179" s="47">
        <f t="shared" ca="1" si="103"/>
        <v>0</v>
      </c>
      <c r="F179" s="48">
        <f t="shared" ref="F179:X179" ca="1" si="115">E179+F140</f>
        <v>0</v>
      </c>
      <c r="G179" s="48">
        <f t="shared" ca="1" si="115"/>
        <v>0</v>
      </c>
      <c r="H179" s="48">
        <f t="shared" ca="1" si="115"/>
        <v>0</v>
      </c>
      <c r="I179" s="48">
        <f t="shared" ca="1" si="115"/>
        <v>0</v>
      </c>
      <c r="J179" s="48">
        <f t="shared" ca="1" si="115"/>
        <v>0</v>
      </c>
      <c r="K179" s="48">
        <f t="shared" ca="1" si="115"/>
        <v>0</v>
      </c>
      <c r="L179" s="48">
        <f t="shared" ca="1" si="115"/>
        <v>0</v>
      </c>
      <c r="M179" s="48">
        <f t="shared" ca="1" si="115"/>
        <v>0</v>
      </c>
      <c r="N179" s="48">
        <f t="shared" ca="1" si="115"/>
        <v>0</v>
      </c>
      <c r="O179" s="48">
        <f t="shared" ca="1" si="115"/>
        <v>0</v>
      </c>
      <c r="P179" s="48">
        <f t="shared" ca="1" si="115"/>
        <v>0</v>
      </c>
      <c r="Q179" s="48">
        <f t="shared" ca="1" si="115"/>
        <v>0</v>
      </c>
      <c r="R179" s="48">
        <f t="shared" ca="1" si="115"/>
        <v>0</v>
      </c>
      <c r="S179" s="48">
        <f t="shared" ca="1" si="115"/>
        <v>0</v>
      </c>
      <c r="T179" s="48">
        <f t="shared" ca="1" si="115"/>
        <v>0</v>
      </c>
      <c r="U179" s="48">
        <f t="shared" ca="1" si="115"/>
        <v>0</v>
      </c>
      <c r="V179" s="48">
        <f t="shared" ca="1" si="115"/>
        <v>0</v>
      </c>
      <c r="W179" s="48">
        <f t="shared" ca="1" si="115"/>
        <v>0</v>
      </c>
      <c r="X179" s="48">
        <f t="shared" ca="1" si="115"/>
        <v>0</v>
      </c>
      <c r="Y179" s="48"/>
    </row>
    <row r="180" spans="4:25">
      <c r="D180" s="7" t="s">
        <v>105</v>
      </c>
      <c r="E180" s="47">
        <f t="shared" ca="1" si="103"/>
        <v>0</v>
      </c>
      <c r="F180" s="48">
        <f t="shared" ref="F180:T180" ca="1" si="116">E180+F141</f>
        <v>0</v>
      </c>
      <c r="G180" s="48">
        <f t="shared" ca="1" si="116"/>
        <v>0</v>
      </c>
      <c r="H180" s="48">
        <f t="shared" ca="1" si="116"/>
        <v>0</v>
      </c>
      <c r="I180" s="48">
        <f t="shared" ca="1" si="116"/>
        <v>0</v>
      </c>
      <c r="J180" s="48">
        <f t="shared" ca="1" si="116"/>
        <v>0</v>
      </c>
      <c r="K180" s="48">
        <f t="shared" ca="1" si="116"/>
        <v>0</v>
      </c>
      <c r="L180" s="48">
        <f t="shared" ca="1" si="116"/>
        <v>0</v>
      </c>
      <c r="M180" s="48">
        <f t="shared" ca="1" si="116"/>
        <v>0</v>
      </c>
      <c r="N180" s="48">
        <f t="shared" ca="1" si="116"/>
        <v>0</v>
      </c>
      <c r="O180" s="48">
        <f t="shared" ca="1" si="116"/>
        <v>0</v>
      </c>
      <c r="P180" s="48">
        <f t="shared" ca="1" si="116"/>
        <v>0</v>
      </c>
      <c r="Q180" s="48">
        <f t="shared" ca="1" si="116"/>
        <v>0</v>
      </c>
      <c r="R180" s="48">
        <f t="shared" ca="1" si="116"/>
        <v>0</v>
      </c>
      <c r="S180" s="48">
        <f t="shared" ca="1" si="116"/>
        <v>0</v>
      </c>
      <c r="T180" s="48">
        <f t="shared" ca="1" si="116"/>
        <v>0</v>
      </c>
      <c r="U180" s="48">
        <f t="shared" ref="U180:X180" ca="1" si="117">T180+U141</f>
        <v>0</v>
      </c>
      <c r="V180" s="48">
        <f t="shared" ca="1" si="117"/>
        <v>0</v>
      </c>
      <c r="W180" s="48">
        <f t="shared" ca="1" si="117"/>
        <v>0</v>
      </c>
      <c r="X180" s="48">
        <f t="shared" ca="1" si="117"/>
        <v>0</v>
      </c>
      <c r="Y180" s="48"/>
    </row>
    <row r="181" spans="4:25">
      <c r="D181" s="7" t="s">
        <v>108</v>
      </c>
      <c r="E181" s="47">
        <f t="shared" ca="1" si="103"/>
        <v>0</v>
      </c>
      <c r="F181" s="48">
        <f t="shared" ref="F181:T181" ca="1" si="118">E181+F142</f>
        <v>0</v>
      </c>
      <c r="G181" s="48">
        <f t="shared" ca="1" si="118"/>
        <v>0</v>
      </c>
      <c r="H181" s="48">
        <f t="shared" ca="1" si="118"/>
        <v>0</v>
      </c>
      <c r="I181" s="48">
        <f t="shared" ca="1" si="118"/>
        <v>0</v>
      </c>
      <c r="J181" s="48">
        <f t="shared" ca="1" si="118"/>
        <v>0</v>
      </c>
      <c r="K181" s="48">
        <f t="shared" ca="1" si="118"/>
        <v>0</v>
      </c>
      <c r="L181" s="48">
        <f t="shared" ca="1" si="118"/>
        <v>0</v>
      </c>
      <c r="M181" s="48">
        <f t="shared" ca="1" si="118"/>
        <v>0</v>
      </c>
      <c r="N181" s="48">
        <f t="shared" ca="1" si="118"/>
        <v>0</v>
      </c>
      <c r="O181" s="48">
        <f t="shared" ca="1" si="118"/>
        <v>0</v>
      </c>
      <c r="P181" s="48">
        <f t="shared" ca="1" si="118"/>
        <v>0</v>
      </c>
      <c r="Q181" s="48">
        <f t="shared" ca="1" si="118"/>
        <v>0</v>
      </c>
      <c r="R181" s="48">
        <f t="shared" ca="1" si="118"/>
        <v>0</v>
      </c>
      <c r="S181" s="48">
        <f t="shared" ca="1" si="118"/>
        <v>0</v>
      </c>
      <c r="T181" s="48">
        <f t="shared" ca="1" si="118"/>
        <v>0</v>
      </c>
      <c r="U181" s="48">
        <f t="shared" ref="U181:X189" ca="1" si="119">T181+U142</f>
        <v>0</v>
      </c>
      <c r="V181" s="48">
        <f t="shared" ca="1" si="119"/>
        <v>0</v>
      </c>
      <c r="W181" s="48">
        <f t="shared" ca="1" si="119"/>
        <v>0</v>
      </c>
      <c r="X181" s="48">
        <f t="shared" ca="1" si="119"/>
        <v>0</v>
      </c>
      <c r="Y181" s="48"/>
    </row>
    <row r="182" spans="4:25">
      <c r="D182" s="7" t="s">
        <v>111</v>
      </c>
      <c r="E182" s="47">
        <f t="shared" ca="1" si="103"/>
        <v>0</v>
      </c>
      <c r="F182" s="48">
        <f t="shared" ref="F182:T182" ca="1" si="120">E182+F143</f>
        <v>0</v>
      </c>
      <c r="G182" s="48">
        <f t="shared" ca="1" si="120"/>
        <v>0</v>
      </c>
      <c r="H182" s="48">
        <f t="shared" ca="1" si="120"/>
        <v>0</v>
      </c>
      <c r="I182" s="48">
        <f t="shared" ca="1" si="120"/>
        <v>0</v>
      </c>
      <c r="J182" s="48">
        <f t="shared" ca="1" si="120"/>
        <v>0</v>
      </c>
      <c r="K182" s="48">
        <f t="shared" ca="1" si="120"/>
        <v>0</v>
      </c>
      <c r="L182" s="48">
        <f t="shared" ca="1" si="120"/>
        <v>0</v>
      </c>
      <c r="M182" s="48">
        <f t="shared" ca="1" si="120"/>
        <v>0</v>
      </c>
      <c r="N182" s="48">
        <f t="shared" ca="1" si="120"/>
        <v>0</v>
      </c>
      <c r="O182" s="48">
        <f t="shared" ca="1" si="120"/>
        <v>0</v>
      </c>
      <c r="P182" s="48">
        <f t="shared" ca="1" si="120"/>
        <v>0</v>
      </c>
      <c r="Q182" s="48">
        <f t="shared" ca="1" si="120"/>
        <v>0</v>
      </c>
      <c r="R182" s="48">
        <f t="shared" ca="1" si="120"/>
        <v>0</v>
      </c>
      <c r="S182" s="48">
        <f t="shared" ca="1" si="120"/>
        <v>0</v>
      </c>
      <c r="T182" s="48">
        <f t="shared" ca="1" si="120"/>
        <v>0</v>
      </c>
      <c r="U182" s="48">
        <f t="shared" ca="1" si="119"/>
        <v>0</v>
      </c>
      <c r="V182" s="48">
        <f t="shared" ca="1" si="119"/>
        <v>0</v>
      </c>
      <c r="W182" s="48">
        <f t="shared" ca="1" si="119"/>
        <v>0</v>
      </c>
      <c r="X182" s="48">
        <f t="shared" ca="1" si="119"/>
        <v>0</v>
      </c>
      <c r="Y182" s="48"/>
    </row>
    <row r="183" spans="4:25">
      <c r="D183" s="7" t="s">
        <v>114</v>
      </c>
      <c r="E183" s="47">
        <f t="shared" ca="1" si="103"/>
        <v>0</v>
      </c>
      <c r="F183" s="48">
        <f t="shared" ref="F183:T183" ca="1" si="121">E183+F144</f>
        <v>0</v>
      </c>
      <c r="G183" s="48">
        <f t="shared" ca="1" si="121"/>
        <v>0</v>
      </c>
      <c r="H183" s="48">
        <f t="shared" ca="1" si="121"/>
        <v>0</v>
      </c>
      <c r="I183" s="48">
        <f t="shared" ca="1" si="121"/>
        <v>0</v>
      </c>
      <c r="J183" s="48">
        <f t="shared" ca="1" si="121"/>
        <v>0</v>
      </c>
      <c r="K183" s="48">
        <f t="shared" ca="1" si="121"/>
        <v>0</v>
      </c>
      <c r="L183" s="48">
        <f t="shared" ca="1" si="121"/>
        <v>0</v>
      </c>
      <c r="M183" s="48">
        <f t="shared" ca="1" si="121"/>
        <v>0</v>
      </c>
      <c r="N183" s="48">
        <f t="shared" ca="1" si="121"/>
        <v>0</v>
      </c>
      <c r="O183" s="48">
        <f t="shared" ca="1" si="121"/>
        <v>0</v>
      </c>
      <c r="P183" s="48">
        <f t="shared" ca="1" si="121"/>
        <v>0</v>
      </c>
      <c r="Q183" s="48">
        <f t="shared" ca="1" si="121"/>
        <v>0</v>
      </c>
      <c r="R183" s="48">
        <f t="shared" ca="1" si="121"/>
        <v>0</v>
      </c>
      <c r="S183" s="48">
        <f t="shared" ca="1" si="121"/>
        <v>0</v>
      </c>
      <c r="T183" s="48">
        <f t="shared" ca="1" si="121"/>
        <v>0</v>
      </c>
      <c r="U183" s="48">
        <f t="shared" ca="1" si="119"/>
        <v>0</v>
      </c>
      <c r="V183" s="48">
        <f t="shared" ca="1" si="119"/>
        <v>0</v>
      </c>
      <c r="W183" s="48">
        <f t="shared" ca="1" si="119"/>
        <v>0</v>
      </c>
      <c r="X183" s="48">
        <f t="shared" ca="1" si="119"/>
        <v>0</v>
      </c>
      <c r="Y183" s="48"/>
    </row>
    <row r="184" spans="4:25">
      <c r="D184" s="7" t="s">
        <v>117</v>
      </c>
      <c r="E184" s="47">
        <f t="shared" ca="1" si="103"/>
        <v>0</v>
      </c>
      <c r="F184" s="48">
        <f t="shared" ref="F184:T184" ca="1" si="122">E184+F145</f>
        <v>0</v>
      </c>
      <c r="G184" s="48">
        <f t="shared" ca="1" si="122"/>
        <v>0</v>
      </c>
      <c r="H184" s="48">
        <f t="shared" ca="1" si="122"/>
        <v>0</v>
      </c>
      <c r="I184" s="48">
        <f t="shared" ca="1" si="122"/>
        <v>0</v>
      </c>
      <c r="J184" s="48">
        <f t="shared" ca="1" si="122"/>
        <v>0</v>
      </c>
      <c r="K184" s="48">
        <f t="shared" ca="1" si="122"/>
        <v>0</v>
      </c>
      <c r="L184" s="48">
        <f t="shared" ca="1" si="122"/>
        <v>0</v>
      </c>
      <c r="M184" s="48">
        <f t="shared" ca="1" si="122"/>
        <v>0</v>
      </c>
      <c r="N184" s="48">
        <f t="shared" ca="1" si="122"/>
        <v>0</v>
      </c>
      <c r="O184" s="48">
        <f t="shared" ca="1" si="122"/>
        <v>0</v>
      </c>
      <c r="P184" s="48">
        <f t="shared" ca="1" si="122"/>
        <v>0</v>
      </c>
      <c r="Q184" s="48">
        <f t="shared" ca="1" si="122"/>
        <v>0</v>
      </c>
      <c r="R184" s="48">
        <f t="shared" ca="1" si="122"/>
        <v>0</v>
      </c>
      <c r="S184" s="48">
        <f t="shared" ca="1" si="122"/>
        <v>0</v>
      </c>
      <c r="T184" s="48">
        <f t="shared" ca="1" si="122"/>
        <v>0</v>
      </c>
      <c r="U184" s="48">
        <f t="shared" ca="1" si="119"/>
        <v>0</v>
      </c>
      <c r="V184" s="48">
        <f t="shared" ca="1" si="119"/>
        <v>0</v>
      </c>
      <c r="W184" s="48">
        <f t="shared" ca="1" si="119"/>
        <v>0</v>
      </c>
      <c r="X184" s="48">
        <f t="shared" ca="1" si="119"/>
        <v>0</v>
      </c>
      <c r="Y184" s="48"/>
    </row>
    <row r="185" spans="4:25">
      <c r="D185" s="7" t="s">
        <v>120</v>
      </c>
      <c r="E185" s="47">
        <f t="shared" ca="1" si="103"/>
        <v>0</v>
      </c>
      <c r="F185" s="48">
        <f t="shared" ref="F185:T185" ca="1" si="123">E185+F146</f>
        <v>0</v>
      </c>
      <c r="G185" s="48">
        <f t="shared" ca="1" si="123"/>
        <v>0</v>
      </c>
      <c r="H185" s="48">
        <f t="shared" ca="1" si="123"/>
        <v>0</v>
      </c>
      <c r="I185" s="48">
        <f t="shared" ca="1" si="123"/>
        <v>0</v>
      </c>
      <c r="J185" s="48">
        <f t="shared" ca="1" si="123"/>
        <v>0</v>
      </c>
      <c r="K185" s="48">
        <f t="shared" ca="1" si="123"/>
        <v>0</v>
      </c>
      <c r="L185" s="48">
        <f t="shared" ca="1" si="123"/>
        <v>0</v>
      </c>
      <c r="M185" s="48">
        <f t="shared" ca="1" si="123"/>
        <v>0</v>
      </c>
      <c r="N185" s="48">
        <f t="shared" ca="1" si="123"/>
        <v>0</v>
      </c>
      <c r="O185" s="48">
        <f t="shared" ca="1" si="123"/>
        <v>0</v>
      </c>
      <c r="P185" s="48">
        <f t="shared" ca="1" si="123"/>
        <v>0</v>
      </c>
      <c r="Q185" s="48">
        <f t="shared" ca="1" si="123"/>
        <v>0</v>
      </c>
      <c r="R185" s="48">
        <f t="shared" ca="1" si="123"/>
        <v>0</v>
      </c>
      <c r="S185" s="48">
        <f t="shared" ca="1" si="123"/>
        <v>0</v>
      </c>
      <c r="T185" s="48">
        <f t="shared" ca="1" si="123"/>
        <v>0</v>
      </c>
      <c r="U185" s="48">
        <f t="shared" ca="1" si="119"/>
        <v>0</v>
      </c>
      <c r="V185" s="48">
        <f t="shared" ca="1" si="119"/>
        <v>0</v>
      </c>
      <c r="W185" s="48">
        <f t="shared" ca="1" si="119"/>
        <v>0</v>
      </c>
      <c r="X185" s="48">
        <f t="shared" ca="1" si="119"/>
        <v>0</v>
      </c>
      <c r="Y185" s="48"/>
    </row>
    <row r="186" spans="4:25">
      <c r="D186" s="7" t="s">
        <v>123</v>
      </c>
      <c r="E186" s="47">
        <f t="shared" ca="1" si="103"/>
        <v>0</v>
      </c>
      <c r="F186" s="48">
        <f t="shared" ref="F186:T186" ca="1" si="124">E186+F147</f>
        <v>0</v>
      </c>
      <c r="G186" s="48">
        <f t="shared" ca="1" si="124"/>
        <v>0</v>
      </c>
      <c r="H186" s="48">
        <f t="shared" ca="1" si="124"/>
        <v>0</v>
      </c>
      <c r="I186" s="48">
        <f t="shared" ca="1" si="124"/>
        <v>0</v>
      </c>
      <c r="J186" s="48">
        <f t="shared" ca="1" si="124"/>
        <v>0</v>
      </c>
      <c r="K186" s="48">
        <f t="shared" ca="1" si="124"/>
        <v>0</v>
      </c>
      <c r="L186" s="48">
        <f t="shared" ca="1" si="124"/>
        <v>0</v>
      </c>
      <c r="M186" s="48">
        <f t="shared" ca="1" si="124"/>
        <v>0</v>
      </c>
      <c r="N186" s="48">
        <f t="shared" ca="1" si="124"/>
        <v>0</v>
      </c>
      <c r="O186" s="48">
        <f t="shared" ca="1" si="124"/>
        <v>0</v>
      </c>
      <c r="P186" s="48">
        <f t="shared" ca="1" si="124"/>
        <v>0</v>
      </c>
      <c r="Q186" s="48">
        <f t="shared" ca="1" si="124"/>
        <v>0</v>
      </c>
      <c r="R186" s="48">
        <f t="shared" ca="1" si="124"/>
        <v>0</v>
      </c>
      <c r="S186" s="48">
        <f t="shared" ca="1" si="124"/>
        <v>0</v>
      </c>
      <c r="T186" s="48">
        <f t="shared" ca="1" si="124"/>
        <v>0</v>
      </c>
      <c r="U186" s="48">
        <f t="shared" ca="1" si="119"/>
        <v>0</v>
      </c>
      <c r="V186" s="48">
        <f t="shared" ca="1" si="119"/>
        <v>0</v>
      </c>
      <c r="W186" s="48">
        <f t="shared" ca="1" si="119"/>
        <v>0</v>
      </c>
      <c r="X186" s="48">
        <f t="shared" ca="1" si="119"/>
        <v>0</v>
      </c>
      <c r="Y186" s="48"/>
    </row>
    <row r="187" spans="4:25">
      <c r="D187" s="7" t="s">
        <v>126</v>
      </c>
      <c r="E187" s="47">
        <f t="shared" ca="1" si="103"/>
        <v>0</v>
      </c>
      <c r="F187" s="48">
        <f t="shared" ref="F187:T187" ca="1" si="125">E187+F148</f>
        <v>0</v>
      </c>
      <c r="G187" s="48">
        <f t="shared" ca="1" si="125"/>
        <v>0</v>
      </c>
      <c r="H187" s="48">
        <f t="shared" ca="1" si="125"/>
        <v>0</v>
      </c>
      <c r="I187" s="48">
        <f t="shared" ca="1" si="125"/>
        <v>0</v>
      </c>
      <c r="J187" s="48">
        <f t="shared" ca="1" si="125"/>
        <v>0</v>
      </c>
      <c r="K187" s="48">
        <f t="shared" ca="1" si="125"/>
        <v>0</v>
      </c>
      <c r="L187" s="48">
        <f t="shared" ca="1" si="125"/>
        <v>0</v>
      </c>
      <c r="M187" s="48">
        <f t="shared" ca="1" si="125"/>
        <v>0</v>
      </c>
      <c r="N187" s="48">
        <f t="shared" ca="1" si="125"/>
        <v>0</v>
      </c>
      <c r="O187" s="48">
        <f t="shared" ca="1" si="125"/>
        <v>0</v>
      </c>
      <c r="P187" s="48">
        <f t="shared" ca="1" si="125"/>
        <v>0</v>
      </c>
      <c r="Q187" s="48">
        <f t="shared" ca="1" si="125"/>
        <v>0</v>
      </c>
      <c r="R187" s="48">
        <f t="shared" ca="1" si="125"/>
        <v>0</v>
      </c>
      <c r="S187" s="48">
        <f t="shared" ca="1" si="125"/>
        <v>0</v>
      </c>
      <c r="T187" s="48">
        <f t="shared" ca="1" si="125"/>
        <v>0</v>
      </c>
      <c r="U187" s="48">
        <f t="shared" ca="1" si="119"/>
        <v>0</v>
      </c>
      <c r="V187" s="48">
        <f t="shared" ca="1" si="119"/>
        <v>0</v>
      </c>
      <c r="W187" s="48">
        <f t="shared" ca="1" si="119"/>
        <v>0</v>
      </c>
      <c r="X187" s="48">
        <f t="shared" ca="1" si="119"/>
        <v>0</v>
      </c>
      <c r="Y187" s="48"/>
    </row>
    <row r="188" spans="4:25">
      <c r="D188" s="7" t="s">
        <v>129</v>
      </c>
      <c r="E188" s="47">
        <f t="shared" ca="1" si="103"/>
        <v>0</v>
      </c>
      <c r="F188" s="48">
        <f t="shared" ref="F188:T188" ca="1" si="126">E188+F149</f>
        <v>0</v>
      </c>
      <c r="G188" s="48">
        <f t="shared" ca="1" si="126"/>
        <v>0</v>
      </c>
      <c r="H188" s="48">
        <f t="shared" ca="1" si="126"/>
        <v>0</v>
      </c>
      <c r="I188" s="48">
        <f t="shared" ca="1" si="126"/>
        <v>0</v>
      </c>
      <c r="J188" s="48">
        <f t="shared" ca="1" si="126"/>
        <v>0</v>
      </c>
      <c r="K188" s="48">
        <f t="shared" ca="1" si="126"/>
        <v>0</v>
      </c>
      <c r="L188" s="48">
        <f t="shared" ca="1" si="126"/>
        <v>0</v>
      </c>
      <c r="M188" s="48">
        <f t="shared" ca="1" si="126"/>
        <v>0</v>
      </c>
      <c r="N188" s="48">
        <f t="shared" ca="1" si="126"/>
        <v>0</v>
      </c>
      <c r="O188" s="48">
        <f t="shared" ca="1" si="126"/>
        <v>0</v>
      </c>
      <c r="P188" s="48">
        <f t="shared" ca="1" si="126"/>
        <v>0</v>
      </c>
      <c r="Q188" s="48">
        <f t="shared" ca="1" si="126"/>
        <v>0</v>
      </c>
      <c r="R188" s="48">
        <f t="shared" ca="1" si="126"/>
        <v>0</v>
      </c>
      <c r="S188" s="48">
        <f t="shared" ca="1" si="126"/>
        <v>0</v>
      </c>
      <c r="T188" s="48">
        <f t="shared" ca="1" si="126"/>
        <v>0</v>
      </c>
      <c r="U188" s="48">
        <f t="shared" ca="1" si="119"/>
        <v>0</v>
      </c>
      <c r="V188" s="48">
        <f t="shared" ca="1" si="119"/>
        <v>0</v>
      </c>
      <c r="W188" s="48">
        <f t="shared" ca="1" si="119"/>
        <v>0</v>
      </c>
      <c r="X188" s="48">
        <f t="shared" ca="1" si="119"/>
        <v>0</v>
      </c>
      <c r="Y188" s="48"/>
    </row>
    <row r="189" spans="4:25">
      <c r="D189" s="7" t="s">
        <v>406</v>
      </c>
      <c r="E189" s="47">
        <f t="shared" ca="1" si="103"/>
        <v>0</v>
      </c>
      <c r="F189" s="48">
        <f t="shared" ref="F189:T189" ca="1" si="127">E189+F150</f>
        <v>0</v>
      </c>
      <c r="G189" s="48">
        <f t="shared" ca="1" si="127"/>
        <v>0</v>
      </c>
      <c r="H189" s="48">
        <f t="shared" ca="1" si="127"/>
        <v>0</v>
      </c>
      <c r="I189" s="48">
        <f t="shared" ca="1" si="127"/>
        <v>0</v>
      </c>
      <c r="J189" s="48">
        <f t="shared" ca="1" si="127"/>
        <v>0</v>
      </c>
      <c r="K189" s="48">
        <f t="shared" ca="1" si="127"/>
        <v>0</v>
      </c>
      <c r="L189" s="48">
        <f t="shared" ca="1" si="127"/>
        <v>0</v>
      </c>
      <c r="M189" s="48">
        <f t="shared" ca="1" si="127"/>
        <v>0</v>
      </c>
      <c r="N189" s="48">
        <f t="shared" ca="1" si="127"/>
        <v>0</v>
      </c>
      <c r="O189" s="48">
        <f t="shared" ca="1" si="127"/>
        <v>0</v>
      </c>
      <c r="P189" s="48">
        <f t="shared" ca="1" si="127"/>
        <v>0</v>
      </c>
      <c r="Q189" s="48">
        <f t="shared" ca="1" si="127"/>
        <v>0</v>
      </c>
      <c r="R189" s="48">
        <f t="shared" ca="1" si="127"/>
        <v>0</v>
      </c>
      <c r="S189" s="48">
        <f t="shared" ca="1" si="127"/>
        <v>0</v>
      </c>
      <c r="T189" s="48">
        <f t="shared" ca="1" si="127"/>
        <v>0</v>
      </c>
      <c r="U189" s="48">
        <f t="shared" ca="1" si="119"/>
        <v>0</v>
      </c>
      <c r="V189" s="48">
        <f t="shared" ca="1" si="119"/>
        <v>0</v>
      </c>
      <c r="W189" s="48">
        <f t="shared" ca="1" si="119"/>
        <v>0</v>
      </c>
      <c r="X189" s="48">
        <f t="shared" ca="1" si="119"/>
        <v>0</v>
      </c>
      <c r="Y189" s="48"/>
    </row>
    <row r="190" spans="4:25">
      <c r="D190" s="7" t="s">
        <v>407</v>
      </c>
      <c r="E190" s="47">
        <f t="shared" ca="1" si="103"/>
        <v>0</v>
      </c>
      <c r="F190" s="48">
        <f t="shared" ref="F190:T190" ca="1" si="128">E190+F151</f>
        <v>0</v>
      </c>
      <c r="G190" s="48">
        <f t="shared" ca="1" si="128"/>
        <v>0</v>
      </c>
      <c r="H190" s="48">
        <f t="shared" ca="1" si="128"/>
        <v>0</v>
      </c>
      <c r="I190" s="48">
        <f t="shared" ca="1" si="128"/>
        <v>0</v>
      </c>
      <c r="J190" s="48">
        <f t="shared" ca="1" si="128"/>
        <v>0</v>
      </c>
      <c r="K190" s="48">
        <f t="shared" ca="1" si="128"/>
        <v>0</v>
      </c>
      <c r="L190" s="48">
        <f t="shared" ca="1" si="128"/>
        <v>0</v>
      </c>
      <c r="M190" s="48">
        <f t="shared" ca="1" si="128"/>
        <v>0</v>
      </c>
      <c r="N190" s="48">
        <f t="shared" ca="1" si="128"/>
        <v>0</v>
      </c>
      <c r="O190" s="48">
        <f t="shared" ca="1" si="128"/>
        <v>0</v>
      </c>
      <c r="P190" s="48">
        <f t="shared" ca="1" si="128"/>
        <v>0</v>
      </c>
      <c r="Q190" s="48">
        <f t="shared" ca="1" si="128"/>
        <v>0</v>
      </c>
      <c r="R190" s="48">
        <f t="shared" ca="1" si="128"/>
        <v>0</v>
      </c>
      <c r="S190" s="48">
        <f t="shared" ca="1" si="128"/>
        <v>0</v>
      </c>
      <c r="T190" s="48">
        <f t="shared" ca="1" si="128"/>
        <v>0</v>
      </c>
      <c r="U190" s="48">
        <f t="shared" ref="U190" ca="1" si="129">T190+U151</f>
        <v>0</v>
      </c>
      <c r="V190" s="48">
        <f t="shared" ref="V190" ca="1" si="130">U190+V151</f>
        <v>0</v>
      </c>
      <c r="W190" s="48">
        <f t="shared" ref="W190" ca="1" si="131">V190+W151</f>
        <v>0</v>
      </c>
      <c r="X190" s="48">
        <f t="shared" ref="X190" ca="1" si="132">W190+X151</f>
        <v>0</v>
      </c>
      <c r="Y190" s="48"/>
    </row>
    <row r="191" spans="4:25">
      <c r="D191" s="7" t="s">
        <v>408</v>
      </c>
      <c r="E191" s="47">
        <f t="shared" ca="1" si="103"/>
        <v>0</v>
      </c>
      <c r="F191" s="48">
        <f t="shared" ref="F191:T191" ca="1" si="133">E191+F152</f>
        <v>0</v>
      </c>
      <c r="G191" s="48">
        <f t="shared" ca="1" si="133"/>
        <v>0</v>
      </c>
      <c r="H191" s="48">
        <f t="shared" ca="1" si="133"/>
        <v>0</v>
      </c>
      <c r="I191" s="48">
        <f t="shared" ca="1" si="133"/>
        <v>0</v>
      </c>
      <c r="J191" s="48">
        <f t="shared" ca="1" si="133"/>
        <v>0</v>
      </c>
      <c r="K191" s="48">
        <f t="shared" ca="1" si="133"/>
        <v>0</v>
      </c>
      <c r="L191" s="48">
        <f t="shared" ca="1" si="133"/>
        <v>0</v>
      </c>
      <c r="M191" s="48">
        <f t="shared" ca="1" si="133"/>
        <v>0</v>
      </c>
      <c r="N191" s="48">
        <f t="shared" ca="1" si="133"/>
        <v>0</v>
      </c>
      <c r="O191" s="48">
        <f t="shared" ca="1" si="133"/>
        <v>0</v>
      </c>
      <c r="P191" s="48">
        <f t="shared" ca="1" si="133"/>
        <v>0</v>
      </c>
      <c r="Q191" s="48">
        <f t="shared" ca="1" si="133"/>
        <v>0</v>
      </c>
      <c r="R191" s="48">
        <f t="shared" ca="1" si="133"/>
        <v>0</v>
      </c>
      <c r="S191" s="48">
        <f t="shared" ca="1" si="133"/>
        <v>0</v>
      </c>
      <c r="T191" s="48">
        <f t="shared" ca="1" si="133"/>
        <v>0</v>
      </c>
      <c r="U191" s="48">
        <f t="shared" ref="U191:X198" ca="1" si="134">T191+U152</f>
        <v>0</v>
      </c>
      <c r="V191" s="48">
        <f t="shared" ca="1" si="134"/>
        <v>0</v>
      </c>
      <c r="W191" s="48">
        <f t="shared" ca="1" si="134"/>
        <v>0</v>
      </c>
      <c r="X191" s="48">
        <f t="shared" ca="1" si="134"/>
        <v>0</v>
      </c>
      <c r="Y191" s="48"/>
    </row>
    <row r="192" spans="4:25">
      <c r="D192" s="7" t="s">
        <v>409</v>
      </c>
      <c r="E192" s="47">
        <f t="shared" ca="1" si="103"/>
        <v>0</v>
      </c>
      <c r="F192" s="48">
        <f t="shared" ref="F192:T192" ca="1" si="135">E192+F153</f>
        <v>0</v>
      </c>
      <c r="G192" s="48">
        <f t="shared" ca="1" si="135"/>
        <v>0</v>
      </c>
      <c r="H192" s="48">
        <f t="shared" ca="1" si="135"/>
        <v>0</v>
      </c>
      <c r="I192" s="48">
        <f t="shared" ca="1" si="135"/>
        <v>0</v>
      </c>
      <c r="J192" s="48">
        <f t="shared" ca="1" si="135"/>
        <v>0</v>
      </c>
      <c r="K192" s="48">
        <f t="shared" ca="1" si="135"/>
        <v>0</v>
      </c>
      <c r="L192" s="48">
        <f t="shared" ca="1" si="135"/>
        <v>0</v>
      </c>
      <c r="M192" s="48">
        <f t="shared" ca="1" si="135"/>
        <v>0</v>
      </c>
      <c r="N192" s="48">
        <f t="shared" ca="1" si="135"/>
        <v>0</v>
      </c>
      <c r="O192" s="48">
        <f t="shared" ca="1" si="135"/>
        <v>0</v>
      </c>
      <c r="P192" s="48">
        <f t="shared" ca="1" si="135"/>
        <v>0</v>
      </c>
      <c r="Q192" s="48">
        <f t="shared" ca="1" si="135"/>
        <v>0</v>
      </c>
      <c r="R192" s="48">
        <f t="shared" ca="1" si="135"/>
        <v>0</v>
      </c>
      <c r="S192" s="48">
        <f t="shared" ca="1" si="135"/>
        <v>0</v>
      </c>
      <c r="T192" s="48">
        <f t="shared" ca="1" si="135"/>
        <v>0</v>
      </c>
      <c r="U192" s="48">
        <f t="shared" ca="1" si="134"/>
        <v>0</v>
      </c>
      <c r="V192" s="48">
        <f t="shared" ca="1" si="134"/>
        <v>0</v>
      </c>
      <c r="W192" s="48">
        <f t="shared" ca="1" si="134"/>
        <v>0</v>
      </c>
      <c r="X192" s="48">
        <f t="shared" ca="1" si="134"/>
        <v>0</v>
      </c>
      <c r="Y192" s="48"/>
    </row>
    <row r="193" spans="4:79">
      <c r="D193" s="7" t="s">
        <v>410</v>
      </c>
      <c r="E193" s="47">
        <f t="shared" ca="1" si="103"/>
        <v>0</v>
      </c>
      <c r="F193" s="48">
        <f t="shared" ref="F193:T193" ca="1" si="136">E193+F154</f>
        <v>0</v>
      </c>
      <c r="G193" s="48">
        <f t="shared" ca="1" si="136"/>
        <v>0</v>
      </c>
      <c r="H193" s="48">
        <f t="shared" ca="1" si="136"/>
        <v>0</v>
      </c>
      <c r="I193" s="48">
        <f t="shared" ca="1" si="136"/>
        <v>0</v>
      </c>
      <c r="J193" s="48">
        <f t="shared" ca="1" si="136"/>
        <v>0</v>
      </c>
      <c r="K193" s="48">
        <f t="shared" ca="1" si="136"/>
        <v>0</v>
      </c>
      <c r="L193" s="48">
        <f t="shared" ca="1" si="136"/>
        <v>0</v>
      </c>
      <c r="M193" s="48">
        <f t="shared" ca="1" si="136"/>
        <v>0</v>
      </c>
      <c r="N193" s="48">
        <f t="shared" ca="1" si="136"/>
        <v>0</v>
      </c>
      <c r="O193" s="48">
        <f t="shared" ca="1" si="136"/>
        <v>0</v>
      </c>
      <c r="P193" s="48">
        <f t="shared" ca="1" si="136"/>
        <v>0</v>
      </c>
      <c r="Q193" s="48">
        <f t="shared" ca="1" si="136"/>
        <v>0</v>
      </c>
      <c r="R193" s="48">
        <f t="shared" ca="1" si="136"/>
        <v>0</v>
      </c>
      <c r="S193" s="48">
        <f t="shared" ca="1" si="136"/>
        <v>0</v>
      </c>
      <c r="T193" s="48">
        <f t="shared" ca="1" si="136"/>
        <v>0</v>
      </c>
      <c r="U193" s="48">
        <f t="shared" ca="1" si="134"/>
        <v>0</v>
      </c>
      <c r="V193" s="48">
        <f t="shared" ca="1" si="134"/>
        <v>0</v>
      </c>
      <c r="W193" s="48">
        <f t="shared" ca="1" si="134"/>
        <v>0</v>
      </c>
      <c r="X193" s="48">
        <f t="shared" ca="1" si="134"/>
        <v>0</v>
      </c>
      <c r="Y193" s="48"/>
    </row>
    <row r="194" spans="4:79">
      <c r="D194" s="7" t="s">
        <v>411</v>
      </c>
      <c r="E194" s="47">
        <f t="shared" ca="1" si="103"/>
        <v>0</v>
      </c>
      <c r="F194" s="48">
        <f t="shared" ref="F194:T194" ca="1" si="137">E194+F155</f>
        <v>0</v>
      </c>
      <c r="G194" s="48">
        <f t="shared" ca="1" si="137"/>
        <v>0</v>
      </c>
      <c r="H194" s="48">
        <f t="shared" ca="1" si="137"/>
        <v>0</v>
      </c>
      <c r="I194" s="48">
        <f t="shared" ca="1" si="137"/>
        <v>0</v>
      </c>
      <c r="J194" s="48">
        <f t="shared" ca="1" si="137"/>
        <v>0</v>
      </c>
      <c r="K194" s="48">
        <f t="shared" ca="1" si="137"/>
        <v>0</v>
      </c>
      <c r="L194" s="48">
        <f t="shared" ca="1" si="137"/>
        <v>0</v>
      </c>
      <c r="M194" s="48">
        <f t="shared" ca="1" si="137"/>
        <v>0</v>
      </c>
      <c r="N194" s="48">
        <f t="shared" ca="1" si="137"/>
        <v>0</v>
      </c>
      <c r="O194" s="48">
        <f t="shared" ca="1" si="137"/>
        <v>0</v>
      </c>
      <c r="P194" s="48">
        <f t="shared" ca="1" si="137"/>
        <v>0</v>
      </c>
      <c r="Q194" s="48">
        <f t="shared" ca="1" si="137"/>
        <v>0</v>
      </c>
      <c r="R194" s="48">
        <f t="shared" ca="1" si="137"/>
        <v>0</v>
      </c>
      <c r="S194" s="48">
        <f t="shared" ca="1" si="137"/>
        <v>0</v>
      </c>
      <c r="T194" s="48">
        <f t="shared" ca="1" si="137"/>
        <v>0</v>
      </c>
      <c r="U194" s="48">
        <f t="shared" ca="1" si="134"/>
        <v>0</v>
      </c>
      <c r="V194" s="48">
        <f t="shared" ca="1" si="134"/>
        <v>0</v>
      </c>
      <c r="W194" s="48">
        <f t="shared" ca="1" si="134"/>
        <v>0</v>
      </c>
      <c r="X194" s="48">
        <f t="shared" ca="1" si="134"/>
        <v>0</v>
      </c>
      <c r="Y194" s="48"/>
    </row>
    <row r="195" spans="4:79">
      <c r="D195" s="7" t="s">
        <v>412</v>
      </c>
      <c r="E195" s="47">
        <f t="shared" ca="1" si="103"/>
        <v>0</v>
      </c>
      <c r="F195" s="48">
        <f t="shared" ref="F195:T195" ca="1" si="138">E195+F156</f>
        <v>0</v>
      </c>
      <c r="G195" s="48">
        <f t="shared" ca="1" si="138"/>
        <v>0</v>
      </c>
      <c r="H195" s="48">
        <f t="shared" ca="1" si="138"/>
        <v>0</v>
      </c>
      <c r="I195" s="48">
        <f t="shared" ca="1" si="138"/>
        <v>0</v>
      </c>
      <c r="J195" s="48">
        <f t="shared" ca="1" si="138"/>
        <v>0</v>
      </c>
      <c r="K195" s="48">
        <f t="shared" ca="1" si="138"/>
        <v>0</v>
      </c>
      <c r="L195" s="48">
        <f t="shared" ca="1" si="138"/>
        <v>0</v>
      </c>
      <c r="M195" s="48">
        <f t="shared" ca="1" si="138"/>
        <v>0</v>
      </c>
      <c r="N195" s="48">
        <f t="shared" ca="1" si="138"/>
        <v>0</v>
      </c>
      <c r="O195" s="48">
        <f t="shared" ca="1" si="138"/>
        <v>0</v>
      </c>
      <c r="P195" s="48">
        <f t="shared" ca="1" si="138"/>
        <v>0</v>
      </c>
      <c r="Q195" s="48">
        <f t="shared" ca="1" si="138"/>
        <v>0</v>
      </c>
      <c r="R195" s="48">
        <f t="shared" ca="1" si="138"/>
        <v>0</v>
      </c>
      <c r="S195" s="48">
        <f t="shared" ca="1" si="138"/>
        <v>0</v>
      </c>
      <c r="T195" s="48">
        <f t="shared" ca="1" si="138"/>
        <v>0</v>
      </c>
      <c r="U195" s="48">
        <f t="shared" ca="1" si="134"/>
        <v>0</v>
      </c>
      <c r="V195" s="48">
        <f t="shared" ca="1" si="134"/>
        <v>0</v>
      </c>
      <c r="W195" s="48">
        <f t="shared" ca="1" si="134"/>
        <v>0</v>
      </c>
      <c r="X195" s="48">
        <f t="shared" ca="1" si="134"/>
        <v>0</v>
      </c>
      <c r="Y195" s="48"/>
    </row>
    <row r="196" spans="4:79">
      <c r="D196" s="7" t="s">
        <v>413</v>
      </c>
      <c r="E196" s="47">
        <f t="shared" ca="1" si="103"/>
        <v>0</v>
      </c>
      <c r="F196" s="48">
        <f t="shared" ref="F196:T196" ca="1" si="139">E196+F157</f>
        <v>0</v>
      </c>
      <c r="G196" s="48">
        <f t="shared" ca="1" si="139"/>
        <v>0</v>
      </c>
      <c r="H196" s="48">
        <f t="shared" ca="1" si="139"/>
        <v>0</v>
      </c>
      <c r="I196" s="48">
        <f t="shared" ca="1" si="139"/>
        <v>0</v>
      </c>
      <c r="J196" s="48">
        <f t="shared" ca="1" si="139"/>
        <v>0</v>
      </c>
      <c r="K196" s="48">
        <f t="shared" ca="1" si="139"/>
        <v>0</v>
      </c>
      <c r="L196" s="48">
        <f t="shared" ca="1" si="139"/>
        <v>0</v>
      </c>
      <c r="M196" s="48">
        <f t="shared" ca="1" si="139"/>
        <v>0</v>
      </c>
      <c r="N196" s="48">
        <f t="shared" ca="1" si="139"/>
        <v>0</v>
      </c>
      <c r="O196" s="48">
        <f t="shared" ca="1" si="139"/>
        <v>0</v>
      </c>
      <c r="P196" s="48">
        <f t="shared" ca="1" si="139"/>
        <v>0</v>
      </c>
      <c r="Q196" s="48">
        <f t="shared" ca="1" si="139"/>
        <v>0</v>
      </c>
      <c r="R196" s="48">
        <f t="shared" ca="1" si="139"/>
        <v>0</v>
      </c>
      <c r="S196" s="48">
        <f t="shared" ca="1" si="139"/>
        <v>0</v>
      </c>
      <c r="T196" s="48">
        <f t="shared" ca="1" si="139"/>
        <v>0</v>
      </c>
      <c r="U196" s="48">
        <f t="shared" ca="1" si="134"/>
        <v>0</v>
      </c>
      <c r="V196" s="48">
        <f t="shared" ca="1" si="134"/>
        <v>0</v>
      </c>
      <c r="W196" s="48">
        <f t="shared" ca="1" si="134"/>
        <v>0</v>
      </c>
      <c r="X196" s="48">
        <f t="shared" ca="1" si="134"/>
        <v>0</v>
      </c>
      <c r="Y196" s="48"/>
    </row>
    <row r="197" spans="4:79">
      <c r="D197" s="7" t="s">
        <v>414</v>
      </c>
      <c r="E197" s="47">
        <f t="shared" ca="1" si="103"/>
        <v>0</v>
      </c>
      <c r="F197" s="48">
        <f t="shared" ref="F197:T197" ca="1" si="140">E197+F158</f>
        <v>0</v>
      </c>
      <c r="G197" s="48">
        <f t="shared" ca="1" si="140"/>
        <v>0</v>
      </c>
      <c r="H197" s="48">
        <f t="shared" ca="1" si="140"/>
        <v>0</v>
      </c>
      <c r="I197" s="48">
        <f t="shared" ca="1" si="140"/>
        <v>0</v>
      </c>
      <c r="J197" s="48">
        <f t="shared" ca="1" si="140"/>
        <v>0</v>
      </c>
      <c r="K197" s="48">
        <f t="shared" ca="1" si="140"/>
        <v>0</v>
      </c>
      <c r="L197" s="48">
        <f t="shared" ca="1" si="140"/>
        <v>0</v>
      </c>
      <c r="M197" s="48">
        <f t="shared" ca="1" si="140"/>
        <v>0</v>
      </c>
      <c r="N197" s="48">
        <f t="shared" ca="1" si="140"/>
        <v>0</v>
      </c>
      <c r="O197" s="48">
        <f t="shared" ca="1" si="140"/>
        <v>0</v>
      </c>
      <c r="P197" s="48">
        <f t="shared" ca="1" si="140"/>
        <v>0</v>
      </c>
      <c r="Q197" s="48">
        <f t="shared" ca="1" si="140"/>
        <v>0</v>
      </c>
      <c r="R197" s="48">
        <f t="shared" ca="1" si="140"/>
        <v>0</v>
      </c>
      <c r="S197" s="48">
        <f t="shared" ca="1" si="140"/>
        <v>0</v>
      </c>
      <c r="T197" s="48">
        <f t="shared" ca="1" si="140"/>
        <v>0</v>
      </c>
      <c r="U197" s="48">
        <f t="shared" ca="1" si="134"/>
        <v>0</v>
      </c>
      <c r="V197" s="48">
        <f t="shared" ca="1" si="134"/>
        <v>0</v>
      </c>
      <c r="W197" s="48">
        <f t="shared" ca="1" si="134"/>
        <v>0</v>
      </c>
      <c r="X197" s="48">
        <f t="shared" ca="1" si="134"/>
        <v>0</v>
      </c>
      <c r="Y197" s="48"/>
    </row>
    <row r="198" spans="4:79">
      <c r="D198" s="7" t="s">
        <v>415</v>
      </c>
      <c r="E198" s="47">
        <f t="shared" ca="1" si="103"/>
        <v>0</v>
      </c>
      <c r="F198" s="48">
        <f t="shared" ref="F198:T198" ca="1" si="141">E198+F159</f>
        <v>0</v>
      </c>
      <c r="G198" s="48">
        <f t="shared" ca="1" si="141"/>
        <v>0</v>
      </c>
      <c r="H198" s="48">
        <f t="shared" ca="1" si="141"/>
        <v>0</v>
      </c>
      <c r="I198" s="48">
        <f t="shared" ca="1" si="141"/>
        <v>0</v>
      </c>
      <c r="J198" s="48">
        <f t="shared" ca="1" si="141"/>
        <v>0</v>
      </c>
      <c r="K198" s="48">
        <f t="shared" ca="1" si="141"/>
        <v>0</v>
      </c>
      <c r="L198" s="48">
        <f t="shared" ca="1" si="141"/>
        <v>0</v>
      </c>
      <c r="M198" s="48">
        <f t="shared" ca="1" si="141"/>
        <v>0</v>
      </c>
      <c r="N198" s="48">
        <f t="shared" ca="1" si="141"/>
        <v>0</v>
      </c>
      <c r="O198" s="48">
        <f t="shared" ca="1" si="141"/>
        <v>0</v>
      </c>
      <c r="P198" s="48">
        <f t="shared" ca="1" si="141"/>
        <v>0</v>
      </c>
      <c r="Q198" s="48">
        <f t="shared" ca="1" si="141"/>
        <v>0</v>
      </c>
      <c r="R198" s="48">
        <f t="shared" ca="1" si="141"/>
        <v>0</v>
      </c>
      <c r="S198" s="48">
        <f t="shared" ca="1" si="141"/>
        <v>0</v>
      </c>
      <c r="T198" s="48">
        <f t="shared" ca="1" si="141"/>
        <v>0</v>
      </c>
      <c r="U198" s="48">
        <f t="shared" ca="1" si="134"/>
        <v>0</v>
      </c>
      <c r="V198" s="48">
        <f t="shared" ca="1" si="134"/>
        <v>0</v>
      </c>
      <c r="W198" s="48">
        <f t="shared" ca="1" si="134"/>
        <v>0</v>
      </c>
      <c r="X198" s="48">
        <f t="shared" ca="1" si="134"/>
        <v>0</v>
      </c>
      <c r="Y198" s="48"/>
    </row>
    <row r="199" spans="4:79">
      <c r="D199" s="7" t="s">
        <v>416</v>
      </c>
      <c r="E199" s="47">
        <f t="shared" ref="E199" ca="1" si="142">E160</f>
        <v>0</v>
      </c>
      <c r="F199" s="48">
        <f t="shared" ref="F199:X199" ca="1" si="143">E199+F160</f>
        <v>0</v>
      </c>
      <c r="G199" s="48">
        <f t="shared" ca="1" si="143"/>
        <v>0</v>
      </c>
      <c r="H199" s="48">
        <f t="shared" ca="1" si="143"/>
        <v>0</v>
      </c>
      <c r="I199" s="48">
        <f t="shared" ca="1" si="143"/>
        <v>0</v>
      </c>
      <c r="J199" s="48">
        <f t="shared" ca="1" si="143"/>
        <v>0</v>
      </c>
      <c r="K199" s="48">
        <f t="shared" ca="1" si="143"/>
        <v>0</v>
      </c>
      <c r="L199" s="48">
        <f t="shared" ca="1" si="143"/>
        <v>0</v>
      </c>
      <c r="M199" s="48">
        <f t="shared" ca="1" si="143"/>
        <v>0</v>
      </c>
      <c r="N199" s="48">
        <f t="shared" ca="1" si="143"/>
        <v>0</v>
      </c>
      <c r="O199" s="48">
        <f t="shared" ca="1" si="143"/>
        <v>0</v>
      </c>
      <c r="P199" s="48">
        <f t="shared" ca="1" si="143"/>
        <v>0</v>
      </c>
      <c r="Q199" s="48">
        <f t="shared" ca="1" si="143"/>
        <v>0</v>
      </c>
      <c r="R199" s="48">
        <f t="shared" ca="1" si="143"/>
        <v>0</v>
      </c>
      <c r="S199" s="48">
        <f t="shared" ca="1" si="143"/>
        <v>0</v>
      </c>
      <c r="T199" s="48">
        <f t="shared" ca="1" si="143"/>
        <v>0</v>
      </c>
      <c r="U199" s="48">
        <f t="shared" ca="1" si="143"/>
        <v>0</v>
      </c>
      <c r="V199" s="48">
        <f t="shared" ca="1" si="143"/>
        <v>0</v>
      </c>
      <c r="W199" s="48">
        <f t="shared" ca="1" si="143"/>
        <v>0</v>
      </c>
      <c r="X199" s="48">
        <f t="shared" ca="1" si="143"/>
        <v>0</v>
      </c>
      <c r="Y199" s="48"/>
    </row>
    <row r="201" spans="4:79" ht="15">
      <c r="D201" s="93" t="s">
        <v>137</v>
      </c>
      <c r="E201" s="93">
        <f ca="1">SUM(E168:E199)</f>
        <v>6.1636144628630055E-2</v>
      </c>
      <c r="F201" s="93">
        <f ca="1">SUM(F168:F199)</f>
        <v>0.18452814464358272</v>
      </c>
      <c r="G201" s="93">
        <f t="shared" ref="G201:X201" ca="1" si="144">SUM(G168:G199)</f>
        <v>0.3682986150185894</v>
      </c>
      <c r="H201" s="93">
        <f t="shared" ca="1" si="144"/>
        <v>0.61257304322481743</v>
      </c>
      <c r="I201" s="93">
        <f t="shared" ca="1" si="144"/>
        <v>0.91885530679532379</v>
      </c>
      <c r="J201" s="93">
        <f t="shared" ca="1" si="144"/>
        <v>1.2802092310482478</v>
      </c>
      <c r="K201" s="93">
        <f t="shared" ca="1" si="144"/>
        <v>1.684422200191265</v>
      </c>
      <c r="L201" s="93">
        <f t="shared" ca="1" si="144"/>
        <v>2.1224659748261243</v>
      </c>
      <c r="M201" s="93">
        <f t="shared" ca="1" si="144"/>
        <v>2.5871421009491398</v>
      </c>
      <c r="N201" s="93">
        <f t="shared" ca="1" si="144"/>
        <v>3.1449376708669199</v>
      </c>
      <c r="O201" s="93">
        <f t="shared" ca="1" si="144"/>
        <v>3.7127334049276421</v>
      </c>
      <c r="P201" s="93">
        <f t="shared" ca="1" si="144"/>
        <v>4.286140982756546</v>
      </c>
      <c r="Q201" s="93">
        <f t="shared" ca="1" si="144"/>
        <v>4.8622329250371088</v>
      </c>
      <c r="R201" s="93">
        <f t="shared" ca="1" si="144"/>
        <v>5.4382134482966498</v>
      </c>
      <c r="S201" s="93">
        <f t="shared" ca="1" si="144"/>
        <v>6.0123110632903511</v>
      </c>
      <c r="T201" s="93">
        <f t="shared" ca="1" si="144"/>
        <v>6.5863903601630405</v>
      </c>
      <c r="U201" s="93">
        <f t="shared" ca="1" si="144"/>
        <v>7.1608715300071157</v>
      </c>
      <c r="V201" s="93">
        <f t="shared" ca="1" si="144"/>
        <v>7.7307719356300648</v>
      </c>
      <c r="W201" s="93">
        <f t="shared" ca="1" si="144"/>
        <v>8.3016895235620503</v>
      </c>
      <c r="X201" s="93">
        <f t="shared" ca="1" si="144"/>
        <v>8.8690393528271478</v>
      </c>
      <c r="Y201" s="93"/>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row>
    <row r="202" spans="4:79">
      <c r="E202" s="20"/>
      <c r="F202" s="26"/>
      <c r="G202" s="26"/>
      <c r="H202" s="26"/>
      <c r="I202" s="26"/>
      <c r="J202" s="26"/>
      <c r="K202" s="26"/>
      <c r="L202" s="26"/>
      <c r="M202" s="26"/>
      <c r="N202" s="26"/>
      <c r="O202" s="26"/>
      <c r="P202" s="26"/>
      <c r="Q202" s="26"/>
      <c r="R202" s="26"/>
      <c r="S202" s="26"/>
      <c r="T202" s="26"/>
      <c r="U202" s="26"/>
      <c r="V202" s="26"/>
      <c r="W202" s="26"/>
      <c r="X202" s="26"/>
      <c r="Y202" s="26"/>
    </row>
    <row r="205" spans="4:79" customFormat="1"/>
    <row r="206" spans="4:79" customFormat="1"/>
    <row r="207" spans="4:79" customFormat="1"/>
    <row r="208" spans="4:79"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sheetData>
  <mergeCells count="2">
    <mergeCell ref="B1:T6"/>
    <mergeCell ref="U1:U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2:U10"/>
  <sheetViews>
    <sheetView workbookViewId="0">
      <selection activeCell="H10" sqref="H10"/>
    </sheetView>
  </sheetViews>
  <sheetFormatPr defaultRowHeight="12.75"/>
  <cols>
    <col min="2" max="2" width="13.5703125" customWidth="1"/>
  </cols>
  <sheetData>
    <row r="2" spans="1:21">
      <c r="A2" t="s">
        <v>223</v>
      </c>
    </row>
    <row r="3" spans="1:21">
      <c r="A3" s="119">
        <v>2011</v>
      </c>
      <c r="B3">
        <v>2016</v>
      </c>
      <c r="C3">
        <v>2017</v>
      </c>
      <c r="D3">
        <v>2018</v>
      </c>
      <c r="E3">
        <v>2019</v>
      </c>
      <c r="F3">
        <v>2020</v>
      </c>
      <c r="G3">
        <v>2021</v>
      </c>
      <c r="H3">
        <v>2022</v>
      </c>
      <c r="I3">
        <v>2023</v>
      </c>
      <c r="J3">
        <v>2024</v>
      </c>
      <c r="K3">
        <v>2025</v>
      </c>
      <c r="L3">
        <v>2026</v>
      </c>
      <c r="M3">
        <v>2027</v>
      </c>
      <c r="N3">
        <v>2028</v>
      </c>
      <c r="O3">
        <v>2029</v>
      </c>
      <c r="P3">
        <v>2030</v>
      </c>
      <c r="Q3">
        <v>2031</v>
      </c>
      <c r="R3">
        <v>2032</v>
      </c>
      <c r="S3">
        <v>2033</v>
      </c>
      <c r="T3">
        <v>2034</v>
      </c>
      <c r="U3">
        <v>2035</v>
      </c>
    </row>
    <row r="4" spans="1:21">
      <c r="A4" s="120">
        <v>0.98</v>
      </c>
      <c r="B4" s="120">
        <v>0.99595193728715536</v>
      </c>
      <c r="C4" s="120">
        <v>0.99595193728715536</v>
      </c>
      <c r="D4" s="120">
        <v>0.99595193728715536</v>
      </c>
      <c r="E4" s="120">
        <v>0.99595193728715536</v>
      </c>
      <c r="F4" s="120">
        <v>1.0020883214638139</v>
      </c>
      <c r="G4" s="120">
        <v>1.0049999999999999</v>
      </c>
      <c r="H4" s="120">
        <v>1.0049999999999999</v>
      </c>
      <c r="I4" s="120">
        <v>1.0049999999999999</v>
      </c>
      <c r="J4" s="120">
        <v>1.0049999999999999</v>
      </c>
      <c r="K4" s="120">
        <v>1.02</v>
      </c>
      <c r="L4" s="120">
        <v>1.02</v>
      </c>
      <c r="M4" s="120">
        <v>1.02</v>
      </c>
      <c r="N4" s="120">
        <v>1.02</v>
      </c>
      <c r="O4" s="120">
        <v>1.02</v>
      </c>
      <c r="P4" s="120">
        <v>1.0188308038223721</v>
      </c>
      <c r="Q4" s="120">
        <v>1.02</v>
      </c>
      <c r="R4" s="120">
        <v>1.03</v>
      </c>
      <c r="S4" s="120">
        <v>1.03</v>
      </c>
      <c r="T4" s="120">
        <v>1.04</v>
      </c>
      <c r="U4" s="120">
        <v>1.04</v>
      </c>
    </row>
    <row r="8" spans="1:21">
      <c r="A8" t="s">
        <v>224</v>
      </c>
    </row>
    <row r="9" spans="1:21">
      <c r="B9">
        <v>2016</v>
      </c>
      <c r="C9">
        <v>2017</v>
      </c>
      <c r="D9">
        <v>2018</v>
      </c>
      <c r="E9">
        <v>2019</v>
      </c>
      <c r="F9">
        <v>2020</v>
      </c>
      <c r="G9">
        <v>2021</v>
      </c>
      <c r="H9">
        <v>2022</v>
      </c>
      <c r="I9">
        <v>2023</v>
      </c>
      <c r="J9">
        <v>2024</v>
      </c>
      <c r="K9">
        <v>2025</v>
      </c>
      <c r="L9">
        <v>2026</v>
      </c>
      <c r="M9">
        <v>2027</v>
      </c>
      <c r="N9">
        <v>2028</v>
      </c>
      <c r="O9">
        <v>2029</v>
      </c>
      <c r="P9">
        <v>2030</v>
      </c>
      <c r="Q9">
        <v>2031</v>
      </c>
      <c r="R9">
        <v>2032</v>
      </c>
      <c r="S9">
        <v>2033</v>
      </c>
      <c r="T9">
        <v>2034</v>
      </c>
      <c r="U9">
        <v>2035</v>
      </c>
    </row>
    <row r="10" spans="1:21">
      <c r="A10" t="s">
        <v>225</v>
      </c>
      <c r="B10" s="122">
        <f>B4/$A$4</f>
        <v>1.0162774870277096</v>
      </c>
      <c r="C10" s="121">
        <f t="shared" ref="C10:U10" si="0">C4/$A$4</f>
        <v>1.0162774870277096</v>
      </c>
      <c r="D10" s="121">
        <f t="shared" si="0"/>
        <v>1.0162774870277096</v>
      </c>
      <c r="E10" s="121">
        <f t="shared" si="0"/>
        <v>1.0162774870277096</v>
      </c>
      <c r="F10" s="121">
        <f t="shared" si="0"/>
        <v>1.0225391035345039</v>
      </c>
      <c r="G10" s="121">
        <f t="shared" si="0"/>
        <v>1.0255102040816326</v>
      </c>
      <c r="H10" s="121">
        <f t="shared" si="0"/>
        <v>1.0255102040816326</v>
      </c>
      <c r="I10" s="121">
        <f t="shared" si="0"/>
        <v>1.0255102040816326</v>
      </c>
      <c r="J10" s="121">
        <f t="shared" si="0"/>
        <v>1.0255102040816326</v>
      </c>
      <c r="K10" s="121">
        <f t="shared" si="0"/>
        <v>1.0408163265306123</v>
      </c>
      <c r="L10" s="121">
        <f t="shared" si="0"/>
        <v>1.0408163265306123</v>
      </c>
      <c r="M10" s="121">
        <f t="shared" si="0"/>
        <v>1.0408163265306123</v>
      </c>
      <c r="N10" s="121">
        <f t="shared" si="0"/>
        <v>1.0408163265306123</v>
      </c>
      <c r="O10" s="121">
        <f t="shared" si="0"/>
        <v>1.0408163265306123</v>
      </c>
      <c r="P10" s="121">
        <f t="shared" si="0"/>
        <v>1.0396232692065022</v>
      </c>
      <c r="Q10" s="121">
        <f t="shared" si="0"/>
        <v>1.0408163265306123</v>
      </c>
      <c r="R10" s="121">
        <f t="shared" si="0"/>
        <v>1.0510204081632653</v>
      </c>
      <c r="S10" s="121">
        <f t="shared" si="0"/>
        <v>1.0510204081632653</v>
      </c>
      <c r="T10" s="121">
        <f t="shared" si="0"/>
        <v>1.0612244897959184</v>
      </c>
      <c r="U10" s="121">
        <f t="shared" si="0"/>
        <v>1.0612244897959184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A5"/>
  <sheetViews>
    <sheetView workbookViewId="0">
      <selection sqref="A1:EA5"/>
    </sheetView>
  </sheetViews>
  <sheetFormatPr defaultRowHeight="12.75"/>
  <sheetData>
    <row r="1" spans="1:131" ht="13.5" thickBot="1">
      <c r="A1" s="18" t="s">
        <v>45</v>
      </c>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27"/>
      <c r="B2" s="28"/>
      <c r="C2" s="29"/>
      <c r="D2" s="29"/>
      <c r="E2" s="29"/>
      <c r="F2" s="29"/>
      <c r="G2" s="29"/>
      <c r="H2" s="29"/>
      <c r="I2" s="29"/>
      <c r="J2" s="29"/>
      <c r="K2" s="29"/>
      <c r="L2" s="29"/>
      <c r="M2" s="29"/>
      <c r="N2" s="29"/>
      <c r="O2" s="30" t="s">
        <v>444</v>
      </c>
      <c r="P2" s="31"/>
      <c r="Q2" s="31"/>
      <c r="R2" s="31"/>
      <c r="S2" s="31"/>
      <c r="T2" s="31"/>
      <c r="U2" s="31"/>
      <c r="V2" s="31"/>
      <c r="W2" s="31"/>
      <c r="X2" s="31"/>
      <c r="Y2" s="31"/>
      <c r="Z2" s="25"/>
      <c r="AA2" s="29"/>
      <c r="AB2" s="30" t="s">
        <v>445</v>
      </c>
      <c r="AC2" s="31"/>
      <c r="AD2" s="31"/>
      <c r="AE2" s="31"/>
      <c r="AF2" s="31"/>
      <c r="AG2" s="31"/>
      <c r="AH2" s="31"/>
      <c r="AI2" s="31"/>
      <c r="AJ2" s="31"/>
      <c r="AK2" s="31"/>
      <c r="AL2" s="31"/>
      <c r="AM2" s="25"/>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21" t="s">
        <v>21</v>
      </c>
      <c r="B3" s="22" t="s">
        <v>22</v>
      </c>
      <c r="C3" s="23" t="s">
        <v>46</v>
      </c>
      <c r="D3" s="23" t="s">
        <v>25</v>
      </c>
      <c r="E3" s="23" t="s">
        <v>26</v>
      </c>
      <c r="F3" s="23" t="s">
        <v>27</v>
      </c>
      <c r="G3" s="23" t="s">
        <v>28</v>
      </c>
      <c r="H3" s="23" t="s">
        <v>29</v>
      </c>
      <c r="I3" s="23" t="s">
        <v>30</v>
      </c>
      <c r="J3" s="23" t="s">
        <v>31</v>
      </c>
      <c r="K3" s="23" t="s">
        <v>24</v>
      </c>
      <c r="L3" s="23" t="s">
        <v>23</v>
      </c>
      <c r="M3" s="23" t="s">
        <v>32</v>
      </c>
      <c r="N3" s="23" t="s">
        <v>446</v>
      </c>
      <c r="O3" s="23" t="s">
        <v>33</v>
      </c>
      <c r="P3" s="23" t="s">
        <v>34</v>
      </c>
      <c r="Q3" s="23" t="s">
        <v>35</v>
      </c>
      <c r="R3" s="23" t="s">
        <v>36</v>
      </c>
      <c r="S3" s="23" t="s">
        <v>37</v>
      </c>
      <c r="T3" s="23" t="s">
        <v>38</v>
      </c>
      <c r="U3" s="23" t="s">
        <v>39</v>
      </c>
      <c r="V3" s="23" t="s">
        <v>40</v>
      </c>
      <c r="W3" s="23" t="s">
        <v>41</v>
      </c>
      <c r="X3" s="23" t="s">
        <v>42</v>
      </c>
      <c r="Y3" s="23" t="s">
        <v>43</v>
      </c>
      <c r="Z3" s="23" t="s">
        <v>44</v>
      </c>
      <c r="AA3" s="23"/>
      <c r="AB3" s="23" t="s">
        <v>33</v>
      </c>
      <c r="AC3" s="23" t="s">
        <v>34</v>
      </c>
      <c r="AD3" s="23" t="s">
        <v>35</v>
      </c>
      <c r="AE3" s="23" t="s">
        <v>36</v>
      </c>
      <c r="AF3" s="23" t="s">
        <v>37</v>
      </c>
      <c r="AG3" s="23" t="s">
        <v>38</v>
      </c>
      <c r="AH3" s="23" t="s">
        <v>39</v>
      </c>
      <c r="AI3" s="23" t="s">
        <v>40</v>
      </c>
      <c r="AJ3" s="23" t="s">
        <v>41</v>
      </c>
      <c r="AK3" s="23" t="s">
        <v>42</v>
      </c>
      <c r="AL3" s="23" t="s">
        <v>43</v>
      </c>
      <c r="AM3" s="23" t="s">
        <v>44</v>
      </c>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182</v>
      </c>
      <c r="B4" s="7"/>
      <c r="C4" s="26">
        <v>9.1560045331478168</v>
      </c>
      <c r="D4" s="26">
        <v>4.5060279556821436</v>
      </c>
      <c r="E4" s="26">
        <v>0.90120559113642873</v>
      </c>
      <c r="F4" s="26">
        <v>5.4072335468185724</v>
      </c>
      <c r="G4" s="26">
        <v>8.0578420924089009</v>
      </c>
      <c r="H4" s="26">
        <v>8.9331900379146987</v>
      </c>
      <c r="I4" s="26">
        <v>5173.3663628763934</v>
      </c>
      <c r="J4" s="26">
        <v>-1.6776718209112289</v>
      </c>
      <c r="K4" s="26">
        <v>31.927809211436781</v>
      </c>
      <c r="L4" s="24">
        <v>1.1086330478392523</v>
      </c>
      <c r="M4" s="26">
        <v>8.6983081435182297E-2</v>
      </c>
      <c r="N4" s="26">
        <v>5.294096174250985E-3</v>
      </c>
      <c r="O4" s="26">
        <v>0.67735114691514542</v>
      </c>
      <c r="P4" s="26">
        <v>0.55809308462705853</v>
      </c>
      <c r="Q4" s="26">
        <v>0.66648759634888699</v>
      </c>
      <c r="R4" s="26">
        <v>0.55743786685807306</v>
      </c>
      <c r="S4" s="26">
        <v>0.49393986259942624</v>
      </c>
      <c r="T4" s="26">
        <v>0.53991642899762426</v>
      </c>
      <c r="U4" s="26">
        <v>0.49491686324196371</v>
      </c>
      <c r="V4" s="26">
        <v>0.56056521469557286</v>
      </c>
      <c r="W4" s="26">
        <v>0.53210646584705568</v>
      </c>
      <c r="X4" s="26">
        <v>0.71745952030879867</v>
      </c>
      <c r="Y4" s="26">
        <v>0.64860011631050529</v>
      </c>
      <c r="Z4" s="26">
        <v>0.70450564240999369</v>
      </c>
      <c r="AA4" s="26"/>
      <c r="AB4" s="26">
        <v>0.21643108833808006</v>
      </c>
      <c r="AC4" s="26">
        <v>0.16356313758480187</v>
      </c>
      <c r="AD4" s="26">
        <v>0.14009001341986893</v>
      </c>
      <c r="AE4" s="26">
        <v>0.15735976471526114</v>
      </c>
      <c r="AF4" s="26">
        <v>0.13595654878084235</v>
      </c>
      <c r="AG4" s="26">
        <v>0.11811507730283408</v>
      </c>
      <c r="AH4" s="26">
        <v>0.16292857985934348</v>
      </c>
      <c r="AI4" s="26">
        <v>0.12160233205698104</v>
      </c>
      <c r="AJ4" s="26">
        <v>0.17068425972670062</v>
      </c>
      <c r="AK4" s="26">
        <v>0.15834254599950379</v>
      </c>
      <c r="AL4" s="26">
        <v>0.2118918409286798</v>
      </c>
      <c r="AM4" s="20">
        <v>0.24765953527481449</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c r="B5" s="7"/>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A80"/>
  <sheetViews>
    <sheetView workbookViewId="0">
      <selection activeCell="A25" sqref="A25"/>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c r="C3" s="8">
        <v>2012</v>
      </c>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160" t="s">
        <v>4</v>
      </c>
      <c r="J6" s="161"/>
      <c r="K6" s="161"/>
      <c r="L6" s="161"/>
      <c r="M6" s="161"/>
      <c r="N6" s="162"/>
      <c r="O6" s="163" t="s">
        <v>5</v>
      </c>
      <c r="P6" s="164"/>
      <c r="Q6" s="116" t="s">
        <v>215</v>
      </c>
      <c r="R6" s="165" t="s">
        <v>216</v>
      </c>
      <c r="S6" s="165"/>
      <c r="T6" s="165"/>
    </row>
    <row r="7" spans="1:131" ht="38.25">
      <c r="A7" s="16" t="s">
        <v>6</v>
      </c>
      <c r="B7" s="16" t="s">
        <v>7</v>
      </c>
      <c r="C7" s="16" t="s">
        <v>8</v>
      </c>
      <c r="D7" s="16" t="s">
        <v>9</v>
      </c>
      <c r="E7" s="16" t="s">
        <v>10</v>
      </c>
      <c r="F7" s="16" t="s">
        <v>11</v>
      </c>
      <c r="G7" s="16" t="s">
        <v>12</v>
      </c>
      <c r="H7" s="16" t="s">
        <v>13</v>
      </c>
      <c r="I7" s="16" t="s">
        <v>14</v>
      </c>
      <c r="J7" s="16" t="s">
        <v>15</v>
      </c>
      <c r="K7" s="16" t="s">
        <v>16</v>
      </c>
      <c r="L7" s="16" t="s">
        <v>17</v>
      </c>
      <c r="M7" s="16" t="s">
        <v>18</v>
      </c>
      <c r="N7" s="16" t="s">
        <v>19</v>
      </c>
      <c r="O7" s="17" t="s">
        <v>20</v>
      </c>
      <c r="P7" s="16" t="s">
        <v>12</v>
      </c>
      <c r="Q7" s="117" t="s">
        <v>217</v>
      </c>
      <c r="R7" s="118" t="s">
        <v>218</v>
      </c>
      <c r="S7" s="118" t="s">
        <v>219</v>
      </c>
      <c r="T7" s="118" t="s">
        <v>220</v>
      </c>
    </row>
    <row r="8" spans="1:131">
      <c r="A8" t="s">
        <v>182</v>
      </c>
      <c r="B8" t="s">
        <v>183</v>
      </c>
      <c r="C8">
        <f>'CostSavings Info'!G28</f>
        <v>8.5116502164601506</v>
      </c>
      <c r="D8" s="71">
        <f>'CostSavings Info'!$B$34</f>
        <v>10.91</v>
      </c>
      <c r="E8" s="75">
        <f>'CostSavings Info'!G29</f>
        <v>4.5060279556821436</v>
      </c>
      <c r="F8">
        <v>0</v>
      </c>
      <c r="G8" t="s">
        <v>226</v>
      </c>
      <c r="Q8" t="s">
        <v>221</v>
      </c>
    </row>
    <row r="11" spans="1:13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123" t="s">
        <v>227</v>
      </c>
      <c r="B12" s="124"/>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228</v>
      </c>
      <c r="B13" s="7" t="s">
        <v>229</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230</v>
      </c>
      <c r="B14" s="7" t="s">
        <v>462</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ht="13.5" thickBot="1">
      <c r="A16" s="18" t="s">
        <v>231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9"/>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c r="B17" s="126" t="s">
        <v>232</v>
      </c>
      <c r="C17" s="127"/>
      <c r="D17" s="127" t="s">
        <v>232</v>
      </c>
      <c r="E17" s="128"/>
      <c r="F17" s="7"/>
      <c r="G17" s="126" t="s">
        <v>233</v>
      </c>
      <c r="H17" s="127"/>
      <c r="I17" s="127"/>
      <c r="J17" s="127"/>
      <c r="K17" s="127"/>
      <c r="L17" s="127"/>
      <c r="M17" s="127"/>
      <c r="N17" s="127"/>
      <c r="O17" s="128"/>
      <c r="P17" s="7"/>
      <c r="Q17" s="126" t="s">
        <v>234</v>
      </c>
      <c r="R17" s="127"/>
      <c r="S17" s="127"/>
      <c r="T17" s="127"/>
      <c r="U17" s="128"/>
      <c r="V17" s="7"/>
      <c r="W17" s="126" t="s">
        <v>235</v>
      </c>
      <c r="X17" s="128"/>
      <c r="Y17" s="7"/>
      <c r="Z17" s="126" t="s">
        <v>236</v>
      </c>
      <c r="AA17" s="127"/>
      <c r="AB17" s="128"/>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c r="B18" s="129" t="s">
        <v>237</v>
      </c>
      <c r="C18" s="130" t="s">
        <v>238</v>
      </c>
      <c r="D18" s="130" t="s">
        <v>237</v>
      </c>
      <c r="E18" s="131" t="s">
        <v>238</v>
      </c>
      <c r="F18" s="7"/>
      <c r="G18" s="129" t="s">
        <v>239</v>
      </c>
      <c r="H18" s="130" t="s">
        <v>441</v>
      </c>
      <c r="I18" s="130"/>
      <c r="J18" s="130"/>
      <c r="K18" s="130" t="s">
        <v>240</v>
      </c>
      <c r="L18" s="130"/>
      <c r="M18" s="130"/>
      <c r="N18" s="130"/>
      <c r="O18" s="131"/>
      <c r="P18" s="7"/>
      <c r="Q18" s="129"/>
      <c r="R18" s="130" t="s">
        <v>241</v>
      </c>
      <c r="S18" s="130" t="s">
        <v>242</v>
      </c>
      <c r="T18" s="130" t="s">
        <v>243</v>
      </c>
      <c r="U18" s="131" t="s">
        <v>244</v>
      </c>
      <c r="V18" s="7"/>
      <c r="W18" s="129" t="s">
        <v>245</v>
      </c>
      <c r="X18" s="131">
        <v>20</v>
      </c>
      <c r="Y18" s="7"/>
      <c r="Z18" s="129"/>
      <c r="AA18" s="130" t="s">
        <v>238</v>
      </c>
      <c r="AB18" s="131" t="s">
        <v>246</v>
      </c>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c r="B19" s="129" t="s">
        <v>247</v>
      </c>
      <c r="C19" s="130" t="s">
        <v>248</v>
      </c>
      <c r="D19" s="130" t="s">
        <v>247</v>
      </c>
      <c r="E19" s="131" t="s">
        <v>248</v>
      </c>
      <c r="F19" s="7"/>
      <c r="G19" s="129" t="s">
        <v>249</v>
      </c>
      <c r="H19" s="130" t="s">
        <v>250</v>
      </c>
      <c r="I19" s="130"/>
      <c r="J19" s="130"/>
      <c r="K19" s="130" t="s">
        <v>251</v>
      </c>
      <c r="L19" s="130"/>
      <c r="M19" s="130"/>
      <c r="N19" s="130"/>
      <c r="O19" s="131"/>
      <c r="P19" s="7"/>
      <c r="Q19" s="129" t="s">
        <v>252</v>
      </c>
      <c r="R19" s="130">
        <v>4.3096045197740109E-2</v>
      </c>
      <c r="S19" s="130">
        <v>4.387844424080023E-2</v>
      </c>
      <c r="T19" s="130">
        <v>5.3289007766645871E-2</v>
      </c>
      <c r="U19" s="131">
        <v>5.447903102274565E-2</v>
      </c>
      <c r="V19" s="7"/>
      <c r="W19" s="129" t="s">
        <v>253</v>
      </c>
      <c r="X19" s="131">
        <v>2016</v>
      </c>
      <c r="Y19" s="7"/>
      <c r="Z19" s="129" t="s">
        <v>254</v>
      </c>
      <c r="AA19" s="130">
        <v>4.03890184699085E-3</v>
      </c>
      <c r="AB19" s="131">
        <v>0.01</v>
      </c>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c r="B20" s="129" t="s">
        <v>255</v>
      </c>
      <c r="C20" s="130" t="s">
        <v>256</v>
      </c>
      <c r="D20" s="130" t="s">
        <v>255</v>
      </c>
      <c r="E20" s="131" t="s">
        <v>256</v>
      </c>
      <c r="F20" s="7"/>
      <c r="G20" s="129" t="s">
        <v>257</v>
      </c>
      <c r="H20" s="130" t="s">
        <v>258</v>
      </c>
      <c r="I20" s="130"/>
      <c r="J20" s="130"/>
      <c r="K20" s="130" t="s">
        <v>259</v>
      </c>
      <c r="L20" s="130"/>
      <c r="M20" s="130"/>
      <c r="N20" s="130"/>
      <c r="O20" s="131"/>
      <c r="P20" s="7"/>
      <c r="Q20" s="129" t="s">
        <v>260</v>
      </c>
      <c r="R20" s="130">
        <v>12</v>
      </c>
      <c r="S20" s="130">
        <v>12</v>
      </c>
      <c r="T20" s="130">
        <v>1</v>
      </c>
      <c r="U20" s="131">
        <v>1</v>
      </c>
      <c r="V20" s="7"/>
      <c r="W20" s="129" t="s">
        <v>261</v>
      </c>
      <c r="X20" s="131">
        <v>2016</v>
      </c>
      <c r="Y20" s="7"/>
      <c r="Z20" s="129" t="s">
        <v>262</v>
      </c>
      <c r="AA20" s="130">
        <v>26</v>
      </c>
      <c r="AB20" s="131">
        <v>0</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ht="13.5" thickBot="1">
      <c r="A21" s="7"/>
      <c r="B21" s="132" t="s">
        <v>263</v>
      </c>
      <c r="C21" s="133" t="s">
        <v>256</v>
      </c>
      <c r="D21" s="133" t="s">
        <v>263</v>
      </c>
      <c r="E21" s="134" t="s">
        <v>256</v>
      </c>
      <c r="F21" s="7"/>
      <c r="G21" s="129" t="s">
        <v>264</v>
      </c>
      <c r="H21" s="130" t="s">
        <v>265</v>
      </c>
      <c r="I21" s="130"/>
      <c r="J21" s="130"/>
      <c r="K21" s="130" t="s">
        <v>251</v>
      </c>
      <c r="L21" s="130"/>
      <c r="M21" s="130"/>
      <c r="N21" s="130"/>
      <c r="O21" s="131"/>
      <c r="P21" s="7"/>
      <c r="Q21" s="129"/>
      <c r="R21" s="130" t="s">
        <v>241</v>
      </c>
      <c r="S21" s="130" t="s">
        <v>242</v>
      </c>
      <c r="T21" s="130" t="s">
        <v>243</v>
      </c>
      <c r="U21" s="131" t="s">
        <v>244</v>
      </c>
      <c r="V21" s="7"/>
      <c r="W21" s="129" t="s">
        <v>266</v>
      </c>
      <c r="X21" s="131">
        <v>2012</v>
      </c>
      <c r="Y21" s="7"/>
      <c r="Z21" s="129" t="s">
        <v>267</v>
      </c>
      <c r="AA21" s="130">
        <v>0.9</v>
      </c>
      <c r="AB21" s="131" t="s">
        <v>268</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c r="B22" s="7"/>
      <c r="C22" s="7"/>
      <c r="D22" s="7"/>
      <c r="E22" s="7"/>
      <c r="F22" s="7"/>
      <c r="G22" s="129" t="s">
        <v>269</v>
      </c>
      <c r="H22" s="130" t="s">
        <v>258</v>
      </c>
      <c r="I22" s="130"/>
      <c r="J22" s="130"/>
      <c r="K22" s="130"/>
      <c r="L22" s="130"/>
      <c r="M22" s="130"/>
      <c r="N22" s="130"/>
      <c r="O22" s="131"/>
      <c r="P22" s="7"/>
      <c r="Q22" s="129" t="s">
        <v>270</v>
      </c>
      <c r="R22" s="130">
        <v>0.35</v>
      </c>
      <c r="S22" s="130">
        <v>0.19500000000000001</v>
      </c>
      <c r="T22" s="130">
        <v>0.45499999999999996</v>
      </c>
      <c r="U22" s="131">
        <v>0</v>
      </c>
      <c r="V22" s="7"/>
      <c r="W22" s="129" t="s">
        <v>271</v>
      </c>
      <c r="X22" s="131">
        <v>0.04</v>
      </c>
      <c r="Y22" s="7"/>
      <c r="Z22" s="129" t="s">
        <v>272</v>
      </c>
      <c r="AA22" s="130">
        <v>4.7399348199455904E-2</v>
      </c>
      <c r="AB22" s="131">
        <v>0</v>
      </c>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7" t="s">
        <v>273</v>
      </c>
      <c r="C23" s="7" t="s">
        <v>238</v>
      </c>
      <c r="D23" s="7"/>
      <c r="E23" s="7"/>
      <c r="F23" s="7"/>
      <c r="G23" s="129" t="s">
        <v>274</v>
      </c>
      <c r="H23" s="130" t="s">
        <v>275</v>
      </c>
      <c r="I23" s="130"/>
      <c r="J23" s="130"/>
      <c r="K23" s="130" t="s">
        <v>276</v>
      </c>
      <c r="L23" s="130"/>
      <c r="M23" s="130"/>
      <c r="N23" s="130"/>
      <c r="O23" s="131"/>
      <c r="P23" s="7"/>
      <c r="Q23" s="129" t="s">
        <v>277</v>
      </c>
      <c r="R23" s="130">
        <v>1</v>
      </c>
      <c r="S23" s="130">
        <v>0</v>
      </c>
      <c r="T23" s="130">
        <v>0</v>
      </c>
      <c r="U23" s="131">
        <v>0</v>
      </c>
      <c r="V23" s="7"/>
      <c r="W23" s="129" t="s">
        <v>278</v>
      </c>
      <c r="X23" s="131">
        <v>0</v>
      </c>
      <c r="Y23" s="7"/>
      <c r="Z23" s="129" t="s">
        <v>279</v>
      </c>
      <c r="AA23" s="130">
        <v>31</v>
      </c>
      <c r="AB23" s="131">
        <v>0</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c r="B24" s="7" t="s">
        <v>280</v>
      </c>
      <c r="C24" s="7" t="s">
        <v>281</v>
      </c>
      <c r="D24" s="7"/>
      <c r="E24" s="7"/>
      <c r="F24" s="7"/>
      <c r="G24" s="129" t="s">
        <v>282</v>
      </c>
      <c r="H24" s="130" t="s">
        <v>276</v>
      </c>
      <c r="I24" s="130"/>
      <c r="J24" s="130"/>
      <c r="K24" s="130" t="s">
        <v>283</v>
      </c>
      <c r="L24" s="130"/>
      <c r="M24" s="130"/>
      <c r="N24" s="130"/>
      <c r="O24" s="131"/>
      <c r="P24" s="7"/>
      <c r="Q24" s="129" t="s">
        <v>284</v>
      </c>
      <c r="R24" s="130">
        <v>1</v>
      </c>
      <c r="S24" s="130">
        <v>0</v>
      </c>
      <c r="T24" s="130">
        <v>0</v>
      </c>
      <c r="U24" s="131">
        <v>0</v>
      </c>
      <c r="V24" s="7"/>
      <c r="W24" s="129" t="s">
        <v>285</v>
      </c>
      <c r="X24" s="131">
        <v>0.2</v>
      </c>
      <c r="Y24" s="7"/>
      <c r="Z24" s="129" t="s">
        <v>286</v>
      </c>
      <c r="AA24" s="130">
        <v>0.7</v>
      </c>
      <c r="AB24" s="131" t="s">
        <v>268</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t="s">
        <v>287</v>
      </c>
      <c r="C25" s="7" t="s">
        <v>288</v>
      </c>
      <c r="D25" s="7"/>
      <c r="E25" s="7"/>
      <c r="F25" s="7"/>
      <c r="G25" s="129" t="s">
        <v>289</v>
      </c>
      <c r="H25" s="130" t="s">
        <v>283</v>
      </c>
      <c r="I25" s="130"/>
      <c r="J25" s="130"/>
      <c r="K25" s="130" t="s">
        <v>290</v>
      </c>
      <c r="L25" s="130"/>
      <c r="M25" s="130"/>
      <c r="N25" s="130"/>
      <c r="O25" s="131"/>
      <c r="P25" s="7"/>
      <c r="Q25" s="129" t="s">
        <v>291</v>
      </c>
      <c r="R25" s="130"/>
      <c r="S25" s="130">
        <v>0.3</v>
      </c>
      <c r="T25" s="130">
        <v>0.7</v>
      </c>
      <c r="U25" s="131">
        <v>0</v>
      </c>
      <c r="V25" s="7"/>
      <c r="W25" s="129" t="s">
        <v>292</v>
      </c>
      <c r="X25" s="131">
        <v>0</v>
      </c>
      <c r="Y25" s="7"/>
      <c r="Z25" s="129" t="s">
        <v>293</v>
      </c>
      <c r="AA25" s="130">
        <v>0</v>
      </c>
      <c r="AB25" s="131">
        <v>0</v>
      </c>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ht="13.5" thickBot="1">
      <c r="A26" s="7"/>
      <c r="B26" s="7" t="s">
        <v>294</v>
      </c>
      <c r="C26" s="7" t="s">
        <v>295</v>
      </c>
      <c r="D26" s="7"/>
      <c r="E26" s="7"/>
      <c r="F26" s="7"/>
      <c r="G26" s="132" t="s">
        <v>296</v>
      </c>
      <c r="H26" s="133" t="s">
        <v>290</v>
      </c>
      <c r="I26" s="133"/>
      <c r="J26" s="133"/>
      <c r="K26" s="133"/>
      <c r="L26" s="133"/>
      <c r="M26" s="133"/>
      <c r="N26" s="133"/>
      <c r="O26" s="134"/>
      <c r="P26" s="7"/>
      <c r="Q26" s="132" t="s">
        <v>297</v>
      </c>
      <c r="R26" s="133"/>
      <c r="S26" s="133">
        <v>20</v>
      </c>
      <c r="T26" s="133"/>
      <c r="U26" s="134"/>
      <c r="V26" s="7"/>
      <c r="W26" s="132" t="s">
        <v>298</v>
      </c>
      <c r="X26" s="134">
        <v>2018</v>
      </c>
      <c r="Y26" s="7"/>
      <c r="Z26" s="132" t="s">
        <v>299</v>
      </c>
      <c r="AA26" s="133">
        <v>0</v>
      </c>
      <c r="AB26" s="134">
        <v>0</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ht="13.5" thickBot="1">
      <c r="A34" s="18" t="s">
        <v>300</v>
      </c>
      <c r="B34" s="19"/>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ht="26.25" thickBot="1">
      <c r="A35" s="135" t="s">
        <v>301</v>
      </c>
      <c r="B35" s="136"/>
      <c r="C35" s="137" t="s">
        <v>302</v>
      </c>
      <c r="D35" s="138"/>
      <c r="E35" s="138"/>
      <c r="F35" s="138"/>
      <c r="G35" s="138"/>
      <c r="H35" s="138"/>
      <c r="I35" s="138"/>
      <c r="J35" s="138"/>
      <c r="K35" s="139"/>
      <c r="L35" s="137" t="s">
        <v>303</v>
      </c>
      <c r="M35" s="138"/>
      <c r="N35" s="138"/>
      <c r="O35" s="138"/>
      <c r="P35" s="138"/>
      <c r="Q35" s="139"/>
      <c r="R35" s="137" t="s">
        <v>304</v>
      </c>
      <c r="S35" s="138"/>
      <c r="T35" s="138"/>
      <c r="U35" s="139"/>
      <c r="V35" s="137" t="s">
        <v>305</v>
      </c>
      <c r="W35" s="138"/>
      <c r="X35" s="138"/>
      <c r="Y35" s="139"/>
      <c r="Z35" s="137" t="s">
        <v>306</v>
      </c>
      <c r="AA35" s="138"/>
      <c r="AB35" s="138"/>
      <c r="AC35" s="139"/>
      <c r="AD35" s="137" t="s">
        <v>307</v>
      </c>
      <c r="AE35" s="138"/>
      <c r="AF35" s="138"/>
      <c r="AG35" s="139"/>
      <c r="AH35" s="137" t="s">
        <v>308</v>
      </c>
      <c r="AI35" s="138"/>
      <c r="AJ35" s="138"/>
      <c r="AK35" s="138"/>
      <c r="AL35" s="139"/>
      <c r="AM35" s="137" t="s">
        <v>309</v>
      </c>
      <c r="AN35" s="138"/>
      <c r="AO35" s="138"/>
      <c r="AP35" s="138"/>
      <c r="AQ35" s="138"/>
      <c r="AR35" s="138"/>
      <c r="AS35" s="139"/>
      <c r="AT35" s="137" t="s">
        <v>310</v>
      </c>
      <c r="AU35" s="138"/>
      <c r="AV35" s="138"/>
      <c r="AW35" s="138"/>
      <c r="AX35" s="138"/>
      <c r="AY35" s="138"/>
      <c r="AZ35" s="139"/>
      <c r="BA35" s="137" t="s">
        <v>311</v>
      </c>
      <c r="BB35" s="138"/>
      <c r="BC35" s="138"/>
      <c r="BD35" s="138"/>
      <c r="BE35" s="138"/>
      <c r="BF35" s="139"/>
      <c r="BG35" s="137" t="s">
        <v>312</v>
      </c>
      <c r="BH35" s="139"/>
      <c r="BI35" s="137" t="s">
        <v>313</v>
      </c>
      <c r="BJ35" s="138"/>
      <c r="BK35" s="138"/>
      <c r="BL35" s="138"/>
      <c r="BM35" s="139"/>
      <c r="BN35" s="137" t="s">
        <v>314</v>
      </c>
      <c r="BO35" s="138"/>
      <c r="BP35" s="138"/>
      <c r="BQ35" s="138"/>
      <c r="BR35" s="138"/>
      <c r="BS35" s="138"/>
      <c r="BT35" s="138"/>
      <c r="BU35" s="138"/>
      <c r="BV35" s="138"/>
      <c r="BW35" s="138"/>
      <c r="BX35" s="138"/>
      <c r="BY35" s="138"/>
      <c r="BZ35" s="138"/>
      <c r="CA35" s="138"/>
      <c r="CB35" s="138"/>
      <c r="CC35" s="139"/>
      <c r="CD35" s="137" t="s">
        <v>315</v>
      </c>
      <c r="CE35" s="139"/>
      <c r="CF35" s="137" t="s">
        <v>316</v>
      </c>
      <c r="CG35" s="138"/>
      <c r="CH35" s="138"/>
      <c r="CI35" s="138"/>
      <c r="CJ35" s="138"/>
      <c r="CK35" s="139"/>
      <c r="CL35" s="140"/>
      <c r="CM35" s="137" t="s">
        <v>5</v>
      </c>
      <c r="CN35" s="138"/>
      <c r="CO35" s="138"/>
      <c r="CP35" s="139"/>
      <c r="CQ35" s="137" t="s">
        <v>317</v>
      </c>
      <c r="CR35" s="138"/>
      <c r="CS35" s="138"/>
      <c r="CT35" s="138"/>
      <c r="CU35" s="139"/>
      <c r="CV35" s="137" t="s">
        <v>318</v>
      </c>
      <c r="CW35" s="139"/>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204">
      <c r="A36" s="21" t="s">
        <v>21</v>
      </c>
      <c r="B36" s="22" t="s">
        <v>22</v>
      </c>
      <c r="C36" s="23" t="s">
        <v>202</v>
      </c>
      <c r="D36" s="23" t="s">
        <v>319</v>
      </c>
      <c r="E36" s="23" t="s">
        <v>320</v>
      </c>
      <c r="F36" s="23" t="s">
        <v>321</v>
      </c>
      <c r="G36" s="23" t="s">
        <v>322</v>
      </c>
      <c r="H36" s="23" t="s">
        <v>323</v>
      </c>
      <c r="I36" s="23" t="s">
        <v>324</v>
      </c>
      <c r="J36" s="23" t="s">
        <v>325</v>
      </c>
      <c r="K36" s="23" t="s">
        <v>326</v>
      </c>
      <c r="L36" s="23" t="s">
        <v>327</v>
      </c>
      <c r="M36" s="23" t="s">
        <v>328</v>
      </c>
      <c r="N36" s="23" t="s">
        <v>329</v>
      </c>
      <c r="O36" s="23" t="s">
        <v>330</v>
      </c>
      <c r="P36" s="23" t="s">
        <v>331</v>
      </c>
      <c r="Q36" s="23" t="s">
        <v>332</v>
      </c>
      <c r="R36" s="23" t="s">
        <v>333</v>
      </c>
      <c r="S36" s="23" t="s">
        <v>334</v>
      </c>
      <c r="T36" s="23" t="s">
        <v>335</v>
      </c>
      <c r="U36" s="23" t="s">
        <v>241</v>
      </c>
      <c r="V36" s="23" t="s">
        <v>333</v>
      </c>
      <c r="W36" s="23" t="s">
        <v>334</v>
      </c>
      <c r="X36" s="23" t="s">
        <v>335</v>
      </c>
      <c r="Y36" s="23" t="s">
        <v>241</v>
      </c>
      <c r="Z36" s="23" t="s">
        <v>333</v>
      </c>
      <c r="AA36" s="23" t="s">
        <v>334</v>
      </c>
      <c r="AB36" s="23" t="s">
        <v>335</v>
      </c>
      <c r="AC36" s="23" t="s">
        <v>241</v>
      </c>
      <c r="AD36" s="23" t="s">
        <v>333</v>
      </c>
      <c r="AE36" s="23" t="s">
        <v>334</v>
      </c>
      <c r="AF36" s="23" t="s">
        <v>335</v>
      </c>
      <c r="AG36" s="23" t="s">
        <v>241</v>
      </c>
      <c r="AH36" s="23" t="s">
        <v>333</v>
      </c>
      <c r="AI36" s="23" t="s">
        <v>334</v>
      </c>
      <c r="AJ36" s="23" t="s">
        <v>335</v>
      </c>
      <c r="AK36" s="23" t="s">
        <v>241</v>
      </c>
      <c r="AL36" s="23" t="s">
        <v>336</v>
      </c>
      <c r="AM36" s="23" t="s">
        <v>337</v>
      </c>
      <c r="AN36" s="23" t="s">
        <v>338</v>
      </c>
      <c r="AO36" s="23" t="s">
        <v>339</v>
      </c>
      <c r="AP36" s="23" t="s">
        <v>340</v>
      </c>
      <c r="AQ36" s="23" t="s">
        <v>341</v>
      </c>
      <c r="AR36" s="23" t="s">
        <v>342</v>
      </c>
      <c r="AS36" s="23" t="s">
        <v>343</v>
      </c>
      <c r="AT36" s="23" t="s">
        <v>344</v>
      </c>
      <c r="AU36" s="23" t="s">
        <v>345</v>
      </c>
      <c r="AV36" s="23" t="s">
        <v>346</v>
      </c>
      <c r="AW36" s="23" t="s">
        <v>347</v>
      </c>
      <c r="AX36" s="23" t="s">
        <v>348</v>
      </c>
      <c r="AY36" s="23" t="s">
        <v>349</v>
      </c>
      <c r="AZ36" s="23" t="s">
        <v>350</v>
      </c>
      <c r="BA36" s="23" t="s">
        <v>351</v>
      </c>
      <c r="BB36" s="23" t="s">
        <v>352</v>
      </c>
      <c r="BC36" s="23" t="s">
        <v>353</v>
      </c>
      <c r="BD36" s="23" t="s">
        <v>354</v>
      </c>
      <c r="BE36" s="23" t="s">
        <v>355</v>
      </c>
      <c r="BF36" s="23" t="s">
        <v>356</v>
      </c>
      <c r="BG36" s="23" t="s">
        <v>357</v>
      </c>
      <c r="BH36" s="23" t="s">
        <v>358</v>
      </c>
      <c r="BI36" s="23" t="s">
        <v>359</v>
      </c>
      <c r="BJ36" s="23" t="s">
        <v>360</v>
      </c>
      <c r="BK36" s="23" t="s">
        <v>361</v>
      </c>
      <c r="BL36" s="23" t="s">
        <v>362</v>
      </c>
      <c r="BM36" s="23" t="s">
        <v>363</v>
      </c>
      <c r="BN36" s="23" t="s">
        <v>364</v>
      </c>
      <c r="BO36" s="23" t="s">
        <v>365</v>
      </c>
      <c r="BP36" s="23" t="s">
        <v>366</v>
      </c>
      <c r="BQ36" s="23" t="s">
        <v>367</v>
      </c>
      <c r="BR36" s="23" t="s">
        <v>368</v>
      </c>
      <c r="BS36" s="23" t="s">
        <v>369</v>
      </c>
      <c r="BT36" s="23" t="s">
        <v>370</v>
      </c>
      <c r="BU36" s="23" t="s">
        <v>371</v>
      </c>
      <c r="BV36" s="23" t="s">
        <v>372</v>
      </c>
      <c r="BW36" s="23" t="s">
        <v>373</v>
      </c>
      <c r="BX36" s="23" t="s">
        <v>374</v>
      </c>
      <c r="BY36" s="23" t="s">
        <v>375</v>
      </c>
      <c r="BZ36" s="23" t="s">
        <v>376</v>
      </c>
      <c r="CA36" s="23" t="s">
        <v>377</v>
      </c>
      <c r="CB36" s="23" t="s">
        <v>378</v>
      </c>
      <c r="CC36" s="23" t="s">
        <v>379</v>
      </c>
      <c r="CD36" s="23" t="s">
        <v>23</v>
      </c>
      <c r="CE36" s="23" t="s">
        <v>24</v>
      </c>
      <c r="CF36" s="23" t="s">
        <v>380</v>
      </c>
      <c r="CG36" s="23" t="s">
        <v>381</v>
      </c>
      <c r="CH36" s="23" t="s">
        <v>382</v>
      </c>
      <c r="CI36" s="23" t="s">
        <v>383</v>
      </c>
      <c r="CJ36" s="23" t="s">
        <v>384</v>
      </c>
      <c r="CK36" s="23" t="s">
        <v>385</v>
      </c>
      <c r="CL36" s="23"/>
      <c r="CM36" s="23" t="s">
        <v>386</v>
      </c>
      <c r="CN36" s="23" t="s">
        <v>387</v>
      </c>
      <c r="CO36" s="23" t="s">
        <v>388</v>
      </c>
      <c r="CP36" s="23" t="s">
        <v>389</v>
      </c>
      <c r="CQ36" s="23" t="s">
        <v>390</v>
      </c>
      <c r="CR36" s="23" t="s">
        <v>391</v>
      </c>
      <c r="CS36" s="23" t="s">
        <v>392</v>
      </c>
      <c r="CT36" s="23" t="s">
        <v>393</v>
      </c>
      <c r="CU36" s="23" t="s">
        <v>394</v>
      </c>
      <c r="CV36" s="23" t="s">
        <v>395</v>
      </c>
      <c r="CW36" s="141" t="s">
        <v>396</v>
      </c>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t="s">
        <v>182</v>
      </c>
      <c r="B37" s="7" t="s">
        <v>183</v>
      </c>
      <c r="C37" s="20">
        <v>10.91</v>
      </c>
      <c r="D37" s="20">
        <v>8.5116502164601506</v>
      </c>
      <c r="E37" s="20">
        <v>0</v>
      </c>
      <c r="F37" s="20">
        <v>4.5060279556821436</v>
      </c>
      <c r="G37" s="20">
        <v>0</v>
      </c>
      <c r="H37" s="20">
        <v>0</v>
      </c>
      <c r="I37" s="20" t="s">
        <v>226</v>
      </c>
      <c r="J37" s="20"/>
      <c r="K37" s="20"/>
      <c r="L37" s="20">
        <v>9.1560045331478168</v>
      </c>
      <c r="M37" s="20">
        <v>5.294096174250985E-3</v>
      </c>
      <c r="N37" s="20">
        <v>5.255885762168672E-3</v>
      </c>
      <c r="O37" s="20">
        <v>0</v>
      </c>
      <c r="P37" s="20">
        <v>0</v>
      </c>
      <c r="Q37" s="20">
        <v>0</v>
      </c>
      <c r="R37" s="20">
        <v>0.89856216814725354</v>
      </c>
      <c r="S37" s="20">
        <v>2.0764405000540309</v>
      </c>
      <c r="T37" s="20">
        <v>0</v>
      </c>
      <c r="U37" s="20">
        <v>4.1816338330711886</v>
      </c>
      <c r="V37" s="20" t="s">
        <v>397</v>
      </c>
      <c r="W37" s="20" t="s">
        <v>397</v>
      </c>
      <c r="X37" s="20" t="s">
        <v>397</v>
      </c>
      <c r="Y37" s="20" t="s">
        <v>397</v>
      </c>
      <c r="Z37" s="20">
        <v>0</v>
      </c>
      <c r="AA37" s="20">
        <v>0</v>
      </c>
      <c r="AB37" s="20">
        <v>0</v>
      </c>
      <c r="AC37" s="20">
        <v>0</v>
      </c>
      <c r="AD37" s="20">
        <v>0</v>
      </c>
      <c r="AE37" s="20">
        <v>0</v>
      </c>
      <c r="AF37" s="20">
        <v>0</v>
      </c>
      <c r="AG37" s="20">
        <v>0</v>
      </c>
      <c r="AH37" s="20">
        <v>0.89856216814725354</v>
      </c>
      <c r="AI37" s="20">
        <v>2.0764405000540309</v>
      </c>
      <c r="AJ37" s="20">
        <v>0</v>
      </c>
      <c r="AK37" s="20">
        <v>4.1816338330711886</v>
      </c>
      <c r="AL37" s="20">
        <v>7.1566365012724731</v>
      </c>
      <c r="AM37" s="20">
        <v>4.8482238905301029</v>
      </c>
      <c r="AN37" s="20">
        <v>1.8706608624526104</v>
      </c>
      <c r="AO37" s="20">
        <v>0</v>
      </c>
      <c r="AP37" s="20">
        <v>0</v>
      </c>
      <c r="AQ37" s="20">
        <v>6.7188847529827136</v>
      </c>
      <c r="AR37" s="20">
        <v>0.89856216814725354</v>
      </c>
      <c r="AS37" s="24">
        <v>7.4773732871887884</v>
      </c>
      <c r="AT37" s="20">
        <v>4.8482238905301029</v>
      </c>
      <c r="AU37" s="20">
        <v>2.2143052849319851</v>
      </c>
      <c r="AV37" s="20">
        <v>0</v>
      </c>
      <c r="AW37" s="20">
        <v>0</v>
      </c>
      <c r="AX37" s="20">
        <v>7.062529175462088</v>
      </c>
      <c r="AY37" s="20">
        <v>2.0764405000540309</v>
      </c>
      <c r="AZ37" s="24">
        <v>3.4012673010752366</v>
      </c>
      <c r="BA37" s="20">
        <v>4.8482238905301029</v>
      </c>
      <c r="BB37" s="20">
        <v>4.0849661473845957</v>
      </c>
      <c r="BC37" s="20">
        <v>0</v>
      </c>
      <c r="BD37" s="20">
        <v>0</v>
      </c>
      <c r="BE37" s="20">
        <v>8.9331900379146987</v>
      </c>
      <c r="BF37" s="20">
        <v>2.9750026682012845</v>
      </c>
      <c r="BG37" s="20">
        <v>-8.9201632986832529</v>
      </c>
      <c r="BH37" s="24">
        <v>3.0027502608311245</v>
      </c>
      <c r="BI37" s="20">
        <v>7.2212477475293966</v>
      </c>
      <c r="BJ37" s="20">
        <v>16.687205198958182</v>
      </c>
      <c r="BK37" s="20">
        <v>0</v>
      </c>
      <c r="BL37" s="20">
        <v>33.605481032348017</v>
      </c>
      <c r="BM37" s="20">
        <v>57.513933978835595</v>
      </c>
      <c r="BN37" s="20">
        <v>4.8482238905301029</v>
      </c>
      <c r="BO37" s="20">
        <v>0</v>
      </c>
      <c r="BP37" s="20">
        <v>4.0849661473845957</v>
      </c>
      <c r="BQ37" s="20">
        <v>0</v>
      </c>
      <c r="BR37" s="20">
        <v>0</v>
      </c>
      <c r="BS37" s="20">
        <v>0</v>
      </c>
      <c r="BT37" s="20">
        <v>0</v>
      </c>
      <c r="BU37" s="20">
        <v>0</v>
      </c>
      <c r="BV37" s="20">
        <v>0</v>
      </c>
      <c r="BW37" s="20">
        <v>0</v>
      </c>
      <c r="BX37" s="20">
        <v>7.1566365012724731</v>
      </c>
      <c r="BY37" s="20"/>
      <c r="BZ37" s="20">
        <v>0</v>
      </c>
      <c r="CA37" s="20">
        <v>0</v>
      </c>
      <c r="CB37" s="20">
        <v>8.9331900379146987</v>
      </c>
      <c r="CC37" s="20">
        <v>7.1566365012724731</v>
      </c>
      <c r="CD37" s="24">
        <v>1.2482386154901606</v>
      </c>
      <c r="CE37" s="20">
        <v>24.685317733664768</v>
      </c>
      <c r="CF37" s="20">
        <v>8.6983081435182297E-2</v>
      </c>
      <c r="CG37" s="20">
        <v>0</v>
      </c>
      <c r="CH37" s="20">
        <v>8.6983081435182297E-2</v>
      </c>
      <c r="CI37" s="20">
        <v>4.349102153245213E-3</v>
      </c>
      <c r="CJ37" s="20">
        <v>0</v>
      </c>
      <c r="CK37" s="20">
        <v>4.349102153245213E-3</v>
      </c>
      <c r="CL37" s="20"/>
      <c r="CM37" s="20">
        <v>0</v>
      </c>
      <c r="CN37" s="20"/>
      <c r="CO37" s="20">
        <v>0</v>
      </c>
      <c r="CP37" s="20">
        <v>0</v>
      </c>
      <c r="CQ37" s="20">
        <v>0</v>
      </c>
      <c r="CR37" s="20">
        <v>0</v>
      </c>
      <c r="CS37" s="20">
        <v>0</v>
      </c>
      <c r="CT37" s="20">
        <v>0</v>
      </c>
      <c r="CU37" s="20">
        <v>0</v>
      </c>
      <c r="CV37" s="20">
        <v>9999</v>
      </c>
      <c r="CW37" s="24">
        <v>9999</v>
      </c>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ht="13.5" thickBot="1">
      <c r="A40" s="18" t="s">
        <v>398</v>
      </c>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26.25" thickBot="1">
      <c r="A41" s="135" t="s">
        <v>301</v>
      </c>
      <c r="B41" s="136"/>
      <c r="C41" s="137" t="s">
        <v>302</v>
      </c>
      <c r="D41" s="138"/>
      <c r="E41" s="138"/>
      <c r="F41" s="138"/>
      <c r="G41" s="138"/>
      <c r="H41" s="138"/>
      <c r="I41" s="138"/>
      <c r="J41" s="138"/>
      <c r="K41" s="139"/>
      <c r="L41" s="137" t="s">
        <v>303</v>
      </c>
      <c r="M41" s="138"/>
      <c r="N41" s="138"/>
      <c r="O41" s="138"/>
      <c r="P41" s="138"/>
      <c r="Q41" s="139"/>
      <c r="R41" s="137" t="s">
        <v>304</v>
      </c>
      <c r="S41" s="138"/>
      <c r="T41" s="138"/>
      <c r="U41" s="139"/>
      <c r="V41" s="137" t="s">
        <v>305</v>
      </c>
      <c r="W41" s="138"/>
      <c r="X41" s="138"/>
      <c r="Y41" s="139"/>
      <c r="Z41" s="137" t="s">
        <v>306</v>
      </c>
      <c r="AA41" s="138"/>
      <c r="AB41" s="138"/>
      <c r="AC41" s="139"/>
      <c r="AD41" s="137" t="s">
        <v>307</v>
      </c>
      <c r="AE41" s="138"/>
      <c r="AF41" s="138"/>
      <c r="AG41" s="139"/>
      <c r="AH41" s="137" t="s">
        <v>308</v>
      </c>
      <c r="AI41" s="138"/>
      <c r="AJ41" s="138"/>
      <c r="AK41" s="138"/>
      <c r="AL41" s="139"/>
      <c r="AM41" s="137" t="s">
        <v>309</v>
      </c>
      <c r="AN41" s="138"/>
      <c r="AO41" s="138"/>
      <c r="AP41" s="138"/>
      <c r="AQ41" s="138"/>
      <c r="AR41" s="138"/>
      <c r="AS41" s="139"/>
      <c r="AT41" s="137" t="s">
        <v>310</v>
      </c>
      <c r="AU41" s="138"/>
      <c r="AV41" s="138"/>
      <c r="AW41" s="138"/>
      <c r="AX41" s="138"/>
      <c r="AY41" s="138"/>
      <c r="AZ41" s="139"/>
      <c r="BA41" s="137" t="s">
        <v>311</v>
      </c>
      <c r="BB41" s="138"/>
      <c r="BC41" s="138"/>
      <c r="BD41" s="138"/>
      <c r="BE41" s="138"/>
      <c r="BF41" s="139"/>
      <c r="BG41" s="137" t="s">
        <v>312</v>
      </c>
      <c r="BH41" s="139"/>
      <c r="BI41" s="137" t="s">
        <v>313</v>
      </c>
      <c r="BJ41" s="138"/>
      <c r="BK41" s="138"/>
      <c r="BL41" s="138"/>
      <c r="BM41" s="139"/>
      <c r="BN41" s="137" t="s">
        <v>314</v>
      </c>
      <c r="BO41" s="138"/>
      <c r="BP41" s="138"/>
      <c r="BQ41" s="138"/>
      <c r="BR41" s="138"/>
      <c r="BS41" s="138"/>
      <c r="BT41" s="138"/>
      <c r="BU41" s="138"/>
      <c r="BV41" s="138"/>
      <c r="BW41" s="138"/>
      <c r="BX41" s="138"/>
      <c r="BY41" s="138"/>
      <c r="BZ41" s="138"/>
      <c r="CA41" s="138"/>
      <c r="CB41" s="138"/>
      <c r="CC41" s="139"/>
      <c r="CD41" s="137" t="s">
        <v>315</v>
      </c>
      <c r="CE41" s="139"/>
      <c r="CF41" s="137" t="s">
        <v>316</v>
      </c>
      <c r="CG41" s="138"/>
      <c r="CH41" s="138"/>
      <c r="CI41" s="138"/>
      <c r="CJ41" s="138"/>
      <c r="CK41" s="139"/>
      <c r="CL41" s="140"/>
      <c r="CM41" s="137" t="s">
        <v>5</v>
      </c>
      <c r="CN41" s="138"/>
      <c r="CO41" s="138"/>
      <c r="CP41" s="139"/>
      <c r="CQ41" s="137" t="s">
        <v>317</v>
      </c>
      <c r="CR41" s="138"/>
      <c r="CS41" s="138"/>
      <c r="CT41" s="138"/>
      <c r="CU41" s="139"/>
      <c r="CV41" s="137" t="s">
        <v>318</v>
      </c>
      <c r="CW41" s="139"/>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204">
      <c r="A42" s="21" t="s">
        <v>21</v>
      </c>
      <c r="B42" s="22" t="s">
        <v>22</v>
      </c>
      <c r="C42" s="23" t="s">
        <v>202</v>
      </c>
      <c r="D42" s="23" t="s">
        <v>319</v>
      </c>
      <c r="E42" s="23" t="s">
        <v>320</v>
      </c>
      <c r="F42" s="23" t="s">
        <v>321</v>
      </c>
      <c r="G42" s="23" t="s">
        <v>322</v>
      </c>
      <c r="H42" s="23" t="s">
        <v>323</v>
      </c>
      <c r="I42" s="23" t="s">
        <v>324</v>
      </c>
      <c r="J42" s="23" t="s">
        <v>325</v>
      </c>
      <c r="K42" s="23" t="s">
        <v>326</v>
      </c>
      <c r="L42" s="23" t="s">
        <v>327</v>
      </c>
      <c r="M42" s="23" t="s">
        <v>328</v>
      </c>
      <c r="N42" s="23" t="s">
        <v>329</v>
      </c>
      <c r="O42" s="23" t="s">
        <v>330</v>
      </c>
      <c r="P42" s="23" t="s">
        <v>331</v>
      </c>
      <c r="Q42" s="23" t="s">
        <v>332</v>
      </c>
      <c r="R42" s="23" t="s">
        <v>333</v>
      </c>
      <c r="S42" s="23" t="s">
        <v>334</v>
      </c>
      <c r="T42" s="23" t="s">
        <v>335</v>
      </c>
      <c r="U42" s="23" t="s">
        <v>241</v>
      </c>
      <c r="V42" s="23" t="s">
        <v>333</v>
      </c>
      <c r="W42" s="23" t="s">
        <v>334</v>
      </c>
      <c r="X42" s="23" t="s">
        <v>335</v>
      </c>
      <c r="Y42" s="23" t="s">
        <v>241</v>
      </c>
      <c r="Z42" s="23" t="s">
        <v>333</v>
      </c>
      <c r="AA42" s="23" t="s">
        <v>334</v>
      </c>
      <c r="AB42" s="23" t="s">
        <v>335</v>
      </c>
      <c r="AC42" s="23" t="s">
        <v>241</v>
      </c>
      <c r="AD42" s="23" t="s">
        <v>333</v>
      </c>
      <c r="AE42" s="23" t="s">
        <v>334</v>
      </c>
      <c r="AF42" s="23" t="s">
        <v>335</v>
      </c>
      <c r="AG42" s="23" t="s">
        <v>241</v>
      </c>
      <c r="AH42" s="23" t="s">
        <v>333</v>
      </c>
      <c r="AI42" s="23" t="s">
        <v>334</v>
      </c>
      <c r="AJ42" s="23" t="s">
        <v>335</v>
      </c>
      <c r="AK42" s="23" t="s">
        <v>241</v>
      </c>
      <c r="AL42" s="23" t="s">
        <v>336</v>
      </c>
      <c r="AM42" s="23" t="s">
        <v>337</v>
      </c>
      <c r="AN42" s="23" t="s">
        <v>338</v>
      </c>
      <c r="AO42" s="23" t="s">
        <v>339</v>
      </c>
      <c r="AP42" s="23" t="s">
        <v>340</v>
      </c>
      <c r="AQ42" s="23" t="s">
        <v>341</v>
      </c>
      <c r="AR42" s="23" t="s">
        <v>342</v>
      </c>
      <c r="AS42" s="23" t="s">
        <v>343</v>
      </c>
      <c r="AT42" s="23" t="s">
        <v>344</v>
      </c>
      <c r="AU42" s="23" t="s">
        <v>345</v>
      </c>
      <c r="AV42" s="23" t="s">
        <v>346</v>
      </c>
      <c r="AW42" s="23" t="s">
        <v>347</v>
      </c>
      <c r="AX42" s="23" t="s">
        <v>348</v>
      </c>
      <c r="AY42" s="23" t="s">
        <v>349</v>
      </c>
      <c r="AZ42" s="23" t="s">
        <v>350</v>
      </c>
      <c r="BA42" s="23" t="s">
        <v>351</v>
      </c>
      <c r="BB42" s="23" t="s">
        <v>352</v>
      </c>
      <c r="BC42" s="23" t="s">
        <v>353</v>
      </c>
      <c r="BD42" s="23" t="s">
        <v>354</v>
      </c>
      <c r="BE42" s="23" t="s">
        <v>355</v>
      </c>
      <c r="BF42" s="23" t="s">
        <v>356</v>
      </c>
      <c r="BG42" s="23" t="s">
        <v>357</v>
      </c>
      <c r="BH42" s="23" t="s">
        <v>358</v>
      </c>
      <c r="BI42" s="23" t="s">
        <v>359</v>
      </c>
      <c r="BJ42" s="23" t="s">
        <v>360</v>
      </c>
      <c r="BK42" s="23" t="s">
        <v>361</v>
      </c>
      <c r="BL42" s="23" t="s">
        <v>362</v>
      </c>
      <c r="BM42" s="23" t="s">
        <v>363</v>
      </c>
      <c r="BN42" s="23" t="s">
        <v>364</v>
      </c>
      <c r="BO42" s="23" t="s">
        <v>365</v>
      </c>
      <c r="BP42" s="23" t="s">
        <v>366</v>
      </c>
      <c r="BQ42" s="23" t="s">
        <v>367</v>
      </c>
      <c r="BR42" s="23" t="s">
        <v>368</v>
      </c>
      <c r="BS42" s="23" t="s">
        <v>369</v>
      </c>
      <c r="BT42" s="23" t="s">
        <v>370</v>
      </c>
      <c r="BU42" s="23" t="s">
        <v>371</v>
      </c>
      <c r="BV42" s="23" t="s">
        <v>372</v>
      </c>
      <c r="BW42" s="23" t="s">
        <v>373</v>
      </c>
      <c r="BX42" s="23" t="s">
        <v>374</v>
      </c>
      <c r="BY42" s="23" t="s">
        <v>375</v>
      </c>
      <c r="BZ42" s="23" t="s">
        <v>376</v>
      </c>
      <c r="CA42" s="23" t="s">
        <v>377</v>
      </c>
      <c r="CB42" s="23" t="s">
        <v>378</v>
      </c>
      <c r="CC42" s="23" t="s">
        <v>379</v>
      </c>
      <c r="CD42" s="23" t="s">
        <v>23</v>
      </c>
      <c r="CE42" s="23" t="s">
        <v>24</v>
      </c>
      <c r="CF42" s="23" t="s">
        <v>380</v>
      </c>
      <c r="CG42" s="23" t="s">
        <v>381</v>
      </c>
      <c r="CH42" s="23" t="s">
        <v>382</v>
      </c>
      <c r="CI42" s="23" t="s">
        <v>383</v>
      </c>
      <c r="CJ42" s="23" t="s">
        <v>384</v>
      </c>
      <c r="CK42" s="23" t="s">
        <v>385</v>
      </c>
      <c r="CL42" s="23"/>
      <c r="CM42" s="23" t="s">
        <v>386</v>
      </c>
      <c r="CN42" s="23" t="s">
        <v>387</v>
      </c>
      <c r="CO42" s="23" t="s">
        <v>388</v>
      </c>
      <c r="CP42" s="23" t="s">
        <v>389</v>
      </c>
      <c r="CQ42" s="23" t="s">
        <v>390</v>
      </c>
      <c r="CR42" s="23" t="s">
        <v>391</v>
      </c>
      <c r="CS42" s="23" t="s">
        <v>392</v>
      </c>
      <c r="CT42" s="23" t="s">
        <v>393</v>
      </c>
      <c r="CU42" s="23" t="s">
        <v>394</v>
      </c>
      <c r="CV42" s="23" t="s">
        <v>395</v>
      </c>
      <c r="CW42" s="23" t="s">
        <v>396</v>
      </c>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t="s">
        <v>182</v>
      </c>
      <c r="B43" s="7"/>
      <c r="C43" s="20">
        <v>10.91</v>
      </c>
      <c r="D43" s="20">
        <v>8.5116502164601506</v>
      </c>
      <c r="E43" s="20">
        <v>0</v>
      </c>
      <c r="F43" s="20">
        <v>4.5060279556821436</v>
      </c>
      <c r="G43" s="20">
        <v>0</v>
      </c>
      <c r="H43" s="20">
        <v>0</v>
      </c>
      <c r="I43" s="20"/>
      <c r="J43" s="20"/>
      <c r="K43" s="20"/>
      <c r="L43" s="20">
        <v>9.1560045331478168</v>
      </c>
      <c r="M43" s="20">
        <v>5.294096174250985E-3</v>
      </c>
      <c r="N43" s="20">
        <v>5.255885762168672E-3</v>
      </c>
      <c r="O43" s="20">
        <v>0</v>
      </c>
      <c r="P43" s="20">
        <v>0</v>
      </c>
      <c r="Q43" s="20">
        <v>0</v>
      </c>
      <c r="R43" s="20">
        <v>0.89856216814725354</v>
      </c>
      <c r="S43" s="20">
        <v>2.0764405000540309</v>
      </c>
      <c r="T43" s="20">
        <v>0</v>
      </c>
      <c r="U43" s="20">
        <v>4.1816338330711886</v>
      </c>
      <c r="V43" s="20">
        <v>0.27036167734092864</v>
      </c>
      <c r="W43" s="20">
        <v>0.63084391379550009</v>
      </c>
      <c r="X43" s="20">
        <v>0</v>
      </c>
      <c r="Y43" s="20">
        <v>0</v>
      </c>
      <c r="Z43" s="20">
        <v>0</v>
      </c>
      <c r="AA43" s="20">
        <v>0</v>
      </c>
      <c r="AB43" s="20">
        <v>0</v>
      </c>
      <c r="AC43" s="20">
        <v>0</v>
      </c>
      <c r="AD43" s="20">
        <v>0</v>
      </c>
      <c r="AE43" s="20">
        <v>0</v>
      </c>
      <c r="AF43" s="20">
        <v>0</v>
      </c>
      <c r="AG43" s="20">
        <v>0</v>
      </c>
      <c r="AH43" s="20">
        <v>1.1689238454881821</v>
      </c>
      <c r="AI43" s="20">
        <v>2.7072844138495311</v>
      </c>
      <c r="AJ43" s="20">
        <v>0</v>
      </c>
      <c r="AK43" s="20">
        <v>4.1816338330711886</v>
      </c>
      <c r="AL43" s="20">
        <v>8.0578420924089009</v>
      </c>
      <c r="AM43" s="20">
        <v>4.8482238905301029</v>
      </c>
      <c r="AN43" s="20">
        <v>1.8706608624526104</v>
      </c>
      <c r="AO43" s="20">
        <v>0</v>
      </c>
      <c r="AP43" s="20">
        <v>0</v>
      </c>
      <c r="AQ43" s="20">
        <v>6.7188847529827136</v>
      </c>
      <c r="AR43" s="20">
        <v>1.1689238454881821</v>
      </c>
      <c r="AS43" s="24">
        <v>5.7479234245381319</v>
      </c>
      <c r="AT43" s="20">
        <v>4.8482238905301029</v>
      </c>
      <c r="AU43" s="20">
        <v>2.2143052849319851</v>
      </c>
      <c r="AV43" s="20">
        <v>0</v>
      </c>
      <c r="AW43" s="20">
        <v>0</v>
      </c>
      <c r="AX43" s="20">
        <v>7.062529175462088</v>
      </c>
      <c r="AY43" s="20">
        <v>2.7072844138495311</v>
      </c>
      <c r="AZ43" s="24">
        <v>2.6087134175237114</v>
      </c>
      <c r="BA43" s="20">
        <v>4.8482238905301029</v>
      </c>
      <c r="BB43" s="20">
        <v>4.0849661473845957</v>
      </c>
      <c r="BC43" s="20">
        <v>0</v>
      </c>
      <c r="BD43" s="20">
        <v>0</v>
      </c>
      <c r="BE43" s="20">
        <v>8.9331900379146987</v>
      </c>
      <c r="BF43" s="20">
        <v>3.8762082593377132</v>
      </c>
      <c r="BG43" s="20">
        <v>-1.6776718209112289</v>
      </c>
      <c r="BH43" s="24">
        <v>2.304620763447065</v>
      </c>
      <c r="BI43" s="20">
        <v>9.393995190861002</v>
      </c>
      <c r="BJ43" s="20">
        <v>21.756949233398597</v>
      </c>
      <c r="BK43" s="20">
        <v>0</v>
      </c>
      <c r="BL43" s="20">
        <v>33.605481032348017</v>
      </c>
      <c r="BM43" s="20">
        <v>64.756425456607616</v>
      </c>
      <c r="BN43" s="20">
        <v>4.8482238905301029</v>
      </c>
      <c r="BO43" s="20">
        <v>0</v>
      </c>
      <c r="BP43" s="20">
        <v>4.0849661473845957</v>
      </c>
      <c r="BQ43" s="20">
        <v>0</v>
      </c>
      <c r="BR43" s="20">
        <v>0</v>
      </c>
      <c r="BS43" s="20">
        <v>0</v>
      </c>
      <c r="BT43" s="20">
        <v>0</v>
      </c>
      <c r="BU43" s="20">
        <v>0</v>
      </c>
      <c r="BV43" s="20">
        <v>0</v>
      </c>
      <c r="BW43" s="20">
        <v>0</v>
      </c>
      <c r="BX43" s="20">
        <v>7.1566365012724731</v>
      </c>
      <c r="BY43" s="20">
        <v>0.90120559113642873</v>
      </c>
      <c r="BZ43" s="20">
        <v>0</v>
      </c>
      <c r="CA43" s="20">
        <v>0</v>
      </c>
      <c r="CB43" s="20">
        <v>8.9331900379146987</v>
      </c>
      <c r="CC43" s="20">
        <v>8.0578420924089009</v>
      </c>
      <c r="CD43" s="24">
        <v>1.1086330478392523</v>
      </c>
      <c r="CE43" s="20">
        <v>31.927809211436781</v>
      </c>
      <c r="CF43" s="20">
        <v>8.6983081435182297E-2</v>
      </c>
      <c r="CG43" s="20">
        <v>0</v>
      </c>
      <c r="CH43" s="20">
        <v>8.6983081435182297E-2</v>
      </c>
      <c r="CI43" s="20">
        <v>4.349102153245213E-3</v>
      </c>
      <c r="CJ43" s="20">
        <v>0</v>
      </c>
      <c r="CK43" s="20">
        <v>4.349102153245213E-3</v>
      </c>
      <c r="CL43" s="20"/>
      <c r="CM43" s="20">
        <v>0</v>
      </c>
      <c r="CN43" s="20"/>
      <c r="CO43" s="20">
        <v>0</v>
      </c>
      <c r="CP43" s="20">
        <v>0</v>
      </c>
      <c r="CQ43" s="20">
        <v>0</v>
      </c>
      <c r="CR43" s="20">
        <v>0</v>
      </c>
      <c r="CS43" s="20">
        <v>0</v>
      </c>
      <c r="CT43" s="20">
        <v>0</v>
      </c>
      <c r="CU43" s="20">
        <v>0</v>
      </c>
      <c r="CV43" s="20">
        <v>9999</v>
      </c>
      <c r="CW43" s="24">
        <v>9999</v>
      </c>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13.5" thickBot="1">
      <c r="A46" s="18" t="s">
        <v>399</v>
      </c>
      <c r="B46" s="19"/>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ht="13.5" thickBot="1">
      <c r="A47" s="143" t="s">
        <v>400</v>
      </c>
      <c r="B47" s="144"/>
      <c r="C47" s="145"/>
      <c r="D47" s="145"/>
      <c r="E47" s="145"/>
      <c r="F47" s="145"/>
      <c r="G47" s="145"/>
      <c r="H47" s="145"/>
      <c r="I47" s="145"/>
      <c r="J47" s="145"/>
      <c r="K47" s="145"/>
      <c r="L47" s="25"/>
      <c r="M47" s="146"/>
      <c r="N47" s="147" t="s">
        <v>442</v>
      </c>
      <c r="O47" s="145"/>
      <c r="P47" s="145"/>
      <c r="Q47" s="145"/>
      <c r="R47" s="145"/>
      <c r="S47" s="145"/>
      <c r="T47" s="145"/>
      <c r="U47" s="145"/>
      <c r="V47" s="145"/>
      <c r="W47" s="145"/>
      <c r="X47" s="145"/>
      <c r="Y47" s="25"/>
      <c r="Z47" s="146"/>
      <c r="AA47" s="147" t="s">
        <v>443</v>
      </c>
      <c r="AB47" s="145"/>
      <c r="AC47" s="145"/>
      <c r="AD47" s="145"/>
      <c r="AE47" s="145"/>
      <c r="AF47" s="145"/>
      <c r="AG47" s="145"/>
      <c r="AH47" s="145"/>
      <c r="AI47" s="145"/>
      <c r="AJ47" s="145"/>
      <c r="AK47" s="145"/>
      <c r="AL47" s="25"/>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ht="191.25">
      <c r="A48" s="21"/>
      <c r="B48" s="22" t="s">
        <v>401</v>
      </c>
      <c r="C48" s="23" t="s">
        <v>402</v>
      </c>
      <c r="D48" s="23" t="s">
        <v>25</v>
      </c>
      <c r="E48" s="23" t="s">
        <v>26</v>
      </c>
      <c r="F48" s="23" t="s">
        <v>27</v>
      </c>
      <c r="G48" s="23" t="s">
        <v>28</v>
      </c>
      <c r="H48" s="23" t="s">
        <v>29</v>
      </c>
      <c r="I48" s="23" t="s">
        <v>30</v>
      </c>
      <c r="J48" s="23" t="s">
        <v>31</v>
      </c>
      <c r="K48" s="23" t="s">
        <v>24</v>
      </c>
      <c r="L48" s="23" t="s">
        <v>23</v>
      </c>
      <c r="M48" s="23" t="s">
        <v>32</v>
      </c>
      <c r="N48" s="23" t="s">
        <v>33</v>
      </c>
      <c r="O48" s="23" t="s">
        <v>34</v>
      </c>
      <c r="P48" s="23" t="s">
        <v>35</v>
      </c>
      <c r="Q48" s="23" t="s">
        <v>36</v>
      </c>
      <c r="R48" s="23" t="s">
        <v>37</v>
      </c>
      <c r="S48" s="23" t="s">
        <v>38</v>
      </c>
      <c r="T48" s="23" t="s">
        <v>39</v>
      </c>
      <c r="U48" s="23" t="s">
        <v>40</v>
      </c>
      <c r="V48" s="23" t="s">
        <v>41</v>
      </c>
      <c r="W48" s="23" t="s">
        <v>42</v>
      </c>
      <c r="X48" s="23" t="s">
        <v>43</v>
      </c>
      <c r="Y48" s="23" t="s">
        <v>44</v>
      </c>
      <c r="Z48" s="23"/>
      <c r="AA48" s="23" t="s">
        <v>33</v>
      </c>
      <c r="AB48" s="23" t="s">
        <v>34</v>
      </c>
      <c r="AC48" s="23" t="s">
        <v>35</v>
      </c>
      <c r="AD48" s="23" t="s">
        <v>36</v>
      </c>
      <c r="AE48" s="23" t="s">
        <v>37</v>
      </c>
      <c r="AF48" s="23" t="s">
        <v>38</v>
      </c>
      <c r="AG48" s="23" t="s">
        <v>39</v>
      </c>
      <c r="AH48" s="23" t="s">
        <v>40</v>
      </c>
      <c r="AI48" s="23" t="s">
        <v>41</v>
      </c>
      <c r="AJ48" s="23" t="s">
        <v>42</v>
      </c>
      <c r="AK48" s="23" t="s">
        <v>43</v>
      </c>
      <c r="AL48" s="23" t="s">
        <v>44</v>
      </c>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c r="B49" s="34" t="s">
        <v>403</v>
      </c>
      <c r="C49" s="148">
        <v>9.1560045331478168</v>
      </c>
      <c r="D49" s="148">
        <v>4.5060279556821436</v>
      </c>
      <c r="E49" s="148">
        <v>0</v>
      </c>
      <c r="F49" s="148">
        <v>4.5060279556821436</v>
      </c>
      <c r="G49" s="148">
        <v>7.1566365012724731</v>
      </c>
      <c r="H49" s="148">
        <v>8.9331900379146987</v>
      </c>
      <c r="I49" s="148">
        <v>4311.1386357303281</v>
      </c>
      <c r="J49" s="148">
        <v>-8.9201632986832529</v>
      </c>
      <c r="K49" s="148">
        <v>24.685317733664768</v>
      </c>
      <c r="L49" s="24">
        <v>1.2482386154901606</v>
      </c>
      <c r="M49" s="20">
        <v>8.6983081435182297E-2</v>
      </c>
      <c r="N49" s="26">
        <v>0.67735114691514542</v>
      </c>
      <c r="O49" s="26">
        <v>0.55809308462705853</v>
      </c>
      <c r="P49" s="26">
        <v>0.66648759634888699</v>
      </c>
      <c r="Q49" s="26">
        <v>0.55743786685807306</v>
      </c>
      <c r="R49" s="26">
        <v>0.49393986259942624</v>
      </c>
      <c r="S49" s="26">
        <v>0.53991642899762426</v>
      </c>
      <c r="T49" s="26">
        <v>0.49491686324196371</v>
      </c>
      <c r="U49" s="26">
        <v>0.56056521469557286</v>
      </c>
      <c r="V49" s="26">
        <v>0.53210646584705568</v>
      </c>
      <c r="W49" s="26">
        <v>0.71745952030879867</v>
      </c>
      <c r="X49" s="26">
        <v>0.64860011631050529</v>
      </c>
      <c r="Y49" s="26">
        <v>0.70450564240999369</v>
      </c>
      <c r="Z49" s="26"/>
      <c r="AA49" s="26">
        <v>0.21643108833808006</v>
      </c>
      <c r="AB49" s="26">
        <v>0.16356313758480187</v>
      </c>
      <c r="AC49" s="26">
        <v>0.14009001341986893</v>
      </c>
      <c r="AD49" s="26">
        <v>0.15735976471526114</v>
      </c>
      <c r="AE49" s="26">
        <v>0.13595654878084235</v>
      </c>
      <c r="AF49" s="26">
        <v>0.11811507730283408</v>
      </c>
      <c r="AG49" s="26">
        <v>0.16292857985934348</v>
      </c>
      <c r="AH49" s="26">
        <v>0.12160233205698104</v>
      </c>
      <c r="AI49" s="26">
        <v>0.17068425972670062</v>
      </c>
      <c r="AJ49" s="26">
        <v>0.15834254599950379</v>
      </c>
      <c r="AK49" s="26">
        <v>0.2118918409286798</v>
      </c>
      <c r="AL49" s="26">
        <v>0.24765953527481449</v>
      </c>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c r="B50" s="34" t="s">
        <v>404</v>
      </c>
      <c r="C50" s="148">
        <v>9.1560045331478168</v>
      </c>
      <c r="D50" s="148">
        <v>4.5060279556821436</v>
      </c>
      <c r="E50" s="148">
        <v>0.90120559113642873</v>
      </c>
      <c r="F50" s="148">
        <v>5.4072335468185724</v>
      </c>
      <c r="G50" s="148">
        <v>8.0578420924089009</v>
      </c>
      <c r="H50" s="148">
        <v>8.9331900379146987</v>
      </c>
      <c r="I50" s="148">
        <v>5173.3663628763934</v>
      </c>
      <c r="J50" s="148">
        <v>-1.6776718209112289</v>
      </c>
      <c r="K50" s="148">
        <v>31.927809211436781</v>
      </c>
      <c r="L50" s="24">
        <v>1.1086330478392523</v>
      </c>
      <c r="M50" s="20">
        <v>8.6983081435182297E-2</v>
      </c>
      <c r="N50" s="26">
        <v>0.67735114691514542</v>
      </c>
      <c r="O50" s="26">
        <v>0.55809308462705853</v>
      </c>
      <c r="P50" s="26">
        <v>0.66648759634888699</v>
      </c>
      <c r="Q50" s="26">
        <v>0.55743786685807306</v>
      </c>
      <c r="R50" s="26">
        <v>0.49393986259942624</v>
      </c>
      <c r="S50" s="26">
        <v>0.53991642899762426</v>
      </c>
      <c r="T50" s="26">
        <v>0.49491686324196371</v>
      </c>
      <c r="U50" s="26">
        <v>0.56056521469557286</v>
      </c>
      <c r="V50" s="26">
        <v>0.53210646584705568</v>
      </c>
      <c r="W50" s="26">
        <v>0.71745952030879867</v>
      </c>
      <c r="X50" s="26">
        <v>0.64860011631050529</v>
      </c>
      <c r="Y50" s="26">
        <v>0.70450564240999369</v>
      </c>
      <c r="Z50" s="26"/>
      <c r="AA50" s="26">
        <v>0.21643108833808006</v>
      </c>
      <c r="AB50" s="26">
        <v>0.16356313758480187</v>
      </c>
      <c r="AC50" s="26">
        <v>0.14009001341986893</v>
      </c>
      <c r="AD50" s="26">
        <v>0.15735976471526114</v>
      </c>
      <c r="AE50" s="26">
        <v>0.13595654878084235</v>
      </c>
      <c r="AF50" s="26">
        <v>0.11811507730283408</v>
      </c>
      <c r="AG50" s="26">
        <v>0.16292857985934348</v>
      </c>
      <c r="AH50" s="26">
        <v>0.12160233205698104</v>
      </c>
      <c r="AI50" s="26">
        <v>0.17068425972670062</v>
      </c>
      <c r="AJ50" s="26">
        <v>0.15834254599950379</v>
      </c>
      <c r="AK50" s="26">
        <v>0.2118918409286798</v>
      </c>
      <c r="AL50" s="26">
        <v>0.24765953527481449</v>
      </c>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c r="B51" s="34" t="s">
        <v>405</v>
      </c>
      <c r="C51" s="149"/>
      <c r="D51" s="149"/>
      <c r="E51" s="149"/>
      <c r="F51" s="149"/>
      <c r="G51" s="149"/>
      <c r="H51" s="149"/>
      <c r="I51" s="149"/>
      <c r="J51" s="149"/>
      <c r="K51" s="149"/>
      <c r="L51" s="142"/>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c r="B52" s="7" t="s">
        <v>69</v>
      </c>
      <c r="C52" s="150">
        <v>0</v>
      </c>
      <c r="D52" s="150">
        <v>0</v>
      </c>
      <c r="E52" s="150">
        <v>0</v>
      </c>
      <c r="F52" s="150">
        <v>0</v>
      </c>
      <c r="G52" s="150">
        <v>0</v>
      </c>
      <c r="H52" s="150">
        <v>0</v>
      </c>
      <c r="I52" s="150">
        <v>0</v>
      </c>
      <c r="J52" s="150">
        <v>0</v>
      </c>
      <c r="K52" s="150">
        <v>0</v>
      </c>
      <c r="L52" s="142">
        <v>0</v>
      </c>
      <c r="M52" s="150">
        <v>0</v>
      </c>
      <c r="N52" s="150">
        <v>0</v>
      </c>
      <c r="O52" s="150">
        <v>0</v>
      </c>
      <c r="P52" s="150">
        <v>0</v>
      </c>
      <c r="Q52" s="150">
        <v>0</v>
      </c>
      <c r="R52" s="150">
        <v>0</v>
      </c>
      <c r="S52" s="150">
        <v>0</v>
      </c>
      <c r="T52" s="150">
        <v>0</v>
      </c>
      <c r="U52" s="150">
        <v>0</v>
      </c>
      <c r="V52" s="150">
        <v>0</v>
      </c>
      <c r="W52" s="150">
        <v>0</v>
      </c>
      <c r="X52" s="150">
        <v>0</v>
      </c>
      <c r="Y52" s="150">
        <v>0</v>
      </c>
      <c r="Z52" s="150"/>
      <c r="AA52" s="150">
        <v>0</v>
      </c>
      <c r="AB52" s="150">
        <v>0</v>
      </c>
      <c r="AC52" s="150">
        <v>0</v>
      </c>
      <c r="AD52" s="150">
        <v>0</v>
      </c>
      <c r="AE52" s="150">
        <v>0</v>
      </c>
      <c r="AF52" s="150">
        <v>0</v>
      </c>
      <c r="AG52" s="150">
        <v>0</v>
      </c>
      <c r="AH52" s="150">
        <v>0</v>
      </c>
      <c r="AI52" s="150">
        <v>0</v>
      </c>
      <c r="AJ52" s="150">
        <v>0</v>
      </c>
      <c r="AK52" s="150">
        <v>0</v>
      </c>
      <c r="AL52" s="150">
        <v>0</v>
      </c>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t="s">
        <v>72</v>
      </c>
      <c r="C53" s="150">
        <v>0</v>
      </c>
      <c r="D53" s="150">
        <v>0</v>
      </c>
      <c r="E53" s="150">
        <v>0</v>
      </c>
      <c r="F53" s="150">
        <v>0</v>
      </c>
      <c r="G53" s="150">
        <v>0</v>
      </c>
      <c r="H53" s="150">
        <v>0</v>
      </c>
      <c r="I53" s="150">
        <v>0</v>
      </c>
      <c r="J53" s="150">
        <v>0</v>
      </c>
      <c r="K53" s="150">
        <v>0</v>
      </c>
      <c r="L53" s="151">
        <v>0</v>
      </c>
      <c r="M53" s="150">
        <v>0</v>
      </c>
      <c r="N53" s="150">
        <v>0</v>
      </c>
      <c r="O53" s="150">
        <v>0</v>
      </c>
      <c r="P53" s="150">
        <v>0</v>
      </c>
      <c r="Q53" s="150">
        <v>0</v>
      </c>
      <c r="R53" s="150">
        <v>0</v>
      </c>
      <c r="S53" s="150">
        <v>0</v>
      </c>
      <c r="T53" s="150">
        <v>0</v>
      </c>
      <c r="U53" s="150">
        <v>0</v>
      </c>
      <c r="V53" s="150">
        <v>0</v>
      </c>
      <c r="W53" s="150">
        <v>0</v>
      </c>
      <c r="X53" s="150">
        <v>0</v>
      </c>
      <c r="Y53" s="150">
        <v>0</v>
      </c>
      <c r="Z53" s="150"/>
      <c r="AA53" s="150">
        <v>0</v>
      </c>
      <c r="AB53" s="150">
        <v>0</v>
      </c>
      <c r="AC53" s="150">
        <v>0</v>
      </c>
      <c r="AD53" s="150">
        <v>0</v>
      </c>
      <c r="AE53" s="150">
        <v>0</v>
      </c>
      <c r="AF53" s="150">
        <v>0</v>
      </c>
      <c r="AG53" s="150">
        <v>0</v>
      </c>
      <c r="AH53" s="150">
        <v>0</v>
      </c>
      <c r="AI53" s="150">
        <v>0</v>
      </c>
      <c r="AJ53" s="150">
        <v>0</v>
      </c>
      <c r="AK53" s="150">
        <v>0</v>
      </c>
      <c r="AL53" s="150">
        <v>0</v>
      </c>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t="s">
        <v>75</v>
      </c>
      <c r="C54" s="150">
        <v>0</v>
      </c>
      <c r="D54" s="150">
        <v>0</v>
      </c>
      <c r="E54" s="150">
        <v>0</v>
      </c>
      <c r="F54" s="150">
        <v>0</v>
      </c>
      <c r="G54" s="150">
        <v>0</v>
      </c>
      <c r="H54" s="150">
        <v>0</v>
      </c>
      <c r="I54" s="150">
        <v>0</v>
      </c>
      <c r="J54" s="150">
        <v>0</v>
      </c>
      <c r="K54" s="150">
        <v>0</v>
      </c>
      <c r="L54" s="151">
        <v>0</v>
      </c>
      <c r="M54" s="150">
        <v>0</v>
      </c>
      <c r="N54" s="150">
        <v>0</v>
      </c>
      <c r="O54" s="150">
        <v>0</v>
      </c>
      <c r="P54" s="150">
        <v>0</v>
      </c>
      <c r="Q54" s="150">
        <v>0</v>
      </c>
      <c r="R54" s="150">
        <v>0</v>
      </c>
      <c r="S54" s="150">
        <v>0</v>
      </c>
      <c r="T54" s="150">
        <v>0</v>
      </c>
      <c r="U54" s="150">
        <v>0</v>
      </c>
      <c r="V54" s="150">
        <v>0</v>
      </c>
      <c r="W54" s="150">
        <v>0</v>
      </c>
      <c r="X54" s="150">
        <v>0</v>
      </c>
      <c r="Y54" s="150">
        <v>0</v>
      </c>
      <c r="Z54" s="150"/>
      <c r="AA54" s="150">
        <v>0</v>
      </c>
      <c r="AB54" s="150">
        <v>0</v>
      </c>
      <c r="AC54" s="150">
        <v>0</v>
      </c>
      <c r="AD54" s="150">
        <v>0</v>
      </c>
      <c r="AE54" s="150">
        <v>0</v>
      </c>
      <c r="AF54" s="150">
        <v>0</v>
      </c>
      <c r="AG54" s="150">
        <v>0</v>
      </c>
      <c r="AH54" s="150">
        <v>0</v>
      </c>
      <c r="AI54" s="150">
        <v>0</v>
      </c>
      <c r="AJ54" s="150">
        <v>0</v>
      </c>
      <c r="AK54" s="150">
        <v>0</v>
      </c>
      <c r="AL54" s="150">
        <v>0</v>
      </c>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c r="B55" s="7" t="s">
        <v>78</v>
      </c>
      <c r="C55" s="150">
        <v>0</v>
      </c>
      <c r="D55" s="150">
        <v>0</v>
      </c>
      <c r="E55" s="150">
        <v>0</v>
      </c>
      <c r="F55" s="150">
        <v>0</v>
      </c>
      <c r="G55" s="150">
        <v>0</v>
      </c>
      <c r="H55" s="150">
        <v>0</v>
      </c>
      <c r="I55" s="150">
        <v>0</v>
      </c>
      <c r="J55" s="150">
        <v>0</v>
      </c>
      <c r="K55" s="150">
        <v>0</v>
      </c>
      <c r="L55" s="151">
        <v>0</v>
      </c>
      <c r="M55" s="150">
        <v>0</v>
      </c>
      <c r="N55" s="150">
        <v>0</v>
      </c>
      <c r="O55" s="150">
        <v>0</v>
      </c>
      <c r="P55" s="150">
        <v>0</v>
      </c>
      <c r="Q55" s="150">
        <v>0</v>
      </c>
      <c r="R55" s="150">
        <v>0</v>
      </c>
      <c r="S55" s="150">
        <v>0</v>
      </c>
      <c r="T55" s="150">
        <v>0</v>
      </c>
      <c r="U55" s="150">
        <v>0</v>
      </c>
      <c r="V55" s="150">
        <v>0</v>
      </c>
      <c r="W55" s="150">
        <v>0</v>
      </c>
      <c r="X55" s="150">
        <v>0</v>
      </c>
      <c r="Y55" s="150">
        <v>0</v>
      </c>
      <c r="Z55" s="150"/>
      <c r="AA55" s="150">
        <v>0</v>
      </c>
      <c r="AB55" s="150">
        <v>0</v>
      </c>
      <c r="AC55" s="150">
        <v>0</v>
      </c>
      <c r="AD55" s="150">
        <v>0</v>
      </c>
      <c r="AE55" s="150">
        <v>0</v>
      </c>
      <c r="AF55" s="150">
        <v>0</v>
      </c>
      <c r="AG55" s="150">
        <v>0</v>
      </c>
      <c r="AH55" s="150">
        <v>0</v>
      </c>
      <c r="AI55" s="150">
        <v>0</v>
      </c>
      <c r="AJ55" s="150">
        <v>0</v>
      </c>
      <c r="AK55" s="150">
        <v>0</v>
      </c>
      <c r="AL55" s="150">
        <v>0</v>
      </c>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c r="B56" s="7" t="s">
        <v>81</v>
      </c>
      <c r="C56" s="20">
        <v>9.1560045331478168</v>
      </c>
      <c r="D56" s="20">
        <v>4.5060279556821436</v>
      </c>
      <c r="E56" s="20">
        <v>0.90120559113642873</v>
      </c>
      <c r="F56" s="20">
        <v>5.4072335468185724</v>
      </c>
      <c r="G56" s="20">
        <v>8.0578420924089009</v>
      </c>
      <c r="H56" s="20">
        <v>8.9331900379146987</v>
      </c>
      <c r="I56" s="20">
        <v>5173.3663628763934</v>
      </c>
      <c r="J56" s="20">
        <v>-1.6776718209112289</v>
      </c>
      <c r="K56" s="20">
        <v>31.927809211436781</v>
      </c>
      <c r="L56" s="24">
        <v>1.1086330478392523</v>
      </c>
      <c r="M56" s="20">
        <v>8.6983081435182297E-2</v>
      </c>
      <c r="N56" s="26">
        <v>0.67735114691514542</v>
      </c>
      <c r="O56" s="26">
        <v>0.55809308462705853</v>
      </c>
      <c r="P56" s="26">
        <v>0.66648759634888699</v>
      </c>
      <c r="Q56" s="26">
        <v>0.55743786685807306</v>
      </c>
      <c r="R56" s="26">
        <v>0.49393986259942624</v>
      </c>
      <c r="S56" s="26">
        <v>0.53991642899762426</v>
      </c>
      <c r="T56" s="26">
        <v>0.49491686324196371</v>
      </c>
      <c r="U56" s="26">
        <v>0.56056521469557286</v>
      </c>
      <c r="V56" s="26">
        <v>0.53210646584705568</v>
      </c>
      <c r="W56" s="26">
        <v>0.71745952030879867</v>
      </c>
      <c r="X56" s="26">
        <v>0.64860011631050529</v>
      </c>
      <c r="Y56" s="26">
        <v>0.70450564240999369</v>
      </c>
      <c r="Z56" s="26"/>
      <c r="AA56" s="26">
        <v>0.21643108833808006</v>
      </c>
      <c r="AB56" s="26">
        <v>0.16356313758480187</v>
      </c>
      <c r="AC56" s="26">
        <v>0.14009001341986893</v>
      </c>
      <c r="AD56" s="26">
        <v>0.15735976471526114</v>
      </c>
      <c r="AE56" s="26">
        <v>0.13595654878084235</v>
      </c>
      <c r="AF56" s="26">
        <v>0.11811507730283408</v>
      </c>
      <c r="AG56" s="26">
        <v>0.16292857985934348</v>
      </c>
      <c r="AH56" s="26">
        <v>0.12160233205698104</v>
      </c>
      <c r="AI56" s="26">
        <v>0.17068425972670062</v>
      </c>
      <c r="AJ56" s="26">
        <v>0.15834254599950379</v>
      </c>
      <c r="AK56" s="26">
        <v>0.2118918409286798</v>
      </c>
      <c r="AL56" s="26">
        <v>0.24765953527481449</v>
      </c>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c r="B57" s="7" t="s">
        <v>84</v>
      </c>
      <c r="C57" s="150">
        <v>0</v>
      </c>
      <c r="D57" s="150">
        <v>0</v>
      </c>
      <c r="E57" s="150">
        <v>0</v>
      </c>
      <c r="F57" s="150">
        <v>0</v>
      </c>
      <c r="G57" s="150">
        <v>0</v>
      </c>
      <c r="H57" s="150">
        <v>0</v>
      </c>
      <c r="I57" s="150">
        <v>0</v>
      </c>
      <c r="J57" s="150">
        <v>0</v>
      </c>
      <c r="K57" s="150">
        <v>0</v>
      </c>
      <c r="L57" s="151">
        <v>0</v>
      </c>
      <c r="M57" s="150">
        <v>0</v>
      </c>
      <c r="N57" s="150">
        <v>0</v>
      </c>
      <c r="O57" s="150">
        <v>0</v>
      </c>
      <c r="P57" s="150">
        <v>0</v>
      </c>
      <c r="Q57" s="150">
        <v>0</v>
      </c>
      <c r="R57" s="150">
        <v>0</v>
      </c>
      <c r="S57" s="150">
        <v>0</v>
      </c>
      <c r="T57" s="150">
        <v>0</v>
      </c>
      <c r="U57" s="150">
        <v>0</v>
      </c>
      <c r="V57" s="150">
        <v>0</v>
      </c>
      <c r="W57" s="150">
        <v>0</v>
      </c>
      <c r="X57" s="150">
        <v>0</v>
      </c>
      <c r="Y57" s="150">
        <v>0</v>
      </c>
      <c r="Z57" s="150"/>
      <c r="AA57" s="150">
        <v>0</v>
      </c>
      <c r="AB57" s="150">
        <v>0</v>
      </c>
      <c r="AC57" s="150">
        <v>0</v>
      </c>
      <c r="AD57" s="150">
        <v>0</v>
      </c>
      <c r="AE57" s="150">
        <v>0</v>
      </c>
      <c r="AF57" s="150">
        <v>0</v>
      </c>
      <c r="AG57" s="150">
        <v>0</v>
      </c>
      <c r="AH57" s="150">
        <v>0</v>
      </c>
      <c r="AI57" s="150">
        <v>0</v>
      </c>
      <c r="AJ57" s="150">
        <v>0</v>
      </c>
      <c r="AK57" s="150">
        <v>0</v>
      </c>
      <c r="AL57" s="150">
        <v>0</v>
      </c>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7" t="s">
        <v>87</v>
      </c>
      <c r="C58" s="150">
        <v>0</v>
      </c>
      <c r="D58" s="150">
        <v>0</v>
      </c>
      <c r="E58" s="150">
        <v>0</v>
      </c>
      <c r="F58" s="150">
        <v>0</v>
      </c>
      <c r="G58" s="150">
        <v>0</v>
      </c>
      <c r="H58" s="150">
        <v>0</v>
      </c>
      <c r="I58" s="150">
        <v>0</v>
      </c>
      <c r="J58" s="150">
        <v>0</v>
      </c>
      <c r="K58" s="150">
        <v>0</v>
      </c>
      <c r="L58" s="151">
        <v>0</v>
      </c>
      <c r="M58" s="150">
        <v>0</v>
      </c>
      <c r="N58" s="150">
        <v>0</v>
      </c>
      <c r="O58" s="150">
        <v>0</v>
      </c>
      <c r="P58" s="150">
        <v>0</v>
      </c>
      <c r="Q58" s="150">
        <v>0</v>
      </c>
      <c r="R58" s="150">
        <v>0</v>
      </c>
      <c r="S58" s="150">
        <v>0</v>
      </c>
      <c r="T58" s="150">
        <v>0</v>
      </c>
      <c r="U58" s="150">
        <v>0</v>
      </c>
      <c r="V58" s="150">
        <v>0</v>
      </c>
      <c r="W58" s="150">
        <v>0</v>
      </c>
      <c r="X58" s="150">
        <v>0</v>
      </c>
      <c r="Y58" s="150">
        <v>0</v>
      </c>
      <c r="Z58" s="150"/>
      <c r="AA58" s="150">
        <v>0</v>
      </c>
      <c r="AB58" s="150">
        <v>0</v>
      </c>
      <c r="AC58" s="150">
        <v>0</v>
      </c>
      <c r="AD58" s="150">
        <v>0</v>
      </c>
      <c r="AE58" s="150">
        <v>0</v>
      </c>
      <c r="AF58" s="150">
        <v>0</v>
      </c>
      <c r="AG58" s="150">
        <v>0</v>
      </c>
      <c r="AH58" s="150">
        <v>0</v>
      </c>
      <c r="AI58" s="150">
        <v>0</v>
      </c>
      <c r="AJ58" s="150">
        <v>0</v>
      </c>
      <c r="AK58" s="150">
        <v>0</v>
      </c>
      <c r="AL58" s="150">
        <v>0</v>
      </c>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7" t="s">
        <v>90</v>
      </c>
      <c r="C59" s="150">
        <v>0</v>
      </c>
      <c r="D59" s="150">
        <v>0</v>
      </c>
      <c r="E59" s="150">
        <v>0</v>
      </c>
      <c r="F59" s="150">
        <v>0</v>
      </c>
      <c r="G59" s="150">
        <v>0</v>
      </c>
      <c r="H59" s="150">
        <v>0</v>
      </c>
      <c r="I59" s="150">
        <v>0</v>
      </c>
      <c r="J59" s="150">
        <v>0</v>
      </c>
      <c r="K59" s="150">
        <v>0</v>
      </c>
      <c r="L59" s="151">
        <v>0</v>
      </c>
      <c r="M59" s="150">
        <v>0</v>
      </c>
      <c r="N59" s="150">
        <v>0</v>
      </c>
      <c r="O59" s="150">
        <v>0</v>
      </c>
      <c r="P59" s="150">
        <v>0</v>
      </c>
      <c r="Q59" s="150">
        <v>0</v>
      </c>
      <c r="R59" s="150">
        <v>0</v>
      </c>
      <c r="S59" s="150">
        <v>0</v>
      </c>
      <c r="T59" s="150">
        <v>0</v>
      </c>
      <c r="U59" s="150">
        <v>0</v>
      </c>
      <c r="V59" s="150">
        <v>0</v>
      </c>
      <c r="W59" s="150">
        <v>0</v>
      </c>
      <c r="X59" s="150">
        <v>0</v>
      </c>
      <c r="Y59" s="150">
        <v>0</v>
      </c>
      <c r="Z59" s="150"/>
      <c r="AA59" s="150">
        <v>0</v>
      </c>
      <c r="AB59" s="150">
        <v>0</v>
      </c>
      <c r="AC59" s="150">
        <v>0</v>
      </c>
      <c r="AD59" s="150">
        <v>0</v>
      </c>
      <c r="AE59" s="150">
        <v>0</v>
      </c>
      <c r="AF59" s="150">
        <v>0</v>
      </c>
      <c r="AG59" s="150">
        <v>0</v>
      </c>
      <c r="AH59" s="150">
        <v>0</v>
      </c>
      <c r="AI59" s="150">
        <v>0</v>
      </c>
      <c r="AJ59" s="150">
        <v>0</v>
      </c>
      <c r="AK59" s="150">
        <v>0</v>
      </c>
      <c r="AL59" s="150">
        <v>0</v>
      </c>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c r="B60" s="7" t="s">
        <v>93</v>
      </c>
      <c r="C60" s="150">
        <v>0</v>
      </c>
      <c r="D60" s="150">
        <v>0</v>
      </c>
      <c r="E60" s="150">
        <v>0</v>
      </c>
      <c r="F60" s="150">
        <v>0</v>
      </c>
      <c r="G60" s="150">
        <v>0</v>
      </c>
      <c r="H60" s="150">
        <v>0</v>
      </c>
      <c r="I60" s="150">
        <v>0</v>
      </c>
      <c r="J60" s="150">
        <v>0</v>
      </c>
      <c r="K60" s="150">
        <v>0</v>
      </c>
      <c r="L60" s="151">
        <v>0</v>
      </c>
      <c r="M60" s="150">
        <v>0</v>
      </c>
      <c r="N60" s="150">
        <v>0</v>
      </c>
      <c r="O60" s="150">
        <v>0</v>
      </c>
      <c r="P60" s="150">
        <v>0</v>
      </c>
      <c r="Q60" s="150">
        <v>0</v>
      </c>
      <c r="R60" s="150">
        <v>0</v>
      </c>
      <c r="S60" s="150">
        <v>0</v>
      </c>
      <c r="T60" s="150">
        <v>0</v>
      </c>
      <c r="U60" s="150">
        <v>0</v>
      </c>
      <c r="V60" s="150">
        <v>0</v>
      </c>
      <c r="W60" s="150">
        <v>0</v>
      </c>
      <c r="X60" s="150">
        <v>0</v>
      </c>
      <c r="Y60" s="150">
        <v>0</v>
      </c>
      <c r="Z60" s="150"/>
      <c r="AA60" s="150">
        <v>0</v>
      </c>
      <c r="AB60" s="150">
        <v>0</v>
      </c>
      <c r="AC60" s="150">
        <v>0</v>
      </c>
      <c r="AD60" s="150">
        <v>0</v>
      </c>
      <c r="AE60" s="150">
        <v>0</v>
      </c>
      <c r="AF60" s="150">
        <v>0</v>
      </c>
      <c r="AG60" s="150">
        <v>0</v>
      </c>
      <c r="AH60" s="150">
        <v>0</v>
      </c>
      <c r="AI60" s="150">
        <v>0</v>
      </c>
      <c r="AJ60" s="150">
        <v>0</v>
      </c>
      <c r="AK60" s="150">
        <v>0</v>
      </c>
      <c r="AL60" s="150">
        <v>0</v>
      </c>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c r="B61" s="7" t="s">
        <v>96</v>
      </c>
      <c r="C61" s="150">
        <v>0</v>
      </c>
      <c r="D61" s="150">
        <v>0</v>
      </c>
      <c r="E61" s="150">
        <v>0</v>
      </c>
      <c r="F61" s="150">
        <v>0</v>
      </c>
      <c r="G61" s="150">
        <v>0</v>
      </c>
      <c r="H61" s="150">
        <v>0</v>
      </c>
      <c r="I61" s="150">
        <v>0</v>
      </c>
      <c r="J61" s="150">
        <v>0</v>
      </c>
      <c r="K61" s="150">
        <v>0</v>
      </c>
      <c r="L61" s="151">
        <v>0</v>
      </c>
      <c r="M61" s="150">
        <v>0</v>
      </c>
      <c r="N61" s="150">
        <v>0</v>
      </c>
      <c r="O61" s="150">
        <v>0</v>
      </c>
      <c r="P61" s="150">
        <v>0</v>
      </c>
      <c r="Q61" s="150">
        <v>0</v>
      </c>
      <c r="R61" s="150">
        <v>0</v>
      </c>
      <c r="S61" s="150">
        <v>0</v>
      </c>
      <c r="T61" s="150">
        <v>0</v>
      </c>
      <c r="U61" s="150">
        <v>0</v>
      </c>
      <c r="V61" s="150">
        <v>0</v>
      </c>
      <c r="W61" s="150">
        <v>0</v>
      </c>
      <c r="X61" s="150">
        <v>0</v>
      </c>
      <c r="Y61" s="150">
        <v>0</v>
      </c>
      <c r="Z61" s="150"/>
      <c r="AA61" s="150">
        <v>0</v>
      </c>
      <c r="AB61" s="150">
        <v>0</v>
      </c>
      <c r="AC61" s="150">
        <v>0</v>
      </c>
      <c r="AD61" s="150">
        <v>0</v>
      </c>
      <c r="AE61" s="150">
        <v>0</v>
      </c>
      <c r="AF61" s="150">
        <v>0</v>
      </c>
      <c r="AG61" s="150">
        <v>0</v>
      </c>
      <c r="AH61" s="150">
        <v>0</v>
      </c>
      <c r="AI61" s="150">
        <v>0</v>
      </c>
      <c r="AJ61" s="150">
        <v>0</v>
      </c>
      <c r="AK61" s="150">
        <v>0</v>
      </c>
      <c r="AL61" s="150">
        <v>0</v>
      </c>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c r="B62" s="7" t="s">
        <v>99</v>
      </c>
      <c r="C62" s="150">
        <v>0</v>
      </c>
      <c r="D62" s="150">
        <v>0</v>
      </c>
      <c r="E62" s="150">
        <v>0</v>
      </c>
      <c r="F62" s="150">
        <v>0</v>
      </c>
      <c r="G62" s="150">
        <v>0</v>
      </c>
      <c r="H62" s="150">
        <v>0</v>
      </c>
      <c r="I62" s="150">
        <v>0</v>
      </c>
      <c r="J62" s="150">
        <v>0</v>
      </c>
      <c r="K62" s="150">
        <v>0</v>
      </c>
      <c r="L62" s="151">
        <v>0</v>
      </c>
      <c r="M62" s="150">
        <v>0</v>
      </c>
      <c r="N62" s="150">
        <v>0</v>
      </c>
      <c r="O62" s="150">
        <v>0</v>
      </c>
      <c r="P62" s="150">
        <v>0</v>
      </c>
      <c r="Q62" s="150">
        <v>0</v>
      </c>
      <c r="R62" s="150">
        <v>0</v>
      </c>
      <c r="S62" s="150">
        <v>0</v>
      </c>
      <c r="T62" s="150">
        <v>0</v>
      </c>
      <c r="U62" s="150">
        <v>0</v>
      </c>
      <c r="V62" s="150">
        <v>0</v>
      </c>
      <c r="W62" s="150">
        <v>0</v>
      </c>
      <c r="X62" s="150">
        <v>0</v>
      </c>
      <c r="Y62" s="150">
        <v>0</v>
      </c>
      <c r="Z62" s="150"/>
      <c r="AA62" s="150">
        <v>0</v>
      </c>
      <c r="AB62" s="150">
        <v>0</v>
      </c>
      <c r="AC62" s="150">
        <v>0</v>
      </c>
      <c r="AD62" s="150">
        <v>0</v>
      </c>
      <c r="AE62" s="150">
        <v>0</v>
      </c>
      <c r="AF62" s="150">
        <v>0</v>
      </c>
      <c r="AG62" s="150">
        <v>0</v>
      </c>
      <c r="AH62" s="150">
        <v>0</v>
      </c>
      <c r="AI62" s="150">
        <v>0</v>
      </c>
      <c r="AJ62" s="150">
        <v>0</v>
      </c>
      <c r="AK62" s="150">
        <v>0</v>
      </c>
      <c r="AL62" s="150">
        <v>0</v>
      </c>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c r="B63" s="7" t="s">
        <v>102</v>
      </c>
      <c r="C63" s="150">
        <v>0</v>
      </c>
      <c r="D63" s="150">
        <v>0</v>
      </c>
      <c r="E63" s="150">
        <v>0</v>
      </c>
      <c r="F63" s="150">
        <v>0</v>
      </c>
      <c r="G63" s="150">
        <v>0</v>
      </c>
      <c r="H63" s="150">
        <v>0</v>
      </c>
      <c r="I63" s="150">
        <v>0</v>
      </c>
      <c r="J63" s="150">
        <v>0</v>
      </c>
      <c r="K63" s="150">
        <v>0</v>
      </c>
      <c r="L63" s="151">
        <v>0</v>
      </c>
      <c r="M63" s="150">
        <v>0</v>
      </c>
      <c r="N63" s="150">
        <v>0</v>
      </c>
      <c r="O63" s="150">
        <v>0</v>
      </c>
      <c r="P63" s="150">
        <v>0</v>
      </c>
      <c r="Q63" s="150">
        <v>0</v>
      </c>
      <c r="R63" s="150">
        <v>0</v>
      </c>
      <c r="S63" s="150">
        <v>0</v>
      </c>
      <c r="T63" s="150">
        <v>0</v>
      </c>
      <c r="U63" s="150">
        <v>0</v>
      </c>
      <c r="V63" s="150">
        <v>0</v>
      </c>
      <c r="W63" s="150">
        <v>0</v>
      </c>
      <c r="X63" s="150">
        <v>0</v>
      </c>
      <c r="Y63" s="150">
        <v>0</v>
      </c>
      <c r="Z63" s="150"/>
      <c r="AA63" s="150">
        <v>0</v>
      </c>
      <c r="AB63" s="150">
        <v>0</v>
      </c>
      <c r="AC63" s="150">
        <v>0</v>
      </c>
      <c r="AD63" s="150">
        <v>0</v>
      </c>
      <c r="AE63" s="150">
        <v>0</v>
      </c>
      <c r="AF63" s="150">
        <v>0</v>
      </c>
      <c r="AG63" s="150">
        <v>0</v>
      </c>
      <c r="AH63" s="150">
        <v>0</v>
      </c>
      <c r="AI63" s="150">
        <v>0</v>
      </c>
      <c r="AJ63" s="150">
        <v>0</v>
      </c>
      <c r="AK63" s="150">
        <v>0</v>
      </c>
      <c r="AL63" s="150">
        <v>0</v>
      </c>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c r="B64" s="7" t="s">
        <v>105</v>
      </c>
      <c r="C64" s="150">
        <v>0</v>
      </c>
      <c r="D64" s="150">
        <v>0</v>
      </c>
      <c r="E64" s="150">
        <v>0</v>
      </c>
      <c r="F64" s="150">
        <v>0</v>
      </c>
      <c r="G64" s="150">
        <v>0</v>
      </c>
      <c r="H64" s="150">
        <v>0</v>
      </c>
      <c r="I64" s="150">
        <v>0</v>
      </c>
      <c r="J64" s="150">
        <v>0</v>
      </c>
      <c r="K64" s="150">
        <v>0</v>
      </c>
      <c r="L64" s="151">
        <v>0</v>
      </c>
      <c r="M64" s="150">
        <v>0</v>
      </c>
      <c r="N64" s="150">
        <v>0</v>
      </c>
      <c r="O64" s="150">
        <v>0</v>
      </c>
      <c r="P64" s="150">
        <v>0</v>
      </c>
      <c r="Q64" s="150">
        <v>0</v>
      </c>
      <c r="R64" s="150">
        <v>0</v>
      </c>
      <c r="S64" s="150">
        <v>0</v>
      </c>
      <c r="T64" s="150">
        <v>0</v>
      </c>
      <c r="U64" s="150">
        <v>0</v>
      </c>
      <c r="V64" s="150">
        <v>0</v>
      </c>
      <c r="W64" s="150">
        <v>0</v>
      </c>
      <c r="X64" s="150">
        <v>0</v>
      </c>
      <c r="Y64" s="150">
        <v>0</v>
      </c>
      <c r="Z64" s="150"/>
      <c r="AA64" s="150">
        <v>0</v>
      </c>
      <c r="AB64" s="150">
        <v>0</v>
      </c>
      <c r="AC64" s="150">
        <v>0</v>
      </c>
      <c r="AD64" s="150">
        <v>0</v>
      </c>
      <c r="AE64" s="150">
        <v>0</v>
      </c>
      <c r="AF64" s="150">
        <v>0</v>
      </c>
      <c r="AG64" s="150">
        <v>0</v>
      </c>
      <c r="AH64" s="150">
        <v>0</v>
      </c>
      <c r="AI64" s="150">
        <v>0</v>
      </c>
      <c r="AJ64" s="150">
        <v>0</v>
      </c>
      <c r="AK64" s="150">
        <v>0</v>
      </c>
      <c r="AL64" s="150">
        <v>0</v>
      </c>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c r="B65" s="7" t="s">
        <v>108</v>
      </c>
      <c r="C65" s="150">
        <v>0</v>
      </c>
      <c r="D65" s="150">
        <v>0</v>
      </c>
      <c r="E65" s="150">
        <v>0</v>
      </c>
      <c r="F65" s="150">
        <v>0</v>
      </c>
      <c r="G65" s="150">
        <v>0</v>
      </c>
      <c r="H65" s="150">
        <v>0</v>
      </c>
      <c r="I65" s="150">
        <v>0</v>
      </c>
      <c r="J65" s="150">
        <v>0</v>
      </c>
      <c r="K65" s="150">
        <v>0</v>
      </c>
      <c r="L65" s="151">
        <v>0</v>
      </c>
      <c r="M65" s="150">
        <v>0</v>
      </c>
      <c r="N65" s="150">
        <v>0</v>
      </c>
      <c r="O65" s="150">
        <v>0</v>
      </c>
      <c r="P65" s="150">
        <v>0</v>
      </c>
      <c r="Q65" s="150">
        <v>0</v>
      </c>
      <c r="R65" s="150">
        <v>0</v>
      </c>
      <c r="S65" s="150">
        <v>0</v>
      </c>
      <c r="T65" s="150">
        <v>0</v>
      </c>
      <c r="U65" s="150">
        <v>0</v>
      </c>
      <c r="V65" s="150">
        <v>0</v>
      </c>
      <c r="W65" s="150">
        <v>0</v>
      </c>
      <c r="X65" s="150">
        <v>0</v>
      </c>
      <c r="Y65" s="150">
        <v>0</v>
      </c>
      <c r="Z65" s="150"/>
      <c r="AA65" s="150">
        <v>0</v>
      </c>
      <c r="AB65" s="150">
        <v>0</v>
      </c>
      <c r="AC65" s="150">
        <v>0</v>
      </c>
      <c r="AD65" s="150">
        <v>0</v>
      </c>
      <c r="AE65" s="150">
        <v>0</v>
      </c>
      <c r="AF65" s="150">
        <v>0</v>
      </c>
      <c r="AG65" s="150">
        <v>0</v>
      </c>
      <c r="AH65" s="150">
        <v>0</v>
      </c>
      <c r="AI65" s="150">
        <v>0</v>
      </c>
      <c r="AJ65" s="150">
        <v>0</v>
      </c>
      <c r="AK65" s="150">
        <v>0</v>
      </c>
      <c r="AL65" s="150">
        <v>0</v>
      </c>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t="s">
        <v>111</v>
      </c>
      <c r="C66" s="150">
        <v>0</v>
      </c>
      <c r="D66" s="150">
        <v>0</v>
      </c>
      <c r="E66" s="150">
        <v>0</v>
      </c>
      <c r="F66" s="150">
        <v>0</v>
      </c>
      <c r="G66" s="150">
        <v>0</v>
      </c>
      <c r="H66" s="150">
        <v>0</v>
      </c>
      <c r="I66" s="150">
        <v>0</v>
      </c>
      <c r="J66" s="150">
        <v>0</v>
      </c>
      <c r="K66" s="150">
        <v>0</v>
      </c>
      <c r="L66" s="151">
        <v>0</v>
      </c>
      <c r="M66" s="150">
        <v>0</v>
      </c>
      <c r="N66" s="150">
        <v>0</v>
      </c>
      <c r="O66" s="150">
        <v>0</v>
      </c>
      <c r="P66" s="150">
        <v>0</v>
      </c>
      <c r="Q66" s="150">
        <v>0</v>
      </c>
      <c r="R66" s="150">
        <v>0</v>
      </c>
      <c r="S66" s="150">
        <v>0</v>
      </c>
      <c r="T66" s="150">
        <v>0</v>
      </c>
      <c r="U66" s="150">
        <v>0</v>
      </c>
      <c r="V66" s="150">
        <v>0</v>
      </c>
      <c r="W66" s="150">
        <v>0</v>
      </c>
      <c r="X66" s="150">
        <v>0</v>
      </c>
      <c r="Y66" s="150">
        <v>0</v>
      </c>
      <c r="Z66" s="150"/>
      <c r="AA66" s="150">
        <v>0</v>
      </c>
      <c r="AB66" s="150">
        <v>0</v>
      </c>
      <c r="AC66" s="150">
        <v>0</v>
      </c>
      <c r="AD66" s="150">
        <v>0</v>
      </c>
      <c r="AE66" s="150">
        <v>0</v>
      </c>
      <c r="AF66" s="150">
        <v>0</v>
      </c>
      <c r="AG66" s="150">
        <v>0</v>
      </c>
      <c r="AH66" s="150">
        <v>0</v>
      </c>
      <c r="AI66" s="150">
        <v>0</v>
      </c>
      <c r="AJ66" s="150">
        <v>0</v>
      </c>
      <c r="AK66" s="150">
        <v>0</v>
      </c>
      <c r="AL66" s="150">
        <v>0</v>
      </c>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t="s">
        <v>114</v>
      </c>
      <c r="C67" s="150">
        <v>0</v>
      </c>
      <c r="D67" s="150">
        <v>0</v>
      </c>
      <c r="E67" s="150">
        <v>0</v>
      </c>
      <c r="F67" s="150">
        <v>0</v>
      </c>
      <c r="G67" s="150">
        <v>0</v>
      </c>
      <c r="H67" s="150">
        <v>0</v>
      </c>
      <c r="I67" s="150">
        <v>0</v>
      </c>
      <c r="J67" s="150">
        <v>0</v>
      </c>
      <c r="K67" s="150">
        <v>0</v>
      </c>
      <c r="L67" s="151">
        <v>0</v>
      </c>
      <c r="M67" s="150">
        <v>0</v>
      </c>
      <c r="N67" s="150">
        <v>0</v>
      </c>
      <c r="O67" s="150">
        <v>0</v>
      </c>
      <c r="P67" s="150">
        <v>0</v>
      </c>
      <c r="Q67" s="150">
        <v>0</v>
      </c>
      <c r="R67" s="150">
        <v>0</v>
      </c>
      <c r="S67" s="150">
        <v>0</v>
      </c>
      <c r="T67" s="150">
        <v>0</v>
      </c>
      <c r="U67" s="150">
        <v>0</v>
      </c>
      <c r="V67" s="150">
        <v>0</v>
      </c>
      <c r="W67" s="150">
        <v>0</v>
      </c>
      <c r="X67" s="150">
        <v>0</v>
      </c>
      <c r="Y67" s="150">
        <v>0</v>
      </c>
      <c r="Z67" s="150"/>
      <c r="AA67" s="150">
        <v>0</v>
      </c>
      <c r="AB67" s="150">
        <v>0</v>
      </c>
      <c r="AC67" s="150">
        <v>0</v>
      </c>
      <c r="AD67" s="150">
        <v>0</v>
      </c>
      <c r="AE67" s="150">
        <v>0</v>
      </c>
      <c r="AF67" s="150">
        <v>0</v>
      </c>
      <c r="AG67" s="150">
        <v>0</v>
      </c>
      <c r="AH67" s="150">
        <v>0</v>
      </c>
      <c r="AI67" s="150">
        <v>0</v>
      </c>
      <c r="AJ67" s="150">
        <v>0</v>
      </c>
      <c r="AK67" s="150">
        <v>0</v>
      </c>
      <c r="AL67" s="150">
        <v>0</v>
      </c>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t="s">
        <v>117</v>
      </c>
      <c r="C68" s="150">
        <v>0</v>
      </c>
      <c r="D68" s="150">
        <v>0</v>
      </c>
      <c r="E68" s="150">
        <v>0</v>
      </c>
      <c r="F68" s="150">
        <v>0</v>
      </c>
      <c r="G68" s="150">
        <v>0</v>
      </c>
      <c r="H68" s="150">
        <v>0</v>
      </c>
      <c r="I68" s="150">
        <v>0</v>
      </c>
      <c r="J68" s="150">
        <v>0</v>
      </c>
      <c r="K68" s="150">
        <v>0</v>
      </c>
      <c r="L68" s="151">
        <v>0</v>
      </c>
      <c r="M68" s="150">
        <v>0</v>
      </c>
      <c r="N68" s="150">
        <v>0</v>
      </c>
      <c r="O68" s="150">
        <v>0</v>
      </c>
      <c r="P68" s="150">
        <v>0</v>
      </c>
      <c r="Q68" s="150">
        <v>0</v>
      </c>
      <c r="R68" s="150">
        <v>0</v>
      </c>
      <c r="S68" s="150">
        <v>0</v>
      </c>
      <c r="T68" s="150">
        <v>0</v>
      </c>
      <c r="U68" s="150">
        <v>0</v>
      </c>
      <c r="V68" s="150">
        <v>0</v>
      </c>
      <c r="W68" s="150">
        <v>0</v>
      </c>
      <c r="X68" s="150">
        <v>0</v>
      </c>
      <c r="Y68" s="150">
        <v>0</v>
      </c>
      <c r="Z68" s="150"/>
      <c r="AA68" s="150">
        <v>0</v>
      </c>
      <c r="AB68" s="150">
        <v>0</v>
      </c>
      <c r="AC68" s="150">
        <v>0</v>
      </c>
      <c r="AD68" s="150">
        <v>0</v>
      </c>
      <c r="AE68" s="150">
        <v>0</v>
      </c>
      <c r="AF68" s="150">
        <v>0</v>
      </c>
      <c r="AG68" s="150">
        <v>0</v>
      </c>
      <c r="AH68" s="150">
        <v>0</v>
      </c>
      <c r="AI68" s="150">
        <v>0</v>
      </c>
      <c r="AJ68" s="150">
        <v>0</v>
      </c>
      <c r="AK68" s="150">
        <v>0</v>
      </c>
      <c r="AL68" s="150">
        <v>0</v>
      </c>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t="s">
        <v>120</v>
      </c>
      <c r="C69" s="150">
        <v>0</v>
      </c>
      <c r="D69" s="150">
        <v>0</v>
      </c>
      <c r="E69" s="150">
        <v>0</v>
      </c>
      <c r="F69" s="150">
        <v>0</v>
      </c>
      <c r="G69" s="150">
        <v>0</v>
      </c>
      <c r="H69" s="150">
        <v>0</v>
      </c>
      <c r="I69" s="150">
        <v>0</v>
      </c>
      <c r="J69" s="150">
        <v>0</v>
      </c>
      <c r="K69" s="150">
        <v>0</v>
      </c>
      <c r="L69" s="151">
        <v>0</v>
      </c>
      <c r="M69" s="150">
        <v>0</v>
      </c>
      <c r="N69" s="150">
        <v>0</v>
      </c>
      <c r="O69" s="150">
        <v>0</v>
      </c>
      <c r="P69" s="150">
        <v>0</v>
      </c>
      <c r="Q69" s="150">
        <v>0</v>
      </c>
      <c r="R69" s="150">
        <v>0</v>
      </c>
      <c r="S69" s="150">
        <v>0</v>
      </c>
      <c r="T69" s="150">
        <v>0</v>
      </c>
      <c r="U69" s="150">
        <v>0</v>
      </c>
      <c r="V69" s="150">
        <v>0</v>
      </c>
      <c r="W69" s="150">
        <v>0</v>
      </c>
      <c r="X69" s="150">
        <v>0</v>
      </c>
      <c r="Y69" s="150">
        <v>0</v>
      </c>
      <c r="Z69" s="150"/>
      <c r="AA69" s="150">
        <v>0</v>
      </c>
      <c r="AB69" s="150">
        <v>0</v>
      </c>
      <c r="AC69" s="150">
        <v>0</v>
      </c>
      <c r="AD69" s="150">
        <v>0</v>
      </c>
      <c r="AE69" s="150">
        <v>0</v>
      </c>
      <c r="AF69" s="150">
        <v>0</v>
      </c>
      <c r="AG69" s="150">
        <v>0</v>
      </c>
      <c r="AH69" s="150">
        <v>0</v>
      </c>
      <c r="AI69" s="150">
        <v>0</v>
      </c>
      <c r="AJ69" s="150">
        <v>0</v>
      </c>
      <c r="AK69" s="150">
        <v>0</v>
      </c>
      <c r="AL69" s="150">
        <v>0</v>
      </c>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7" t="s">
        <v>123</v>
      </c>
      <c r="C70" s="150">
        <v>0</v>
      </c>
      <c r="D70" s="150">
        <v>0</v>
      </c>
      <c r="E70" s="150">
        <v>0</v>
      </c>
      <c r="F70" s="150">
        <v>0</v>
      </c>
      <c r="G70" s="150">
        <v>0</v>
      </c>
      <c r="H70" s="150">
        <v>0</v>
      </c>
      <c r="I70" s="150">
        <v>0</v>
      </c>
      <c r="J70" s="150">
        <v>0</v>
      </c>
      <c r="K70" s="150">
        <v>0</v>
      </c>
      <c r="L70" s="151">
        <v>0</v>
      </c>
      <c r="M70" s="150">
        <v>0</v>
      </c>
      <c r="N70" s="150">
        <v>0</v>
      </c>
      <c r="O70" s="150">
        <v>0</v>
      </c>
      <c r="P70" s="150">
        <v>0</v>
      </c>
      <c r="Q70" s="150">
        <v>0</v>
      </c>
      <c r="R70" s="150">
        <v>0</v>
      </c>
      <c r="S70" s="150">
        <v>0</v>
      </c>
      <c r="T70" s="150">
        <v>0</v>
      </c>
      <c r="U70" s="150">
        <v>0</v>
      </c>
      <c r="V70" s="150">
        <v>0</v>
      </c>
      <c r="W70" s="150">
        <v>0</v>
      </c>
      <c r="X70" s="150">
        <v>0</v>
      </c>
      <c r="Y70" s="150">
        <v>0</v>
      </c>
      <c r="Z70" s="150"/>
      <c r="AA70" s="150">
        <v>0</v>
      </c>
      <c r="AB70" s="150">
        <v>0</v>
      </c>
      <c r="AC70" s="150">
        <v>0</v>
      </c>
      <c r="AD70" s="150">
        <v>0</v>
      </c>
      <c r="AE70" s="150">
        <v>0</v>
      </c>
      <c r="AF70" s="150">
        <v>0</v>
      </c>
      <c r="AG70" s="150">
        <v>0</v>
      </c>
      <c r="AH70" s="150">
        <v>0</v>
      </c>
      <c r="AI70" s="150">
        <v>0</v>
      </c>
      <c r="AJ70" s="150">
        <v>0</v>
      </c>
      <c r="AK70" s="150">
        <v>0</v>
      </c>
      <c r="AL70" s="150">
        <v>0</v>
      </c>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7" t="s">
        <v>126</v>
      </c>
      <c r="C71" s="150">
        <v>0</v>
      </c>
      <c r="D71" s="150">
        <v>0</v>
      </c>
      <c r="E71" s="150">
        <v>0</v>
      </c>
      <c r="F71" s="150">
        <v>0</v>
      </c>
      <c r="G71" s="150">
        <v>0</v>
      </c>
      <c r="H71" s="150">
        <v>0</v>
      </c>
      <c r="I71" s="150">
        <v>0</v>
      </c>
      <c r="J71" s="150">
        <v>0</v>
      </c>
      <c r="K71" s="150">
        <v>0</v>
      </c>
      <c r="L71" s="151">
        <v>0</v>
      </c>
      <c r="M71" s="150">
        <v>0</v>
      </c>
      <c r="N71" s="150">
        <v>0</v>
      </c>
      <c r="O71" s="150">
        <v>0</v>
      </c>
      <c r="P71" s="150">
        <v>0</v>
      </c>
      <c r="Q71" s="150">
        <v>0</v>
      </c>
      <c r="R71" s="150">
        <v>0</v>
      </c>
      <c r="S71" s="150">
        <v>0</v>
      </c>
      <c r="T71" s="150">
        <v>0</v>
      </c>
      <c r="U71" s="150">
        <v>0</v>
      </c>
      <c r="V71" s="150">
        <v>0</v>
      </c>
      <c r="W71" s="150">
        <v>0</v>
      </c>
      <c r="X71" s="150">
        <v>0</v>
      </c>
      <c r="Y71" s="150">
        <v>0</v>
      </c>
      <c r="Z71" s="150"/>
      <c r="AA71" s="150">
        <v>0</v>
      </c>
      <c r="AB71" s="150">
        <v>0</v>
      </c>
      <c r="AC71" s="150">
        <v>0</v>
      </c>
      <c r="AD71" s="150">
        <v>0</v>
      </c>
      <c r="AE71" s="150">
        <v>0</v>
      </c>
      <c r="AF71" s="150">
        <v>0</v>
      </c>
      <c r="AG71" s="150">
        <v>0</v>
      </c>
      <c r="AH71" s="150">
        <v>0</v>
      </c>
      <c r="AI71" s="150">
        <v>0</v>
      </c>
      <c r="AJ71" s="150">
        <v>0</v>
      </c>
      <c r="AK71" s="150">
        <v>0</v>
      </c>
      <c r="AL71" s="150">
        <v>0</v>
      </c>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t="s">
        <v>129</v>
      </c>
      <c r="C72" s="150">
        <v>0</v>
      </c>
      <c r="D72" s="150">
        <v>0</v>
      </c>
      <c r="E72" s="150">
        <v>0</v>
      </c>
      <c r="F72" s="150">
        <v>0</v>
      </c>
      <c r="G72" s="150">
        <v>0</v>
      </c>
      <c r="H72" s="150">
        <v>0</v>
      </c>
      <c r="I72" s="150">
        <v>0</v>
      </c>
      <c r="J72" s="150">
        <v>0</v>
      </c>
      <c r="K72" s="150">
        <v>0</v>
      </c>
      <c r="L72" s="151">
        <v>0</v>
      </c>
      <c r="M72" s="150">
        <v>0</v>
      </c>
      <c r="N72" s="150">
        <v>0</v>
      </c>
      <c r="O72" s="150">
        <v>0</v>
      </c>
      <c r="P72" s="150">
        <v>0</v>
      </c>
      <c r="Q72" s="150">
        <v>0</v>
      </c>
      <c r="R72" s="150">
        <v>0</v>
      </c>
      <c r="S72" s="150">
        <v>0</v>
      </c>
      <c r="T72" s="150">
        <v>0</v>
      </c>
      <c r="U72" s="150">
        <v>0</v>
      </c>
      <c r="V72" s="150">
        <v>0</v>
      </c>
      <c r="W72" s="150">
        <v>0</v>
      </c>
      <c r="X72" s="150">
        <v>0</v>
      </c>
      <c r="Y72" s="150">
        <v>0</v>
      </c>
      <c r="Z72" s="150"/>
      <c r="AA72" s="150">
        <v>0</v>
      </c>
      <c r="AB72" s="150">
        <v>0</v>
      </c>
      <c r="AC72" s="150">
        <v>0</v>
      </c>
      <c r="AD72" s="150">
        <v>0</v>
      </c>
      <c r="AE72" s="150">
        <v>0</v>
      </c>
      <c r="AF72" s="150">
        <v>0</v>
      </c>
      <c r="AG72" s="150">
        <v>0</v>
      </c>
      <c r="AH72" s="150">
        <v>0</v>
      </c>
      <c r="AI72" s="150">
        <v>0</v>
      </c>
      <c r="AJ72" s="150">
        <v>0</v>
      </c>
      <c r="AK72" s="150">
        <v>0</v>
      </c>
      <c r="AL72" s="150">
        <v>0</v>
      </c>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132</v>
      </c>
      <c r="C73" s="150">
        <v>0</v>
      </c>
      <c r="D73" s="150">
        <v>0</v>
      </c>
      <c r="E73" s="150">
        <v>0</v>
      </c>
      <c r="F73" s="150">
        <v>0</v>
      </c>
      <c r="G73" s="150">
        <v>0</v>
      </c>
      <c r="H73" s="150">
        <v>0</v>
      </c>
      <c r="I73" s="150">
        <v>0</v>
      </c>
      <c r="J73" s="150">
        <v>0</v>
      </c>
      <c r="K73" s="150">
        <v>0</v>
      </c>
      <c r="L73" s="151">
        <v>0</v>
      </c>
      <c r="M73" s="150">
        <v>0</v>
      </c>
      <c r="N73" s="150">
        <v>0</v>
      </c>
      <c r="O73" s="150">
        <v>0</v>
      </c>
      <c r="P73" s="150">
        <v>0</v>
      </c>
      <c r="Q73" s="150">
        <v>0</v>
      </c>
      <c r="R73" s="150">
        <v>0</v>
      </c>
      <c r="S73" s="150">
        <v>0</v>
      </c>
      <c r="T73" s="150">
        <v>0</v>
      </c>
      <c r="U73" s="150">
        <v>0</v>
      </c>
      <c r="V73" s="150">
        <v>0</v>
      </c>
      <c r="W73" s="150">
        <v>0</v>
      </c>
      <c r="X73" s="150">
        <v>0</v>
      </c>
      <c r="Y73" s="150">
        <v>0</v>
      </c>
      <c r="Z73" s="150"/>
      <c r="AA73" s="150">
        <v>0</v>
      </c>
      <c r="AB73" s="150">
        <v>0</v>
      </c>
      <c r="AC73" s="150">
        <v>0</v>
      </c>
      <c r="AD73" s="150">
        <v>0</v>
      </c>
      <c r="AE73" s="150">
        <v>0</v>
      </c>
      <c r="AF73" s="150">
        <v>0</v>
      </c>
      <c r="AG73" s="150">
        <v>0</v>
      </c>
      <c r="AH73" s="150">
        <v>0</v>
      </c>
      <c r="AI73" s="150">
        <v>0</v>
      </c>
      <c r="AJ73" s="150">
        <v>0</v>
      </c>
      <c r="AK73" s="150">
        <v>0</v>
      </c>
      <c r="AL73" s="150">
        <v>0</v>
      </c>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ht="13.5" thickBot="1">
      <c r="A76" s="18" t="s">
        <v>45</v>
      </c>
      <c r="B76" s="19"/>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ht="13.5" thickBot="1">
      <c r="A77" s="27"/>
      <c r="B77" s="28"/>
      <c r="C77" s="29"/>
      <c r="D77" s="29"/>
      <c r="E77" s="29"/>
      <c r="F77" s="29"/>
      <c r="G77" s="29"/>
      <c r="H77" s="29"/>
      <c r="I77" s="29"/>
      <c r="J77" s="29"/>
      <c r="K77" s="29"/>
      <c r="L77" s="29"/>
      <c r="M77" s="29"/>
      <c r="N77" s="29"/>
      <c r="O77" s="30" t="s">
        <v>444</v>
      </c>
      <c r="P77" s="31"/>
      <c r="Q77" s="31"/>
      <c r="R77" s="31"/>
      <c r="S77" s="31"/>
      <c r="T77" s="31"/>
      <c r="U77" s="31"/>
      <c r="V77" s="31"/>
      <c r="W77" s="31"/>
      <c r="X77" s="31"/>
      <c r="Y77" s="31"/>
      <c r="Z77" s="25"/>
      <c r="AA77" s="29"/>
      <c r="AB77" s="30" t="s">
        <v>445</v>
      </c>
      <c r="AC77" s="31"/>
      <c r="AD77" s="31"/>
      <c r="AE77" s="31"/>
      <c r="AF77" s="31"/>
      <c r="AG77" s="31"/>
      <c r="AH77" s="31"/>
      <c r="AI77" s="31"/>
      <c r="AJ77" s="31"/>
      <c r="AK77" s="31"/>
      <c r="AL77" s="31"/>
      <c r="AM77" s="25"/>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ht="191.25">
      <c r="A78" s="21" t="s">
        <v>21</v>
      </c>
      <c r="B78" s="22" t="s">
        <v>22</v>
      </c>
      <c r="C78" s="23" t="s">
        <v>46</v>
      </c>
      <c r="D78" s="23" t="s">
        <v>25</v>
      </c>
      <c r="E78" s="23" t="s">
        <v>26</v>
      </c>
      <c r="F78" s="23" t="s">
        <v>27</v>
      </c>
      <c r="G78" s="23" t="s">
        <v>28</v>
      </c>
      <c r="H78" s="23" t="s">
        <v>29</v>
      </c>
      <c r="I78" s="23" t="s">
        <v>30</v>
      </c>
      <c r="J78" s="23" t="s">
        <v>31</v>
      </c>
      <c r="K78" s="23" t="s">
        <v>24</v>
      </c>
      <c r="L78" s="23" t="s">
        <v>23</v>
      </c>
      <c r="M78" s="23" t="s">
        <v>32</v>
      </c>
      <c r="N78" s="23" t="s">
        <v>446</v>
      </c>
      <c r="O78" s="23" t="s">
        <v>33</v>
      </c>
      <c r="P78" s="23" t="s">
        <v>34</v>
      </c>
      <c r="Q78" s="23" t="s">
        <v>35</v>
      </c>
      <c r="R78" s="23" t="s">
        <v>36</v>
      </c>
      <c r="S78" s="23" t="s">
        <v>37</v>
      </c>
      <c r="T78" s="23" t="s">
        <v>38</v>
      </c>
      <c r="U78" s="23" t="s">
        <v>39</v>
      </c>
      <c r="V78" s="23" t="s">
        <v>40</v>
      </c>
      <c r="W78" s="23" t="s">
        <v>41</v>
      </c>
      <c r="X78" s="23" t="s">
        <v>42</v>
      </c>
      <c r="Y78" s="23" t="s">
        <v>43</v>
      </c>
      <c r="Z78" s="23" t="s">
        <v>44</v>
      </c>
      <c r="AA78" s="23"/>
      <c r="AB78" s="23" t="s">
        <v>33</v>
      </c>
      <c r="AC78" s="23" t="s">
        <v>34</v>
      </c>
      <c r="AD78" s="23" t="s">
        <v>35</v>
      </c>
      <c r="AE78" s="23" t="s">
        <v>36</v>
      </c>
      <c r="AF78" s="23" t="s">
        <v>37</v>
      </c>
      <c r="AG78" s="23" t="s">
        <v>38</v>
      </c>
      <c r="AH78" s="23" t="s">
        <v>39</v>
      </c>
      <c r="AI78" s="23" t="s">
        <v>40</v>
      </c>
      <c r="AJ78" s="23" t="s">
        <v>41</v>
      </c>
      <c r="AK78" s="23" t="s">
        <v>42</v>
      </c>
      <c r="AL78" s="23" t="s">
        <v>43</v>
      </c>
      <c r="AM78" s="23" t="s">
        <v>44</v>
      </c>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182</v>
      </c>
      <c r="B79" s="7"/>
      <c r="C79" s="26">
        <v>9.1560045331478168</v>
      </c>
      <c r="D79" s="26">
        <v>4.5060279556821436</v>
      </c>
      <c r="E79" s="26">
        <v>0.90120559113642873</v>
      </c>
      <c r="F79" s="26">
        <v>5.4072335468185724</v>
      </c>
      <c r="G79" s="26">
        <v>8.0578420924089009</v>
      </c>
      <c r="H79" s="26">
        <v>8.9331900379146987</v>
      </c>
      <c r="I79" s="26">
        <v>5173.3663628763934</v>
      </c>
      <c r="J79" s="26">
        <v>-1.6776718209112289</v>
      </c>
      <c r="K79" s="26">
        <v>31.927809211436781</v>
      </c>
      <c r="L79" s="24">
        <v>1.1086330478392523</v>
      </c>
      <c r="M79" s="26">
        <v>8.6983081435182297E-2</v>
      </c>
      <c r="N79" s="26">
        <v>5.294096174250985E-3</v>
      </c>
      <c r="O79" s="26">
        <v>0.67735114691514542</v>
      </c>
      <c r="P79" s="26">
        <v>0.55809308462705853</v>
      </c>
      <c r="Q79" s="26">
        <v>0.66648759634888699</v>
      </c>
      <c r="R79" s="26">
        <v>0.55743786685807306</v>
      </c>
      <c r="S79" s="26">
        <v>0.49393986259942624</v>
      </c>
      <c r="T79" s="26">
        <v>0.53991642899762426</v>
      </c>
      <c r="U79" s="26">
        <v>0.49491686324196371</v>
      </c>
      <c r="V79" s="26">
        <v>0.56056521469557286</v>
      </c>
      <c r="W79" s="26">
        <v>0.53210646584705568</v>
      </c>
      <c r="X79" s="26">
        <v>0.71745952030879867</v>
      </c>
      <c r="Y79" s="26">
        <v>0.64860011631050529</v>
      </c>
      <c r="Z79" s="26">
        <v>0.70450564240999369</v>
      </c>
      <c r="AA79" s="26"/>
      <c r="AB79" s="26">
        <v>0.21643108833808006</v>
      </c>
      <c r="AC79" s="26">
        <v>0.16356313758480187</v>
      </c>
      <c r="AD79" s="26">
        <v>0.14009001341986893</v>
      </c>
      <c r="AE79" s="26">
        <v>0.15735976471526114</v>
      </c>
      <c r="AF79" s="26">
        <v>0.13595654878084235</v>
      </c>
      <c r="AG79" s="26">
        <v>0.11811507730283408</v>
      </c>
      <c r="AH79" s="26">
        <v>0.16292857985934348</v>
      </c>
      <c r="AI79" s="26">
        <v>0.12160233205698104</v>
      </c>
      <c r="AJ79" s="26">
        <v>0.17068425972670062</v>
      </c>
      <c r="AK79" s="26">
        <v>0.15834254599950379</v>
      </c>
      <c r="AL79" s="26">
        <v>0.2118918409286798</v>
      </c>
      <c r="AM79" s="20">
        <v>0.24765953527481449</v>
      </c>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CB41"/>
  <sheetViews>
    <sheetView workbookViewId="0">
      <selection activeCell="G11" sqref="G11"/>
    </sheetView>
  </sheetViews>
  <sheetFormatPr defaultRowHeight="12.75"/>
  <cols>
    <col min="1" max="1" width="14" customWidth="1"/>
    <col min="2" max="2" width="19.28515625" customWidth="1"/>
    <col min="3" max="3" width="26.42578125" customWidth="1"/>
    <col min="4" max="4" width="18.7109375" customWidth="1"/>
    <col min="5" max="5" width="17.28515625" bestFit="1" customWidth="1"/>
    <col min="6" max="6" width="13.42578125" customWidth="1"/>
    <col min="7" max="7" width="11.85546875" bestFit="1" customWidth="1"/>
    <col min="8" max="8" width="11" bestFit="1" customWidth="1"/>
    <col min="9" max="9" width="14.28515625" bestFit="1" customWidth="1"/>
    <col min="10" max="10" width="10.7109375" customWidth="1"/>
    <col min="11" max="11" width="13.85546875" bestFit="1" customWidth="1"/>
    <col min="12" max="12" width="11.7109375" bestFit="1" customWidth="1"/>
    <col min="13" max="13" width="15.28515625" bestFit="1" customWidth="1"/>
    <col min="14" max="16" width="12.28515625" bestFit="1" customWidth="1"/>
    <col min="17" max="17" width="12.5703125" bestFit="1" customWidth="1"/>
    <col min="18" max="20" width="14.28515625" bestFit="1" customWidth="1"/>
    <col min="21" max="21" width="13.7109375" bestFit="1" customWidth="1"/>
    <col min="22" max="22" width="14" bestFit="1" customWidth="1"/>
    <col min="23" max="23" width="12.85546875" bestFit="1" customWidth="1"/>
    <col min="24" max="24" width="15.28515625" bestFit="1" customWidth="1"/>
    <col min="25" max="25" width="12.28515625" bestFit="1" customWidth="1"/>
    <col min="26" max="26" width="10.85546875" bestFit="1" customWidth="1"/>
    <col min="27" max="27" width="12.28515625" bestFit="1" customWidth="1"/>
    <col min="28" max="28" width="12.5703125" bestFit="1" customWidth="1"/>
    <col min="29" max="33" width="12.85546875" customWidth="1"/>
    <col min="34" max="34" width="12.5703125" customWidth="1"/>
    <col min="35" max="35" width="12.28515625" customWidth="1"/>
    <col min="36" max="36" width="12.7109375" customWidth="1"/>
    <col min="37" max="37" width="11.85546875" customWidth="1"/>
    <col min="38" max="38" width="12.5703125" bestFit="1" customWidth="1"/>
    <col min="39" max="39" width="13.42578125" customWidth="1"/>
    <col min="40" max="40" width="15.7109375" bestFit="1" customWidth="1"/>
    <col min="41" max="41" width="11" bestFit="1" customWidth="1"/>
    <col min="42" max="42" width="14.28515625" bestFit="1" customWidth="1"/>
    <col min="43" max="43" width="14.7109375" bestFit="1" customWidth="1"/>
    <col min="44" max="44" width="15" bestFit="1" customWidth="1"/>
    <col min="45" max="45" width="12.5703125" bestFit="1" customWidth="1"/>
    <col min="46" max="46" width="13.5703125" customWidth="1"/>
    <col min="47" max="48" width="14.5703125" bestFit="1" customWidth="1"/>
    <col min="49" max="49" width="14.85546875" bestFit="1" customWidth="1"/>
    <col min="50" max="50" width="12.5703125" bestFit="1" customWidth="1"/>
    <col min="51" max="51" width="13.28515625" bestFit="1" customWidth="1"/>
    <col min="52" max="52" width="14" bestFit="1" customWidth="1"/>
    <col min="53" max="53" width="13.28515625" bestFit="1" customWidth="1"/>
    <col min="54" max="54" width="11.140625" bestFit="1" customWidth="1"/>
    <col min="55" max="55" width="16.85546875" bestFit="1" customWidth="1"/>
    <col min="56" max="56" width="14.7109375" customWidth="1"/>
    <col min="57" max="57" width="12" customWidth="1"/>
    <col min="58" max="58" width="14" customWidth="1"/>
    <col min="59" max="59" width="12.5703125" customWidth="1"/>
    <col min="60" max="60" width="11.28515625" customWidth="1"/>
    <col min="61" max="61" width="14.42578125" customWidth="1"/>
    <col min="62" max="62" width="15.7109375" customWidth="1"/>
    <col min="63" max="63" width="12.85546875" customWidth="1"/>
    <col min="64" max="64" width="13" customWidth="1"/>
    <col min="65" max="65" width="11.7109375" customWidth="1"/>
    <col min="66" max="66" width="14" customWidth="1"/>
    <col min="67" max="67" width="14.85546875" customWidth="1"/>
    <col min="68" max="68" width="11.85546875" customWidth="1"/>
    <col min="69" max="69" width="13.85546875" customWidth="1"/>
    <col min="70" max="70" width="13.7109375" customWidth="1"/>
    <col min="71" max="71" width="13" customWidth="1"/>
    <col min="72" max="72" width="12.42578125" customWidth="1"/>
    <col min="73" max="73" width="13" customWidth="1"/>
    <col min="74" max="74" width="12.7109375" hidden="1" customWidth="1"/>
    <col min="75" max="75" width="12.42578125" hidden="1" customWidth="1"/>
    <col min="76" max="76" width="10.28515625" hidden="1" customWidth="1"/>
    <col min="77" max="80" width="9.85546875" hidden="1" customWidth="1"/>
    <col min="81" max="81" width="9.85546875" customWidth="1"/>
    <col min="82" max="89" width="10.7109375" customWidth="1"/>
    <col min="90" max="90" width="16.5703125" customWidth="1"/>
    <col min="91" max="95" width="10.7109375" customWidth="1"/>
  </cols>
  <sheetData>
    <row r="1" spans="1:8">
      <c r="A1" t="s">
        <v>192</v>
      </c>
    </row>
    <row r="2" spans="1:8">
      <c r="A2" t="s">
        <v>156</v>
      </c>
      <c r="B2" t="s">
        <v>168</v>
      </c>
    </row>
    <row r="5" spans="1:8">
      <c r="A5" s="60" t="s">
        <v>175</v>
      </c>
      <c r="B5" s="61"/>
      <c r="C5" s="49" t="s">
        <v>157</v>
      </c>
      <c r="D5" s="61"/>
      <c r="E5" s="61"/>
    </row>
    <row r="6" spans="1:8" ht="12.75" customHeight="1">
      <c r="A6" s="166" t="s">
        <v>158</v>
      </c>
      <c r="B6" s="166" t="s">
        <v>176</v>
      </c>
      <c r="C6" s="168" t="s">
        <v>165</v>
      </c>
      <c r="D6" s="170" t="s">
        <v>166</v>
      </c>
      <c r="E6" s="170" t="s">
        <v>177</v>
      </c>
    </row>
    <row r="7" spans="1:8">
      <c r="A7" s="167"/>
      <c r="B7" s="167"/>
      <c r="C7" s="169"/>
      <c r="D7" s="171"/>
      <c r="E7" s="171"/>
    </row>
    <row r="8" spans="1:8">
      <c r="A8" s="52"/>
      <c r="B8" s="52"/>
      <c r="C8" s="62" t="s">
        <v>178</v>
      </c>
      <c r="D8" s="63" t="s">
        <v>167</v>
      </c>
      <c r="E8" s="64" t="s">
        <v>179</v>
      </c>
    </row>
    <row r="9" spans="1:8">
      <c r="A9" s="66">
        <v>0</v>
      </c>
      <c r="B9" s="67" t="s">
        <v>159</v>
      </c>
      <c r="C9" s="68">
        <v>4</v>
      </c>
      <c r="D9" s="69">
        <v>229.61679130407038</v>
      </c>
      <c r="E9" s="70">
        <f>(8760-$B$32)*C9/1000</f>
        <v>34.328091213793712</v>
      </c>
    </row>
    <row r="10" spans="1:8">
      <c r="A10" s="66">
        <v>1</v>
      </c>
      <c r="B10" s="67" t="s">
        <v>160</v>
      </c>
      <c r="C10" s="68">
        <v>2</v>
      </c>
      <c r="D10" s="69">
        <v>230.0170355505617</v>
      </c>
      <c r="E10" s="70">
        <f t="shared" ref="E10:E13" si="0">(8760-$B$32)*C10/1000</f>
        <v>17.164045606896856</v>
      </c>
    </row>
    <row r="11" spans="1:8">
      <c r="A11" s="66">
        <v>2</v>
      </c>
      <c r="B11" s="67" t="s">
        <v>161</v>
      </c>
      <c r="C11" s="68">
        <v>1.5</v>
      </c>
      <c r="D11" s="69">
        <v>230.20038080391461</v>
      </c>
      <c r="E11" s="70">
        <f t="shared" si="0"/>
        <v>12.873034205172642</v>
      </c>
    </row>
    <row r="12" spans="1:8">
      <c r="A12" s="51">
        <v>3</v>
      </c>
      <c r="B12" s="52" t="s">
        <v>162</v>
      </c>
      <c r="C12" s="65">
        <v>1</v>
      </c>
      <c r="D12" s="99">
        <v>234.66754430452914</v>
      </c>
      <c r="E12" s="100">
        <f t="shared" si="0"/>
        <v>8.582022803448428</v>
      </c>
    </row>
    <row r="13" spans="1:8">
      <c r="A13" s="51">
        <v>4</v>
      </c>
      <c r="B13" s="52" t="s">
        <v>163</v>
      </c>
      <c r="C13" s="65">
        <v>0.02</v>
      </c>
      <c r="D13" s="99">
        <v>239.20575514687479</v>
      </c>
      <c r="E13" s="100">
        <f t="shared" si="0"/>
        <v>0.17164045606896858</v>
      </c>
      <c r="G13" s="32">
        <f>E12-E13</f>
        <v>8.4103823473794588</v>
      </c>
      <c r="H13" t="s">
        <v>181</v>
      </c>
    </row>
    <row r="14" spans="1:8">
      <c r="A14" s="50"/>
      <c r="B14" s="50"/>
      <c r="C14" s="50"/>
      <c r="D14" s="50"/>
      <c r="E14" s="50"/>
      <c r="G14" s="73">
        <f>(D13-D12)</f>
        <v>4.5382108423456486</v>
      </c>
      <c r="H14" t="s">
        <v>186</v>
      </c>
    </row>
    <row r="15" spans="1:8">
      <c r="A15" s="60" t="s">
        <v>180</v>
      </c>
      <c r="B15" s="61"/>
      <c r="C15" s="49" t="s">
        <v>164</v>
      </c>
      <c r="D15" s="61"/>
      <c r="E15" s="61"/>
    </row>
    <row r="16" spans="1:8" ht="12.75" customHeight="1">
      <c r="A16" s="166" t="s">
        <v>158</v>
      </c>
      <c r="B16" s="166" t="s">
        <v>176</v>
      </c>
      <c r="C16" s="168" t="s">
        <v>165</v>
      </c>
      <c r="D16" s="170" t="s">
        <v>166</v>
      </c>
      <c r="E16" s="170" t="s">
        <v>177</v>
      </c>
    </row>
    <row r="17" spans="1:8">
      <c r="A17" s="167"/>
      <c r="B17" s="167"/>
      <c r="C17" s="169"/>
      <c r="D17" s="171"/>
      <c r="E17" s="171"/>
    </row>
    <row r="18" spans="1:8">
      <c r="A18" s="52"/>
      <c r="B18" s="52"/>
      <c r="C18" s="62" t="s">
        <v>178</v>
      </c>
      <c r="D18" s="63" t="s">
        <v>167</v>
      </c>
      <c r="E18" s="64" t="s">
        <v>179</v>
      </c>
    </row>
    <row r="19" spans="1:8">
      <c r="A19" s="66">
        <v>0</v>
      </c>
      <c r="B19" s="67" t="s">
        <v>159</v>
      </c>
      <c r="C19" s="68">
        <v>4.5</v>
      </c>
      <c r="D19" s="69">
        <v>496.83845968835044</v>
      </c>
      <c r="E19" s="70">
        <f>(8760-$B$32)*C19/1000</f>
        <v>38.619102615517924</v>
      </c>
    </row>
    <row r="20" spans="1:8">
      <c r="A20" s="66">
        <v>1</v>
      </c>
      <c r="B20" s="67" t="s">
        <v>160</v>
      </c>
      <c r="C20" s="68">
        <v>3.7</v>
      </c>
      <c r="D20" s="69">
        <v>496.92569240873956</v>
      </c>
      <c r="E20" s="70">
        <f t="shared" ref="E20:E23" si="1">(8760-$B$32)*C20/1000</f>
        <v>31.753484372759186</v>
      </c>
    </row>
    <row r="21" spans="1:8">
      <c r="A21" s="66">
        <v>2</v>
      </c>
      <c r="B21" s="67" t="s">
        <v>161</v>
      </c>
      <c r="C21" s="68">
        <v>2.7</v>
      </c>
      <c r="D21" s="69">
        <v>496.95476998220261</v>
      </c>
      <c r="E21" s="70">
        <f>(8760-$B$32)*C21/1000</f>
        <v>23.171461569310758</v>
      </c>
    </row>
    <row r="22" spans="1:8">
      <c r="A22" s="51">
        <v>3</v>
      </c>
      <c r="B22" s="52" t="s">
        <v>162</v>
      </c>
      <c r="C22" s="65">
        <v>2.2000000000000002</v>
      </c>
      <c r="D22" s="99">
        <v>504.54432249417488</v>
      </c>
      <c r="E22" s="100">
        <f t="shared" si="1"/>
        <v>18.880450167586542</v>
      </c>
    </row>
    <row r="23" spans="1:8">
      <c r="A23" s="51">
        <v>4</v>
      </c>
      <c r="B23" s="52" t="s">
        <v>163</v>
      </c>
      <c r="C23" s="65">
        <v>0.04</v>
      </c>
      <c r="D23" s="99">
        <v>505.86424467017008</v>
      </c>
      <c r="E23" s="100">
        <f t="shared" si="1"/>
        <v>0.34328091213793716</v>
      </c>
      <c r="G23" s="32">
        <f>E22-E23</f>
        <v>18.537169255448603</v>
      </c>
      <c r="H23" t="s">
        <v>181</v>
      </c>
    </row>
    <row r="24" spans="1:8">
      <c r="G24" s="73">
        <f>(D23-D22)</f>
        <v>1.3199221759952025</v>
      </c>
      <c r="H24" t="s">
        <v>186</v>
      </c>
    </row>
    <row r="28" spans="1:8">
      <c r="A28" t="s">
        <v>170</v>
      </c>
      <c r="C28" s="72">
        <v>0.99</v>
      </c>
      <c r="D28" t="s">
        <v>185</v>
      </c>
      <c r="F28" t="s">
        <v>187</v>
      </c>
      <c r="G28" s="32">
        <f>(G13*$C$28+G23*(1-$C$28))</f>
        <v>8.5116502164601506</v>
      </c>
      <c r="H28" t="s">
        <v>188</v>
      </c>
    </row>
    <row r="29" spans="1:8">
      <c r="G29" s="74">
        <f>(G14*$C$28+G24*(1-$C$28))</f>
        <v>4.5060279556821436</v>
      </c>
      <c r="H29" t="s">
        <v>189</v>
      </c>
    </row>
    <row r="31" spans="1:8">
      <c r="A31" s="53"/>
      <c r="B31" s="54"/>
      <c r="C31" s="54"/>
    </row>
    <row r="32" spans="1:8">
      <c r="A32" s="55" t="s">
        <v>171</v>
      </c>
      <c r="B32" s="56">
        <v>177.97719655157181</v>
      </c>
      <c r="C32" s="57" t="s">
        <v>172</v>
      </c>
    </row>
    <row r="33" spans="1:3">
      <c r="A33" s="58"/>
      <c r="B33" s="58"/>
      <c r="C33" s="58"/>
    </row>
    <row r="34" spans="1:3">
      <c r="A34" s="55" t="s">
        <v>173</v>
      </c>
      <c r="B34" s="59">
        <v>10.91</v>
      </c>
      <c r="C34" s="57" t="s">
        <v>174</v>
      </c>
    </row>
    <row r="35" spans="1:3">
      <c r="A35" s="50"/>
      <c r="B35" s="50"/>
      <c r="C35" s="50"/>
    </row>
    <row r="40" spans="1:3">
      <c r="A40" s="33" t="s">
        <v>169</v>
      </c>
      <c r="B40" s="33"/>
      <c r="C40" s="33"/>
    </row>
    <row r="41" spans="1:3">
      <c r="A41" t="s">
        <v>184</v>
      </c>
    </row>
  </sheetData>
  <mergeCells count="10">
    <mergeCell ref="A16:A17"/>
    <mergeCell ref="B16:B17"/>
    <mergeCell ref="C16:C17"/>
    <mergeCell ref="D16:D17"/>
    <mergeCell ref="E16:E17"/>
    <mergeCell ref="A6:A7"/>
    <mergeCell ref="B6:B7"/>
    <mergeCell ref="C6:C7"/>
    <mergeCell ref="D6:D7"/>
    <mergeCell ref="E6: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7PSourceSummary</vt:lpstr>
      <vt:lpstr>forRPM</vt:lpstr>
      <vt:lpstr>SC-New</vt:lpstr>
      <vt:lpstr>SC-NR</vt:lpstr>
      <vt:lpstr># of Units</vt:lpstr>
      <vt:lpstr>M_Input_Out</vt:lpstr>
      <vt:lpstr>M_Input</vt:lpstr>
      <vt:lpstr>CostSavings Info</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2015-03-12T23:24:39Z</dcterms:modified>
</cp:coreProperties>
</file>